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299df2683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a62022cd9714184"/>
    <x:sheet xmlns:r="http://schemas.openxmlformats.org/officeDocument/2006/relationships" name="Pré-cadastros" sheetId="2" r:id="R0f3047b434b3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 hh:mm"/>
    <x:numFmt numFmtId="201" formatCode="@"/>
    <x:numFmt numFmtId="202" formatCode="dd/mm/yyyy"/>
  </x:numFmts>
  <x:fonts count="6">
    <x:font>
      <x:sz val="11"/>
      <x:name val="Carlito"/>
    </x:font>
    <x:font>
      <x:sz val="11"/>
      <x:color rgb="FF172033"/>
      <x:name val="Aptos"/>
    </x:font>
    <x:font>
      <x:b/>
      <x:sz val="16"/>
      <x:color rgb="FFFFFFFF"/>
      <x:name val="Aptos Display"/>
    </x:font>
    <x:font>
      <x:b/>
      <x:sz val="11"/>
      <x:color rgb="FF172033"/>
      <x:name val="Aptos"/>
    </x:font>
    <x:font>
      <x:sz val="9"/>
      <x:color rgb="FF172033"/>
      <x:name val="Aptos"/>
    </x:font>
    <x:font>
      <x:b/>
      <x:sz val="9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B0000"/>
      </x:patternFill>
    </x:fill>
  </x:fills>
  <x:borders count="5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201" fontId="4" fillId="0" borderId="3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0" borderId="4" xfId="0" applyNumberFormat="1" applyFont="1" applyFill="1" applyBorder="1"/>
    <x:xf numFmtId="0" fontId="4" fillId="0" borderId="4" xfId="0" applyNumberFormat="1" applyFont="1" applyFill="1" applyBorder="1"/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3" xfId="0" applyNumberFormat="1" applyFont="1" applyFill="1" applyBorder="1"/>
    <x:xf numFmtId="200" fontId="4" fillId="0" borderId="4" xfId="0" applyNumberFormat="1" applyFont="1" applyFill="1" applyBorder="1"/>
    <x:xf numFmtId="202" fontId="4" fillId="0" borderId="3" xfId="0" applyNumberFormat="1" applyFont="1" applyFill="1" applyBorder="1"/>
    <x:xf numFmtId="202" fontId="4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1f80fa11d45f6" /><Relationship Type="http://schemas.openxmlformats.org/officeDocument/2006/relationships/theme" Target="/xl/theme/theme1.xml" Id="R46b32dea336b4516" /><Relationship Type="http://schemas.microsoft.com/office/2022/11/relationships/FeaturePropertyBag" Target="/xl/featurePropertyBag/featurePropertyBag.xml" Id="Re95cf081e5e64baf" /><Relationship Type="http://schemas.openxmlformats.org/officeDocument/2006/relationships/sharedStrings" Target="/xl/sharedStrings.xml" Id="R5baf43f087854a8c" /><Relationship Type="http://schemas.openxmlformats.org/officeDocument/2006/relationships/worksheet" Target="/xl/worksheets/sheet1.xml" Id="Rea62022cd9714184" /><Relationship Type="http://schemas.openxmlformats.org/officeDocument/2006/relationships/worksheet" Target="/xl/worksheets/sheet2.xml" Id="R0f3047b434b345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riverRegistryEntitiesTable" displayName="DriverRegistryEntitiesTable" ref="A1:Z3963" headerRowCount="1" totalsRowCount="0" totalsRowShown="0">
  <x:autoFilter ref="A1:Z3963"/>
  <x:tableColumns count="26">
    <x:tableColumn id="1" name="id"/>
    <x:tableColumn id="2" name="display_name"/>
    <x:tableColumn id="3" name="normalized_name"/>
    <x:tableColumn id="4" name="cnpj"/>
    <x:tableColumn id="5" name="cnpj_digits"/>
    <x:tableColumn id="6" name="cpf"/>
    <x:tableColumn id="7" name="cpf_digits"/>
    <x:tableColumn id="8" name="email"/>
    <x:tableColumn id="9" name="phone"/>
    <x:tableColumn id="10" name="driver_type"/>
    <x:tableColumn id="11" name="signup_policy"/>
    <x:tableColumn id="12" name="active"/>
    <x:tableColumn id="13" name="source_count"/>
    <x:tableColumn id="14" name="created_at"/>
    <x:tableColumn id="15" name="updated_at"/>
    <x:tableColumn id="16" name="base"/>
    <x:tableColumn id="17" name="data_nascimento"/>
    <x:tableColumn id="18" name="rg"/>
    <x:tableColumn id="19" name="sexo"/>
    <x:tableColumn id="20" name="placa"/>
    <x:tableColumn id="21" name="nome_favorecido"/>
    <x:tableColumn id="22" name="cpf_favorecido"/>
    <x:tableColumn id="23" name="cpf_favorecido_digits"/>
    <x:tableColumn id="24" name="email_favorecido"/>
    <x:tableColumn id="25" name="telefone_favorecido"/>
    <x:tableColumn id="26" name="validade_g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8f3f9c4bef4d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</x:cols>
  <x:sheetData>
    <x:row r="1">
      <x:c r="A1" s="9" t="str">
        <x:v>Exportação de pré-cadastros</x:v>
      </x:c>
      <x:c r="B1" s="10"/>
    </x:row>
    <x:row r="2">
      <x:c r="A2" s="11" t="str">
        <x:v>Origem</x:v>
      </x:c>
      <x:c r="B2" s="12" t="str">
        <x:v>public.driver_registry_entities</x:v>
      </x:c>
    </x:row>
    <x:row r="3">
      <x:c r="A3" s="11" t="str">
        <x:v>Total de registros</x:v>
      </x:c>
      <x:c r="B3" s="12" t="n">
        <x:v>3962</x:v>
      </x:c>
    </x:row>
    <x:row r="4">
      <x:c r="A4" s="11" t="str">
        <x:v>Total de campos</x:v>
      </x:c>
      <x:c r="B4" s="12" t="n">
        <x:v>26</x:v>
      </x:c>
    </x:row>
    <x:row r="5">
      <x:c r="A5" s="11" t="str">
        <x:v>Gerado em</x:v>
      </x:c>
      <x:c r="B5" s="13" t="n">
        <x:v>46251.57181368056</x:v>
      </x:c>
    </x:row>
    <x:row r="6">
      <x:c r="A6" s="11" t="str">
        <x:v>Observação</x:v>
      </x:c>
      <x:c r="B6" s="12" t="str">
        <x:v>Todos os campos escalares disponíveis na tabela foram exportados.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4" hidden="0" customWidth="1"/>
    <x:col min="3" max="3" width="34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34" hidden="0" customWidth="1"/>
    <x:col min="9" max="9" width="20" hidden="0" customWidth="1"/>
    <x:col min="10" max="10" width="18" hidden="0" customWidth="1"/>
    <x:col min="11" max="11" width="20" hidden="0" customWidth="1"/>
    <x:col min="12" max="12" width="12" hidden="0" customWidth="1"/>
    <x:col min="13" max="13" width="14" hidden="0" customWidth="1"/>
    <x:col min="14" max="14" width="22" hidden="0" customWidth="1"/>
    <x:col min="15" max="15" width="22" hidden="0" customWidth="1"/>
    <x:col min="16" max="16" width="28" hidden="0" customWidth="1"/>
    <x:col min="17" max="17" width="18" hidden="0" customWidth="1"/>
    <x:col min="18" max="18" width="18" hidden="0" customWidth="1"/>
    <x:col min="19" max="19" width="12" hidden="0" customWidth="1"/>
    <x:col min="20" max="20" width="16" hidden="0" customWidth="1"/>
    <x:col min="21" max="21" width="34" hidden="0" customWidth="1"/>
    <x:col min="22" max="22" width="20" hidden="0" customWidth="1"/>
    <x:col min="23" max="23" width="20" hidden="0" customWidth="1"/>
    <x:col min="24" max="24" width="34" hidden="0" customWidth="1"/>
    <x:col min="25" max="25" width="22" hidden="0" customWidth="1"/>
    <x:col min="26" max="26" width="18" hidden="0" customWidth="1"/>
  </x:cols>
  <x:sheetData>
    <x:row r="1" ht="18" customHeight="1">
      <x:c r="A1" s="21" t="str">
        <x:v>id</x:v>
      </x:c>
      <x:c r="B1" s="21" t="str">
        <x:v>display_name</x:v>
      </x:c>
      <x:c r="C1" s="21" t="str">
        <x:v>normalized_name</x:v>
      </x:c>
      <x:c r="D1" s="21" t="str">
        <x:v>cnpj</x:v>
      </x:c>
      <x:c r="E1" s="21" t="str">
        <x:v>cnpj_digits</x:v>
      </x:c>
      <x:c r="F1" s="21" t="str">
        <x:v>cpf</x:v>
      </x:c>
      <x:c r="G1" s="21" t="str">
        <x:v>cpf_digits</x:v>
      </x:c>
      <x:c r="H1" s="21" t="str">
        <x:v>email</x:v>
      </x:c>
      <x:c r="I1" s="21" t="str">
        <x:v>phone</x:v>
      </x:c>
      <x:c r="J1" s="21" t="str">
        <x:v>driver_type</x:v>
      </x:c>
      <x:c r="K1" s="21" t="str">
        <x:v>signup_policy</x:v>
      </x:c>
      <x:c r="L1" s="21" t="str">
        <x:v>active</x:v>
      </x:c>
      <x:c r="M1" s="21" t="str">
        <x:v>source_count</x:v>
      </x:c>
      <x:c r="N1" s="21" t="str">
        <x:v>created_at</x:v>
      </x:c>
      <x:c r="O1" s="21" t="str">
        <x:v>updated_at</x:v>
      </x:c>
      <x:c r="P1" s="21" t="str">
        <x:v>base</x:v>
      </x:c>
      <x:c r="Q1" s="21" t="str">
        <x:v>data_nascimento</x:v>
      </x:c>
      <x:c r="R1" s="21" t="str">
        <x:v>rg</x:v>
      </x:c>
      <x:c r="S1" s="21" t="str">
        <x:v>sexo</x:v>
      </x:c>
      <x:c r="T1" s="21" t="str">
        <x:v>placa</x:v>
      </x:c>
      <x:c r="U1" s="21" t="str">
        <x:v>nome_favorecido</x:v>
      </x:c>
      <x:c r="V1" s="21" t="str">
        <x:v>cpf_favorecido</x:v>
      </x:c>
      <x:c r="W1" s="21" t="str">
        <x:v>cpf_favorecido_digits</x:v>
      </x:c>
      <x:c r="X1" s="21" t="str">
        <x:v>email_favorecido</x:v>
      </x:c>
      <x:c r="Y1" s="21" t="str">
        <x:v>telefone_favorecido</x:v>
      </x:c>
      <x:c r="Z1" s="21" t="str">
        <x:v>validade_gr</x:v>
      </x:c>
    </x:row>
    <x:row r="2" ht="18" customHeight="1">
      <x:c r="A2" s="22" t="str">
        <x:f>"51a0e006-b189-4da4-9c9d-ace6db7f13ec"</x:f>
        <x:v>51a0e006-b189-4da4-9c9d-ace6db7f13ec</x:v>
      </x:c>
      <x:c r="B2" s="23" t="str">
        <x:v>49.942.404 MATHEUS BATISTA GONCALVES</x:v>
      </x:c>
      <x:c r="C2" s="23" t="str">
        <x:v>49 942 404 matheus batista goncalves</x:v>
      </x:c>
      <x:c r="D2" s="22" t="str">
        <x:f>"49942404/0001-93"</x:f>
        <x:v>49942404/0001-93</x:v>
      </x:c>
      <x:c r="E2" s="22" t="str">
        <x:f>"49942404000193"</x:f>
        <x:v>49942404000193</x:v>
      </x:c>
      <x:c r="F2" s="22" t="str">
        <x:f>"445.477.028-02"</x:f>
        <x:v>445.477.028-02</x:v>
      </x:c>
      <x:c r="G2" s="22" t="str">
        <x:f>"44547702802"</x:f>
        <x:v>44547702802</x:v>
      </x:c>
      <x:c r="H2" s="23" t="str">
        <x:v>matheuslhp13@gmail.com</x:v>
      </x:c>
      <x:c r="I2" s="22" t="str">
        <x:f>"11 97133-3748"</x:f>
        <x:v>11 97133-3748</x:v>
      </x:c>
      <x:c r="J2" s="23" t="str">
        <x:v>SPOT</x:v>
      </x:c>
      <x:c r="K2" s="23" t="str">
        <x:v>favored_only</x:v>
      </x:c>
      <x:c r="L2" s="24" t="b">
        <x:v>1</x:v>
      </x:c>
      <x:c r="M2" s="23" t="n">
        <x:v>1</x:v>
      </x:c>
      <x:c r="N2" s="28" t="n">
        <x:v>46203.921852962965</x:v>
      </x:c>
      <x:c r="O2" s="28" t="n">
        <x:v>46220.5039643287</x:v>
      </x:c>
      <x:c r="P2" s="23" t="str">
        <x:v>BARUERI</x:v>
      </x:c>
      <x:c r="Q2" s="30" t="str"/>
      <x:c r="R2" s="22" t="str"/>
      <x:c r="S2" s="23" t="str"/>
      <x:c r="T2" s="22" t="str"/>
      <x:c r="U2" s="23" t="str">
        <x:v>49.942.404 MATHEUS BATISTA GONCALVES</x:v>
      </x:c>
      <x:c r="V2" s="22" t="str">
        <x:f>"445.477.028-02"</x:f>
        <x:v>445.477.028-02</x:v>
      </x:c>
      <x:c r="W2" s="22" t="str">
        <x:f>"44547702802"</x:f>
        <x:v>44547702802</x:v>
      </x:c>
      <x:c r="X2" s="23" t="str">
        <x:v>matheuslhp13@gmail.com</x:v>
      </x:c>
      <x:c r="Y2" s="22" t="str">
        <x:f>"11 97133-3748"</x:f>
        <x:v>11 97133-3748</x:v>
      </x:c>
      <x:c r="Z2" s="30" t="str"/>
    </x:row>
    <x:row r="3" ht="18" customHeight="1">
      <x:c r="A3" s="22" t="str">
        <x:f>"e72ac84b-37a4-4ee1-953a-2c34b3cbee66"</x:f>
        <x:v>e72ac84b-37a4-4ee1-953a-2c34b3cbee66</x:v>
      </x:c>
      <x:c r="B3" s="23" t="str">
        <x:v>59.453.854 GUILHERME LUIZ RAMOS FERREIRA</x:v>
      </x:c>
      <x:c r="C3" s="23" t="str">
        <x:v>59 453 854 guilherme luiz ramos ferreira</x:v>
      </x:c>
      <x:c r="D3" s="22" t="str">
        <x:f>"59.453.854/0001-76"</x:f>
        <x:v>59.453.854/0001-76</x:v>
      </x:c>
      <x:c r="E3" s="22" t="str">
        <x:f>"59453854000176"</x:f>
        <x:v>59453854000176</x:v>
      </x:c>
      <x:c r="F3" s="22" t="str">
        <x:f>"133.505.576-27"</x:f>
        <x:v>133.505.576-27</x:v>
      </x:c>
      <x:c r="G3" s="22" t="str">
        <x:f>"13350557627"</x:f>
        <x:v>13350557627</x:v>
      </x:c>
      <x:c r="H3" s="23" t="str">
        <x:v>glluiz2206@gmail.com</x:v>
      </x:c>
      <x:c r="I3" s="22" t="str">
        <x:f>"35997714649"</x:f>
        <x:v>35997714649</x:v>
      </x:c>
      <x:c r="J3" s="23" t="str">
        <x:v>RENTAL</x:v>
      </x:c>
      <x:c r="K3" s="23" t="str">
        <x:v>rental_company</x:v>
      </x:c>
      <x:c r="L3" s="24" t="b">
        <x:v>1</x:v>
      </x:c>
      <x:c r="M3" s="23" t="n">
        <x:v>1</x:v>
      </x:c>
      <x:c r="N3" s="28" t="n">
        <x:v>46219.812988715275</x:v>
      </x:c>
      <x:c r="O3" s="28" t="n">
        <x:v>46219.812988715275</x:v>
      </x:c>
      <x:c r="P3" s="23" t="str">
        <x:v>POUSO ALEGRE</x:v>
      </x:c>
      <x:c r="Q3" s="30" t="n">
        <x:v>37429</x:v>
      </x:c>
      <x:c r="R3" s="22" t="str">
        <x:f>"17810132"</x:f>
        <x:v>17810132</x:v>
      </x:c>
      <x:c r="S3" s="23" t="str">
        <x:v>feminino</x:v>
      </x:c>
      <x:c r="T3" s="22" t="str"/>
      <x:c r="U3" s="23" t="str">
        <x:v>59.453.854 GUILHERME LUIZ RAMOS FERREIRA</x:v>
      </x:c>
      <x:c r="V3" s="22" t="str">
        <x:f>"133.505.576-27"</x:f>
        <x:v>133.505.576-27</x:v>
      </x:c>
      <x:c r="W3" s="22" t="str">
        <x:f>"13350557627"</x:f>
        <x:v>13350557627</x:v>
      </x:c>
      <x:c r="X3" s="23" t="str">
        <x:v>glluiz2206@gmail.com</x:v>
      </x:c>
      <x:c r="Y3" s="22" t="str">
        <x:f>"35997714649"</x:f>
        <x:v>35997714649</x:v>
      </x:c>
      <x:c r="Z3" s="30" t="n">
        <x:v>46564</x:v>
      </x:c>
    </x:row>
    <x:row r="4" ht="18" customHeight="1">
      <x:c r="A4" s="22" t="str">
        <x:f>"1f74213b-d56f-415f-bb7e-9e39afff00eb"</x:f>
        <x:v>1f74213b-d56f-415f-bb7e-9e39afff00eb</x:v>
      </x:c>
      <x:c r="B4" s="23" t="str">
        <x:v>ABDIAS VIEIRA DA SILVA NETO</x:v>
      </x:c>
      <x:c r="C4" s="23" t="str">
        <x:v>abdias vieira da silva neto</x:v>
      </x:c>
      <x:c r="D4" s="22" t="str">
        <x:f>"56.201.648/0001-80"</x:f>
        <x:v>56.201.648/0001-80</x:v>
      </x:c>
      <x:c r="E4" s="22" t="str">
        <x:f>"56201648000180"</x:f>
        <x:v>56201648000180</x:v>
      </x:c>
      <x:c r="F4" s="22" t="str">
        <x:f>"036.330.251-46"</x:f>
        <x:v>036.330.251-46</x:v>
      </x:c>
      <x:c r="G4" s="22" t="str">
        <x:f>"03633025146"</x:f>
        <x:v>03633025146</x:v>
      </x:c>
      <x:c r="H4" s="23" t="str">
        <x:v>abdiasamorim38@gmail.com</x:v>
      </x:c>
      <x:c r="I4" s="22" t="str">
        <x:f>"06596099251"</x:f>
        <x:v>06596099251</x:v>
      </x:c>
      <x:c r="J4" s="23" t="str">
        <x:v>SPOT</x:v>
      </x:c>
      <x:c r="K4" s="23" t="str">
        <x:v>favored_only</x:v>
      </x:c>
      <x:c r="L4" s="24" t="b">
        <x:v>1</x:v>
      </x:c>
      <x:c r="M4" s="23" t="n">
        <x:v>1</x:v>
      </x:c>
      <x:c r="N4" s="28" t="n">
        <x:v>46205.60647353009</x:v>
      </x:c>
      <x:c r="O4" s="28" t="n">
        <x:v>46219.812988715275</x:v>
      </x:c>
      <x:c r="P4" s="23" t="str">
        <x:v>CÁCERES</x:v>
      </x:c>
      <x:c r="Q4" s="30" t="n">
        <x:v>37786</x:v>
      </x:c>
      <x:c r="R4" s="22" t="str">
        <x:f>"29638305"</x:f>
        <x:v>29638305</x:v>
      </x:c>
      <x:c r="S4" s="23" t="str">
        <x:v>masculino</x:v>
      </x:c>
      <x:c r="T4" s="22" t="str">
        <x:f>"QCH0H13"</x:f>
        <x:v>QCH0H13</x:v>
      </x:c>
      <x:c r="U4" s="23" t="str">
        <x:v>ADRIANA ROSA CASTRO</x:v>
      </x:c>
      <x:c r="V4" s="22" t="str">
        <x:f>"631.913.501-87"</x:f>
        <x:v>631.913.501-87</x:v>
      </x:c>
      <x:c r="W4" s="22" t="str">
        <x:f>"63191350187"</x:f>
        <x:v>63191350187</x:v>
      </x:c>
      <x:c r="X4" s="23" t="str">
        <x:v>adrianaprof410@gmail.com</x:v>
      </x:c>
      <x:c r="Y4" s="22" t="str">
        <x:f>"65 9640-7089"</x:f>
        <x:v>65 9640-7089</x:v>
      </x:c>
      <x:c r="Z4" s="30" t="n">
        <x:v>46360</x:v>
      </x:c>
    </x:row>
    <x:row r="5" ht="18" customHeight="1">
      <x:c r="A5" s="22" t="str">
        <x:f>"a5d58573-b469-4ce5-94f5-b4cc3e948d41"</x:f>
        <x:v>a5d58573-b469-4ce5-94f5-b4cc3e948d41</x:v>
      </x:c>
      <x:c r="B5" s="23" t="str">
        <x:v>ABDIEL OLIVEIRA SOUZA</x:v>
      </x:c>
      <x:c r="C5" s="23" t="str">
        <x:v>abdiel oliveira souza</x:v>
      </x:c>
      <x:c r="D5" s="22" t="str">
        <x:f>"59.979.405/0001-66"</x:f>
        <x:v>59.979.405/0001-66</x:v>
      </x:c>
      <x:c r="E5" s="22" t="str">
        <x:f>"59979405000166"</x:f>
        <x:v>59979405000166</x:v>
      </x:c>
      <x:c r="F5" s="22" t="str">
        <x:f>"070.836.466-78"</x:f>
        <x:v>070.836.466-78</x:v>
      </x:c>
      <x:c r="G5" s="22" t="str">
        <x:f>"07083646678"</x:f>
        <x:v>07083646678</x:v>
      </x:c>
      <x:c r="H5" s="23" t="str">
        <x:v>abdieloliveira02@gmail.com</x:v>
      </x:c>
      <x:c r="I5" s="22" t="str">
        <x:f>"35 99130-9547"</x:f>
        <x:v>35 99130-9547</x:v>
      </x:c>
      <x:c r="J5" s="23" t="str">
        <x:v>spot</x:v>
      </x:c>
      <x:c r="K5" s="23" t="str">
        <x:v>favored_only</x:v>
      </x:c>
      <x:c r="L5" s="24" t="b">
        <x:v>1</x:v>
      </x:c>
      <x:c r="M5" s="23" t="n">
        <x:v>2</x:v>
      </x:c>
      <x:c r="N5" s="28" t="n">
        <x:v>46219.812988715275</x:v>
      </x:c>
      <x:c r="O5" s="28" t="n">
        <x:v>46219.812988715275</x:v>
      </x:c>
      <x:c r="P5" s="23" t="str">
        <x:v>POCOS DE CALDAS</x:v>
      </x:c>
      <x:c r="Q5" s="30" t="n">
        <x:v>37316</x:v>
      </x:c>
      <x:c r="R5" s="22" t="str">
        <x:f>"21765574"</x:f>
        <x:v>21765574</x:v>
      </x:c>
      <x:c r="S5" s="23" t="str">
        <x:v>masculino</x:v>
      </x:c>
      <x:c r="T5" s="22" t="str">
        <x:f>"FHU1G39"</x:f>
        <x:v>FHU1G39</x:v>
      </x:c>
      <x:c r="U5" s="23" t="str">
        <x:v>ABDIEL OLIVEIRA SOUZA</x:v>
      </x:c>
      <x:c r="V5" s="22" t="str">
        <x:f>"070.836.466-78"</x:f>
        <x:v>070.836.466-78</x:v>
      </x:c>
      <x:c r="W5" s="22" t="str">
        <x:f>"07083646678"</x:f>
        <x:v>07083646678</x:v>
      </x:c>
      <x:c r="X5" s="23" t="str">
        <x:v>abdieloliveira02@gmail.com</x:v>
      </x:c>
      <x:c r="Y5" s="22" t="str">
        <x:f>"35 99130-9547"</x:f>
        <x:v>35 99130-9547</x:v>
      </x:c>
      <x:c r="Z5" s="30" t="n">
        <x:v>46560</x:v>
      </x:c>
    </x:row>
    <x:row r="6" ht="18" customHeight="1">
      <x:c r="A6" s="22" t="str">
        <x:f>"13a4bf47-8798-40c5-b35e-8ab808505c46"</x:f>
        <x:v>13a4bf47-8798-40c5-b35e-8ab808505c46</x:v>
      </x:c>
      <x:c r="B6" s="23" t="str">
        <x:v>ABIDIEL DA SILVA BARBOSA</x:v>
      </x:c>
      <x:c r="C6" s="23" t="str">
        <x:v>abidiel da silva barbosa</x:v>
      </x:c>
      <x:c r="D6" s="22" t="str">
        <x:f>"37.823.997/0001-90"</x:f>
        <x:v>37.823.997/0001-90</x:v>
      </x:c>
      <x:c r="E6" s="22" t="str">
        <x:f>"37823997000190"</x:f>
        <x:v>37823997000190</x:v>
      </x:c>
      <x:c r="F6" s="22" t="str">
        <x:f>"811.900.262-87"</x:f>
        <x:v>811.900.262-87</x:v>
      </x:c>
      <x:c r="G6" s="22" t="str">
        <x:f>"81190026287"</x:f>
        <x:v>81190026287</x:v>
      </x:c>
      <x:c r="H6" s="23" t="str">
        <x:v>abidiel38@gmail.com</x:v>
      </x:c>
      <x:c r="I6" s="22" t="str">
        <x:f>"62998429217"</x:f>
        <x:v>62998429217</x:v>
      </x:c>
      <x:c r="J6" s="23" t="str">
        <x:v>SPOT</x:v>
      </x:c>
      <x:c r="K6" s="23" t="str">
        <x:v>favored_only</x:v>
      </x:c>
      <x:c r="L6" s="24" t="b">
        <x:v>1</x:v>
      </x:c>
      <x:c r="M6" s="23" t="n">
        <x:v>1</x:v>
      </x:c>
      <x:c r="N6" s="28" t="n">
        <x:v>46205.60521710648</x:v>
      </x:c>
      <x:c r="O6" s="28" t="n">
        <x:v>46219.812988715275</x:v>
      </x:c>
      <x:c r="P6" s="23" t="str">
        <x:v>GOIANIA</x:v>
      </x:c>
      <x:c r="Q6" s="30" t="n">
        <x:v>31094</x:v>
      </x:c>
      <x:c r="R6" s="22" t="str">
        <x:f>"227918"</x:f>
        <x:v>227918</x:v>
      </x:c>
      <x:c r="S6" s="23" t="str">
        <x:v>masculino</x:v>
      </x:c>
      <x:c r="T6" s="22" t="str">
        <x:f>"OVS8F80"</x:f>
        <x:v>OVS8F80</x:v>
      </x:c>
      <x:c r="U6" s="23" t="str">
        <x:v>DANILLO BACIEL ALMEIDA</x:v>
      </x:c>
      <x:c r="V6" s="22" t="str">
        <x:f>"019.928.911-50"</x:f>
        <x:v>019.928.911-50</x:v>
      </x:c>
      <x:c r="W6" s="22" t="str">
        <x:f>"01992891150"</x:f>
        <x:v>01992891150</x:v>
      </x:c>
      <x:c r="X6" s="23" t="str">
        <x:v>rpt.cargas@gmail.com</x:v>
      </x:c>
      <x:c r="Y6" s="22" t="str">
        <x:f>"62 996610607"</x:f>
        <x:v>62 996610607</x:v>
      </x:c>
      <x:c r="Z6" s="30" t="n">
        <x:v>46315</x:v>
      </x:c>
    </x:row>
    <x:row r="7" ht="18" customHeight="1">
      <x:c r="A7" s="22" t="str">
        <x:f>"6fff94b1-95b0-4c88-a08c-7a83ce2d3ea7"</x:f>
        <x:v>6fff94b1-95b0-4c88-a08c-7a83ce2d3ea7</x:v>
      </x:c>
      <x:c r="B7" s="23" t="str">
        <x:v>ABMAEL DAVID RODRIGUES CRUZ</x:v>
      </x:c>
      <x:c r="C7" s="23" t="str">
        <x:v>abmael david rodrigues cruz</x:v>
      </x:c>
      <x:c r="D7" s="22" t="str">
        <x:f>"62.099.913/0001-64"</x:f>
        <x:v>62.099.913/0001-64</x:v>
      </x:c>
      <x:c r="E7" s="22" t="str">
        <x:f>"62099913000164"</x:f>
        <x:v>62099913000164</x:v>
      </x:c>
      <x:c r="F7" s="22" t="str">
        <x:f>"042.326.991-71"</x:f>
        <x:v>042.326.991-71</x:v>
      </x:c>
      <x:c r="G7" s="22" t="str">
        <x:f>"04232699171"</x:f>
        <x:v>04232699171</x:v>
      </x:c>
      <x:c r="H7" s="23" t="str">
        <x:v>abmaelrodriguesoficial@gmail.com</x:v>
      </x:c>
      <x:c r="I7" s="22" t="str">
        <x:f>"(65) 9 9331-4533"</x:f>
        <x:v>(65) 9 9331-4533</x:v>
      </x:c>
      <x:c r="J7" s="23" t="str">
        <x:v>SPOT</x:v>
      </x:c>
      <x:c r="K7" s="23" t="str">
        <x:v>favored_only</x:v>
      </x:c>
      <x:c r="L7" s="24" t="b">
        <x:v>1</x:v>
      </x:c>
      <x:c r="M7" s="23" t="n">
        <x:v>1</x:v>
      </x:c>
      <x:c r="N7" s="28" t="n">
        <x:v>46205.60391240741</x:v>
      </x:c>
      <x:c r="O7" s="28" t="n">
        <x:v>46219.812988715275</x:v>
      </x:c>
      <x:c r="P7" s="23" t="str">
        <x:v>CUIABA</x:v>
      </x:c>
      <x:c r="Q7" s="30" t="n">
        <x:v>34687</x:v>
      </x:c>
      <x:c r="R7" s="22" t="str">
        <x:f>"1992100-4"</x:f>
        <x:v>1992100-4</x:v>
      </x:c>
      <x:c r="S7" s="23" t="str">
        <x:v>masculino</x:v>
      </x:c>
      <x:c r="T7" s="22" t="str">
        <x:f>"QBM2649"</x:f>
        <x:v>QBM2649</x:v>
      </x:c>
      <x:c r="U7" s="23" t="str">
        <x:v>KAROLINY MAIA CAMPOS</x:v>
      </x:c>
      <x:c r="V7" s="22" t="str">
        <x:f>"060.222.081-57"</x:f>
        <x:v>060.222.081-57</x:v>
      </x:c>
      <x:c r="W7" s="22" t="str">
        <x:f>"06022208157"</x:f>
        <x:v>06022208157</x:v>
      </x:c>
      <x:c r="X7" s="23" t="str">
        <x:v>kahmaia_@hotmail.com</x:v>
      </x:c>
      <x:c r="Y7" s="22" t="str">
        <x:f>"(65) 9 9803-2471"</x:f>
        <x:v>(65) 9 9803-2471</x:v>
      </x:c>
      <x:c r="Z7" s="30" t="n">
        <x:v>46248</x:v>
      </x:c>
    </x:row>
    <x:row r="8" ht="18" customHeight="1">
      <x:c r="A8" s="22" t="str">
        <x:f>"c5219bda-f53d-4702-a19d-b6f4b342f2ec"</x:f>
        <x:v>c5219bda-f53d-4702-a19d-b6f4b342f2ec</x:v>
      </x:c>
      <x:c r="B8" s="23" t="str">
        <x:v>ACLECIO RODRIGUES ALVES</x:v>
      </x:c>
      <x:c r="C8" s="23" t="str">
        <x:v>aclecio rodrigues alves</x:v>
      </x:c>
      <x:c r="D8" s="22" t="str">
        <x:f>"57.827.806/0001-75"</x:f>
        <x:v>57.827.806/0001-75</x:v>
      </x:c>
      <x:c r="E8" s="22" t="str">
        <x:f>"57827806000175"</x:f>
        <x:v>57827806000175</x:v>
      </x:c>
      <x:c r="F8" s="22" t="str">
        <x:f>"272.272.898-26"</x:f>
        <x:v>272.272.898-26</x:v>
      </x:c>
      <x:c r="G8" s="22" t="str">
        <x:f>"27227289826"</x:f>
        <x:v>27227289826</x:v>
      </x:c>
      <x:c r="H8" s="23" t="str">
        <x:v>acleciorodrigues36@gmail.com</x:v>
      </x:c>
      <x:c r="I8" s="22" t="str">
        <x:f>"17 99101-8868"</x:f>
        <x:v>17 99101-8868</x:v>
      </x:c>
      <x:c r="J8" s="23" t="str">
        <x:v>SPOT</x:v>
      </x:c>
      <x:c r="K8" s="23" t="str">
        <x:v>favored_only</x:v>
      </x:c>
      <x:c r="L8" s="24" t="b">
        <x:v>1</x:v>
      </x:c>
      <x:c r="M8" s="23" t="n">
        <x:v>1</x:v>
      </x:c>
      <x:c r="N8" s="28" t="n">
        <x:v>46219.812988715275</x:v>
      </x:c>
      <x:c r="O8" s="28" t="n">
        <x:v>46219.812988715275</x:v>
      </x:c>
      <x:c r="P8" s="23" t="str">
        <x:v>BARRETOS</x:v>
      </x:c>
      <x:c r="Q8" s="30" t="n">
        <x:v>29332</x:v>
      </x:c>
      <x:c r="R8" s="22" t="str">
        <x:f>"27227289826"</x:f>
        <x:v>27227289826</x:v>
      </x:c>
      <x:c r="S8" s="23" t="str">
        <x:v>masculino</x:v>
      </x:c>
      <x:c r="T8" s="22" t="str">
        <x:f>"EKO4F53"</x:f>
        <x:v>EKO4F53</x:v>
      </x:c>
      <x:c r="U8" s="23" t="str">
        <x:v>ACLECIO RODRIGUES ALVES</x:v>
      </x:c>
      <x:c r="V8" s="22" t="str">
        <x:f>"272.272.898-26"</x:f>
        <x:v>272.272.898-26</x:v>
      </x:c>
      <x:c r="W8" s="22" t="str">
        <x:f>"27227289826"</x:f>
        <x:v>27227289826</x:v>
      </x:c>
      <x:c r="X8" s="23" t="str">
        <x:v>acleciorodrigues36@gmail.com</x:v>
      </x:c>
      <x:c r="Y8" s="22" t="str">
        <x:f>"17 99101-8868"</x:f>
        <x:v>17 99101-8868</x:v>
      </x:c>
      <x:c r="Z8" s="30" t="n">
        <x:v>46486</x:v>
      </x:c>
    </x:row>
    <x:row r="9" ht="18" customHeight="1">
      <x:c r="A9" s="22" t="str">
        <x:f>"e8c540d3-beca-4349-81fa-89bd9b47a74d"</x:f>
        <x:v>e8c540d3-beca-4349-81fa-89bd9b47a74d</x:v>
      </x:c>
      <x:c r="B9" s="23" t="str">
        <x:v>ADAIL JOSE RIBEIRO DA SILVA</x:v>
      </x:c>
      <x:c r="C9" s="23" t="str">
        <x:v>adail jose ribeiro da silva</x:v>
      </x:c>
      <x:c r="D9" s="22" t="str">
        <x:f>"57.363.662/0001-43"</x:f>
        <x:v>57.363.662/0001-43</x:v>
      </x:c>
      <x:c r="E9" s="22" t="str">
        <x:f>"57363662000143"</x:f>
        <x:v>57363662000143</x:v>
      </x:c>
      <x:c r="F9" s="22" t="str">
        <x:f>"719.568.241-20"</x:f>
        <x:v>719.568.241-20</x:v>
      </x:c>
      <x:c r="G9" s="22" t="str">
        <x:f>"71956824120"</x:f>
        <x:v>71956824120</x:v>
      </x:c>
      <x:c r="H9" s="23" t="str">
        <x:v>adailroots@gmail.com</x:v>
      </x:c>
      <x:c r="I9" s="22" t="str">
        <x:f>"64 984361347"</x:f>
        <x:v>64 984361347</x:v>
      </x:c>
      <x:c r="J9" s="23" t="str">
        <x:v>RENTAL</x:v>
      </x:c>
      <x:c r="K9" s="23" t="str">
        <x:v>rental_company</x:v>
      </x:c>
      <x:c r="L9" s="24" t="b">
        <x:v>1</x:v>
      </x:c>
      <x:c r="M9" s="23" t="n">
        <x:v>1</x:v>
      </x:c>
      <x:c r="N9" s="28" t="n">
        <x:v>46203.92183017361</x:v>
      </x:c>
      <x:c r="O9" s="28" t="n">
        <x:v>46219.812988715275</x:v>
      </x:c>
      <x:c r="P9" s="23" t="str">
        <x:v>RIO VERDE</x:v>
      </x:c>
      <x:c r="Q9" s="30" t="n">
        <x:v>29436</x:v>
      </x:c>
      <x:c r="R9" s="22" t="str">
        <x:f>"5943610"</x:f>
        <x:v>5943610</x:v>
      </x:c>
      <x:c r="S9" s="23" t="str">
        <x:v>masculino</x:v>
      </x:c>
      <x:c r="T9" s="22" t="str"/>
      <x:c r="U9" s="23" t="str">
        <x:v>ADAIL JOSE RIBEIRO DA SILVA</x:v>
      </x:c>
      <x:c r="V9" s="22" t="str">
        <x:f>"719.568.241-20"</x:f>
        <x:v>719.568.241-20</x:v>
      </x:c>
      <x:c r="W9" s="22" t="str">
        <x:f>"71956824120"</x:f>
        <x:v>71956824120</x:v>
      </x:c>
      <x:c r="X9" s="23" t="str">
        <x:v>adailroots@gmail.com</x:v>
      </x:c>
      <x:c r="Y9" s="22" t="str">
        <x:f>"64 984361347"</x:f>
        <x:v>64 984361347</x:v>
      </x:c>
      <x:c r="Z9" s="30" t="n">
        <x:v>46250</x:v>
      </x:c>
    </x:row>
    <x:row r="10" ht="18" customHeight="1">
      <x:c r="A10" s="22" t="str">
        <x:f>"f53fc9bd-6237-4722-9cb4-b184d2b0cc44"</x:f>
        <x:v>f53fc9bd-6237-4722-9cb4-b184d2b0cc44</x:v>
      </x:c>
      <x:c r="B10" s="23" t="str">
        <x:v>ADAILTON ALENCAR DA CUNHA</x:v>
      </x:c>
      <x:c r="C10" s="23" t="str">
        <x:v>adailton alencar da cunha</x:v>
      </x:c>
      <x:c r="D10" s="22" t="str">
        <x:f>"57.021.944/0001-62"</x:f>
        <x:v>57.021.944/0001-62</x:v>
      </x:c>
      <x:c r="E10" s="22" t="str">
        <x:f>"57021944000162"</x:f>
        <x:v>57021944000162</x:v>
      </x:c>
      <x:c r="F10" s="22" t="str">
        <x:f>"062.936.721-35"</x:f>
        <x:v>062.936.721-35</x:v>
      </x:c>
      <x:c r="G10" s="22" t="str">
        <x:f>"06293672135"</x:f>
        <x:v>06293672135</x:v>
      </x:c>
      <x:c r="H10" s="23" t="str">
        <x:v>adailtoncunha006@gmail.com</x:v>
      </x:c>
      <x:c r="I10" s="22" t="str">
        <x:f>"65996386896"</x:f>
        <x:v>65996386896</x:v>
      </x:c>
      <x:c r="J10" s="23" t="str">
        <x:v>RENTAL</x:v>
      </x:c>
      <x:c r="K10" s="23" t="str">
        <x:v>rental_company</x:v>
      </x:c>
      <x:c r="L10" s="24" t="b">
        <x:v>1</x:v>
      </x:c>
      <x:c r="M10" s="23" t="n">
        <x:v>1</x:v>
      </x:c>
      <x:c r="N10" s="28" t="n">
        <x:v>46219.812988715275</x:v>
      </x:c>
      <x:c r="O10" s="28" t="n">
        <x:v>46219.812988715275</x:v>
      </x:c>
      <x:c r="P10" s="23" t="str">
        <x:v>CUIABA</x:v>
      </x:c>
      <x:c r="Q10" s="30" t="n">
        <x:v>37477</x:v>
      </x:c>
      <x:c r="R10" s="22" t="str">
        <x:f>"29285798"</x:f>
        <x:v>29285798</x:v>
      </x:c>
      <x:c r="S10" s="23" t="str">
        <x:v>masculino</x:v>
      </x:c>
      <x:c r="T10" s="22" t="str"/>
      <x:c r="U10" s="23" t="str">
        <x:v>ADAILTON ALENCAR DA CUNHA</x:v>
      </x:c>
      <x:c r="V10" s="22" t="str">
        <x:f>"062.936.721-35"</x:f>
        <x:v>062.936.721-35</x:v>
      </x:c>
      <x:c r="W10" s="22" t="str">
        <x:f>"06293672135"</x:f>
        <x:v>06293672135</x:v>
      </x:c>
      <x:c r="X10" s="23" t="str">
        <x:v>adailtoncunha006@gmail.com</x:v>
      </x:c>
      <x:c r="Y10" s="22" t="str">
        <x:f>"65996386896"</x:f>
        <x:v>65996386896</x:v>
      </x:c>
      <x:c r="Z10" s="30" t="n">
        <x:v>46578</x:v>
      </x:c>
    </x:row>
    <x:row r="11" ht="18" customHeight="1">
      <x:c r="A11" s="22" t="str">
        <x:f>"a6302ff8-6c71-4c10-9179-a78f686ba817"</x:f>
        <x:v>a6302ff8-6c71-4c10-9179-a78f686ba817</x:v>
      </x:c>
      <x:c r="B11" s="23" t="str">
        <x:v>ADAILTON SOARES FERREIRA</x:v>
      </x:c>
      <x:c r="C11" s="23" t="str">
        <x:v>adailton soares ferreira</x:v>
      </x:c>
      <x:c r="D11" s="22" t="str">
        <x:f>"66.013.634/0001-97"</x:f>
        <x:v>66.013.634/0001-97</x:v>
      </x:c>
      <x:c r="E11" s="22" t="str">
        <x:f>"66013634000197"</x:f>
        <x:v>66013634000197</x:v>
      </x:c>
      <x:c r="F11" s="22" t="str">
        <x:f>"657.130.876-20"</x:f>
        <x:v>657.130.876-20</x:v>
      </x:c>
      <x:c r="G11" s="22" t="str">
        <x:f>"65713087620"</x:f>
        <x:v>65713087620</x:v>
      </x:c>
      <x:c r="H11" s="23" t="str">
        <x:v>Soares.adailton1968@gamail.com</x:v>
      </x:c>
      <x:c r="I11" s="22" t="str">
        <x:f>"38992600934"</x:f>
        <x:v>38992600934</x:v>
      </x:c>
      <x:c r="J11" s="23" t="str">
        <x:v>RENTAL</x:v>
      </x:c>
      <x:c r="K11" s="23" t="str">
        <x:v>rental_company</x:v>
      </x:c>
      <x:c r="L11" s="24" t="b">
        <x:v>1</x:v>
      </x:c>
      <x:c r="M11" s="23" t="n">
        <x:v>1</x:v>
      </x:c>
      <x:c r="N11" s="28" t="n">
        <x:v>46219.812988715275</x:v>
      </x:c>
      <x:c r="O11" s="28" t="n">
        <x:v>46219.812988715275</x:v>
      </x:c>
      <x:c r="P11" s="23" t="str">
        <x:v>CONTAGEM</x:v>
      </x:c>
      <x:c r="Q11" s="30" t="n">
        <x:v>24894</x:v>
      </x:c>
      <x:c r="R11" s="22" t="str">
        <x:f>"5132428"</x:f>
        <x:v>5132428</x:v>
      </x:c>
      <x:c r="S11" s="23" t="str">
        <x:v>masculino</x:v>
      </x:c>
      <x:c r="T11" s="22" t="str"/>
      <x:c r="U11" s="23" t="str">
        <x:v>ADAILTON SOARES FERREIRA</x:v>
      </x:c>
      <x:c r="V11" s="22" t="str">
        <x:f>"657.130.876-20"</x:f>
        <x:v>657.130.876-20</x:v>
      </x:c>
      <x:c r="W11" s="22" t="str">
        <x:f>"65713087620"</x:f>
        <x:v>65713087620</x:v>
      </x:c>
      <x:c r="X11" s="23" t="str">
        <x:v>Soares.adailton1968@gamail.com</x:v>
      </x:c>
      <x:c r="Y11" s="22" t="str">
        <x:f>"38992600934"</x:f>
        <x:v>38992600934</x:v>
      </x:c>
      <x:c r="Z11" s="30" t="n">
        <x:v>46576</x:v>
      </x:c>
    </x:row>
    <x:row r="12" ht="18" customHeight="1">
      <x:c r="A12" s="22" t="str">
        <x:f>"a5cf82b1-b0ef-4dd9-ba47-8ccf40e7ddc8"</x:f>
        <x:v>a5cf82b1-b0ef-4dd9-ba47-8ccf40e7ddc8</x:v>
      </x:c>
      <x:c r="B12" s="23" t="str">
        <x:v>ADAILZA DOS SANTOS RIBEIRO</x:v>
      </x:c>
      <x:c r="C12" s="23" t="str">
        <x:v>adailza dos santos ribeiro</x:v>
      </x:c>
      <x:c r="D12" s="22" t="str">
        <x:f>"55.156.937/0001-42"</x:f>
        <x:v>55.156.937/0001-42</x:v>
      </x:c>
      <x:c r="E12" s="22" t="str">
        <x:f>"55156937000142"</x:f>
        <x:v>55156937000142</x:v>
      </x:c>
      <x:c r="F12" s="22" t="str">
        <x:f>"396.238.821-49"</x:f>
        <x:v>396.238.821-49</x:v>
      </x:c>
      <x:c r="G12" s="22" t="str">
        <x:f>"39623882149"</x:f>
        <x:v>39623882149</x:v>
      </x:c>
      <x:c r="H12" s="23" t="str">
        <x:v>adailza.s.ribeiro@gmail.com</x:v>
      </x:c>
      <x:c r="I12" s="22" t="str">
        <x:f>"6796416871"</x:f>
        <x:v>6796416871</x:v>
      </x:c>
      <x:c r="J12" s="23" t="str">
        <x:v>SPOT</x:v>
      </x:c>
      <x:c r="K12" s="23" t="str">
        <x:v>favored_only</x:v>
      </x:c>
      <x:c r="L12" s="24" t="b">
        <x:v>1</x:v>
      </x:c>
      <x:c r="M12" s="23" t="n">
        <x:v>1</x:v>
      </x:c>
      <x:c r="N12" s="28" t="n">
        <x:v>46219.812988715275</x:v>
      </x:c>
      <x:c r="O12" s="28" t="n">
        <x:v>46219.812988715275</x:v>
      </x:c>
      <x:c r="P12" s="23" t="str">
        <x:v>CHAPADÃO DO SUL</x:v>
      </x:c>
      <x:c r="Q12" s="30" t="n">
        <x:v>24283</x:v>
      </x:c>
      <x:c r="R12" s="22" t="str">
        <x:f>"337976"</x:f>
        <x:v>337976</x:v>
      </x:c>
      <x:c r="S12" s="23" t="str">
        <x:v>feminino</x:v>
      </x:c>
      <x:c r="T12" s="22" t="str">
        <x:f>"FPB9B40"</x:f>
        <x:v>FPB9B40</x:v>
      </x:c>
      <x:c r="U12" s="23" t="str">
        <x:v>GILVANI GUERREIRO DE ALBUQUERQUE</x:v>
      </x:c>
      <x:c r="V12" s="22" t="str">
        <x:f>"041.960.671-82"</x:f>
        <x:v>041.960.671-82</x:v>
      </x:c>
      <x:c r="W12" s="22" t="str">
        <x:f>"04196067182"</x:f>
        <x:v>04196067182</x:v>
      </x:c>
      <x:c r="X12" s="23" t="str">
        <x:v>geovanaguerreiro40@gmail.com</x:v>
      </x:c>
      <x:c r="Y12" s="22" t="str">
        <x:f>"6781555904"</x:f>
        <x:v>6781555904</x:v>
      </x:c>
      <x:c r="Z12" s="30" t="n">
        <x:v>46575</x:v>
      </x:c>
    </x:row>
    <x:row r="13" ht="18" customHeight="1">
      <x:c r="A13" s="22" t="str">
        <x:f>"ca53df51-e01f-4227-9b5d-7ddd8ab3c37f"</x:f>
        <x:v>ca53df51-e01f-4227-9b5d-7ddd8ab3c37f</x:v>
      </x:c>
      <x:c r="B13" s="23" t="str">
        <x:v>ADAILZA DOS SANTOS RIBEIRO</x:v>
      </x:c>
      <x:c r="C13" s="23" t="str">
        <x:v>adailza dos santos ribeiro</x:v>
      </x:c>
      <x:c r="D13" s="22" t="str">
        <x:f>"33.517.106/0001-16"</x:f>
        <x:v>33.517.106/0001-16</x:v>
      </x:c>
      <x:c r="E13" s="22" t="str">
        <x:f>"33517106000116"</x:f>
        <x:v>33517106000116</x:v>
      </x:c>
      <x:c r="F13" s="22" t="str">
        <x:f>"396.238.821-49"</x:f>
        <x:v>396.238.821-49</x:v>
      </x:c>
      <x:c r="G13" s="22" t="str">
        <x:f>"39623882149"</x:f>
        <x:v>39623882149</x:v>
      </x:c>
      <x:c r="H13" s="23" t="str">
        <x:v>adailza.s.ribeiro@gmail.com</x:v>
      </x:c>
      <x:c r="I13" s="22" t="str">
        <x:f>"6796416871"</x:f>
        <x:v>6796416871</x:v>
      </x:c>
      <x:c r="J13" s="23" t="str">
        <x:v>SPOT</x:v>
      </x:c>
      <x:c r="K13" s="23" t="str">
        <x:v>favored_only</x:v>
      </x:c>
      <x:c r="L13" s="24" t="b">
        <x:v>1</x:v>
      </x:c>
      <x:c r="M13" s="23" t="n">
        <x:v>1</x:v>
      </x:c>
      <x:c r="N13" s="28" t="n">
        <x:v>46219.812988715275</x:v>
      </x:c>
      <x:c r="O13" s="28" t="n">
        <x:v>46219.812988715275</x:v>
      </x:c>
      <x:c r="P13" s="23" t="str">
        <x:v>CHAPADÃO DO SUL</x:v>
      </x:c>
      <x:c r="Q13" s="30" t="n">
        <x:v>24283</x:v>
      </x:c>
      <x:c r="R13" s="22" t="str">
        <x:f>"337976"</x:f>
        <x:v>337976</x:v>
      </x:c>
      <x:c r="S13" s="23" t="str">
        <x:v>feminino</x:v>
      </x:c>
      <x:c r="T13" s="22" t="str">
        <x:f>"RWD0C52"</x:f>
        <x:v>RWD0C52</x:v>
      </x:c>
      <x:c r="U13" s="23" t="str">
        <x:v>RICIERI MOVEIS E DECORACOES</x:v>
      </x:c>
      <x:c r="V13" s="22" t="str">
        <x:f>"057.527.079-94"</x:f>
        <x:v>057.527.079-94</x:v>
      </x:c>
      <x:c r="W13" s="22" t="str">
        <x:f>"05752707994"</x:f>
        <x:v>05752707994</x:v>
      </x:c>
      <x:c r="X13" s="23" t="str">
        <x:v>ricierineto@hotmail.com</x:v>
      </x:c>
      <x:c r="Y13" s="22" t="str">
        <x:f>"67999113949"</x:f>
        <x:v>67999113949</x:v>
      </x:c>
      <x:c r="Z13" s="30" t="n">
        <x:v>46413</x:v>
      </x:c>
    </x:row>
    <x:row r="14" ht="18" customHeight="1">
      <x:c r="A14" s="22" t="str">
        <x:f>"1bb5e4e7-ce26-44e1-9aa2-f1500315eea1"</x:f>
        <x:v>1bb5e4e7-ce26-44e1-9aa2-f1500315eea1</x:v>
      </x:c>
      <x:c r="B14" s="23" t="str">
        <x:v>ADALBERTO BATISTA DE SOUZA</x:v>
      </x:c>
      <x:c r="C14" s="23" t="str">
        <x:v>adalberto batista de souza</x:v>
      </x:c>
      <x:c r="D14" s="22" t="str">
        <x:f>"61.509.317/0001-42"</x:f>
        <x:v>61.509.317/0001-42</x:v>
      </x:c>
      <x:c r="E14" s="22" t="str">
        <x:f>"61509317000142"</x:f>
        <x:v>61509317000142</x:v>
      </x:c>
      <x:c r="F14" s="22" t="str">
        <x:f>"050.118.891-65"</x:f>
        <x:v>050.118.891-65</x:v>
      </x:c>
      <x:c r="G14" s="22" t="str">
        <x:f>"05011889165"</x:f>
        <x:v>05011889165</x:v>
      </x:c>
      <x:c r="H14" s="23" t="str">
        <x:v>souzaadalberto48@gmail.com</x:v>
      </x:c>
      <x:c r="I14" s="22" t="str">
        <x:f>"66996013512"</x:f>
        <x:v>66996013512</x:v>
      </x:c>
      <x:c r="J14" s="23" t="str">
        <x:v>SPOT</x:v>
      </x:c>
      <x:c r="K14" s="23" t="str">
        <x:v>favored_only</x:v>
      </x:c>
      <x:c r="L14" s="24" t="b">
        <x:v>1</x:v>
      </x:c>
      <x:c r="M14" s="23" t="n">
        <x:v>1</x:v>
      </x:c>
      <x:c r="N14" s="28" t="n">
        <x:v>46203.92183332176</x:v>
      </x:c>
      <x:c r="O14" s="28" t="n">
        <x:v>46219.812988715275</x:v>
      </x:c>
      <x:c r="P14" s="23" t="str">
        <x:v>SINOP</x:v>
      </x:c>
      <x:c r="Q14" s="30" t="n">
        <x:v>35237</x:v>
      </x:c>
      <x:c r="R14" s="22" t="str">
        <x:f>"24916501"</x:f>
        <x:v>24916501</x:v>
      </x:c>
      <x:c r="S14" s="23" t="str">
        <x:v>masculino</x:v>
      </x:c>
      <x:c r="T14" s="22" t="str">
        <x:f>"RMT3C26"</x:f>
        <x:v>RMT3C26</x:v>
      </x:c>
      <x:c r="U14" s="23" t="str">
        <x:v>ADALBERTO BATISTA DE SOUZA</x:v>
      </x:c>
      <x:c r="V14" s="22" t="str">
        <x:f>"050.118.891-65"</x:f>
        <x:v>050.118.891-65</x:v>
      </x:c>
      <x:c r="W14" s="22" t="str">
        <x:f>"05011889165"</x:f>
        <x:v>05011889165</x:v>
      </x:c>
      <x:c r="X14" s="23" t="str">
        <x:v>souzaadalberto48@gmail.com</x:v>
      </x:c>
      <x:c r="Y14" s="22" t="str">
        <x:f>"66996013512"</x:f>
        <x:v>66996013512</x:v>
      </x:c>
      <x:c r="Z14" s="30" t="n">
        <x:v>46570</x:v>
      </x:c>
    </x:row>
    <x:row r="15" ht="18" customHeight="1">
      <x:c r="A15" s="22" t="str">
        <x:f>"de0231e2-9a9f-485f-b5ec-77ef8fdcd60c"</x:f>
        <x:v>de0231e2-9a9f-485f-b5ec-77ef8fdcd60c</x:v>
      </x:c>
      <x:c r="B15" s="23" t="str">
        <x:v>ADALBERTO CARLOS SABES</x:v>
      </x:c>
      <x:c r="C15" s="23" t="str">
        <x:v>adalberto carlos sabes</x:v>
      </x:c>
      <x:c r="D15" s="22" t="str">
        <x:f>"53.912.142/0001-91"</x:f>
        <x:v>53.912.142/0001-91</x:v>
      </x:c>
      <x:c r="E15" s="22" t="str">
        <x:f>"53912142000191"</x:f>
        <x:v>53912142000191</x:v>
      </x:c>
      <x:c r="F15" s="22" t="str">
        <x:f>"058.505.038-46"</x:f>
        <x:v>058.505.038-46</x:v>
      </x:c>
      <x:c r="G15" s="22" t="str">
        <x:f>"05850503846"</x:f>
        <x:v>05850503846</x:v>
      </x:c>
      <x:c r="H15" s="23" t="str">
        <x:v>sabes_ac@hotmail.com</x:v>
      </x:c>
      <x:c r="I15" s="22" t="str">
        <x:f>"14996513506"</x:f>
        <x:v>14996513506</x:v>
      </x:c>
      <x:c r="J15" s="23" t="str">
        <x:v>spot</x:v>
      </x:c>
      <x:c r="K15" s="23" t="str">
        <x:v>favored_only</x:v>
      </x:c>
      <x:c r="L15" s="24" t="b">
        <x:v>1</x:v>
      </x:c>
      <x:c r="M15" s="23" t="n">
        <x:v>1</x:v>
      </x:c>
      <x:c r="N15" s="28" t="n">
        <x:v>46219.812988715275</x:v>
      </x:c>
      <x:c r="O15" s="28" t="n">
        <x:v>46219.812988715275</x:v>
      </x:c>
      <x:c r="P15" s="23" t="str">
        <x:v>MARILIA</x:v>
      </x:c>
      <x:c r="Q15" s="30" t="n">
        <x:v>24133</x:v>
      </x:c>
      <x:c r="R15" s="22" t="str">
        <x:f>"15257275"</x:f>
        <x:v>15257275</x:v>
      </x:c>
      <x:c r="S15" s="23" t="str">
        <x:v>masculino</x:v>
      </x:c>
      <x:c r="T15" s="22" t="str">
        <x:f>"EGP6807"</x:f>
        <x:v>EGP6807</x:v>
      </x:c>
      <x:c r="U15" s="23" t="str">
        <x:v>ADALBERTO CARLOS SABES</x:v>
      </x:c>
      <x:c r="V15" s="22" t="str">
        <x:f>"038.117.768-68"</x:f>
        <x:v>038.117.768-68</x:v>
      </x:c>
      <x:c r="W15" s="22" t="str">
        <x:f>"03811776868"</x:f>
        <x:v>03811776868</x:v>
      </x:c>
      <x:c r="X15" s="23" t="str">
        <x:v>sabes_ac@hotmail.com</x:v>
      </x:c>
      <x:c r="Y15" s="22" t="str">
        <x:f>"14996513506"</x:f>
        <x:v>14996513506</x:v>
      </x:c>
      <x:c r="Z15" s="30" t="n">
        <x:v>46548</x:v>
      </x:c>
    </x:row>
    <x:row r="16" ht="18" customHeight="1">
      <x:c r="A16" s="22" t="str">
        <x:f>"67e6b24f-1bf7-422c-9b35-b7ea75afb019"</x:f>
        <x:v>67e6b24f-1bf7-422c-9b35-b7ea75afb019</x:v>
      </x:c>
      <x:c r="B16" s="23" t="str">
        <x:v>ADALBERTO DE ANDRADE PACHECO DA SILVA</x:v>
      </x:c>
      <x:c r="C16" s="23" t="str">
        <x:v>adalberto de andrade pacheco da silva</x:v>
      </x:c>
      <x:c r="D16" s="22" t="str">
        <x:f>"19.865.589/0001-19"</x:f>
        <x:v>19.865.589/0001-19</x:v>
      </x:c>
      <x:c r="E16" s="22" t="str">
        <x:f>"19865589000119"</x:f>
        <x:v>19865589000119</x:v>
      </x:c>
      <x:c r="F16" s="22" t="str">
        <x:f>"126.339.617-89"</x:f>
        <x:v>126.339.617-89</x:v>
      </x:c>
      <x:c r="G16" s="22" t="str">
        <x:f>"12633961789"</x:f>
        <x:v>12633961789</x:v>
      </x:c>
      <x:c r="H16" s="23" t="str">
        <x:v>andrade093@gmail.com</x:v>
      </x:c>
      <x:c r="I16" s="22" t="str">
        <x:f>"21969553680"</x:f>
        <x:v>21969553680</x:v>
      </x:c>
      <x:c r="J16" s="23" t="str">
        <x:v>SPOT</x:v>
      </x:c>
      <x:c r="K16" s="23" t="str">
        <x:v>favored_only</x:v>
      </x:c>
      <x:c r="L16" s="24" t="b">
        <x:v>1</x:v>
      </x:c>
      <x:c r="M16" s="23" t="n">
        <x:v>1</x:v>
      </x:c>
      <x:c r="N16" s="28" t="n">
        <x:v>46205.606930532405</x:v>
      </x:c>
      <x:c r="O16" s="28" t="n">
        <x:v>46219.812988715275</x:v>
      </x:c>
      <x:c r="P16" s="23" t="str">
        <x:v>CORDOVIL</x:v>
      </x:c>
      <x:c r="Q16" s="30" t="n">
        <x:v>32324</x:v>
      </x:c>
      <x:c r="R16" s="22" t="str">
        <x:f>"215299181"</x:f>
        <x:v>215299181</x:v>
      </x:c>
      <x:c r="S16" s="23" t="str">
        <x:v>masculino</x:v>
      </x:c>
      <x:c r="T16" s="22" t="str">
        <x:f>"LMY9A58"</x:f>
        <x:v>LMY9A58</x:v>
      </x:c>
      <x:c r="U16" s="23" t="str">
        <x:v>BRUNO DE CASTRO ALVES</x:v>
      </x:c>
      <x:c r="V16" s="22" t="str">
        <x:f>"143.335.677-50"</x:f>
        <x:v>143.335.677-50</x:v>
      </x:c>
      <x:c r="W16" s="22" t="str">
        <x:f>"14333567750"</x:f>
        <x:v>14333567750</x:v>
      </x:c>
      <x:c r="X16" s="23" t="str">
        <x:v>brunocastro7321@gmail.com</x:v>
      </x:c>
      <x:c r="Y16" s="22" t="str">
        <x:f>"21969472954"</x:f>
        <x:v>21969472954</x:v>
      </x:c>
      <x:c r="Z16" s="30" t="n">
        <x:v>46324</x:v>
      </x:c>
    </x:row>
    <x:row r="17" ht="18" customHeight="1">
      <x:c r="A17" s="22" t="str">
        <x:f>"8d9b630d-a5ed-48b6-bbb2-472dbc3e970c"</x:f>
        <x:v>8d9b630d-a5ed-48b6-bbb2-472dbc3e970c</x:v>
      </x:c>
      <x:c r="B17" s="23" t="str">
        <x:v>ADALBERTO DE ANDRADE PACHECO DA SILVA</x:v>
      </x:c>
      <x:c r="C17" s="23" t="str">
        <x:v>adalberto de andrade pacheco da silva</x:v>
      </x:c>
      <x:c r="D17" s="22" t="str">
        <x:f>"46.048.985/0001-26"</x:f>
        <x:v>46.048.985/0001-26</x:v>
      </x:c>
      <x:c r="E17" s="22" t="str">
        <x:f>"46048985000126"</x:f>
        <x:v>46048985000126</x:v>
      </x:c>
      <x:c r="F17" s="22" t="str">
        <x:f>"126.339.617-89"</x:f>
        <x:v>126.339.617-89</x:v>
      </x:c>
      <x:c r="G17" s="22" t="str">
        <x:f>"12633961789"</x:f>
        <x:v>12633961789</x:v>
      </x:c>
      <x:c r="H17" s="23" t="str">
        <x:v>andrade093@gmail.com</x:v>
      </x:c>
      <x:c r="I17" s="22" t="str">
        <x:f>"21969553680"</x:f>
        <x:v>21969553680</x:v>
      </x:c>
      <x:c r="J17" s="23" t="str">
        <x:v>SPOT</x:v>
      </x:c>
      <x:c r="K17" s="23" t="str">
        <x:v>favored_only</x:v>
      </x:c>
      <x:c r="L17" s="24" t="b">
        <x:v>1</x:v>
      </x:c>
      <x:c r="M17" s="23" t="n">
        <x:v>1</x:v>
      </x:c>
      <x:c r="N17" s="28" t="n">
        <x:v>46203.92188238426</x:v>
      </x:c>
      <x:c r="O17" s="28" t="n">
        <x:v>46219.812988715275</x:v>
      </x:c>
      <x:c r="P17" s="23" t="str">
        <x:v>CORDOVIL</x:v>
      </x:c>
      <x:c r="Q17" s="30" t="n">
        <x:v>32324</x:v>
      </x:c>
      <x:c r="R17" s="22" t="str">
        <x:f>"215299181"</x:f>
        <x:v>215299181</x:v>
      </x:c>
      <x:c r="S17" s="23" t="str">
        <x:v>masculino</x:v>
      </x:c>
      <x:c r="T17" s="22" t="str">
        <x:f>"LMY9A58"</x:f>
        <x:v>LMY9A58</x:v>
      </x:c>
      <x:c r="U17" s="23" t="str">
        <x:v>ADALBERTO DE ANDRADE PACHECO DA SILVA</x:v>
      </x:c>
      <x:c r="V17" s="22" t="str">
        <x:f>"126.339.617-89"</x:f>
        <x:v>126.339.617-89</x:v>
      </x:c>
      <x:c r="W17" s="22" t="str">
        <x:f>"12633961789"</x:f>
        <x:v>12633961789</x:v>
      </x:c>
      <x:c r="X17" s="23" t="str">
        <x:v>andrade093@gmail.com</x:v>
      </x:c>
      <x:c r="Y17" s="22" t="str">
        <x:f>"21969553680"</x:f>
        <x:v>21969553680</x:v>
      </x:c>
      <x:c r="Z17" s="30" t="n">
        <x:v>46324</x:v>
      </x:c>
    </x:row>
    <x:row r="18" ht="18" customHeight="1">
      <x:c r="A18" s="22" t="str">
        <x:f>"ae4c88bc-3511-44f9-a4b6-f8391889cc74"</x:f>
        <x:v>ae4c88bc-3511-44f9-a4b6-f8391889cc74</x:v>
      </x:c>
      <x:c r="B18" s="23" t="str">
        <x:v>ADALBERTO DE ANDRADE PACHECO DA SILVA</x:v>
      </x:c>
      <x:c r="C18" s="23" t="str">
        <x:v>adalberto de andrade pacheco da silva</x:v>
      </x:c>
      <x:c r="D18" s="22" t="str">
        <x:f>"64.247.092/0001-91"</x:f>
        <x:v>64.247.092/0001-91</x:v>
      </x:c>
      <x:c r="E18" s="22" t="str">
        <x:f>"64247092000191"</x:f>
        <x:v>64247092000191</x:v>
      </x:c>
      <x:c r="F18" s="22" t="str">
        <x:f>"126.339.617-89"</x:f>
        <x:v>126.339.617-89</x:v>
      </x:c>
      <x:c r="G18" s="22" t="str">
        <x:f>"12633961789"</x:f>
        <x:v>12633961789</x:v>
      </x:c>
      <x:c r="H18" s="23" t="str">
        <x:v>andrade093@gmail.com</x:v>
      </x:c>
      <x:c r="I18" s="22" t="str">
        <x:f>"21969553680"</x:f>
        <x:v>21969553680</x:v>
      </x:c>
      <x:c r="J18" s="23" t="str">
        <x:v>SPOT</x:v>
      </x:c>
      <x:c r="K18" s="23" t="str">
        <x:v>favored_only</x:v>
      </x:c>
      <x:c r="L18" s="24" t="b">
        <x:v>1</x:v>
      </x:c>
      <x:c r="M18" s="23" t="n">
        <x:v>1</x:v>
      </x:c>
      <x:c r="N18" s="28" t="n">
        <x:v>46205.60700945602</x:v>
      </x:c>
      <x:c r="O18" s="28" t="n">
        <x:v>46219.812988715275</x:v>
      </x:c>
      <x:c r="P18" s="23" t="str">
        <x:v>CORDOVIL</x:v>
      </x:c>
      <x:c r="Q18" s="30" t="n">
        <x:v>32324</x:v>
      </x:c>
      <x:c r="R18" s="22" t="str">
        <x:f>"215299181"</x:f>
        <x:v>215299181</x:v>
      </x:c>
      <x:c r="S18" s="23" t="str">
        <x:v>masculino</x:v>
      </x:c>
      <x:c r="T18" s="22" t="str">
        <x:f>"LMY9A58"</x:f>
        <x:v>LMY9A58</x:v>
      </x:c>
      <x:c r="U18" s="23" t="str">
        <x:v>RENATA DE ANDRADE DA SILVA</x:v>
      </x:c>
      <x:c r="V18" s="22" t="str">
        <x:f>"922.816.057-87"</x:f>
        <x:v>922.816.057-87</x:v>
      </x:c>
      <x:c r="W18" s="22" t="str">
        <x:f>"92281605787"</x:f>
        <x:v>92281605787</x:v>
      </x:c>
      <x:c r="X18" s="23" t="str">
        <x:v>andrade093@gmail.com</x:v>
      </x:c>
      <x:c r="Y18" s="22" t="str">
        <x:f>"21969553680"</x:f>
        <x:v>21969553680</x:v>
      </x:c>
      <x:c r="Z18" s="30" t="n">
        <x:v>46324</x:v>
      </x:c>
    </x:row>
    <x:row r="19" ht="18" customHeight="1">
      <x:c r="A19" s="22" t="str">
        <x:f>"13cf3c71-65da-458a-b00a-8159a9375410"</x:f>
        <x:v>13cf3c71-65da-458a-b00a-8159a9375410</x:v>
      </x:c>
      <x:c r="B19" s="23" t="str">
        <x:v>ADAN DOUGLAS ARAUJO DE SOUZA</x:v>
      </x:c>
      <x:c r="C19" s="23" t="str">
        <x:v>adan douglas araujo de souza</x:v>
      </x:c>
      <x:c r="D19" s="22" t="str">
        <x:f>"62.542.735/0001-02"</x:f>
        <x:v>62.542.735/0001-02</x:v>
      </x:c>
      <x:c r="E19" s="22" t="str">
        <x:f>"62542735000102"</x:f>
        <x:v>62542735000102</x:v>
      </x:c>
      <x:c r="F19" s="22" t="str">
        <x:f>"388.349.748-75"</x:f>
        <x:v>388.349.748-75</x:v>
      </x:c>
      <x:c r="G19" s="22" t="str">
        <x:f>"38834974875"</x:f>
        <x:v>38834974875</x:v>
      </x:c>
      <x:c r="H19" s="23" t="str">
        <x:v>adouglasaraujodesouza@gmail.com</x:v>
      </x:c>
      <x:c r="I19" s="22" t="str">
        <x:f>"(14)999090962"</x:f>
        <x:v>(14)999090962</x:v>
      </x:c>
      <x:c r="J19" s="23" t="str">
        <x:v>RENTAL</x:v>
      </x:c>
      <x:c r="K19" s="23" t="str">
        <x:v>rental_company</x:v>
      </x:c>
      <x:c r="L19" s="24" t="b">
        <x:v>1</x:v>
      </x:c>
      <x:c r="M19" s="23" t="n">
        <x:v>1</x:v>
      </x:c>
      <x:c r="N19" s="28" t="n">
        <x:v>46203.9219084375</x:v>
      </x:c>
      <x:c r="O19" s="28" t="n">
        <x:v>46219.812988715275</x:v>
      </x:c>
      <x:c r="P19" s="23" t="str">
        <x:v>BAURU</x:v>
      </x:c>
      <x:c r="Q19" s="30" t="n">
        <x:v>33083</x:v>
      </x:c>
      <x:c r="R19" s="22" t="str">
        <x:f>"47176165-5"</x:f>
        <x:v>47176165-5</x:v>
      </x:c>
      <x:c r="S19" s="23" t="str">
        <x:v>masculino</x:v>
      </x:c>
      <x:c r="T19" s="22" t="str"/>
      <x:c r="U19" s="23" t="str">
        <x:v>ADAN DOUGLAS ARAUJO DE SOUZA</x:v>
      </x:c>
      <x:c r="V19" s="22" t="str">
        <x:f>"388.349.748-75"</x:f>
        <x:v>388.349.748-75</x:v>
      </x:c>
      <x:c r="W19" s="22" t="str">
        <x:f>"38834974875"</x:f>
        <x:v>38834974875</x:v>
      </x:c>
      <x:c r="X19" s="23" t="str">
        <x:v>adouglasaraujodesouza@gmail.com</x:v>
      </x:c>
      <x:c r="Y19" s="22" t="str">
        <x:f>"(14)999090962"</x:f>
        <x:v>(14)999090962</x:v>
      </x:c>
      <x:c r="Z19" s="30" t="n">
        <x:v>46399</x:v>
      </x:c>
    </x:row>
    <x:row r="20" ht="18" customHeight="1">
      <x:c r="A20" s="22" t="str">
        <x:f>"ac42e83f-161f-4c15-80ec-96e6f4027ab8"</x:f>
        <x:v>ac42e83f-161f-4c15-80ec-96e6f4027ab8</x:v>
      </x:c>
      <x:c r="B20" s="23" t="str">
        <x:v>ADAO NOEL DE ALMEIDA</x:v>
      </x:c>
      <x:c r="C20" s="23" t="str">
        <x:v>adao noel de almeida</x:v>
      </x:c>
      <x:c r="D20" s="22" t="str">
        <x:f>"65.008.768/0001-57"</x:f>
        <x:v>65.008.768/0001-57</x:v>
      </x:c>
      <x:c r="E20" s="22" t="str">
        <x:f>"65008768000157"</x:f>
        <x:v>65008768000157</x:v>
      </x:c>
      <x:c r="F20" s="22" t="str">
        <x:f>"503.445.011-91"</x:f>
        <x:v>503.445.011-91</x:v>
      </x:c>
      <x:c r="G20" s="22" t="str">
        <x:f>"50344501191"</x:f>
        <x:v>50344501191</x:v>
      </x:c>
      <x:c r="H20" s="23" t="str">
        <x:v>adaonoel4@gmail.com</x:v>
      </x:c>
      <x:c r="I20" s="22" t="str">
        <x:f>"65 9913-9972"</x:f>
        <x:v>65 9913-9972</x:v>
      </x:c>
      <x:c r="J20" s="23" t="str">
        <x:v>SPOT</x:v>
      </x:c>
      <x:c r="K20" s="23" t="str">
        <x:v>favored_only</x:v>
      </x:c>
      <x:c r="L20" s="24" t="b">
        <x:v>1</x:v>
      </x:c>
      <x:c r="M20" s="23" t="n">
        <x:v>1</x:v>
      </x:c>
      <x:c r="N20" s="28" t="n">
        <x:v>46219.812988715275</x:v>
      </x:c>
      <x:c r="O20" s="28" t="n">
        <x:v>46219.812988715275</x:v>
      </x:c>
      <x:c r="P20" s="23" t="str">
        <x:v>PONTES E LACERDA</x:v>
      </x:c>
      <x:c r="Q20" s="30" t="n">
        <x:v>25701</x:v>
      </x:c>
      <x:c r="R20" s="22" t="str">
        <x:f>"6944370"</x:f>
        <x:v>6944370</x:v>
      </x:c>
      <x:c r="S20" s="23" t="str">
        <x:v>masculino</x:v>
      </x:c>
      <x:c r="T20" s="22" t="str">
        <x:f>"hlu0614"</x:f>
        <x:v>hlu0614</x:v>
      </x:c>
      <x:c r="U20" s="23" t="str">
        <x:v>ADAO NOEL DE ALMEIDA</x:v>
      </x:c>
      <x:c r="V20" s="22" t="str">
        <x:f>"503.445.011-91"</x:f>
        <x:v>503.445.011-91</x:v>
      </x:c>
      <x:c r="W20" s="22" t="str">
        <x:f>"50344501191"</x:f>
        <x:v>50344501191</x:v>
      </x:c>
      <x:c r="X20" s="23" t="str">
        <x:v>adaonoel4@gmail.com</x:v>
      </x:c>
      <x:c r="Y20" s="22" t="str">
        <x:f>"65 9913-9972"</x:f>
        <x:v>65 9913-9972</x:v>
      </x:c>
      <x:c r="Z20" s="30" t="n">
        <x:v>46427</x:v>
      </x:c>
    </x:row>
    <x:row r="21" ht="18" customHeight="1">
      <x:c r="A21" s="22" t="str">
        <x:f>"a215f35a-1b22-4e4a-8227-3850811e5bea"</x:f>
        <x:v>a215f35a-1b22-4e4a-8227-3850811e5bea</x:v>
      </x:c>
      <x:c r="B21" s="23" t="str">
        <x:v>ADARILDO LEITE</x:v>
      </x:c>
      <x:c r="C21" s="23" t="str">
        <x:v>adarildo leite</x:v>
      </x:c>
      <x:c r="D21" s="22" t="str">
        <x:f>"53.264.533/0001-47"</x:f>
        <x:v>53.264.533/0001-47</x:v>
      </x:c>
      <x:c r="E21" s="22" t="str">
        <x:f>"53264533000147"</x:f>
        <x:v>53264533000147</x:v>
      </x:c>
      <x:c r="F21" s="22" t="str">
        <x:f>"697.150.251-53"</x:f>
        <x:v>697.150.251-53</x:v>
      </x:c>
      <x:c r="G21" s="22" t="str">
        <x:f>"69715025153"</x:f>
        <x:v>69715025153</x:v>
      </x:c>
      <x:c r="H21" s="23" t="str">
        <x:v>dariorochaleite@gmail.com</x:v>
      </x:c>
      <x:c r="I21" s="22" t="str">
        <x:f>"65 9221-6379"</x:f>
        <x:v>65 9221-6379</x:v>
      </x:c>
      <x:c r="J21" s="23" t="str">
        <x:v>SPOT</x:v>
      </x:c>
      <x:c r="K21" s="23" t="str">
        <x:v>favored_only</x:v>
      </x:c>
      <x:c r="L21" s="24" t="b">
        <x:v>1</x:v>
      </x:c>
      <x:c r="M21" s="23" t="n">
        <x:v>1</x:v>
      </x:c>
      <x:c r="N21" s="28" t="n">
        <x:v>46205.60532025463</x:v>
      </x:c>
      <x:c r="O21" s="28" t="n">
        <x:v>46219.812988715275</x:v>
      </x:c>
      <x:c r="P21" s="23" t="str">
        <x:v>CUIABA</x:v>
      </x:c>
      <x:c r="Q21" s="30" t="n">
        <x:v>29819</x:v>
      </x:c>
      <x:c r="R21" s="22" t="str">
        <x:f>"11474807"</x:f>
        <x:v>11474807</x:v>
      </x:c>
      <x:c r="S21" s="23" t="str">
        <x:v>masculino</x:v>
      </x:c>
      <x:c r="T21" s="22" t="str">
        <x:f>"SPT4B81"</x:f>
        <x:v>SPT4B81</x:v>
      </x:c>
      <x:c r="U21" s="23" t="str">
        <x:v>LEONIDAS DE PINHO E SILVA</x:v>
      </x:c>
      <x:c r="V21" s="22" t="str">
        <x:f>"692.451.851-68"</x:f>
        <x:v>692.451.851-68</x:v>
      </x:c>
      <x:c r="W21" s="22" t="str">
        <x:f>"69245185168"</x:f>
        <x:v>69245185168</x:v>
      </x:c>
      <x:c r="X21" s="23" t="str">
        <x:v>veloxlogisticamt@gmail.com</x:v>
      </x:c>
      <x:c r="Y21" s="22" t="str">
        <x:f>"(65) 99632-1030"</x:f>
        <x:v>(65) 99632-1030</x:v>
      </x:c>
      <x:c r="Z21" s="30" t="n">
        <x:v>46318</x:v>
      </x:c>
    </x:row>
    <x:row r="22" ht="18" customHeight="1">
      <x:c r="A22" s="22" t="str">
        <x:f>"cea73007-ca02-459d-a77e-e9c259662506"</x:f>
        <x:v>cea73007-ca02-459d-a77e-e9c259662506</x:v>
      </x:c>
      <x:c r="B22" s="23" t="str">
        <x:v>ADEGILSON MARCELO DOS ANJOS</x:v>
      </x:c>
      <x:c r="C22" s="23" t="str">
        <x:v>adegilson marcelo dos anjos</x:v>
      </x:c>
      <x:c r="D22" s="22" t="str">
        <x:f>"64.146.748/0001-80"</x:f>
        <x:v>64.146.748/0001-80</x:v>
      </x:c>
      <x:c r="E22" s="22" t="str">
        <x:f>"64146748000180"</x:f>
        <x:v>64146748000180</x:v>
      </x:c>
      <x:c r="F22" s="22" t="str">
        <x:f>"008.093.206-14"</x:f>
        <x:v>008.093.206-14</x:v>
      </x:c>
      <x:c r="G22" s="22" t="str">
        <x:f>"00809320614"</x:f>
        <x:v>00809320614</x:v>
      </x:c>
      <x:c r="H22" s="23" t="str">
        <x:v>amda9120@yahoo.com.br</x:v>
      </x:c>
      <x:c r="I22" s="22" t="str">
        <x:f>"(31)99223-1334"</x:f>
        <x:v>(31)99223-1334</x:v>
      </x:c>
      <x:c r="J22" s="23" t="str">
        <x:v>SPOT</x:v>
      </x:c>
      <x:c r="K22" s="23" t="str">
        <x:v>favored_only</x:v>
      </x:c>
      <x:c r="L22" s="24" t="b">
        <x:v>1</x:v>
      </x:c>
      <x:c r="M22" s="23" t="n">
        <x:v>1</x:v>
      </x:c>
      <x:c r="N22" s="28" t="n">
        <x:v>46219.812988715275</x:v>
      </x:c>
      <x:c r="O22" s="28" t="n">
        <x:v>46219.812988715275</x:v>
      </x:c>
      <x:c r="P22" s="23" t="str">
        <x:v>NOVA LIMA</x:v>
      </x:c>
      <x:c r="Q22" s="30" t="n">
        <x:v>27653</x:v>
      </x:c>
      <x:c r="R22" s="22" t="str">
        <x:f>"7134309"</x:f>
        <x:v>7134309</x:v>
      </x:c>
      <x:c r="S22" s="23" t="str">
        <x:v>masculino</x:v>
      </x:c>
      <x:c r="T22" s="22" t="str">
        <x:f>"PVP0B01"</x:f>
        <x:v>PVP0B01</x:v>
      </x:c>
      <x:c r="U22" s="23" t="str">
        <x:v>ADEGILSON MARCELO DOS ANJOS</x:v>
      </x:c>
      <x:c r="V22" s="22" t="str">
        <x:f>"008.093.206-14"</x:f>
        <x:v>008.093.206-14</x:v>
      </x:c>
      <x:c r="W22" s="22" t="str">
        <x:f>"00809320614"</x:f>
        <x:v>00809320614</x:v>
      </x:c>
      <x:c r="X22" s="23" t="str">
        <x:v>amda9120@yahoo.com.br</x:v>
      </x:c>
      <x:c r="Y22" s="22" t="str">
        <x:f>"(31)99223-1334"</x:f>
        <x:v>(31)99223-1334</x:v>
      </x:c>
      <x:c r="Z22" s="30" t="n">
        <x:v>46415</x:v>
      </x:c>
    </x:row>
    <x:row r="23" ht="18" customHeight="1">
      <x:c r="A23" s="22" t="str">
        <x:f>"f05d45c2-664c-48b0-9686-925129ef4932"</x:f>
        <x:v>f05d45c2-664c-48b0-9686-925129ef4932</x:v>
      </x:c>
      <x:c r="B23" s="23" t="str">
        <x:v>ADEGILSON MOREIRA RIOS</x:v>
      </x:c>
      <x:c r="C23" s="23" t="str">
        <x:v>adegilson moreira rios</x:v>
      </x:c>
      <x:c r="D23" s="22" t="str">
        <x:f>"63.588.797/0001-00"</x:f>
        <x:v>63.588.797/0001-00</x:v>
      </x:c>
      <x:c r="E23" s="22" t="str">
        <x:f>"63588797000100"</x:f>
        <x:v>63588797000100</x:v>
      </x:c>
      <x:c r="F23" s="22" t="str">
        <x:f>"344.418.831-53"</x:f>
        <x:v>344.418.831-53</x:v>
      </x:c>
      <x:c r="G23" s="22" t="str">
        <x:f>"34441883153"</x:f>
        <x:v>34441883153</x:v>
      </x:c>
      <x:c r="H23" s="23" t="str">
        <x:v>Adegilsonjunior@hotmail.com</x:v>
      </x:c>
      <x:c r="I23" s="22" t="str">
        <x:f>"+55 65 9973-9615"</x:f>
        <x:v>+55 65 9973-9615</x:v>
      </x:c>
      <x:c r="J23" s="23" t="str">
        <x:v>SPOT</x:v>
      </x:c>
      <x:c r="K23" s="23" t="str">
        <x:v>favored_only</x:v>
      </x:c>
      <x:c r="L23" s="24" t="b">
        <x:v>1</x:v>
      </x:c>
      <x:c r="M23" s="23" t="n">
        <x:v>1</x:v>
      </x:c>
      <x:c r="N23" s="28" t="n">
        <x:v>46203.92189349537</x:v>
      </x:c>
      <x:c r="O23" s="28" t="n">
        <x:v>46219.812988715275</x:v>
      </x:c>
      <x:c r="P23" s="23" t="str">
        <x:v>ARAPUTANGA</x:v>
      </x:c>
      <x:c r="Q23" s="30" t="n">
        <x:v>23666</x:v>
      </x:c>
      <x:c r="R23" s="22" t="str">
        <x:f>"387546 SSP MT"</x:f>
        <x:v>387546 SSP MT</x:v>
      </x:c>
      <x:c r="S23" s="23" t="str">
        <x:v>masculino</x:v>
      </x:c>
      <x:c r="T23" s="22" t="str">
        <x:f>"SPF8I33"</x:f>
        <x:v>SPF8I33</x:v>
      </x:c>
      <x:c r="U23" s="23" t="str">
        <x:v>ADEGILSON MOREIRA RIOS JUNIOR</x:v>
      </x:c>
      <x:c r="V23" s="22" t="str">
        <x:f>"058.389.761-44"</x:f>
        <x:v>058.389.761-44</x:v>
      </x:c>
      <x:c r="W23" s="22" t="str">
        <x:f>"05838976144"</x:f>
        <x:v>05838976144</x:v>
      </x:c>
      <x:c r="X23" s="23" t="str">
        <x:v>Adegilsonjunior@hotmail.com</x:v>
      </x:c>
      <x:c r="Y23" s="22" t="str">
        <x:f>"+55 65 9973-9615"</x:f>
        <x:v>+55 65 9973-9615</x:v>
      </x:c>
      <x:c r="Z23" s="30" t="n">
        <x:v>46344</x:v>
      </x:c>
    </x:row>
    <x:row r="24" ht="18" customHeight="1">
      <x:c r="A24" s="22" t="str">
        <x:f>"d97b4888-dafd-4223-a4ce-0555d2ee1ce9"</x:f>
        <x:v>d97b4888-dafd-4223-a4ce-0555d2ee1ce9</x:v>
      </x:c>
      <x:c r="B24" s="23" t="str">
        <x:v>ADEGILSON MOREIRA RIOS JUNIOR</x:v>
      </x:c>
      <x:c r="C24" s="23" t="str">
        <x:v>adegilson moreira rios junior</x:v>
      </x:c>
      <x:c r="D24" s="22" t="str">
        <x:f>"63588797/0001-00"</x:f>
        <x:v>63588797/0001-00</x:v>
      </x:c>
      <x:c r="E24" s="22" t="str">
        <x:f>"63588797000100"</x:f>
        <x:v>63588797000100</x:v>
      </x:c>
      <x:c r="F24" s="22" t="str">
        <x:f>"05838976144"</x:f>
        <x:v>05838976144</x:v>
      </x:c>
      <x:c r="G24" s="22" t="str">
        <x:f>"05838976144"</x:f>
        <x:v>05838976144</x:v>
      </x:c>
      <x:c r="H24" s="23" t="str">
        <x:v>Adegilsonjunior@hotmail.com</x:v>
      </x:c>
      <x:c r="I24" s="22" t="str">
        <x:f>"+55 65 9973-9615"</x:f>
        <x:v>+55 65 9973-9615</x:v>
      </x:c>
      <x:c r="J24" s="23" t="str">
        <x:v>SPOT</x:v>
      </x:c>
      <x:c r="K24" s="23" t="str">
        <x:v>favored_only</x:v>
      </x:c>
      <x:c r="L24" s="24" t="b">
        <x:v>1</x:v>
      </x:c>
      <x:c r="M24" s="23" t="n">
        <x:v>4</x:v>
      </x:c>
      <x:c r="N24" s="28" t="n">
        <x:v>46203.92189349537</x:v>
      </x:c>
      <x:c r="O24" s="28" t="n">
        <x:v>46220.50396666666</x:v>
      </x:c>
      <x:c r="P24" s="23" t="str">
        <x:v>ARAPUTANGA</x:v>
      </x:c>
      <x:c r="Q24" s="30" t="str"/>
      <x:c r="R24" s="22" t="str"/>
      <x:c r="S24" s="23" t="str"/>
      <x:c r="T24" s="22" t="str"/>
      <x:c r="U24" s="23" t="str">
        <x:v>ADEGILSON MOREIRA RIOS JUNIOR</x:v>
      </x:c>
      <x:c r="V24" s="22" t="str">
        <x:f>"058.389.761-44"</x:f>
        <x:v>058.389.761-44</x:v>
      </x:c>
      <x:c r="W24" s="22" t="str">
        <x:f>"05838976144"</x:f>
        <x:v>05838976144</x:v>
      </x:c>
      <x:c r="X24" s="23" t="str">
        <x:v>adegilsonjunior.aj@gmail.com</x:v>
      </x:c>
      <x:c r="Y24" s="22" t="str">
        <x:f>"+55 65 9973-9615"</x:f>
        <x:v>+55 65 9973-9615</x:v>
      </x:c>
      <x:c r="Z24" s="30" t="str"/>
    </x:row>
    <x:row r="25" ht="18" customHeight="1">
      <x:c r="A25" s="22" t="str">
        <x:f>"57112ec5-6aec-4b37-b527-6094d2447703"</x:f>
        <x:v>57112ec5-6aec-4b37-b527-6094d2447703</x:v>
      </x:c>
      <x:c r="B25" s="23" t="str">
        <x:v>ADEILSON TAVARES SILVA</x:v>
      </x:c>
      <x:c r="C25" s="23" t="str">
        <x:v>adeilson tavares silva</x:v>
      </x:c>
      <x:c r="D25" s="22" t="str">
        <x:f>"65.033.175/0001-40"</x:f>
        <x:v>65.033.175/0001-40</x:v>
      </x:c>
      <x:c r="E25" s="22" t="str">
        <x:f>"65033175000140"</x:f>
        <x:v>65033175000140</x:v>
      </x:c>
      <x:c r="F25" s="22" t="str">
        <x:f>"065.795.864-60"</x:f>
        <x:v>065.795.864-60</x:v>
      </x:c>
      <x:c r="G25" s="22" t="str">
        <x:f>"06579586460"</x:f>
        <x:v>06579586460</x:v>
      </x:c>
      <x:c r="H25" s="23" t="str">
        <x:v>adeilsontavarez2003@gmail.com</x:v>
      </x:c>
      <x:c r="I25" s="22" t="str">
        <x:f>"11915277120"</x:f>
        <x:v>11915277120</x:v>
      </x:c>
      <x:c r="J25" s="23" t="str">
        <x:v>RENTAL</x:v>
      </x:c>
      <x:c r="K25" s="23" t="str">
        <x:v>rental_company</x:v>
      </x:c>
      <x:c r="L25" s="24" t="b">
        <x:v>1</x:v>
      </x:c>
      <x:c r="M25" s="23" t="n">
        <x:v>1</x:v>
      </x:c>
      <x:c r="N25" s="28" t="n">
        <x:v>46219.812988715275</x:v>
      </x:c>
      <x:c r="O25" s="28" t="n">
        <x:v>46219.812988715275</x:v>
      </x:c>
      <x:c r="P25" s="23" t="str">
        <x:v>MADEIRA MADEIRA</x:v>
      </x:c>
      <x:c r="Q25" s="30" t="n">
        <x:v>37749</x:v>
      </x:c>
      <x:c r="R25" s="22" t="str">
        <x:f>"595448859"</x:f>
        <x:v>595448859</x:v>
      </x:c>
      <x:c r="S25" s="23" t="str">
        <x:v>masculino</x:v>
      </x:c>
      <x:c r="T25" s="22" t="str"/>
      <x:c r="U25" s="23" t="str">
        <x:v>ADEILSON TAVARES SILVA</x:v>
      </x:c>
      <x:c r="V25" s="22" t="str">
        <x:f>"065.795.864-60"</x:f>
        <x:v>065.795.864-60</x:v>
      </x:c>
      <x:c r="W25" s="22" t="str">
        <x:f>"06579586460"</x:f>
        <x:v>06579586460</x:v>
      </x:c>
      <x:c r="X25" s="23" t="str">
        <x:v>adeilsontavarez2003@gmail.com</x:v>
      </x:c>
      <x:c r="Y25" s="22" t="str">
        <x:f>"11915277120"</x:f>
        <x:v>11915277120</x:v>
      </x:c>
      <x:c r="Z25" s="30" t="n">
        <x:v>46428</x:v>
      </x:c>
    </x:row>
    <x:row r="26" ht="18" customHeight="1">
      <x:c r="A26" s="22" t="str">
        <x:f>"7db67182-a31b-4168-b514-f556ef77f825"</x:f>
        <x:v>7db67182-a31b-4168-b514-f556ef77f825</x:v>
      </x:c>
      <x:c r="B26" s="23" t="str">
        <x:v>ADEILSON TAVARES SILVA</x:v>
      </x:c>
      <x:c r="C26" s="23" t="str">
        <x:v>adeilson tavares silva</x:v>
      </x:c>
      <x:c r="D26" s="22" t="str">
        <x:f>"66.091.593/0001-57"</x:f>
        <x:v>66.091.593/0001-57</x:v>
      </x:c>
      <x:c r="E26" s="22" t="str">
        <x:f>"66091593000157"</x:f>
        <x:v>66091593000157</x:v>
      </x:c>
      <x:c r="F26" s="22" t="str">
        <x:f>"067.795.864-60"</x:f>
        <x:v>067.795.864-60</x:v>
      </x:c>
      <x:c r="G26" s="22" t="str">
        <x:f>"06779586460"</x:f>
        <x:v>06779586460</x:v>
      </x:c>
      <x:c r="H26" s="23" t="str">
        <x:v>adeilsontavarez2003@gmail.com</x:v>
      </x:c>
      <x:c r="I26" s="22" t="str">
        <x:f>"11913674783"</x:f>
        <x:v>11913674783</x:v>
      </x:c>
      <x:c r="J26" s="23" t="str">
        <x:v>RENTALS</x:v>
      </x:c>
      <x:c r="K26" s="23" t="str">
        <x:v>rental_company</x:v>
      </x:c>
      <x:c r="L26" s="24" t="b">
        <x:v>1</x:v>
      </x:c>
      <x:c r="M26" s="23" t="n">
        <x:v>1</x:v>
      </x:c>
      <x:c r="N26" s="28" t="n">
        <x:v>46219.812988715275</x:v>
      </x:c>
      <x:c r="O26" s="28" t="n">
        <x:v>46219.812988715275</x:v>
      </x:c>
      <x:c r="P26" s="23" t="str">
        <x:v>MADEIRA MADEIRA</x:v>
      </x:c>
      <x:c r="Q26" s="30" t="n">
        <x:v>37749</x:v>
      </x:c>
      <x:c r="R26" s="22" t="str">
        <x:f>"595448859"</x:f>
        <x:v>595448859</x:v>
      </x:c>
      <x:c r="S26" s="23" t="str">
        <x:v>masculino</x:v>
      </x:c>
      <x:c r="T26" s="22" t="str"/>
      <x:c r="U26" s="23" t="str">
        <x:v>ADEILSON TAVARES SILVA</x:v>
      </x:c>
      <x:c r="V26" s="22" t="str">
        <x:f>"067.795.864-60"</x:f>
        <x:v>067.795.864-60</x:v>
      </x:c>
      <x:c r="W26" s="22" t="str">
        <x:f>"06779586460"</x:f>
        <x:v>06779586460</x:v>
      </x:c>
      <x:c r="X26" s="23" t="str">
        <x:v>adeilsontavarez2003@gmail.com</x:v>
      </x:c>
      <x:c r="Y26" s="22" t="str">
        <x:f>"11913674783"</x:f>
        <x:v>11913674783</x:v>
      </x:c>
      <x:c r="Z26" s="30" t="n">
        <x:v>46487</x:v>
      </x:c>
    </x:row>
    <x:row r="27" ht="18" customHeight="1">
      <x:c r="A27" s="22" t="str">
        <x:f>"4934bb0f-5ad1-45c0-8b58-b7999841c535"</x:f>
        <x:v>4934bb0f-5ad1-45c0-8b58-b7999841c535</x:v>
      </x:c>
      <x:c r="B27" s="23" t="str">
        <x:v>ADEMAR TOMICH JUNIOR</x:v>
      </x:c>
      <x:c r="C27" s="23" t="str">
        <x:v>ademar tomich junior</x:v>
      </x:c>
      <x:c r="D27" s="22" t="str">
        <x:f>"64.032.579/0001-57"</x:f>
        <x:v>64.032.579/0001-57</x:v>
      </x:c>
      <x:c r="E27" s="22" t="str">
        <x:f>"64032579000157"</x:f>
        <x:v>64032579000157</x:v>
      </x:c>
      <x:c r="F27" s="22" t="str">
        <x:f>"001.729.616-10"</x:f>
        <x:v>001.729.616-10</x:v>
      </x:c>
      <x:c r="G27" s="22" t="str">
        <x:f>"00172961610"</x:f>
        <x:v>00172961610</x:v>
      </x:c>
      <x:c r="H27" s="23" t="str">
        <x:v>jrtomich1@gmail.com</x:v>
      </x:c>
      <x:c r="I27" s="22" t="str">
        <x:f>"(33) 98801-5076"</x:f>
        <x:v>(33) 98801-5076</x:v>
      </x:c>
      <x:c r="J27" s="23" t="str">
        <x:v>SPOT</x:v>
      </x:c>
      <x:c r="K27" s="23" t="str">
        <x:v>favored_only</x:v>
      </x:c>
      <x:c r="L27" s="24" t="b">
        <x:v>1</x:v>
      </x:c>
      <x:c r="M27" s="23" t="n">
        <x:v>1</x:v>
      </x:c>
      <x:c r="N27" s="28" t="n">
        <x:v>46219.812988715275</x:v>
      </x:c>
      <x:c r="O27" s="28" t="n">
        <x:v>46219.812988715275</x:v>
      </x:c>
      <x:c r="P27" s="23" t="str">
        <x:v>TEOFILO OTONI</x:v>
      </x:c>
      <x:c r="Q27" s="30" t="n">
        <x:v>26963</x:v>
      </x:c>
      <x:c r="R27" s="22" t="str">
        <x:f>"5624312"</x:f>
        <x:v>5624312</x:v>
      </x:c>
      <x:c r="S27" s="23" t="str">
        <x:v>masculino</x:v>
      </x:c>
      <x:c r="T27" s="22" t="str">
        <x:f>"QOA6579"</x:f>
        <x:v>QOA6579</x:v>
      </x:c>
      <x:c r="U27" s="23" t="str">
        <x:v>PAMILA KLEMA LOPES DE OLIVEIRA</x:v>
      </x:c>
      <x:c r="V27" s="22" t="str">
        <x:f>"083.860.546-03"</x:f>
        <x:v>083.860.546-03</x:v>
      </x:c>
      <x:c r="W27" s="22" t="str">
        <x:f>"08386054603"</x:f>
        <x:v>08386054603</x:v>
      </x:c>
      <x:c r="X27" s="23" t="str">
        <x:v>jrtomich1@gmail.com</x:v>
      </x:c>
      <x:c r="Y27" s="22" t="str">
        <x:f>"(33) 98801-5076"</x:f>
        <x:v>(33) 98801-5076</x:v>
      </x:c>
      <x:c r="Z27" s="30" t="n">
        <x:v>46429</x:v>
      </x:c>
    </x:row>
    <x:row r="28" ht="18" customHeight="1">
      <x:c r="A28" s="22" t="str">
        <x:f>"c421b563-5cac-442b-aeac-99227b23403f"</x:f>
        <x:v>c421b563-5cac-442b-aeac-99227b23403f</x:v>
      </x:c>
      <x:c r="B28" s="23" t="str">
        <x:v>ADEMIR GONZALEES</x:v>
      </x:c>
      <x:c r="C28" s="23" t="str">
        <x:v>ademir gonzalees</x:v>
      </x:c>
      <x:c r="D28" s="22" t="str">
        <x:f>"55.783.923/0001-59"</x:f>
        <x:v>55.783.923/0001-59</x:v>
      </x:c>
      <x:c r="E28" s="22" t="str">
        <x:f>"55783923000159"</x:f>
        <x:v>55783923000159</x:v>
      </x:c>
      <x:c r="F28" s="22" t="str">
        <x:f>"705.828.408-30"</x:f>
        <x:v>705.828.408-30</x:v>
      </x:c>
      <x:c r="G28" s="22" t="str">
        <x:f>"70582840830"</x:f>
        <x:v>70582840830</x:v>
      </x:c>
      <x:c r="H28" s="23" t="str">
        <x:v>estefaniamercadolivre@gmail.com</x:v>
      </x:c>
      <x:c r="I28" s="22" t="str">
        <x:f>"65996360530"</x:f>
        <x:v>65996360530</x:v>
      </x:c>
      <x:c r="J28" s="23" t="str">
        <x:v>SPOT</x:v>
      </x:c>
      <x:c r="K28" s="23" t="str">
        <x:v>favored_only</x:v>
      </x:c>
      <x:c r="L28" s="24" t="b">
        <x:v>1</x:v>
      </x:c>
      <x:c r="M28" s="23" t="n">
        <x:v>1</x:v>
      </x:c>
      <x:c r="N28" s="28" t="n">
        <x:v>46205.606501041664</x:v>
      </x:c>
      <x:c r="O28" s="28" t="n">
        <x:v>46219.812988715275</x:v>
      </x:c>
      <x:c r="P28" s="23" t="str">
        <x:v>CÁCERES</x:v>
      </x:c>
      <x:c r="Q28" s="30" t="n">
        <x:v>19631</x:v>
      </x:c>
      <x:c r="R28" s="22" t="str">
        <x:f>"6454769"</x:f>
        <x:v>6454769</x:v>
      </x:c>
      <x:c r="S28" s="23" t="str">
        <x:v>masculino</x:v>
      </x:c>
      <x:c r="T28" s="22" t="str">
        <x:f>"AXR7H38"</x:f>
        <x:v>AXR7H38</x:v>
      </x:c>
      <x:c r="U28" s="23" t="str">
        <x:v>CAIQUE HENRIQUE DA CRUZ</x:v>
      </x:c>
      <x:c r="V28" s="22" t="str">
        <x:f>"058.062.901-58"</x:f>
        <x:v>058.062.901-58</x:v>
      </x:c>
      <x:c r="W28" s="22" t="str">
        <x:f>"05806290158"</x:f>
        <x:v>05806290158</x:v>
      </x:c>
      <x:c r="X28" s="23" t="str">
        <x:v>caiquehenrique112@gmail.com</x:v>
      </x:c>
      <x:c r="Y28" s="22" t="str">
        <x:f>"65981695365"</x:f>
        <x:v>65981695365</x:v>
      </x:c>
      <x:c r="Z28" s="30" t="n">
        <x:v>46361</x:v>
      </x:c>
    </x:row>
    <x:row r="29" ht="18" customHeight="1">
      <x:c r="A29" s="22" t="str">
        <x:f>"154106f0-92d8-413e-ade0-555fbd125875"</x:f>
        <x:v>154106f0-92d8-413e-ade0-555fbd125875</x:v>
      </x:c>
      <x:c r="B29" s="23" t="str">
        <x:v>ADEMIR LUCIO LEANDRO</x:v>
      </x:c>
      <x:c r="C29" s="23" t="str">
        <x:v>ademir lucio leandro</x:v>
      </x:c>
      <x:c r="D29" s="22" t="str">
        <x:f>"62.182.742/0001-32"</x:f>
        <x:v>62.182.742/0001-32</x:v>
      </x:c>
      <x:c r="E29" s="22" t="str">
        <x:f>"62182742000132"</x:f>
        <x:v>62182742000132</x:v>
      </x:c>
      <x:c r="F29" s="22" t="str">
        <x:f>"131.207.618-69"</x:f>
        <x:v>131.207.618-69</x:v>
      </x:c>
      <x:c r="G29" s="22" t="str">
        <x:f>"13120761869"</x:f>
        <x:v>13120761869</x:v>
      </x:c>
      <x:c r="H29" s="23" t="str">
        <x:v>vilamariafc@gmail.com</x:v>
      </x:c>
      <x:c r="I29" s="22" t="str">
        <x:f>"17988354174"</x:f>
        <x:v>17988354174</x:v>
      </x:c>
      <x:c r="J29" s="23" t="str">
        <x:v>SPOT</x:v>
      </x:c>
      <x:c r="K29" s="23" t="str">
        <x:v>favored_only</x:v>
      </x:c>
      <x:c r="L29" s="24" t="b">
        <x:v>1</x:v>
      </x:c>
      <x:c r="M29" s="23" t="n">
        <x:v>1</x:v>
      </x:c>
      <x:c r="N29" s="28" t="n">
        <x:v>46203.92186888889</x:v>
      </x:c>
      <x:c r="O29" s="28" t="n">
        <x:v>46219.812988715275</x:v>
      </x:c>
      <x:c r="P29" s="23" t="str">
        <x:v>SÃO JOSE DO RIO PRETO</x:v>
      </x:c>
      <x:c r="Q29" s="30" t="n">
        <x:v>27036</x:v>
      </x:c>
      <x:c r="R29" s="22" t="str">
        <x:f>"23478543"</x:f>
        <x:v>23478543</x:v>
      </x:c>
      <x:c r="S29" s="23" t="str">
        <x:v>masculino</x:v>
      </x:c>
      <x:c r="T29" s="22" t="str">
        <x:f>"FSJ2G20"</x:f>
        <x:v>FSJ2G20</x:v>
      </x:c>
      <x:c r="U29" s="23" t="str">
        <x:v>ADEMIR LUCIO LEANDRO</x:v>
      </x:c>
      <x:c r="V29" s="22" t="str">
        <x:f>"131.207.618-69"</x:f>
        <x:v>131.207.618-69</x:v>
      </x:c>
      <x:c r="W29" s="22" t="str">
        <x:f>"13120761869"</x:f>
        <x:v>13120761869</x:v>
      </x:c>
      <x:c r="X29" s="23" t="str">
        <x:v>vilamariafc@gmail.com</x:v>
      </x:c>
      <x:c r="Y29" s="22" t="str">
        <x:f>"17988354174"</x:f>
        <x:v>17988354174</x:v>
      </x:c>
      <x:c r="Z29" s="30" t="n">
        <x:v>46301</x:v>
      </x:c>
    </x:row>
    <x:row r="30" ht="18" customHeight="1">
      <x:c r="A30" s="22" t="str">
        <x:f>"fa349b0d-fd60-49e4-9357-0d54937b96c1"</x:f>
        <x:v>fa349b0d-fd60-49e4-9357-0d54937b96c1</x:v>
      </x:c>
      <x:c r="B30" s="23" t="str">
        <x:v>ADENILSON DE ALMEIDA PEREIRA</x:v>
      </x:c>
      <x:c r="C30" s="23" t="str">
        <x:v>adenilson de almeida pereira</x:v>
      </x:c>
      <x:c r="D30" s="22" t="str">
        <x:f>"64.400.324/0001-08"</x:f>
        <x:v>64.400.324/0001-08</x:v>
      </x:c>
      <x:c r="E30" s="22" t="str">
        <x:f>"64400324000108"</x:f>
        <x:v>64400324000108</x:v>
      </x:c>
      <x:c r="F30" s="22" t="str">
        <x:f>"071.724.456-35"</x:f>
        <x:v>071.724.456-35</x:v>
      </x:c>
      <x:c r="G30" s="22" t="str">
        <x:f>"07172445635"</x:f>
        <x:v>07172445635</x:v>
      </x:c>
      <x:c r="H30" s="23" t="str">
        <x:v>ade.almeida85@gmail.com</x:v>
      </x:c>
      <x:c r="I30" s="22" t="str">
        <x:f>"(31) 99213-8169"</x:f>
        <x:v>(31) 99213-8169</x:v>
      </x:c>
      <x:c r="J30" s="23" t="str">
        <x:v>RENTAL</x:v>
      </x:c>
      <x:c r="K30" s="23" t="str">
        <x:v>rental_company</x:v>
      </x:c>
      <x:c r="L30" s="24" t="b">
        <x:v>1</x:v>
      </x:c>
      <x:c r="M30" s="23" t="n">
        <x:v>1</x:v>
      </x:c>
      <x:c r="N30" s="28" t="n">
        <x:v>46203.92191240741</x:v>
      </x:c>
      <x:c r="O30" s="28" t="n">
        <x:v>46219.812988715275</x:v>
      </x:c>
      <x:c r="P30" s="23" t="str">
        <x:v>NOVA LIMA</x:v>
      </x:c>
      <x:c r="Q30" s="30" t="n">
        <x:v>31073</x:v>
      </x:c>
      <x:c r="R30" s="22" t="str">
        <x:f>"12060146"</x:f>
        <x:v>12060146</x:v>
      </x:c>
      <x:c r="S30" s="23" t="str">
        <x:v>masculino</x:v>
      </x:c>
      <x:c r="T30" s="22" t="str"/>
      <x:c r="U30" s="23" t="str">
        <x:v>ADENILSON DE ALMEIDA PEREIRA</x:v>
      </x:c>
      <x:c r="V30" s="22" t="str">
        <x:f>"071.724.456-35"</x:f>
        <x:v>071.724.456-35</x:v>
      </x:c>
      <x:c r="W30" s="22" t="str">
        <x:f>"07172445635"</x:f>
        <x:v>07172445635</x:v>
      </x:c>
      <x:c r="X30" s="23" t="str">
        <x:v>ade.almeida85@gmail.com</x:v>
      </x:c>
      <x:c r="Y30" s="22" t="str">
        <x:f>"(31) 99213-8169"</x:f>
        <x:v>(31) 99213-8169</x:v>
      </x:c>
      <x:c r="Z30" s="30" t="n">
        <x:v>46402</x:v>
      </x:c>
    </x:row>
    <x:row r="31" ht="18" customHeight="1">
      <x:c r="A31" s="22" t="str">
        <x:f>"3a4c1fc6-66d2-41ce-bccb-94ae13868a29"</x:f>
        <x:v>3a4c1fc6-66d2-41ce-bccb-94ae13868a29</x:v>
      </x:c>
      <x:c r="B31" s="23" t="str">
        <x:v>ADEVAIR DOS SANTOS SILVA</x:v>
      </x:c>
      <x:c r="C31" s="23" t="str">
        <x:v>adevair dos santos silva</x:v>
      </x:c>
      <x:c r="D31" s="22" t="str">
        <x:f>"62.951.097/0001-75"</x:f>
        <x:v>62.951.097/0001-75</x:v>
      </x:c>
      <x:c r="E31" s="22" t="str">
        <x:f>"62951097000175"</x:f>
        <x:v>62951097000175</x:v>
      </x:c>
      <x:c r="F31" s="22" t="str">
        <x:f>"955.315.641-04"</x:f>
        <x:v>955.315.641-04</x:v>
      </x:c>
      <x:c r="G31" s="22" t="str">
        <x:f>"95531564104"</x:f>
        <x:v>95531564104</x:v>
      </x:c>
      <x:c r="H31" s="23" t="str">
        <x:v>dusantos4m@hotmail.com</x:v>
      </x:c>
      <x:c r="I31" s="22" t="str">
        <x:f>"+55 65 9939-9301"</x:f>
        <x:v>+55 65 9939-9301</x:v>
      </x:c>
      <x:c r="J31" s="23" t="str">
        <x:v>SPOT</x:v>
      </x:c>
      <x:c r="K31" s="23" t="str">
        <x:v>favored_only</x:v>
      </x:c>
      <x:c r="L31" s="24" t="b">
        <x:v>1</x:v>
      </x:c>
      <x:c r="M31" s="23" t="n">
        <x:v>1</x:v>
      </x:c>
      <x:c r="N31" s="28" t="n">
        <x:v>46203.92188238426</x:v>
      </x:c>
      <x:c r="O31" s="28" t="n">
        <x:v>46219.812988715275</x:v>
      </x:c>
      <x:c r="P31" s="23" t="str">
        <x:v>ARAPUTANGA</x:v>
      </x:c>
      <x:c r="Q31" s="30" t="n">
        <x:v>30711</x:v>
      </x:c>
      <x:c r="R31" s="22" t="str">
        <x:f>"14393409 SESP MT"</x:f>
        <x:v>14393409 SESP MT</x:v>
      </x:c>
      <x:c r="S31" s="23" t="str">
        <x:v>masculino</x:v>
      </x:c>
      <x:c r="T31" s="22" t="str">
        <x:f>"OAQ8C59"</x:f>
        <x:v>OAQ8C59</x:v>
      </x:c>
      <x:c r="U31" s="23" t="str">
        <x:v>ADEVAIR DOS SANTOS SILVA</x:v>
      </x:c>
      <x:c r="V31" s="22" t="str">
        <x:f>"955.315.641-04"</x:f>
        <x:v>955.315.641-04</x:v>
      </x:c>
      <x:c r="W31" s="22" t="str">
        <x:f>"95531564104"</x:f>
        <x:v>95531564104</x:v>
      </x:c>
      <x:c r="X31" s="23" t="str">
        <x:v>dusantos4m@hotmail.com</x:v>
      </x:c>
      <x:c r="Y31" s="22" t="str">
        <x:f>"+55 65 9939-9301"</x:f>
        <x:v>+55 65 9939-9301</x:v>
      </x:c>
      <x:c r="Z31" s="30" t="n">
        <x:v>46323</x:v>
      </x:c>
    </x:row>
    <x:row r="32" ht="18" customHeight="1">
      <x:c r="A32" s="22" t="str">
        <x:f>"760ac3c9-de75-4ea2-9957-3695080d7225"</x:f>
        <x:v>760ac3c9-de75-4ea2-9957-3695080d7225</x:v>
      </x:c>
      <x:c r="B32" s="23" t="str">
        <x:v>ADIEL WELLINGTON CARDONA</x:v>
      </x:c>
      <x:c r="C32" s="23" t="str">
        <x:v>adiel wellington cardona</x:v>
      </x:c>
      <x:c r="D32" s="22" t="str">
        <x:f>"43.981.348/0001-10"</x:f>
        <x:v>43.981.348/0001-10</x:v>
      </x:c>
      <x:c r="E32" s="22" t="str">
        <x:f>"43981348000110"</x:f>
        <x:v>43981348000110</x:v>
      </x:c>
      <x:c r="F32" s="22" t="str">
        <x:f>"491.150.468-42"</x:f>
        <x:v>491.150.468-42</x:v>
      </x:c>
      <x:c r="G32" s="22" t="str">
        <x:f>"49115046842"</x:f>
        <x:v>49115046842</x:v>
      </x:c>
      <x:c r="H32" s="23" t="str">
        <x:v>adielmeli2025@gmail.com</x:v>
      </x:c>
      <x:c r="I32" s="22" t="str">
        <x:f>"16997794419"</x:f>
        <x:v>16997794419</x:v>
      </x:c>
      <x:c r="J32" s="23" t="str">
        <x:v>RENTAL</x:v>
      </x:c>
      <x:c r="K32" s="23" t="str">
        <x:v>rental_company</x:v>
      </x:c>
      <x:c r="L32" s="24" t="b">
        <x:v>1</x:v>
      </x:c>
      <x:c r="M32" s="23" t="n">
        <x:v>1</x:v>
      </x:c>
      <x:c r="N32" s="28" t="n">
        <x:v>46219.812988715275</x:v>
      </x:c>
      <x:c r="O32" s="28" t="n">
        <x:v>46219.812988715275</x:v>
      </x:c>
      <x:c r="P32" s="23" t="str">
        <x:v>MADEIRA MADEIRA</x:v>
      </x:c>
      <x:c r="Q32" s="30" t="n">
        <x:v>36484</x:v>
      </x:c>
      <x:c r="R32" s="22" t="str">
        <x:f>"580786730"</x:f>
        <x:v>580786730</x:v>
      </x:c>
      <x:c r="S32" s="23" t="str">
        <x:v>masculino</x:v>
      </x:c>
      <x:c r="T32" s="22" t="str"/>
      <x:c r="U32" s="23" t="str">
        <x:v>ADIEL WELLINGTON CARDONA</x:v>
      </x:c>
      <x:c r="V32" s="22" t="str">
        <x:f>"491.150.468-42"</x:f>
        <x:v>491.150.468-42</x:v>
      </x:c>
      <x:c r="W32" s="22" t="str">
        <x:f>"49115046842"</x:f>
        <x:v>49115046842</x:v>
      </x:c>
      <x:c r="X32" s="23" t="str">
        <x:v>adielmeli2025@gmail.com</x:v>
      </x:c>
      <x:c r="Y32" s="22" t="str">
        <x:f>"16997794419"</x:f>
        <x:v>16997794419</x:v>
      </x:c>
      <x:c r="Z32" s="30" t="n">
        <x:v>46497</x:v>
      </x:c>
    </x:row>
    <x:row r="33" ht="18" customHeight="1">
      <x:c r="A33" s="22" t="str">
        <x:f>"b57321c0-fb38-49ed-9909-4a59db31722c"</x:f>
        <x:v>b57321c0-fb38-49ed-9909-4a59db31722c</x:v>
      </x:c>
      <x:c r="B33" s="23" t="str">
        <x:v>ADILON BENTO DA SILVA JUNIOR</x:v>
      </x:c>
      <x:c r="C33" s="23" t="str">
        <x:v>adilon bento da silva junior</x:v>
      </x:c>
      <x:c r="D33" s="22" t="str">
        <x:f>"41.787.396/0001-46"</x:f>
        <x:v>41.787.396/0001-46</x:v>
      </x:c>
      <x:c r="E33" s="22" t="str">
        <x:f>"41787396000146"</x:f>
        <x:v>41787396000146</x:v>
      </x:c>
      <x:c r="F33" s="22" t="str">
        <x:f>"058.166.236-99"</x:f>
        <x:v>058.166.236-99</x:v>
      </x:c>
      <x:c r="G33" s="22" t="str">
        <x:f>"05816623699"</x:f>
        <x:v>05816623699</x:v>
      </x:c>
      <x:c r="H33" s="23" t="str">
        <x:v>juninhocombr@hotmail.com</x:v>
      </x:c>
      <x:c r="I33" s="22" t="str">
        <x:f>"(34) 99874-1187"</x:f>
        <x:v>(34) 99874-1187</x:v>
      </x:c>
      <x:c r="J33" s="23" t="str">
        <x:v>RENTAL</x:v>
      </x:c>
      <x:c r="K33" s="23" t="str">
        <x:v>rental_company</x:v>
      </x:c>
      <x:c r="L33" s="24" t="b">
        <x:v>1</x:v>
      </x:c>
      <x:c r="M33" s="23" t="n">
        <x:v>1</x:v>
      </x:c>
      <x:c r="N33" s="28" t="n">
        <x:v>46203.921824756944</x:v>
      </x:c>
      <x:c r="O33" s="28" t="n">
        <x:v>46219.812988715275</x:v>
      </x:c>
      <x:c r="P33" s="23" t="str">
        <x:v>UBERABA</x:v>
      </x:c>
      <x:c r="Q33" s="30" t="n">
        <x:v>31931</x:v>
      </x:c>
      <x:c r="R33" s="22" t="str">
        <x:f>"13299009"</x:f>
        <x:v>13299009</x:v>
      </x:c>
      <x:c r="S33" s="23" t="str">
        <x:v>masculino</x:v>
      </x:c>
      <x:c r="T33" s="22" t="str"/>
      <x:c r="U33" s="23" t="str">
        <x:v>ADILON BENTO DA SILVA JUNIOR</x:v>
      </x:c>
      <x:c r="V33" s="22" t="str">
        <x:f>"058.166.236-99"</x:f>
        <x:v>058.166.236-99</x:v>
      </x:c>
      <x:c r="W33" s="22" t="str">
        <x:f>"05816623699"</x:f>
        <x:v>05816623699</x:v>
      </x:c>
      <x:c r="X33" s="23" t="str">
        <x:v>juninhocombr@hotmail.com</x:v>
      </x:c>
      <x:c r="Y33" s="22" t="str">
        <x:f>"(34) 99874-1187"</x:f>
        <x:v>(34) 99874-1187</x:v>
      </x:c>
      <x:c r="Z33" s="30" t="n">
        <x:v>46375</x:v>
      </x:c>
    </x:row>
    <x:row r="34" ht="18" customHeight="1">
      <x:c r="A34" s="22" t="str">
        <x:f>"1999a211-4973-4931-83aa-6a0e524a70b8"</x:f>
        <x:v>1999a211-4973-4931-83aa-6a0e524a70b8</x:v>
      </x:c>
      <x:c r="B34" s="23" t="str">
        <x:v>ADILSON ANDRADE DE FREITAS JUNIOR</x:v>
      </x:c>
      <x:c r="C34" s="23" t="str">
        <x:v>adilson andrade de freitas junior</x:v>
      </x:c>
      <x:c r="D34" s="22" t="str">
        <x:f>"63.624.577/0001-94"</x:f>
        <x:v>63.624.577/0001-94</x:v>
      </x:c>
      <x:c r="E34" s="22" t="str">
        <x:f>"63624577000194"</x:f>
        <x:v>63624577000194</x:v>
      </x:c>
      <x:c r="F34" s="22" t="str">
        <x:f>"166.912.217-45"</x:f>
        <x:v>166.912.217-45</x:v>
      </x:c>
      <x:c r="G34" s="22" t="str">
        <x:f>"16691221745"</x:f>
        <x:v>16691221745</x:v>
      </x:c>
      <x:c r="H34" s="23" t="str">
        <x:v>juniorvvfreitas@gmail.com</x:v>
      </x:c>
      <x:c r="I34" s="22" t="str">
        <x:f>"21 973623965"</x:f>
        <x:v>21 973623965</x:v>
      </x:c>
      <x:c r="J34" s="23" t="str">
        <x:v>SPOT</x:v>
      </x:c>
      <x:c r="K34" s="23" t="str">
        <x:v>favored_only</x:v>
      </x:c>
      <x:c r="L34" s="24" t="b">
        <x:v>1</x:v>
      </x:c>
      <x:c r="M34" s="23" t="n">
        <x:v>1</x:v>
      </x:c>
      <x:c r="N34" s="28" t="n">
        <x:v>46203.92189965278</x:v>
      </x:c>
      <x:c r="O34" s="28" t="n">
        <x:v>46219.812988715275</x:v>
      </x:c>
      <x:c r="P34" s="23" t="str">
        <x:v>CAMPO GRANDE</x:v>
      </x:c>
      <x:c r="Q34" s="30" t="n">
        <x:v>35961</x:v>
      </x:c>
      <x:c r="R34" s="22" t="str">
        <x:f>"296131261"</x:f>
        <x:v>296131261</x:v>
      </x:c>
      <x:c r="S34" s="23" t="str">
        <x:v>masculino</x:v>
      </x:c>
      <x:c r="T34" s="22" t="str">
        <x:f>"OVP3J79"</x:f>
        <x:v>OVP3J79</x:v>
      </x:c>
      <x:c r="U34" s="23" t="str">
        <x:v>ADILSON ANDRADE DE FREITAS JUNIOR</x:v>
      </x:c>
      <x:c r="V34" s="22" t="str">
        <x:f>"166.912.217-45"</x:f>
        <x:v>166.912.217-45</x:v>
      </x:c>
      <x:c r="W34" s="22" t="str">
        <x:f>"16691221745"</x:f>
        <x:v>16691221745</x:v>
      </x:c>
      <x:c r="X34" s="23" t="str">
        <x:v>juniorvvfreitas@gmail.com</x:v>
      </x:c>
      <x:c r="Y34" s="22" t="str">
        <x:f>"21 973623965"</x:f>
        <x:v>21 973623965</x:v>
      </x:c>
      <x:c r="Z34" s="30" t="n">
        <x:v>46352</x:v>
      </x:c>
    </x:row>
    <x:row r="35" ht="18" customHeight="1">
      <x:c r="A35" s="22" t="str">
        <x:f>"da504947-d813-4d69-96e7-453261429c35"</x:f>
        <x:v>da504947-d813-4d69-96e7-453261429c35</x:v>
      </x:c>
      <x:c r="B35" s="23" t="str">
        <x:v>ADILSON BERNADINHO DE SOUZA</x:v>
      </x:c>
      <x:c r="C35" s="23" t="str">
        <x:v>adilson bernadinho de souza</x:v>
      </x:c>
      <x:c r="D35" s="22" t="str">
        <x:f>"37.823.997/0001-90"</x:f>
        <x:v>37.823.997/0001-90</x:v>
      </x:c>
      <x:c r="E35" s="22" t="str">
        <x:f>"37823997000190"</x:f>
        <x:v>37823997000190</x:v>
      </x:c>
      <x:c r="F35" s="22" t="str">
        <x:f>"690.129.031-49"</x:f>
        <x:v>690.129.031-49</x:v>
      </x:c>
      <x:c r="G35" s="22" t="str">
        <x:f>"69012903149"</x:f>
        <x:v>69012903149</x:v>
      </x:c>
      <x:c r="H35" s="23" t="str">
        <x:v>Adilsonbsouza03@gmail.com</x:v>
      </x:c>
      <x:c r="I35" s="22" t="str">
        <x:f>"6592894384"</x:f>
        <x:v>6592894384</x:v>
      </x:c>
      <x:c r="J35" s="23" t="str">
        <x:v>SPOT</x:v>
      </x:c>
      <x:c r="K35" s="23" t="str">
        <x:v>favored_only</x:v>
      </x:c>
      <x:c r="L35" s="24" t="b">
        <x:v>1</x:v>
      </x:c>
      <x:c r="M35" s="23" t="n">
        <x:v>1</x:v>
      </x:c>
      <x:c r="N35" s="28" t="n">
        <x:v>46205.60637707176</x:v>
      </x:c>
      <x:c r="O35" s="28" t="n">
        <x:v>46219.812988715275</x:v>
      </x:c>
      <x:c r="P35" s="23" t="str">
        <x:v>CUIABA</x:v>
      </x:c>
      <x:c r="Q35" s="30" t="n">
        <x:v>29283</x:v>
      </x:c>
      <x:c r="R35" s="22" t="str">
        <x:f>"10975004"</x:f>
        <x:v>10975004</x:v>
      </x:c>
      <x:c r="S35" s="23" t="str">
        <x:v>masculino</x:v>
      </x:c>
      <x:c r="T35" s="22" t="str">
        <x:f>"EGK8E24"</x:f>
        <x:v>EGK8E24</x:v>
      </x:c>
      <x:c r="U35" s="23" t="str">
        <x:v>DANILLO BACIEL ALMEIDA</x:v>
      </x:c>
      <x:c r="V35" s="22" t="str">
        <x:f>"962.005.291-91"</x:f>
        <x:v>962.005.291-91</x:v>
      </x:c>
      <x:c r="W35" s="22" t="str">
        <x:f>"96200529191"</x:f>
        <x:v>96200529191</x:v>
      </x:c>
      <x:c r="X35" s="23" t="str">
        <x:v>RPT.cargas@gmail.com</x:v>
      </x:c>
      <x:c r="Y35" s="22" t="str">
        <x:f>"(62) 99661-0607"</x:f>
        <x:v>(62) 99661-0607</x:v>
      </x:c>
      <x:c r="Z35" s="30" t="n">
        <x:v>46357</x:v>
      </x:c>
    </x:row>
    <x:row r="36" ht="18" customHeight="1">
      <x:c r="A36" s="22" t="str">
        <x:f>"462d5268-8d1e-4ec7-8c24-7ca7c8cc9153"</x:f>
        <x:v>462d5268-8d1e-4ec7-8c24-7ca7c8cc9153</x:v>
      </x:c>
      <x:c r="B36" s="23" t="str">
        <x:v>Adilson Dias Da Silva</x:v>
      </x:c>
      <x:c r="C36" s="23" t="str">
        <x:v>adilson dias da silva</x:v>
      </x:c>
      <x:c r="D36" s="22" t="str">
        <x:f>"62026611000166"</x:f>
        <x:v>62026611000166</x:v>
      </x:c>
      <x:c r="E36" s="22" t="str">
        <x:f>"62026611000166"</x:f>
        <x:v>62026611000166</x:v>
      </x:c>
      <x:c r="F36" s="22" t="str">
        <x:f>"05283107639"</x:f>
        <x:v>05283107639</x:v>
      </x:c>
      <x:c r="G36" s="22" t="str">
        <x:f>"05283107639"</x:f>
        <x:v>05283107639</x:v>
      </x:c>
      <x:c r="H36" s="23" t="str">
        <x:v>divinodito@hotmail.com</x:v>
      </x:c>
      <x:c r="I36" s="22" t="str">
        <x:f>"33999299990"</x:f>
        <x:v>33999299990</x:v>
      </x:c>
      <x:c r="J36" s="23" t="str">
        <x:v>SPOT</x:v>
      </x:c>
      <x:c r="K36" s="23" t="str">
        <x:v>favored_only</x:v>
      </x:c>
      <x:c r="L36" s="24" t="b">
        <x:v>1</x:v>
      </x:c>
      <x:c r="M36" s="23" t="n">
        <x:v>1</x:v>
      </x:c>
      <x:c r="N36" s="28" t="n">
        <x:v>46203.921858726855</x:v>
      </x:c>
      <x:c r="O36" s="28" t="n">
        <x:v>46203.921858726855</x:v>
      </x:c>
      <x:c r="P36" s="23" t="str"/>
      <x:c r="Q36" s="30" t="str"/>
      <x:c r="R36" s="22" t="str"/>
      <x:c r="S36" s="23" t="str"/>
      <x:c r="T36" s="22" t="str"/>
      <x:c r="U36" s="23" t="str">
        <x:v>Adilson Dias Da Silva</x:v>
      </x:c>
      <x:c r="V36" s="22" t="str">
        <x:f>"05283107639"</x:f>
        <x:v>05283107639</x:v>
      </x:c>
      <x:c r="W36" s="22" t="str">
        <x:f>"05283107639"</x:f>
        <x:v>05283107639</x:v>
      </x:c>
      <x:c r="X36" s="23" t="str">
        <x:v>divinodito@hotmail.com</x:v>
      </x:c>
      <x:c r="Y36" s="22" t="str">
        <x:f>"33999299990"</x:f>
        <x:v>33999299990</x:v>
      </x:c>
      <x:c r="Z36" s="30" t="str"/>
    </x:row>
    <x:row r="37" ht="18" customHeight="1">
      <x:c r="A37" s="22" t="str">
        <x:f>"e832b0d1-6fe0-4c38-94f7-959919cfab6b"</x:f>
        <x:v>e832b0d1-6fe0-4c38-94f7-959919cfab6b</x:v>
      </x:c>
      <x:c r="B37" s="23" t="str">
        <x:v>ADILSON JESIO DE FREITAS</x:v>
      </x:c>
      <x:c r="C37" s="23" t="str">
        <x:v>adilson jesio de freitas</x:v>
      </x:c>
      <x:c r="D37" s="22" t="str">
        <x:f>"41.916.656/0001-36"</x:f>
        <x:v>41.916.656/0001-36</x:v>
      </x:c>
      <x:c r="E37" s="22" t="str">
        <x:f>"41916656000136"</x:f>
        <x:v>41916656000136</x:v>
      </x:c>
      <x:c r="F37" s="22" t="str">
        <x:f>"945.168.476-04"</x:f>
        <x:v>945.168.476-04</x:v>
      </x:c>
      <x:c r="G37" s="22" t="str">
        <x:f>"94516847604"</x:f>
        <x:v>94516847604</x:v>
      </x:c>
      <x:c r="H37" s="23" t="str">
        <x:v>adilsonjesio@gmail.com</x:v>
      </x:c>
      <x:c r="I37" s="22" t="str">
        <x:f>"31972679677"</x:f>
        <x:v>31972679677</x:v>
      </x:c>
      <x:c r="J37" s="23" t="str">
        <x:v>SPOT</x:v>
      </x:c>
      <x:c r="K37" s="23" t="str">
        <x:v>favored_only</x:v>
      </x:c>
      <x:c r="L37" s="24" t="b">
        <x:v>1</x:v>
      </x:c>
      <x:c r="M37" s="23" t="n">
        <x:v>1</x:v>
      </x:c>
      <x:c r="N37" s="28" t="n">
        <x:v>46203.92189965278</x:v>
      </x:c>
      <x:c r="O37" s="28" t="n">
        <x:v>46219.812988715275</x:v>
      </x:c>
      <x:c r="P37" s="23" t="str">
        <x:v>VESPASIANO</x:v>
      </x:c>
      <x:c r="Q37" s="30" t="n">
        <x:v>27331</x:v>
      </x:c>
      <x:c r="R37" s="22" t="str">
        <x:f>"RG: m-7359848"</x:f>
        <x:v>RG: m-7359848</x:v>
      </x:c>
      <x:c r="S37" s="23" t="str">
        <x:v>masculino</x:v>
      </x:c>
      <x:c r="T37" s="22" t="str">
        <x:f>"OPF9J26"</x:f>
        <x:v>OPF9J26</x:v>
      </x:c>
      <x:c r="U37" s="23" t="str">
        <x:v>ADILSON JESIO DE FREITAS</x:v>
      </x:c>
      <x:c r="V37" s="22" t="str">
        <x:f>"945.168.476-04"</x:f>
        <x:v>945.168.476-04</x:v>
      </x:c>
      <x:c r="W37" s="22" t="str">
        <x:f>"94516847604"</x:f>
        <x:v>94516847604</x:v>
      </x:c>
      <x:c r="X37" s="23" t="str">
        <x:v>adilsonjesio@gmail.com</x:v>
      </x:c>
      <x:c r="Y37" s="22" t="str">
        <x:f>"31972679677"</x:f>
        <x:v>31972679677</x:v>
      </x:c>
      <x:c r="Z37" s="30" t="n">
        <x:v>46355</x:v>
      </x:c>
    </x:row>
    <x:row r="38" ht="18" customHeight="1">
      <x:c r="A38" s="22" t="str">
        <x:f>"abad65ed-8adf-4ee8-9331-177614605b43"</x:f>
        <x:v>abad65ed-8adf-4ee8-9331-177614605b43</x:v>
      </x:c>
      <x:c r="B38" s="23" t="str">
        <x:v>ADILSON MAGAIVER CASTRO RIBEIRO</x:v>
      </x:c>
      <x:c r="C38" s="23" t="str">
        <x:v>adilson magaiver castro ribeiro</x:v>
      </x:c>
      <x:c r="D38" s="22" t="str">
        <x:f>"63.193.598/0001-00"</x:f>
        <x:v>63.193.598/0001-00</x:v>
      </x:c>
      <x:c r="E38" s="22" t="str">
        <x:f>"63193598000100"</x:f>
        <x:v>63193598000100</x:v>
      </x:c>
      <x:c r="F38" s="22" t="str">
        <x:f>"355.604.748-94"</x:f>
        <x:v>355.604.748-94</x:v>
      </x:c>
      <x:c r="G38" s="22" t="str">
        <x:f>"35560474894"</x:f>
        <x:v>35560474894</x:v>
      </x:c>
      <x:c r="H38" s="23" t="str">
        <x:v>magaivercastro@icloud.com</x:v>
      </x:c>
      <x:c r="I38" s="22" t="str">
        <x:f>"17 99664-4191"</x:f>
        <x:v>17 99664-4191</x:v>
      </x:c>
      <x:c r="J38" s="23" t="str">
        <x:v>RENTAL</x:v>
      </x:c>
      <x:c r="K38" s="23" t="str">
        <x:v>rental_company</x:v>
      </x:c>
      <x:c r="L38" s="24" t="b">
        <x:v>1</x:v>
      </x:c>
      <x:c r="M38" s="23" t="n">
        <x:v>1</x:v>
      </x:c>
      <x:c r="N38" s="28" t="n">
        <x:v>46203.9218771875</x:v>
      </x:c>
      <x:c r="O38" s="28" t="n">
        <x:v>46219.812988715275</x:v>
      </x:c>
      <x:c r="P38" s="23" t="str">
        <x:v>SÃO JOSE DO RIO PRETO</x:v>
      </x:c>
      <x:c r="Q38" s="30" t="n">
        <x:v>31637</x:v>
      </x:c>
      <x:c r="R38" s="22" t="str">
        <x:f>"40138093"</x:f>
        <x:v>40138093</x:v>
      </x:c>
      <x:c r="S38" s="23" t="str">
        <x:v>masculino</x:v>
      </x:c>
      <x:c r="T38" s="22" t="str"/>
      <x:c r="U38" s="23" t="str">
        <x:v>ADILSON MAGAIVER CASTRO RIBEIRO</x:v>
      </x:c>
      <x:c r="V38" s="22" t="str">
        <x:f>"355.604.748-94"</x:f>
        <x:v>355.604.748-94</x:v>
      </x:c>
      <x:c r="W38" s="22" t="str">
        <x:f>"35560474894"</x:f>
        <x:v>35560474894</x:v>
      </x:c>
      <x:c r="X38" s="23" t="str">
        <x:v>magaivercastro@icloud.com</x:v>
      </x:c>
      <x:c r="Y38" s="22" t="str">
        <x:f>"17 99664-4191"</x:f>
        <x:v>17 99664-4191</x:v>
      </x:c>
      <x:c r="Z38" s="30" t="n">
        <x:v>46310</x:v>
      </x:c>
    </x:row>
    <x:row r="39" ht="18" customHeight="1">
      <x:c r="A39" s="22" t="str">
        <x:f>"a35f50e9-d24b-4c21-9b60-dfc42861a885"</x:f>
        <x:v>a35f50e9-d24b-4c21-9b60-dfc42861a885</x:v>
      </x:c>
      <x:c r="B39" s="23" t="str">
        <x:v>ADILSON MATOS DE PINHO</x:v>
      </x:c>
      <x:c r="C39" s="23" t="str">
        <x:v>adilson matos de pinho</x:v>
      </x:c>
      <x:c r="D39" s="22" t="str">
        <x:f>"57.830.211/0001-79"</x:f>
        <x:v>57.830.211/0001-79</x:v>
      </x:c>
      <x:c r="E39" s="22" t="str">
        <x:f>"57830211000179"</x:f>
        <x:v>57830211000179</x:v>
      </x:c>
      <x:c r="F39" s="22" t="str">
        <x:f>"002.879.211-40"</x:f>
        <x:v>002.879.211-40</x:v>
      </x:c>
      <x:c r="G39" s="22" t="str">
        <x:f>"00287921140"</x:f>
        <x:v>00287921140</x:v>
      </x:c>
      <x:c r="H39" s="23" t="str">
        <x:v>uesleralmeida@outlook.com</x:v>
      </x:c>
      <x:c r="I39" s="22" t="str">
        <x:f>"65 99619-8412"</x:f>
        <x:v>65 99619-8412</x:v>
      </x:c>
      <x:c r="J39" s="23" t="str">
        <x:v>SPOT</x:v>
      </x:c>
      <x:c r="K39" s="23" t="str">
        <x:v>favored_only</x:v>
      </x:c>
      <x:c r="L39" s="24" t="b">
        <x:v>1</x:v>
      </x:c>
      <x:c r="M39" s="23" t="n">
        <x:v>1</x:v>
      </x:c>
      <x:c r="N39" s="28" t="n">
        <x:v>46205.60446444444</x:v>
      </x:c>
      <x:c r="O39" s="28" t="n">
        <x:v>46219.812988715275</x:v>
      </x:c>
      <x:c r="P39" s="23" t="str">
        <x:v>CUIABA</x:v>
      </x:c>
      <x:c r="Q39" s="30" t="n">
        <x:v>31741</x:v>
      </x:c>
      <x:c r="R39" s="22" t="str">
        <x:f>"17081726"</x:f>
        <x:v>17081726</x:v>
      </x:c>
      <x:c r="S39" s="23" t="str">
        <x:v>masculino</x:v>
      </x:c>
      <x:c r="T39" s="22" t="str">
        <x:f>"NPI5185"</x:f>
        <x:v>NPI5185</x:v>
      </x:c>
      <x:c r="U39" s="23" t="str">
        <x:v>UESLER CEDRONIAS DA SILVA ALMEIDA</x:v>
      </x:c>
      <x:c r="V39" s="22" t="str">
        <x:f>"037.769.071-69"</x:f>
        <x:v>037.769.071-69</x:v>
      </x:c>
      <x:c r="W39" s="22" t="str">
        <x:f>"03776907169"</x:f>
        <x:v>03776907169</x:v>
      </x:c>
      <x:c r="X39" s="23" t="str">
        <x:v>uesleralmeida@outlook.com</x:v>
      </x:c>
      <x:c r="Y39" s="22" t="str">
        <x:f>"65992743699"</x:f>
        <x:v>65992743699</x:v>
      </x:c>
      <x:c r="Z39" s="30" t="n">
        <x:v>46277</x:v>
      </x:c>
    </x:row>
    <x:row r="40" ht="18" customHeight="1">
      <x:c r="A40" s="22" t="str">
        <x:f>"b682f21e-1e6b-4959-b16a-7edea2199b8c"</x:f>
        <x:v>b682f21e-1e6b-4959-b16a-7edea2199b8c</x:v>
      </x:c>
      <x:c r="B40" s="23" t="str">
        <x:v>ADILSON ROQUE DA FONSECA</x:v>
      </x:c>
      <x:c r="C40" s="23" t="str">
        <x:v>adilson roque da fonseca</x:v>
      </x:c>
      <x:c r="D40" s="22" t="str">
        <x:f>"49.835.130/0001-33"</x:f>
        <x:v>49.835.130/0001-33</x:v>
      </x:c>
      <x:c r="E40" s="22" t="str">
        <x:f>"49835130000133"</x:f>
        <x:v>49835130000133</x:v>
      </x:c>
      <x:c r="F40" s="22" t="str">
        <x:f>"054.614.497-78"</x:f>
        <x:v>054.614.497-78</x:v>
      </x:c>
      <x:c r="G40" s="22" t="str">
        <x:f>"05461449778"</x:f>
        <x:v>05461449778</x:v>
      </x:c>
      <x:c r="H40" s="23" t="str">
        <x:v>adilson1008@hotmail.com</x:v>
      </x:c>
      <x:c r="I40" s="22" t="str">
        <x:f>"21992929994"</x:f>
        <x:v>21992929994</x:v>
      </x:c>
      <x:c r="J40" s="23" t="str">
        <x:v>SPOT</x:v>
      </x:c>
      <x:c r="K40" s="23" t="str">
        <x:v>favored_only</x:v>
      </x:c>
      <x:c r="L40" s="24" t="b">
        <x:v>1</x:v>
      </x:c>
      <x:c r="M40" s="23" t="n">
        <x:v>1</x:v>
      </x:c>
      <x:c r="N40" s="28" t="n">
        <x:v>46203.92183332176</x:v>
      </x:c>
      <x:c r="O40" s="28" t="n">
        <x:v>46219.812988715275</x:v>
      </x:c>
      <x:c r="P40" s="23" t="str">
        <x:v>QUEIMADOS</x:v>
      </x:c>
      <x:c r="Q40" s="30" t="n">
        <x:v>30538</x:v>
      </x:c>
      <x:c r="R40" s="22" t="str">
        <x:f>"123933020"</x:f>
        <x:v>123933020</x:v>
      </x:c>
      <x:c r="S40" s="23" t="str">
        <x:v>masculino</x:v>
      </x:c>
      <x:c r="T40" s="22" t="str"/>
      <x:c r="U40" s="23" t="str">
        <x:v>ADILSON ROQUE DA FONSECA</x:v>
      </x:c>
      <x:c r="V40" s="22" t="str">
        <x:f>"054.614.497-78"</x:f>
        <x:v>054.614.497-78</x:v>
      </x:c>
      <x:c r="W40" s="22" t="str">
        <x:f>"05461449778"</x:f>
        <x:v>05461449778</x:v>
      </x:c>
      <x:c r="X40" s="23" t="str">
        <x:v>adilson1008@hotmail.com</x:v>
      </x:c>
      <x:c r="Y40" s="22" t="str">
        <x:f>"21992929994"</x:f>
        <x:v>21992929994</x:v>
      </x:c>
      <x:c r="Z40" s="30" t="n">
        <x:v>46570</x:v>
      </x:c>
    </x:row>
    <x:row r="41" ht="18" customHeight="1">
      <x:c r="A41" s="22" t="str">
        <x:f>"c2c0ac7b-af53-454d-9a82-f85a7420397e"</x:f>
        <x:v>c2c0ac7b-af53-454d-9a82-f85a7420397e</x:v>
      </x:c>
      <x:c r="B41" s="23" t="str">
        <x:v>ADIMILSON RAMOS</x:v>
      </x:c>
      <x:c r="C41" s="23" t="str">
        <x:v>adimilson ramos</x:v>
      </x:c>
      <x:c r="D41" s="22" t="str">
        <x:f>"41.262.588/0001-39"</x:f>
        <x:v>41.262.588/0001-39</x:v>
      </x:c>
      <x:c r="E41" s="22" t="str">
        <x:f>"41262588000139"</x:f>
        <x:v>41262588000139</x:v>
      </x:c>
      <x:c r="F41" s="22" t="str">
        <x:f>"037.081.121-64"</x:f>
        <x:v>037.081.121-64</x:v>
      </x:c>
      <x:c r="G41" s="22" t="str">
        <x:f>"03708112164"</x:f>
        <x:v>03708112164</x:v>
      </x:c>
      <x:c r="H41" s="23" t="str">
        <x:v>adimilsonramos242@gmail.com</x:v>
      </x:c>
      <x:c r="I41" s="22" t="str">
        <x:f>"65 9 9618-8444"</x:f>
        <x:v>65 9 9618-8444</x:v>
      </x:c>
      <x:c r="J41" s="23" t="str">
        <x:v>SPOT</x:v>
      </x:c>
      <x:c r="K41" s="23" t="str">
        <x:v>favored_only</x:v>
      </x:c>
      <x:c r="L41" s="24" t="b">
        <x:v>1</x:v>
      </x:c>
      <x:c r="M41" s="23" t="n">
        <x:v>1</x:v>
      </x:c>
      <x:c r="N41" s="28" t="n">
        <x:v>46205.60353997685</x:v>
      </x:c>
      <x:c r="O41" s="28" t="n">
        <x:v>46219.812988715275</x:v>
      </x:c>
      <x:c r="P41" s="23" t="str">
        <x:v>ARAPUTANGA</x:v>
      </x:c>
      <x:c r="Q41" s="30" t="n">
        <x:v>29895</x:v>
      </x:c>
      <x:c r="R41" s="22" t="str">
        <x:f>"15437469 SSP MT"</x:f>
        <x:v>15437469 SSP MT</x:v>
      </x:c>
      <x:c r="S41" s="23" t="str">
        <x:v>masculino</x:v>
      </x:c>
      <x:c r="T41" s="22" t="str">
        <x:f>"SPP3H86"</x:f>
        <x:v>SPP3H86</x:v>
      </x:c>
      <x:c r="U41" s="23" t="str">
        <x:v>EDENILSON MIRANDA CRUZ</x:v>
      </x:c>
      <x:c r="V41" s="22" t="str">
        <x:f>"000.516.891-03"</x:f>
        <x:v>000.516.891-03</x:v>
      </x:c>
      <x:c r="W41" s="22" t="str">
        <x:f>"00051689103"</x:f>
        <x:v>00051689103</x:v>
      </x:c>
      <x:c r="X41" s="23" t="str">
        <x:v>mirandacruzedenilson@gmail.com</x:v>
      </x:c>
      <x:c r="Y41" s="22" t="str">
        <x:f>"65 99813-0618"</x:f>
        <x:v>65 99813-0618</x:v>
      </x:c>
      <x:c r="Z41" s="30" t="n">
        <x:v>46579</x:v>
      </x:c>
    </x:row>
    <x:row r="42" ht="18" customHeight="1">
      <x:c r="A42" s="22" t="str">
        <x:f>"f9f6ff60-6f1e-44a8-b118-4b159b7cc4f4"</x:f>
        <x:v>f9f6ff60-6f1e-44a8-b118-4b159b7cc4f4</x:v>
      </x:c>
      <x:c r="B42" s="23" t="str">
        <x:v>ADINAEL LIMA DOS SANTOS SILVA</x:v>
      </x:c>
      <x:c r="C42" s="23" t="str">
        <x:v>adinael lima dos santos silva</x:v>
      </x:c>
      <x:c r="D42" s="22" t="str">
        <x:f>"62.057.736/0001-53"</x:f>
        <x:v>62.057.736/0001-53</x:v>
      </x:c>
      <x:c r="E42" s="22" t="str">
        <x:f>"62057736000153"</x:f>
        <x:v>62057736000153</x:v>
      </x:c>
      <x:c r="F42" s="22" t="str">
        <x:f>"068.141.115-51"</x:f>
        <x:v>068.141.115-51</x:v>
      </x:c>
      <x:c r="G42" s="22" t="str">
        <x:f>"06814111551"</x:f>
        <x:v>06814111551</x:v>
      </x:c>
      <x:c r="H42" s="23" t="str">
        <x:v>adinaelsanthos@gmail.com</x:v>
      </x:c>
      <x:c r="I42" s="22" t="str">
        <x:f>"16996111496"</x:f>
        <x:v>16996111496</x:v>
      </x:c>
      <x:c r="J42" s="23" t="str">
        <x:v>SPOT</x:v>
      </x:c>
      <x:c r="K42" s="23" t="str">
        <x:v>favored_only</x:v>
      </x:c>
      <x:c r="L42" s="24" t="b">
        <x:v>1</x:v>
      </x:c>
      <x:c r="M42" s="23" t="n">
        <x:v>1</x:v>
      </x:c>
      <x:c r="N42" s="28" t="n">
        <x:v>46203.92186462963</x:v>
      </x:c>
      <x:c r="O42" s="28" t="n">
        <x:v>46219.812988715275</x:v>
      </x:c>
      <x:c r="P42" s="23" t="str">
        <x:v>RIBEIRAO PRETO</x:v>
      </x:c>
      <x:c r="Q42" s="30" t="n">
        <x:v>35782</x:v>
      </x:c>
      <x:c r="R42" s="22" t="str">
        <x:f>"583637437"</x:f>
        <x:v>583637437</x:v>
      </x:c>
      <x:c r="S42" s="23" t="str">
        <x:v>masculino</x:v>
      </x:c>
      <x:c r="T42" s="22" t="str">
        <x:f>"APP4D16"</x:f>
        <x:v>APP4D16</x:v>
      </x:c>
      <x:c r="U42" s="23" t="str">
        <x:v>ADINAEL LIMA DOS SANTOS SILVA</x:v>
      </x:c>
      <x:c r="V42" s="22" t="str">
        <x:f>"068.141.115-51"</x:f>
        <x:v>068.141.115-51</x:v>
      </x:c>
      <x:c r="W42" s="22" t="str">
        <x:f>"06814111551"</x:f>
        <x:v>06814111551</x:v>
      </x:c>
      <x:c r="X42" s="23" t="str">
        <x:v>adinaelsanthos@gmail.com</x:v>
      </x:c>
      <x:c r="Y42" s="22" t="str">
        <x:f>"16996111496"</x:f>
        <x:v>16996111496</x:v>
      </x:c>
      <x:c r="Z42" s="30" t="n">
        <x:v>46280</x:v>
      </x:c>
    </x:row>
    <x:row r="43" ht="18" customHeight="1">
      <x:c r="A43" s="22" t="str">
        <x:f>"33a60e95-773f-4901-8384-d87d6ad76bdc"</x:f>
        <x:v>33a60e95-773f-4901-8384-d87d6ad76bdc</x:v>
      </x:c>
      <x:c r="B43" s="23" t="str">
        <x:v>ADNARVO APARECIDO RICARDO</x:v>
      </x:c>
      <x:c r="C43" s="23" t="str">
        <x:v>adnarvo aparecido ricardo</x:v>
      </x:c>
      <x:c r="D43" s="22" t="str">
        <x:f>"63.659.951/0001-97"</x:f>
        <x:v>63.659.951/0001-97</x:v>
      </x:c>
      <x:c r="E43" s="22" t="str">
        <x:f>"63659951000197"</x:f>
        <x:v>63659951000197</x:v>
      </x:c>
      <x:c r="F43" s="22" t="str">
        <x:f>"991.209.846-34"</x:f>
        <x:v>991.209.846-34</x:v>
      </x:c>
      <x:c r="G43" s="22" t="str">
        <x:f>"99120984634"</x:f>
        <x:v>99120984634</x:v>
      </x:c>
      <x:c r="H43" s="23" t="str">
        <x:v>Lilicoricardo@gmail.com</x:v>
      </x:c>
      <x:c r="I43" s="22" t="str">
        <x:f>"33 98715-5507"</x:f>
        <x:v>33 98715-5507</x:v>
      </x:c>
      <x:c r="J43" s="23" t="str">
        <x:v>SPOT</x:v>
      </x:c>
      <x:c r="K43" s="23" t="str">
        <x:v>favored_only</x:v>
      </x:c>
      <x:c r="L43" s="24" t="b">
        <x:v>1</x:v>
      </x:c>
      <x:c r="M43" s="23" t="n">
        <x:v>1</x:v>
      </x:c>
      <x:c r="N43" s="28" t="n">
        <x:v>46203.92189965278</x:v>
      </x:c>
      <x:c r="O43" s="28" t="n">
        <x:v>46219.812988715275</x:v>
      </x:c>
      <x:c r="P43" s="23" t="str">
        <x:v>GUANHAES</x:v>
      </x:c>
      <x:c r="Q43" s="30" t="n">
        <x:v>27002</x:v>
      </x:c>
      <x:c r="R43" s="22" t="str">
        <x:f>"772145"</x:f>
        <x:v>772145</x:v>
      </x:c>
      <x:c r="S43" s="23" t="str">
        <x:v>masculino</x:v>
      </x:c>
      <x:c r="T43" s="22" t="str">
        <x:f>"HGL7G99"</x:f>
        <x:v>HGL7G99</x:v>
      </x:c>
      <x:c r="U43" s="23" t="str">
        <x:v>ADNARVO APARECIDO RICARDO</x:v>
      </x:c>
      <x:c r="V43" s="22" t="str">
        <x:f>"991.209.846-34"</x:f>
        <x:v>991.209.846-34</x:v>
      </x:c>
      <x:c r="W43" s="22" t="str">
        <x:f>"99120984634"</x:f>
        <x:v>99120984634</x:v>
      </x:c>
      <x:c r="X43" s="23" t="str">
        <x:v>Lilicoricardo@gmail.com</x:v>
      </x:c>
      <x:c r="Y43" s="22" t="str">
        <x:f>"33 98715-5507"</x:f>
        <x:v>33 98715-5507</x:v>
      </x:c>
      <x:c r="Z43" s="30" t="n">
        <x:v>46346</x:v>
      </x:c>
    </x:row>
    <x:row r="44" ht="18" customHeight="1">
      <x:c r="A44" s="22" t="str">
        <x:f>"aea80d08-599b-4fe0-a9a3-8c63cc3803ce"</x:f>
        <x:v>aea80d08-599b-4fe0-a9a3-8c63cc3803ce</x:v>
      </x:c>
      <x:c r="B44" s="23" t="str">
        <x:v>ADRIANA ALVES VIDAL</x:v>
      </x:c>
      <x:c r="C44" s="23" t="str">
        <x:v>adriana alves vidal</x:v>
      </x:c>
      <x:c r="D44" s="22" t="str">
        <x:f>"19.209.737/0001-47"</x:f>
        <x:v>19.209.737/0001-47</x:v>
      </x:c>
      <x:c r="E44" s="22" t="str">
        <x:f>"19209737000147"</x:f>
        <x:v>19209737000147</x:v>
      </x:c>
      <x:c r="F44" s="22" t="str">
        <x:f>"96682370130"</x:f>
        <x:v>96682370130</x:v>
      </x:c>
      <x:c r="G44" s="22" t="str">
        <x:f>"96682370130"</x:f>
        <x:v>96682370130</x:v>
      </x:c>
      <x:c r="H44" s="23" t="str">
        <x:v>Vidaladriana872@gmail.com</x:v>
      </x:c>
      <x:c r="I44" s="22" t="str">
        <x:f>"17981433791"</x:f>
        <x:v>17981433791</x:v>
      </x:c>
      <x:c r="J44" s="23" t="str">
        <x:v>SPOT</x:v>
      </x:c>
      <x:c r="K44" s="23" t="str">
        <x:v>favored_only</x:v>
      </x:c>
      <x:c r="L44" s="24" t="b">
        <x:v>1</x:v>
      </x:c>
      <x:c r="M44" s="23" t="n">
        <x:v>1</x:v>
      </x:c>
      <x:c r="N44" s="28" t="n">
        <x:v>46203.9218771875</x:v>
      </x:c>
      <x:c r="O44" s="28" t="n">
        <x:v>46203.9218771875</x:v>
      </x:c>
      <x:c r="P44" s="23" t="str"/>
      <x:c r="Q44" s="30" t="str"/>
      <x:c r="R44" s="22" t="str"/>
      <x:c r="S44" s="23" t="str"/>
      <x:c r="T44" s="22" t="str"/>
      <x:c r="U44" s="23" t="str">
        <x:v>ADRIANA ALVES VIDAL</x:v>
      </x:c>
      <x:c r="V44" s="22" t="str">
        <x:f>"96682370130"</x:f>
        <x:v>96682370130</x:v>
      </x:c>
      <x:c r="W44" s="22" t="str">
        <x:f>"96682370130"</x:f>
        <x:v>96682370130</x:v>
      </x:c>
      <x:c r="X44" s="23" t="str">
        <x:v>Vidaladriana872@gmail.com</x:v>
      </x:c>
      <x:c r="Y44" s="22" t="str">
        <x:f>"17981433791"</x:f>
        <x:v>17981433791</x:v>
      </x:c>
      <x:c r="Z44" s="30" t="str"/>
    </x:row>
    <x:row r="45" ht="18" customHeight="1">
      <x:c r="A45" s="22" t="str">
        <x:f>"ea79fd49-77a2-472a-bfec-2d11bc63f23e"</x:f>
        <x:v>ea79fd49-77a2-472a-bfec-2d11bc63f23e</x:v>
      </x:c>
      <x:c r="B45" s="23" t="str">
        <x:v>ADRIANA APARECIDA FERRAZ</x:v>
      </x:c>
      <x:c r="C45" s="23" t="str">
        <x:v>adriana aparecida ferraz</x:v>
      </x:c>
      <x:c r="D45" s="22" t="str">
        <x:f>"36.203.188/0001-12"</x:f>
        <x:v>36.203.188/0001-12</x:v>
      </x:c>
      <x:c r="E45" s="22" t="str">
        <x:f>"36203188000112"</x:f>
        <x:v>36203188000112</x:v>
      </x:c>
      <x:c r="F45" s="22" t="str">
        <x:f>"143.411.788-06"</x:f>
        <x:v>143.411.788-06</x:v>
      </x:c>
      <x:c r="G45" s="22" t="str">
        <x:f>"14341178806"</x:f>
        <x:v>14341178806</x:v>
      </x:c>
      <x:c r="H45" s="23" t="str">
        <x:v>Adrianage2010@gmail.com</x:v>
      </x:c>
      <x:c r="I45" s="22" t="str">
        <x:f>"11998167396"</x:f>
        <x:v>11998167396</x:v>
      </x:c>
      <x:c r="J45" s="23" t="str">
        <x:v>SPOT</x:v>
      </x:c>
      <x:c r="K45" s="23" t="str">
        <x:v>favored_only</x:v>
      </x:c>
      <x:c r="L45" s="24" t="b">
        <x:v>1</x:v>
      </x:c>
      <x:c r="M45" s="23" t="n">
        <x:v>1</x:v>
      </x:c>
      <x:c r="N45" s="28" t="n">
        <x:v>46203.921887453704</x:v>
      </x:c>
      <x:c r="O45" s="28" t="n">
        <x:v>46219.812988715275</x:v>
      </x:c>
      <x:c r="P45" s="23" t="str">
        <x:v>BARUERI</x:v>
      </x:c>
      <x:c r="Q45" s="30" t="n">
        <x:v>26759</x:v>
      </x:c>
      <x:c r="R45" s="22" t="str">
        <x:f>"236868470"</x:f>
        <x:v>236868470</x:v>
      </x:c>
      <x:c r="S45" s="23" t="str">
        <x:v>feminino</x:v>
      </x:c>
      <x:c r="T45" s="22" t="str">
        <x:f>"RNH9J93"</x:f>
        <x:v>RNH9J93</x:v>
      </x:c>
      <x:c r="U45" s="23" t="str">
        <x:v>ADRIANA APARECIDA FERRAZ</x:v>
      </x:c>
      <x:c r="V45" s="22" t="str">
        <x:f>"143.411.788-06"</x:f>
        <x:v>143.411.788-06</x:v>
      </x:c>
      <x:c r="W45" s="22" t="str">
        <x:f>"14341178806"</x:f>
        <x:v>14341178806</x:v>
      </x:c>
      <x:c r="X45" s="23" t="str">
        <x:v>Adrianage2010@gmail.com</x:v>
      </x:c>
      <x:c r="Y45" s="22" t="str">
        <x:f>"11998167396"</x:f>
        <x:v>11998167396</x:v>
      </x:c>
      <x:c r="Z45" s="30" t="n">
        <x:v>46326</x:v>
      </x:c>
    </x:row>
    <x:row r="46" ht="18" customHeight="1">
      <x:c r="A46" s="22" t="str">
        <x:f>"7b4344e8-b766-45da-962a-8dd6b446711a"</x:f>
        <x:v>7b4344e8-b766-45da-962a-8dd6b446711a</x:v>
      </x:c>
      <x:c r="B46" s="23" t="str">
        <x:v>ADRIANA APARECIDA SEBEN</x:v>
      </x:c>
      <x:c r="C46" s="23" t="str">
        <x:v>adriana aparecida seben</x:v>
      </x:c>
      <x:c r="D46" s="22" t="str">
        <x:f>"65.871.692/0001-99"</x:f>
        <x:v>65.871.692/0001-99</x:v>
      </x:c>
      <x:c r="E46" s="22" t="str">
        <x:f>"65871692000199"</x:f>
        <x:v>65871692000199</x:v>
      </x:c>
      <x:c r="F46" s="22" t="str">
        <x:f>"266.451.258-79"</x:f>
        <x:v>266.451.258-79</x:v>
      </x:c>
      <x:c r="G46" s="22" t="str">
        <x:f>"26645125879"</x:f>
        <x:v>26645125879</x:v>
      </x:c>
      <x:c r="H46" s="23" t="str">
        <x:v>adrianaaparecidaseben@gmail.com</x:v>
      </x:c>
      <x:c r="I46" s="22" t="str">
        <x:f>"+55 66 9675-1003"</x:f>
        <x:v>+55 66 9675-1003</x:v>
      </x:c>
      <x:c r="J46" s="23" t="str">
        <x:v>SPOT</x:v>
      </x:c>
      <x:c r="K46" s="23" t="str">
        <x:v>favored_only</x:v>
      </x:c>
      <x:c r="L46" s="24" t="b">
        <x:v>1</x:v>
      </x:c>
      <x:c r="M46" s="23" t="n">
        <x:v>1</x:v>
      </x:c>
      <x:c r="N46" s="28" t="n">
        <x:v>46219.812988715275</x:v>
      </x:c>
      <x:c r="O46" s="28" t="n">
        <x:v>46219.812988715275</x:v>
      </x:c>
      <x:c r="P46" s="23" t="str">
        <x:v>SINOP</x:v>
      </x:c>
      <x:c r="Q46" s="30" t="n">
        <x:v>27810</x:v>
      </x:c>
      <x:c r="R46" s="22" t="str">
        <x:f>"4205866903"</x:f>
        <x:v>4205866903</x:v>
      </x:c>
      <x:c r="S46" s="23" t="str">
        <x:v>feminino</x:v>
      </x:c>
      <x:c r="T46" s="22" t="str">
        <x:f>"QOY1B60"</x:f>
        <x:v>QOY1B60</x:v>
      </x:c>
      <x:c r="U46" s="23" t="str">
        <x:v>ADRIANA APARECIDA SEBEN</x:v>
      </x:c>
      <x:c r="V46" s="22" t="str">
        <x:f>"266.451.258-79"</x:f>
        <x:v>266.451.258-79</x:v>
      </x:c>
      <x:c r="W46" s="22" t="str">
        <x:f>"26645125879"</x:f>
        <x:v>26645125879</x:v>
      </x:c>
      <x:c r="X46" s="23" t="str">
        <x:v>adrianaaparecidaseben@gmail.com</x:v>
      </x:c>
      <x:c r="Y46" s="22" t="str">
        <x:f>"+55 66 9675-1003"</x:f>
        <x:v>+55 66 9675-1003</x:v>
      </x:c>
      <x:c r="Z46" s="30" t="n">
        <x:v>46471</x:v>
      </x:c>
    </x:row>
    <x:row r="47" ht="18" customHeight="1">
      <x:c r="A47" s="22" t="str">
        <x:f>"f7036460-ebd9-4eac-b80f-099ed1a9935f"</x:f>
        <x:v>f7036460-ebd9-4eac-b80f-099ed1a9935f</x:v>
      </x:c>
      <x:c r="B47" s="23" t="str">
        <x:v>ADRIANA ROSA CASTRO</x:v>
      </x:c>
      <x:c r="C47" s="23" t="str">
        <x:v>adriana rosa castro</x:v>
      </x:c>
      <x:c r="D47" s="22" t="str">
        <x:f>"56.201.648/0001-80"</x:f>
        <x:v>56.201.648/0001-80</x:v>
      </x:c>
      <x:c r="E47" s="22" t="str">
        <x:f>"56201648000180"</x:f>
        <x:v>56201648000180</x:v>
      </x:c>
      <x:c r="F47" s="22" t="str">
        <x:f>"631.913.501-87"</x:f>
        <x:v>631.913.501-87</x:v>
      </x:c>
      <x:c r="G47" s="22" t="str">
        <x:f>"63191350187"</x:f>
        <x:v>63191350187</x:v>
      </x:c>
      <x:c r="H47" s="23" t="str">
        <x:v>adrianaprof410@gmail.com</x:v>
      </x:c>
      <x:c r="I47" s="22" t="str">
        <x:f>"(65)996407089"</x:f>
        <x:v>(65)996407089</x:v>
      </x:c>
      <x:c r="J47" s="23" t="str">
        <x:v>SPOT</x:v>
      </x:c>
      <x:c r="K47" s="23" t="str">
        <x:v>favored_only</x:v>
      </x:c>
      <x:c r="L47" s="24" t="b">
        <x:v>1</x:v>
      </x:c>
      <x:c r="M47" s="23" t="n">
        <x:v>1</x:v>
      </x:c>
      <x:c r="N47" s="28" t="n">
        <x:v>46203.92186462963</x:v>
      </x:c>
      <x:c r="O47" s="28" t="n">
        <x:v>46219.812988715275</x:v>
      </x:c>
      <x:c r="P47" s="23" t="str">
        <x:v>CUIABA</x:v>
      </x:c>
      <x:c r="Q47" s="30" t="n">
        <x:v>27493</x:v>
      </x:c>
      <x:c r="R47" s="22" t="str">
        <x:f>"0820239-7"</x:f>
        <x:v>0820239-7</x:v>
      </x:c>
      <x:c r="S47" s="23" t="str">
        <x:v>masculino</x:v>
      </x:c>
      <x:c r="T47" s="22" t="str">
        <x:f>"SDO5F26"</x:f>
        <x:v>SDO5F26</x:v>
      </x:c>
      <x:c r="U47" s="23" t="str">
        <x:v>ADRIANA ROSA CASTRO</x:v>
      </x:c>
      <x:c r="V47" s="22" t="str">
        <x:f>"631.913.501-87"</x:f>
        <x:v>631.913.501-87</x:v>
      </x:c>
      <x:c r="W47" s="22" t="str">
        <x:f>"63191350187"</x:f>
        <x:v>63191350187</x:v>
      </x:c>
      <x:c r="X47" s="23" t="str">
        <x:v>adrianaprof410@gmail.com</x:v>
      </x:c>
      <x:c r="Y47" s="22" t="str">
        <x:f>"(65)996407089"</x:f>
        <x:v>(65)996407089</x:v>
      </x:c>
      <x:c r="Z47" s="30" t="n">
        <x:v>46287</x:v>
      </x:c>
    </x:row>
    <x:row r="48" ht="18" customHeight="1">
      <x:c r="A48" s="22" t="str">
        <x:f>"8d5d293c-ceee-4585-b9be-fedf38623190"</x:f>
        <x:v>8d5d293c-ceee-4585-b9be-fedf38623190</x:v>
      </x:c>
      <x:c r="B48" s="23" t="str">
        <x:v>ADRIANA SALLES DE SOUZA</x:v>
      </x:c>
      <x:c r="C48" s="23" t="str">
        <x:v>adriana salles de souza</x:v>
      </x:c>
      <x:c r="D48" s="22" t="str">
        <x:f>"67.831.050/0001-91"</x:f>
        <x:v>67.831.050/0001-91</x:v>
      </x:c>
      <x:c r="E48" s="22" t="str">
        <x:f>"67831050000191"</x:f>
        <x:v>67831050000191</x:v>
      </x:c>
      <x:c r="F48" s="22" t="str">
        <x:f>"909.340.591-87"</x:f>
        <x:v>909.340.591-87</x:v>
      </x:c>
      <x:c r="G48" s="22" t="str">
        <x:f>"90934059187"</x:f>
        <x:v>90934059187</x:v>
      </x:c>
      <x:c r="H48" s="23" t="str">
        <x:v>asallesdesouza@gmail.com</x:v>
      </x:c>
      <x:c r="I48" s="22" t="str">
        <x:f>"65 9926-1688"</x:f>
        <x:v>65 9926-1688</x:v>
      </x:c>
      <x:c r="J48" s="23" t="str">
        <x:v>RENTAL</x:v>
      </x:c>
      <x:c r="K48" s="23" t="str">
        <x:v>rental_company</x:v>
      </x:c>
      <x:c r="L48" s="24" t="b">
        <x:v>1</x:v>
      </x:c>
      <x:c r="M48" s="23" t="n">
        <x:v>1</x:v>
      </x:c>
      <x:c r="N48" s="28" t="n">
        <x:v>46219.812988715275</x:v>
      </x:c>
      <x:c r="O48" s="28" t="n">
        <x:v>46219.812988715275</x:v>
      </x:c>
      <x:c r="P48" s="23" t="str">
        <x:v>CUIABA</x:v>
      </x:c>
      <x:c r="Q48" s="30" t="n">
        <x:v>28523</x:v>
      </x:c>
      <x:c r="R48" s="22" t="str">
        <x:f>"12422274"</x:f>
        <x:v>12422274</x:v>
      </x:c>
      <x:c r="S48" s="23" t="str">
        <x:v>feminino</x:v>
      </x:c>
      <x:c r="T48" s="22" t="str"/>
      <x:c r="U48" s="23" t="str">
        <x:v>ADRIANA SALLES DE SOUZA</x:v>
      </x:c>
      <x:c r="V48" s="22" t="str">
        <x:f>"909.340.591-87"</x:f>
        <x:v>909.340.591-87</x:v>
      </x:c>
      <x:c r="W48" s="22" t="str">
        <x:f>"90934059187"</x:f>
        <x:v>90934059187</x:v>
      </x:c>
      <x:c r="X48" s="23" t="str">
        <x:v>asallesdesouza@gmail.com</x:v>
      </x:c>
      <x:c r="Y48" s="22" t="str">
        <x:f>"65 9926-1688"</x:f>
        <x:v>65 9926-1688</x:v>
      </x:c>
      <x:c r="Z48" s="30" t="n">
        <x:v>46571</x:v>
      </x:c>
    </x:row>
    <x:row r="49" ht="18" customHeight="1">
      <x:c r="A49" s="22" t="str">
        <x:f>"32480575-2739-4de1-9767-ae7bbff580ec"</x:f>
        <x:v>32480575-2739-4de1-9767-ae7bbff580ec</x:v>
      </x:c>
      <x:c r="B49" s="23" t="str">
        <x:v>ADRIANA SOARES DOS SANTOS</x:v>
      </x:c>
      <x:c r="C49" s="23" t="str">
        <x:v>adriana soares dos santos</x:v>
      </x:c>
      <x:c r="D49" s="22" t="str">
        <x:f>"61.932.267/0001-01"</x:f>
        <x:v>61.932.267/0001-01</x:v>
      </x:c>
      <x:c r="E49" s="22" t="str">
        <x:f>"61932267000101"</x:f>
        <x:v>61932267000101</x:v>
      </x:c>
      <x:c r="F49" s="22" t="str">
        <x:f>"037.674.457-00"</x:f>
        <x:v>037.674.457-00</x:v>
      </x:c>
      <x:c r="G49" s="22" t="str">
        <x:f>"03767445700"</x:f>
        <x:v>03767445700</x:v>
      </x:c>
      <x:c r="H49" s="23" t="str">
        <x:v>soaressdrica42@gmail.com</x:v>
      </x:c>
      <x:c r="I49" s="22" t="str">
        <x:f>"21964695334"</x:f>
        <x:v>21964695334</x:v>
      </x:c>
      <x:c r="J49" s="23" t="str">
        <x:v>SPOT</x:v>
      </x:c>
      <x:c r="K49" s="23" t="str">
        <x:v>favored_only</x:v>
      </x:c>
      <x:c r="L49" s="24" t="b">
        <x:v>1</x:v>
      </x:c>
      <x:c r="M49" s="23" t="n">
        <x:v>1</x:v>
      </x:c>
      <x:c r="N49" s="28" t="n">
        <x:v>46219.812988715275</x:v>
      </x:c>
      <x:c r="O49" s="28" t="n">
        <x:v>46219.812988715275</x:v>
      </x:c>
      <x:c r="P49" s="23" t="str">
        <x:v>CORDOVIL</x:v>
      </x:c>
      <x:c r="Q49" s="30" t="n">
        <x:v>28128</x:v>
      </x:c>
      <x:c r="R49" s="22" t="str">
        <x:f>"102447676"</x:f>
        <x:v>102447676</x:v>
      </x:c>
      <x:c r="S49" s="23" t="str">
        <x:v>feminino</x:v>
      </x:c>
      <x:c r="T49" s="22" t="str">
        <x:f>"LRO9E10"</x:f>
        <x:v>LRO9E10</x:v>
      </x:c>
      <x:c r="U49" s="23" t="str">
        <x:v>TAINARA SOARES DOS SANTOS BRAGA</x:v>
      </x:c>
      <x:c r="V49" s="22" t="str">
        <x:f>"148.893.537-80"</x:f>
        <x:v>148.893.537-80</x:v>
      </x:c>
      <x:c r="W49" s="22" t="str">
        <x:f>"14889353780"</x:f>
        <x:v>14889353780</x:v>
      </x:c>
      <x:c r="X49" s="23" t="str">
        <x:v>soaressdrica42@gmail.com</x:v>
      </x:c>
      <x:c r="Y49" s="22" t="str">
        <x:f>"21964695334"</x:f>
        <x:v>21964695334</x:v>
      </x:c>
      <x:c r="Z49" s="30" t="n">
        <x:v>46499</x:v>
      </x:c>
    </x:row>
    <x:row r="50" ht="18" customHeight="1">
      <x:c r="A50" s="22" t="str">
        <x:f>"6e866675-521d-4680-a56c-32c69d3aae09"</x:f>
        <x:v>6e866675-521d-4680-a56c-32c69d3aae09</x:v>
      </x:c>
      <x:c r="B50" s="23" t="str">
        <x:v>ADRIANA VIEIRA DA SILVA</x:v>
      </x:c>
      <x:c r="C50" s="23" t="str">
        <x:v>adriana vieira da silva</x:v>
      </x:c>
      <x:c r="D50" s="22" t="str">
        <x:f>"47.702.073/0001-99"</x:f>
        <x:v>47.702.073/0001-99</x:v>
      </x:c>
      <x:c r="E50" s="22" t="str">
        <x:f>"47702073000199"</x:f>
        <x:v>47702073000199</x:v>
      </x:c>
      <x:c r="F50" s="22" t="str">
        <x:f>"050.515.406-43"</x:f>
        <x:v>050.515.406-43</x:v>
      </x:c>
      <x:c r="G50" s="22" t="str">
        <x:f>"05051540643"</x:f>
        <x:v>05051540643</x:v>
      </x:c>
      <x:c r="H50" s="23" t="str">
        <x:v>adriana.avdsa@gmail.com</x:v>
      </x:c>
      <x:c r="I50" s="22" t="str">
        <x:f>"35991840606"</x:f>
        <x:v>35991840606</x:v>
      </x:c>
      <x:c r="J50" s="23" t="str">
        <x:v>SPOT</x:v>
      </x:c>
      <x:c r="K50" s="23" t="str">
        <x:v>favored_only</x:v>
      </x:c>
      <x:c r="L50" s="24" t="b">
        <x:v>1</x:v>
      </x:c>
      <x:c r="M50" s="23" t="n">
        <x:v>1</x:v>
      </x:c>
      <x:c r="N50" s="28" t="n">
        <x:v>46205.60646206018</x:v>
      </x:c>
      <x:c r="O50" s="28" t="n">
        <x:v>46219.812988715275</x:v>
      </x:c>
      <x:c r="P50" s="23" t="str">
        <x:v>GUAXUPE</x:v>
      </x:c>
      <x:c r="Q50" s="30" t="n">
        <x:v>30345</x:v>
      </x:c>
      <x:c r="R50" s="22" t="str">
        <x:f>"12374051"</x:f>
        <x:v>12374051</x:v>
      </x:c>
      <x:c r="S50" s="23" t="str">
        <x:v>feminino</x:v>
      </x:c>
      <x:c r="T50" s="22" t="str">
        <x:f>"RMX3H80"</x:f>
        <x:v>RMX3H80</x:v>
      </x:c>
      <x:c r="U50" s="23" t="str">
        <x:v>LEANDRO CLAITON ARAUJO</x:v>
      </x:c>
      <x:c r="V50" s="22" t="str">
        <x:f>"040.718.386-80"</x:f>
        <x:v>040.718.386-80</x:v>
      </x:c>
      <x:c r="W50" s="22" t="str">
        <x:f>"04071838680"</x:f>
        <x:v>04071838680</x:v>
      </x:c>
      <x:c r="X50" s="23" t="str">
        <x:v>LEANDRO.TIMBRASIL@OUTLOOK.COM</x:v>
      </x:c>
      <x:c r="Y50" s="22" t="str">
        <x:f>"35 9184-0200"</x:f>
        <x:v>35 9184-0200</x:v>
      </x:c>
      <x:c r="Z50" s="30" t="n">
        <x:v>46521</x:v>
      </x:c>
    </x:row>
    <x:row r="51" ht="18" customHeight="1">
      <x:c r="A51" s="22" t="str">
        <x:f>"f67ee78f-7b64-4787-8e8d-efd01f875592"</x:f>
        <x:v>f67ee78f-7b64-4787-8e8d-efd01f875592</x:v>
      </x:c>
      <x:c r="B51" s="23" t="str">
        <x:v>ADRIAN DOMINGOS PINHEIRO JATOBA</x:v>
      </x:c>
      <x:c r="C51" s="23" t="str">
        <x:v>adrian domingos pinheiro jatoba</x:v>
      </x:c>
      <x:c r="D51" s="22" t="str">
        <x:f>"50.073.217/0001-08"</x:f>
        <x:v>50.073.217/0001-08</x:v>
      </x:c>
      <x:c r="E51" s="22" t="str">
        <x:f>"50073217000108"</x:f>
        <x:v>50073217000108</x:v>
      </x:c>
      <x:c r="F51" s="22" t="str">
        <x:f>"062.295.251-00"</x:f>
        <x:v>062.295.251-00</x:v>
      </x:c>
      <x:c r="G51" s="22" t="str">
        <x:f>"06229525100"</x:f>
        <x:v>06229525100</x:v>
      </x:c>
      <x:c r="H51" s="23" t="str">
        <x:v>luizlourenco260301@gmail.com</x:v>
      </x:c>
      <x:c r="I51" s="22" t="str">
        <x:f>"65993446031"</x:f>
        <x:v>65993446031</x:v>
      </x:c>
      <x:c r="J51" s="23" t="str">
        <x:v>SPOT</x:v>
      </x:c>
      <x:c r="K51" s="23" t="str">
        <x:v>favored_only</x:v>
      </x:c>
      <x:c r="L51" s="24" t="b">
        <x:v>1</x:v>
      </x:c>
      <x:c r="M51" s="23" t="n">
        <x:v>1</x:v>
      </x:c>
      <x:c r="N51" s="28" t="n">
        <x:v>46205.60634252315</x:v>
      </x:c>
      <x:c r="O51" s="28" t="n">
        <x:v>46219.812988715275</x:v>
      </x:c>
      <x:c r="P51" s="23" t="str">
        <x:v>CÁCERES</x:v>
      </x:c>
      <x:c r="Q51" s="30" t="n">
        <x:v>37115</x:v>
      </x:c>
      <x:c r="R51" s="22" t="str">
        <x:f>"29890446"</x:f>
        <x:v>29890446</x:v>
      </x:c>
      <x:c r="S51" s="23" t="str">
        <x:v>masculino</x:v>
      </x:c>
      <x:c r="T51" s="22" t="str">
        <x:f>"OBE6774"</x:f>
        <x:v>OBE6774</x:v>
      </x:c>
      <x:c r="U51" s="23" t="str">
        <x:v>EVANDRO DE OLIVEIRA LOURENCO</x:v>
      </x:c>
      <x:c r="V51" s="22" t="str">
        <x:f>"012.957.851-70"</x:f>
        <x:v>012.957.851-70</x:v>
      </x:c>
      <x:c r="W51" s="22" t="str">
        <x:f>"01295785170"</x:f>
        <x:v>01295785170</x:v>
      </x:c>
      <x:c r="X51" s="23" t="str">
        <x:v>evandromsoliveira@gmail.com</x:v>
      </x:c>
      <x:c r="Y51" s="22" t="str">
        <x:f>"65992188094"</x:f>
        <x:v>65992188094</x:v>
      </x:c>
      <x:c r="Z51" s="30" t="n">
        <x:v>46354</x:v>
      </x:c>
    </x:row>
    <x:row r="52" ht="18" customHeight="1">
      <x:c r="A52" s="22" t="str">
        <x:f>"8381b7ab-b23f-464a-a4bd-9a1381b8b267"</x:f>
        <x:v>8381b7ab-b23f-464a-a4bd-9a1381b8b267</x:v>
      </x:c>
      <x:c r="B52" s="23" t="str">
        <x:v>ADRIANE BICALHO RIBEIRO</x:v>
      </x:c>
      <x:c r="C52" s="23" t="str">
        <x:v>adriane bicalho ribeiro</x:v>
      </x:c>
      <x:c r="D52" s="22" t="str">
        <x:f>"54.604.534/0001-56"</x:f>
        <x:v>54.604.534/0001-56</x:v>
      </x:c>
      <x:c r="E52" s="22" t="str">
        <x:f>"54604534000156"</x:f>
        <x:v>54604534000156</x:v>
      </x:c>
      <x:c r="F52" s="22" t="str">
        <x:f>"056.170.746-44"</x:f>
        <x:v>056.170.746-44</x:v>
      </x:c>
      <x:c r="G52" s="22" t="str">
        <x:f>"05617074644"</x:f>
        <x:v>05617074644</x:v>
      </x:c>
      <x:c r="H52" s="23" t="str">
        <x:v>adrianebicalho605@gmail.com</x:v>
      </x:c>
      <x:c r="I52" s="22" t="str">
        <x:f>"31999194033"</x:f>
        <x:v>31999194033</x:v>
      </x:c>
      <x:c r="J52" s="23" t="str">
        <x:v>SPOT</x:v>
      </x:c>
      <x:c r="K52" s="23" t="str">
        <x:v>favored_only</x:v>
      </x:c>
      <x:c r="L52" s="24" t="b">
        <x:v>1</x:v>
      </x:c>
      <x:c r="M52" s="23" t="n">
        <x:v>1</x:v>
      </x:c>
      <x:c r="N52" s="28" t="n">
        <x:v>46219.812988715275</x:v>
      </x:c>
      <x:c r="O52" s="28" t="n">
        <x:v>46219.812988715275</x:v>
      </x:c>
      <x:c r="P52" s="23" t="str">
        <x:v>NOVA LIMA</x:v>
      </x:c>
      <x:c r="Q52" s="30" t="n">
        <x:v>29867</x:v>
      </x:c>
      <x:c r="R52" s="22" t="str">
        <x:f>"11984857"</x:f>
        <x:v>11984857</x:v>
      </x:c>
      <x:c r="S52" s="23" t="str">
        <x:v>feminino</x:v>
      </x:c>
      <x:c r="T52" s="22" t="str">
        <x:f>"QUI4G44"</x:f>
        <x:v>QUI4G44</x:v>
      </x:c>
      <x:c r="U52" s="23" t="str">
        <x:v>ADRIANE BICALHO RIBEIRO</x:v>
      </x:c>
      <x:c r="V52" s="22" t="str">
        <x:f>"056.170.746-44"</x:f>
        <x:v>056.170.746-44</x:v>
      </x:c>
      <x:c r="W52" s="22" t="str">
        <x:f>"05617074644"</x:f>
        <x:v>05617074644</x:v>
      </x:c>
      <x:c r="X52" s="23" t="str">
        <x:v>adrianebicalho605@gmail.com</x:v>
      </x:c>
      <x:c r="Y52" s="22" t="str">
        <x:f>"31999194033"</x:f>
        <x:v>31999194033</x:v>
      </x:c>
      <x:c r="Z52" s="30" t="n">
        <x:v>46436</x:v>
      </x:c>
    </x:row>
    <x:row r="53" ht="18" customHeight="1">
      <x:c r="A53" s="22" t="str">
        <x:f>"7042b6f0-3fc9-4c18-8b6e-496368163a4e"</x:f>
        <x:v>7042b6f0-3fc9-4c18-8b6e-496368163a4e</x:v>
      </x:c>
      <x:c r="B53" s="23" t="str">
        <x:v>ADRIANO ALVES DE OLIVEIRA</x:v>
      </x:c>
      <x:c r="C53" s="23" t="str">
        <x:v>adriano alves de oliveira</x:v>
      </x:c>
      <x:c r="D53" s="22" t="str">
        <x:f>"57.446.514/0001-92"</x:f>
        <x:v>57.446.514/0001-92</x:v>
      </x:c>
      <x:c r="E53" s="22" t="str">
        <x:f>"57446514000192"</x:f>
        <x:v>57446514000192</x:v>
      </x:c>
      <x:c r="F53" s="22" t="str">
        <x:f>"04421142140"</x:f>
        <x:v>04421142140</x:v>
      </x:c>
      <x:c r="G53" s="22" t="str">
        <x:f>"04421142140"</x:f>
        <x:v>04421142140</x:v>
      </x:c>
      <x:c r="H53" s="23" t="str">
        <x:v>ADRIANINHO_ARAP@HOTMAIL.COM</x:v>
      </x:c>
      <x:c r="I53" s="22" t="str">
        <x:f>"6599634846"</x:f>
        <x:v>6599634846</x:v>
      </x:c>
      <x:c r="J53" s="23" t="str">
        <x:v>SPOT</x:v>
      </x:c>
      <x:c r="K53" s="23" t="str">
        <x:v>favored_only</x:v>
      </x:c>
      <x:c r="L53" s="24" t="b">
        <x:v>1</x:v>
      </x:c>
      <x:c r="M53" s="23" t="n">
        <x:v>1</x:v>
      </x:c>
      <x:c r="N53" s="28" t="n">
        <x:v>46203.92183017361</x:v>
      </x:c>
      <x:c r="O53" s="28" t="n">
        <x:v>46203.92183017361</x:v>
      </x:c>
      <x:c r="P53" s="23" t="str"/>
      <x:c r="Q53" s="30" t="str"/>
      <x:c r="R53" s="22" t="str"/>
      <x:c r="S53" s="23" t="str"/>
      <x:c r="T53" s="22" t="str"/>
      <x:c r="U53" s="23" t="str">
        <x:v>ADRIANO ALVES DE OLIVEIRA</x:v>
      </x:c>
      <x:c r="V53" s="22" t="str">
        <x:f>"04421142140"</x:f>
        <x:v>04421142140</x:v>
      </x:c>
      <x:c r="W53" s="22" t="str">
        <x:f>"04421142140"</x:f>
        <x:v>04421142140</x:v>
      </x:c>
      <x:c r="X53" s="23" t="str">
        <x:v>ADRIANINHO_ARAP@HOTMAIL.COM</x:v>
      </x:c>
      <x:c r="Y53" s="22" t="str">
        <x:f>"6599634846"</x:f>
        <x:v>6599634846</x:v>
      </x:c>
      <x:c r="Z53" s="30" t="str"/>
    </x:row>
    <x:row r="54" ht="18" customHeight="1">
      <x:c r="A54" s="22" t="str">
        <x:f>"2a7df64e-1d9e-4b08-8c89-34ce0edf610d"</x:f>
        <x:v>2a7df64e-1d9e-4b08-8c89-34ce0edf610d</x:v>
      </x:c>
      <x:c r="B54" s="23" t="str">
        <x:v>ADRIANO ANTONIO DA SILVA</x:v>
      </x:c>
      <x:c r="C54" s="23" t="str">
        <x:v>adriano antonio da silva</x:v>
      </x:c>
      <x:c r="D54" s="22" t="str">
        <x:f>"60.459.993/0001-96"</x:f>
        <x:v>60.459.993/0001-96</x:v>
      </x:c>
      <x:c r="E54" s="22" t="str">
        <x:f>"60459993000196"</x:f>
        <x:v>60459993000196</x:v>
      </x:c>
      <x:c r="F54" s="22" t="str">
        <x:f>"051.760.336-58"</x:f>
        <x:v>051.760.336-58</x:v>
      </x:c>
      <x:c r="G54" s="22" t="str">
        <x:f>"05176033658"</x:f>
        <x:v>05176033658</x:v>
      </x:c>
      <x:c r="H54" s="23" t="str">
        <x:v>adrianocmd@yahoo.com.br</x:v>
      </x:c>
      <x:c r="I54" s="22" t="str">
        <x:f>"31 99690-7477"</x:f>
        <x:v>31 99690-7477</x:v>
      </x:c>
      <x:c r="J54" s="23" t="str">
        <x:v>SPOT</x:v>
      </x:c>
      <x:c r="K54" s="23" t="str">
        <x:v>favored_only</x:v>
      </x:c>
      <x:c r="L54" s="24" t="b">
        <x:v>1</x:v>
      </x:c>
      <x:c r="M54" s="23" t="n">
        <x:v>1</x:v>
      </x:c>
      <x:c r="N54" s="28" t="n">
        <x:v>46203.92186462963</x:v>
      </x:c>
      <x:c r="O54" s="28" t="n">
        <x:v>46219.812988715275</x:v>
      </x:c>
      <x:c r="P54" s="23" t="str">
        <x:v>CONCEIÇÃO DO MATO DENTRO</x:v>
      </x:c>
      <x:c r="Q54" s="30" t="n">
        <x:v>30362</x:v>
      </x:c>
      <x:c r="R54" s="22" t="str">
        <x:f>"MG-12542679"</x:f>
        <x:v>MG-12542679</x:v>
      </x:c>
      <x:c r="S54" s="23" t="str">
        <x:v>masculino</x:v>
      </x:c>
      <x:c r="T54" s="22" t="str">
        <x:f>"PWT8B35"</x:f>
        <x:v>PWT8B35</x:v>
      </x:c>
      <x:c r="U54" s="23" t="str">
        <x:v>ADRIANO ANTONIO DA SILVA</x:v>
      </x:c>
      <x:c r="V54" s="22" t="str">
        <x:f>"051.760.336-58"</x:f>
        <x:v>051.760.336-58</x:v>
      </x:c>
      <x:c r="W54" s="22" t="str">
        <x:f>"05176033658"</x:f>
        <x:v>05176033658</x:v>
      </x:c>
      <x:c r="X54" s="23" t="str">
        <x:v>adrianocmd@yahoo.com.br</x:v>
      </x:c>
      <x:c r="Y54" s="22" t="str">
        <x:f>"31 99690-7477"</x:f>
        <x:v>31 99690-7477</x:v>
      </x:c>
      <x:c r="Z54" s="30" t="n">
        <x:v>46269</x:v>
      </x:c>
    </x:row>
    <x:row r="55" ht="18" customHeight="1">
      <x:c r="A55" s="22" t="str">
        <x:f>"b16f59cd-9dea-4624-ba8a-1cc30e0d484c"</x:f>
        <x:v>b16f59cd-9dea-4624-ba8a-1cc30e0d484c</x:v>
      </x:c>
      <x:c r="B55" s="23" t="str">
        <x:v>ADRIANO DA SILVA ALMINO</x:v>
      </x:c>
      <x:c r="C55" s="23" t="str">
        <x:v>adriano da silva almino</x:v>
      </x:c>
      <x:c r="D55" s="22" t="str">
        <x:f>"61.288.206/0001-53"</x:f>
        <x:v>61.288.206/0001-53</x:v>
      </x:c>
      <x:c r="E55" s="22" t="str">
        <x:f>"61288206000153"</x:f>
        <x:v>61288206000153</x:v>
      </x:c>
      <x:c r="F55" s="22" t="str">
        <x:f>"116.775.417-41"</x:f>
        <x:v>116.775.417-41</x:v>
      </x:c>
      <x:c r="G55" s="22" t="str">
        <x:f>"11677541741"</x:f>
        <x:v>11677541741</x:v>
      </x:c>
      <x:c r="H55" s="23" t="str">
        <x:v>adrianoalmino.la@gmail.com</x:v>
      </x:c>
      <x:c r="I55" s="22" t="str">
        <x:f>"21997778490"</x:f>
        <x:v>21997778490</x:v>
      </x:c>
      <x:c r="J55" s="23" t="str">
        <x:v>SPOT</x:v>
      </x:c>
      <x:c r="K55" s="23" t="str">
        <x:v>favored_only</x:v>
      </x:c>
      <x:c r="L55" s="24" t="b">
        <x:v>1</x:v>
      </x:c>
      <x:c r="M55" s="23" t="n">
        <x:v>1</x:v>
      </x:c>
      <x:c r="N55" s="28" t="n">
        <x:v>46203.92183332176</x:v>
      </x:c>
      <x:c r="O55" s="28" t="n">
        <x:v>46219.812988715275</x:v>
      </x:c>
      <x:c r="P55" s="23" t="str">
        <x:v>QUEIMADOS</x:v>
      </x:c>
      <x:c r="Q55" s="30" t="n">
        <x:v>32666</x:v>
      </x:c>
      <x:c r="R55" s="22" t="str">
        <x:f>"209557842"</x:f>
        <x:v>209557842</x:v>
      </x:c>
      <x:c r="S55" s="23" t="str">
        <x:v>masculino</x:v>
      </x:c>
      <x:c r="T55" s="22" t="str">
        <x:f>"LPV8B61"</x:f>
        <x:v>LPV8B61</x:v>
      </x:c>
      <x:c r="U55" s="23" t="str">
        <x:v>ADRIANO DA SILVA ALMINO</x:v>
      </x:c>
      <x:c r="V55" s="22" t="str">
        <x:f>"116.775.417-41"</x:f>
        <x:v>116.775.417-41</x:v>
      </x:c>
      <x:c r="W55" s="22" t="str">
        <x:f>"11677541741"</x:f>
        <x:v>11677541741</x:v>
      </x:c>
      <x:c r="X55" s="23" t="str">
        <x:v>adrianoalmino.la@gmail.com</x:v>
      </x:c>
      <x:c r="Y55" s="22" t="str">
        <x:f>"21997778490"</x:f>
        <x:v>21997778490</x:v>
      </x:c>
      <x:c r="Z55" s="30" t="n">
        <x:v>46522</x:v>
      </x:c>
    </x:row>
    <x:row r="56" ht="18" customHeight="1">
      <x:c r="A56" s="22" t="str">
        <x:f>"84886d21-d174-4f17-9ab2-2e3bce8f4edd"</x:f>
        <x:v>84886d21-d174-4f17-9ab2-2e3bce8f4edd</x:v>
      </x:c>
      <x:c r="B56" s="23" t="str">
        <x:v>ADRIANO DE JESUS SANTOS</x:v>
      </x:c>
      <x:c r="C56" s="23" t="str">
        <x:v>adriano de jesus santos</x:v>
      </x:c>
      <x:c r="D56" s="22" t="str">
        <x:f>"35.790.412/0001-57"</x:f>
        <x:v>35.790.412/0001-57</x:v>
      </x:c>
      <x:c r="E56" s="22" t="str">
        <x:f>"35790412000157"</x:f>
        <x:v>35790412000157</x:v>
      </x:c>
      <x:c r="F56" s="22" t="str">
        <x:f>"289.435.878-48"</x:f>
        <x:v>289.435.878-48</x:v>
      </x:c>
      <x:c r="G56" s="22" t="str">
        <x:f>"28943587848"</x:f>
        <x:v>28943587848</x:v>
      </x:c>
      <x:c r="H56" s="23" t="str">
        <x:v>pastor.ajs2016@gmail.com</x:v>
      </x:c>
      <x:c r="I56" s="22" t="str">
        <x:f>"(11)991992950"</x:f>
        <x:v>(11)991992950</x:v>
      </x:c>
      <x:c r="J56" s="23" t="str">
        <x:v>RENTAL</x:v>
      </x:c>
      <x:c r="K56" s="23" t="str">
        <x:v>rental_company</x:v>
      </x:c>
      <x:c r="L56" s="24" t="b">
        <x:v>1</x:v>
      </x:c>
      <x:c r="M56" s="23" t="n">
        <x:v>1</x:v>
      </x:c>
      <x:c r="N56" s="28" t="n">
        <x:v>46203.92189965278</x:v>
      </x:c>
      <x:c r="O56" s="28" t="n">
        <x:v>46219.812988715275</x:v>
      </x:c>
      <x:c r="P56" s="23" t="str">
        <x:v>MADEIRA MADEIRA</x:v>
      </x:c>
      <x:c r="Q56" s="30" t="n">
        <x:v>29858</x:v>
      </x:c>
      <x:c r="R56" s="22" t="str">
        <x:f>"300029032"</x:f>
        <x:v>300029032</x:v>
      </x:c>
      <x:c r="S56" s="23" t="str">
        <x:v>masculino</x:v>
      </x:c>
      <x:c r="T56" s="22" t="str"/>
      <x:c r="U56" s="23" t="str">
        <x:v>ADRIANO DE JESUS SANTOS</x:v>
      </x:c>
      <x:c r="V56" s="22" t="str">
        <x:f>"289.435.878-48"</x:f>
        <x:v>289.435.878-48</x:v>
      </x:c>
      <x:c r="W56" s="22" t="str">
        <x:f>"28943587848"</x:f>
        <x:v>28943587848</x:v>
      </x:c>
      <x:c r="X56" s="23" t="str">
        <x:v>pastor.ajs2016@gmail.com</x:v>
      </x:c>
      <x:c r="Y56" s="22" t="str">
        <x:f>"(11)991992950"</x:f>
        <x:v>(11)991992950</x:v>
      </x:c>
      <x:c r="Z56" s="30" t="n">
        <x:v>46351</x:v>
      </x:c>
    </x:row>
    <x:row r="57" ht="18" customHeight="1">
      <x:c r="A57" s="22" t="str">
        <x:f>"194770d3-58c2-420a-b5cc-598ed347610e"</x:f>
        <x:v>194770d3-58c2-420a-b5cc-598ed347610e</x:v>
      </x:c>
      <x:c r="B57" s="23" t="str">
        <x:v>ADRIANO DE OLIVEIRA SILVA</x:v>
      </x:c>
      <x:c r="C57" s="23" t="str">
        <x:v>adriano de oliveira silva</x:v>
      </x:c>
      <x:c r="D57" s="22" t="str">
        <x:f>"41.146.803/0001-85"</x:f>
        <x:v>41.146.803/0001-85</x:v>
      </x:c>
      <x:c r="E57" s="22" t="str">
        <x:f>"41146803000185"</x:f>
        <x:v>41146803000185</x:v>
      </x:c>
      <x:c r="F57" s="22" t="str">
        <x:f>"015.774.486-85"</x:f>
        <x:v>015.774.486-85</x:v>
      </x:c>
      <x:c r="G57" s="22" t="str">
        <x:f>"01577448685"</x:f>
        <x:v>01577448685</x:v>
      </x:c>
      <x:c r="H57" s="23" t="str">
        <x:v>adrianodeoliveirasilva869@gmail.com</x:v>
      </x:c>
      <x:c r="I57" s="22" t="str">
        <x:f>"34 9711-0670"</x:f>
        <x:v>34 9711-0670</x:v>
      </x:c>
      <x:c r="J57" s="23" t="str">
        <x:v>RENTAL</x:v>
      </x:c>
      <x:c r="K57" s="23" t="str">
        <x:v>rental_company</x:v>
      </x:c>
      <x:c r="L57" s="24" t="b">
        <x:v>1</x:v>
      </x:c>
      <x:c r="M57" s="23" t="n">
        <x:v>1</x:v>
      </x:c>
      <x:c r="N57" s="28" t="n">
        <x:v>46203.921852962965</x:v>
      </x:c>
      <x:c r="O57" s="28" t="n">
        <x:v>46219.812988715275</x:v>
      </x:c>
      <x:c r="P57" s="23" t="str">
        <x:v>UBERLANDIA</x:v>
      </x:c>
      <x:c r="Q57" s="30" t="n">
        <x:v>31820</x:v>
      </x:c>
      <x:c r="R57" s="22" t="str">
        <x:f>"MG14195299"</x:f>
        <x:v>MG14195299</x:v>
      </x:c>
      <x:c r="S57" s="23" t="str">
        <x:v>masculino</x:v>
      </x:c>
      <x:c r="T57" s="22" t="str"/>
      <x:c r="U57" s="23" t="str">
        <x:v>ADRIANO DE OLIVEIRA SILVA</x:v>
      </x:c>
      <x:c r="V57" s="22" t="str">
        <x:f>"015.774.486-85"</x:f>
        <x:v>015.774.486-85</x:v>
      </x:c>
      <x:c r="W57" s="22" t="str">
        <x:f>"01577448685"</x:f>
        <x:v>01577448685</x:v>
      </x:c>
      <x:c r="X57" s="23" t="str">
        <x:v>adrianodeoliveirasilva869@gmail.com</x:v>
      </x:c>
      <x:c r="Y57" s="22" t="str">
        <x:f>"34 9711-0670"</x:f>
        <x:v>34 9711-0670</x:v>
      </x:c>
      <x:c r="Z57" s="30" t="n">
        <x:v>46245</x:v>
      </x:c>
    </x:row>
    <x:row r="58" ht="18" customHeight="1">
      <x:c r="A58" s="22" t="str">
        <x:f>"2bd66aa2-502b-4dda-b2e2-a952057cee09"</x:f>
        <x:v>2bd66aa2-502b-4dda-b2e2-a952057cee09</x:v>
      </x:c>
      <x:c r="B58" s="23" t="str">
        <x:v>ADRIANO DE OLIVEIRA SILVA</x:v>
      </x:c>
      <x:c r="C58" s="23" t="str">
        <x:v>adriano de oliveira silva</x:v>
      </x:c>
      <x:c r="D58" s="22" t="str">
        <x:f>"41.146.803/0001-36"</x:f>
        <x:v>41.146.803/0001-36</x:v>
      </x:c>
      <x:c r="E58" s="22" t="str">
        <x:f>"41146803000136"</x:f>
        <x:v>41146803000136</x:v>
      </x:c>
      <x:c r="F58" s="22" t="str">
        <x:f>"015.774.486-85"</x:f>
        <x:v>015.774.486-85</x:v>
      </x:c>
      <x:c r="G58" s="22" t="str">
        <x:f>"01577448685"</x:f>
        <x:v>01577448685</x:v>
      </x:c>
      <x:c r="H58" s="23" t="str">
        <x:v>adrianodeoliveirasilva869@gmail.com</x:v>
      </x:c>
      <x:c r="I58" s="22" t="str">
        <x:f>"34 9711-0670"</x:f>
        <x:v>34 9711-0670</x:v>
      </x:c>
      <x:c r="J58" s="23" t="str">
        <x:v>RENTAL</x:v>
      </x:c>
      <x:c r="K58" s="23" t="str">
        <x:v>rental_company</x:v>
      </x:c>
      <x:c r="L58" s="24" t="b">
        <x:v>1</x:v>
      </x:c>
      <x:c r="M58" s="23" t="n">
        <x:v>1</x:v>
      </x:c>
      <x:c r="N58" s="28" t="n">
        <x:v>46203.921852962965</x:v>
      </x:c>
      <x:c r="O58" s="28" t="n">
        <x:v>46219.812988715275</x:v>
      </x:c>
      <x:c r="P58" s="23" t="str">
        <x:v>UBERLANDIA</x:v>
      </x:c>
      <x:c r="Q58" s="30" t="n">
        <x:v>31820</x:v>
      </x:c>
      <x:c r="R58" s="22" t="str">
        <x:f>"MG14195299"</x:f>
        <x:v>MG14195299</x:v>
      </x:c>
      <x:c r="S58" s="23" t="str">
        <x:v>masculino</x:v>
      </x:c>
      <x:c r="T58" s="22" t="str"/>
      <x:c r="U58" s="23" t="str">
        <x:v>ADRIANO DE OLIVEIRA SILVA</x:v>
      </x:c>
      <x:c r="V58" s="22" t="str">
        <x:f>"015.774.486-85"</x:f>
        <x:v>015.774.486-85</x:v>
      </x:c>
      <x:c r="W58" s="22" t="str">
        <x:f>"01577448685"</x:f>
        <x:v>01577448685</x:v>
      </x:c>
      <x:c r="X58" s="23" t="str">
        <x:v>adrianodeoliveirasilva869@gmail.com</x:v>
      </x:c>
      <x:c r="Y58" s="22" t="str">
        <x:f>"34 9711-0670"</x:f>
        <x:v>34 9711-0670</x:v>
      </x:c>
      <x:c r="Z58" s="30" t="n">
        <x:v>46245</x:v>
      </x:c>
    </x:row>
    <x:row r="59" ht="18" customHeight="1">
      <x:c r="A59" s="22" t="str">
        <x:f>"ea893352-5108-4560-85d4-1904ec310e31"</x:f>
        <x:v>ea893352-5108-4560-85d4-1904ec310e31</x:v>
      </x:c>
      <x:c r="B59" s="23" t="str">
        <x:v>ADRIANO DE SOUZA VILLELA</x:v>
      </x:c>
      <x:c r="C59" s="23" t="str">
        <x:v>adriano de souza villela</x:v>
      </x:c>
      <x:c r="D59" s="22" t="str">
        <x:f>"63.665.733/0001-65"</x:f>
        <x:v>63.665.733/0001-65</x:v>
      </x:c>
      <x:c r="E59" s="22" t="str">
        <x:f>"63665733000165"</x:f>
        <x:v>63665733000165</x:v>
      </x:c>
      <x:c r="F59" s="22" t="str">
        <x:f>"116.498.467-54"</x:f>
        <x:v>116.498.467-54</x:v>
      </x:c>
      <x:c r="G59" s="22" t="str">
        <x:f>"11649846754"</x:f>
        <x:v>11649846754</x:v>
      </x:c>
      <x:c r="H59" s="23" t="str">
        <x:v>villela.adriano@yahoo.com.br</x:v>
      </x:c>
      <x:c r="I59" s="22" t="str">
        <x:f>"21- 991457177"</x:f>
        <x:v>21- 991457177</x:v>
      </x:c>
      <x:c r="J59" s="23" t="str">
        <x:v>SPOT</x:v>
      </x:c>
      <x:c r="K59" s="23" t="str">
        <x:v>favored_only</x:v>
      </x:c>
      <x:c r="L59" s="24" t="b">
        <x:v>1</x:v>
      </x:c>
      <x:c r="M59" s="23" t="n">
        <x:v>1</x:v>
      </x:c>
      <x:c r="N59" s="28" t="n">
        <x:v>46203.92189349537</x:v>
      </x:c>
      <x:c r="O59" s="28" t="n">
        <x:v>46219.812988715275</x:v>
      </x:c>
      <x:c r="P59" s="23" t="str">
        <x:v>CORDOVIL</x:v>
      </x:c>
      <x:c r="Q59" s="30" t="n">
        <x:v>31639</x:v>
      </x:c>
      <x:c r="R59" s="22" t="str">
        <x:f>"188499771"</x:f>
        <x:v>188499771</x:v>
      </x:c>
      <x:c r="S59" s="23" t="str">
        <x:v>masculino</x:v>
      </x:c>
      <x:c r="T59" s="22" t="str">
        <x:f>"KVG6A24"</x:f>
        <x:v>KVG6A24</x:v>
      </x:c>
      <x:c r="U59" s="23" t="str">
        <x:v>ADRIANO DE SOUZA VILLELA</x:v>
      </x:c>
      <x:c r="V59" s="22" t="str">
        <x:f>"116.498.467-54"</x:f>
        <x:v>116.498.467-54</x:v>
      </x:c>
      <x:c r="W59" s="22" t="str">
        <x:f>"11649846754"</x:f>
        <x:v>11649846754</x:v>
      </x:c>
      <x:c r="X59" s="23" t="str">
        <x:v>villela.adriano@yahoo.com.br</x:v>
      </x:c>
      <x:c r="Y59" s="22" t="str">
        <x:f>"21- 991457177"</x:f>
        <x:v>21- 991457177</x:v>
      </x:c>
      <x:c r="Z59" s="30" t="n">
        <x:v>46344</x:v>
      </x:c>
    </x:row>
    <x:row r="60" ht="18" customHeight="1">
      <x:c r="A60" s="22" t="str">
        <x:f>"fdca3570-5e10-4f42-b67a-8cbe08aa40c1"</x:f>
        <x:v>fdca3570-5e10-4f42-b67a-8cbe08aa40c1</x:v>
      </x:c>
      <x:c r="B60" s="23" t="str">
        <x:v>ADRIANO MACHADO</x:v>
      </x:c>
      <x:c r="C60" s="23" t="str">
        <x:v>adriano machado</x:v>
      </x:c>
      <x:c r="D60" s="22" t="str">
        <x:f>"63.688.491/0001-25"</x:f>
        <x:v>63.688.491/0001-25</x:v>
      </x:c>
      <x:c r="E60" s="22" t="str">
        <x:f>"63688491000125"</x:f>
        <x:v>63688491000125</x:v>
      </x:c>
      <x:c r="F60" s="22" t="str">
        <x:f>"129.859.527-43"</x:f>
        <x:v>129.859.527-43</x:v>
      </x:c>
      <x:c r="G60" s="22" t="str">
        <x:f>"12985952743"</x:f>
        <x:v>12985952743</x:v>
      </x:c>
      <x:c r="H60" s="23" t="str">
        <x:v>adriano.machadons@gmail.com</x:v>
      </x:c>
      <x:c r="I60" s="22" t="str">
        <x:f>"21966514001"</x:f>
        <x:v>21966514001</x:v>
      </x:c>
      <x:c r="J60" s="23" t="str">
        <x:v>SPOT</x:v>
      </x:c>
      <x:c r="K60" s="23" t="str">
        <x:v>favored_only</x:v>
      </x:c>
      <x:c r="L60" s="24" t="b">
        <x:v>1</x:v>
      </x:c>
      <x:c r="M60" s="23" t="n">
        <x:v>1</x:v>
      </x:c>
      <x:c r="N60" s="28" t="n">
        <x:v>46203.92189349537</x:v>
      </x:c>
      <x:c r="O60" s="28" t="n">
        <x:v>46219.812988715275</x:v>
      </x:c>
      <x:c r="P60" s="23" t="str">
        <x:v>BARUERI</x:v>
      </x:c>
      <x:c r="Q60" s="30" t="n">
        <x:v>33470</x:v>
      </x:c>
      <x:c r="R60" s="22" t="str">
        <x:f>"241320324"</x:f>
        <x:v>241320324</x:v>
      </x:c>
      <x:c r="S60" s="23" t="str">
        <x:v>masculino</x:v>
      </x:c>
      <x:c r="T60" s="22" t="str">
        <x:f>"FOU7J27"</x:f>
        <x:v>FOU7J27</x:v>
      </x:c>
      <x:c r="U60" s="23" t="str">
        <x:v>ADRIANO MACHADO</x:v>
      </x:c>
      <x:c r="V60" s="22" t="str">
        <x:f>"129.859.527-43"</x:f>
        <x:v>129.859.527-43</x:v>
      </x:c>
      <x:c r="W60" s="22" t="str">
        <x:f>"12985952743"</x:f>
        <x:v>12985952743</x:v>
      </x:c>
      <x:c r="X60" s="23" t="str">
        <x:v>adriano.machadons@gmail.com</x:v>
      </x:c>
      <x:c r="Y60" s="22" t="str">
        <x:f>"21966514001"</x:f>
        <x:v>21966514001</x:v>
      </x:c>
      <x:c r="Z60" s="30" t="n">
        <x:v>46343</x:v>
      </x:c>
    </x:row>
    <x:row r="61" ht="18" customHeight="1">
      <x:c r="A61" s="22" t="str">
        <x:f>"bc1dacec-f141-46fe-8584-d56eef1d90e3"</x:f>
        <x:v>bc1dacec-f141-46fe-8584-d56eef1d90e3</x:v>
      </x:c>
      <x:c r="B61" s="23" t="str">
        <x:v>ADRIANO MACIEL KUGA</x:v>
      </x:c>
      <x:c r="C61" s="23" t="str">
        <x:v>adriano maciel kuga</x:v>
      </x:c>
      <x:c r="D61" s="22" t="str">
        <x:f>"64.043.677/0001-90"</x:f>
        <x:v>64.043.677/0001-90</x:v>
      </x:c>
      <x:c r="E61" s="22" t="str">
        <x:f>"64043677000190"</x:f>
        <x:v>64043677000190</x:v>
      </x:c>
      <x:c r="F61" s="22" t="str">
        <x:f>"980.469.772-68"</x:f>
        <x:v>980.469.772-68</x:v>
      </x:c>
      <x:c r="G61" s="22" t="str">
        <x:f>"98046977268"</x:f>
        <x:v>98046977268</x:v>
      </x:c>
      <x:c r="H61" s="23" t="str">
        <x:v>ichibanoficina@gmail.com</x:v>
      </x:c>
      <x:c r="I61" s="22" t="str">
        <x:f>"(17) 99772-3076"</x:f>
        <x:v>(17) 99772-3076</x:v>
      </x:c>
      <x:c r="J61" s="23" t="str">
        <x:v>RENTAL</x:v>
      </x:c>
      <x:c r="K61" s="23" t="str">
        <x:v>rental_company</x:v>
      </x:c>
      <x:c r="L61" s="24" t="b">
        <x:v>1</x:v>
      </x:c>
      <x:c r="M61" s="23" t="n">
        <x:v>1</x:v>
      </x:c>
      <x:c r="N61" s="28" t="n">
        <x:v>46203.921904421295</x:v>
      </x:c>
      <x:c r="O61" s="28" t="n">
        <x:v>46219.812988715275</x:v>
      </x:c>
      <x:c r="P61" s="23" t="str">
        <x:v>SÃO JOSE DO RIO PRETO</x:v>
      </x:c>
      <x:c r="Q61" s="30" t="n">
        <x:v>32156</x:v>
      </x:c>
      <x:c r="R61" s="22" t="str">
        <x:f>"5821482"</x:f>
        <x:v>5821482</x:v>
      </x:c>
      <x:c r="S61" s="23" t="str">
        <x:v>masculino</x:v>
      </x:c>
      <x:c r="T61" s="22" t="str"/>
      <x:c r="U61" s="23" t="str">
        <x:v>ADRIANO MACIEL KUGA</x:v>
      </x:c>
      <x:c r="V61" s="22" t="str">
        <x:f>"980.469.772-68"</x:f>
        <x:v>980.469.772-68</x:v>
      </x:c>
      <x:c r="W61" s="22" t="str">
        <x:f>"98046977268"</x:f>
        <x:v>98046977268</x:v>
      </x:c>
      <x:c r="X61" s="23" t="str">
        <x:v>ichibanoficina@gmail.com</x:v>
      </x:c>
      <x:c r="Y61" s="22" t="str">
        <x:f>"(17) 99772-3076"</x:f>
        <x:v>(17) 99772-3076</x:v>
      </x:c>
      <x:c r="Z61" s="30" t="n">
        <x:v>46371</x:v>
      </x:c>
    </x:row>
    <x:row r="62" ht="18" customHeight="1">
      <x:c r="A62" s="22" t="str">
        <x:f>"76dd1e05-cc83-4306-b9b8-3c29901dd154"</x:f>
        <x:v>76dd1e05-cc83-4306-b9b8-3c29901dd154</x:v>
      </x:c>
      <x:c r="B62" s="23" t="str">
        <x:v>ADRIANO OLIVEIRA VIEIRA</x:v>
      </x:c>
      <x:c r="C62" s="23" t="str">
        <x:v>adriano oliveira vieira</x:v>
      </x:c>
      <x:c r="D62" s="22" t="str">
        <x:f>"62.649.483/0001-07"</x:f>
        <x:v>62.649.483/0001-07</x:v>
      </x:c>
      <x:c r="E62" s="22" t="str">
        <x:f>"62649483000107"</x:f>
        <x:v>62649483000107</x:v>
      </x:c>
      <x:c r="F62" s="22" t="str">
        <x:f>"701.380.856-33"</x:f>
        <x:v>701.380.856-33</x:v>
      </x:c>
      <x:c r="G62" s="22" t="str">
        <x:f>"70138085633"</x:f>
        <x:v>70138085633</x:v>
      </x:c>
      <x:c r="H62" s="23" t="str">
        <x:v>adrianooliveiravieira3@gmail.com</x:v>
      </x:c>
      <x:c r="I62" s="22" t="str">
        <x:f>"(33) 99804-1527"</x:f>
        <x:v>(33) 99804-1527</x:v>
      </x:c>
      <x:c r="J62" s="23" t="str">
        <x:v>SPOT</x:v>
      </x:c>
      <x:c r="K62" s="23" t="str">
        <x:v>favored_only</x:v>
      </x:c>
      <x:c r="L62" s="24" t="b">
        <x:v>1</x:v>
      </x:c>
      <x:c r="M62" s="23" t="n">
        <x:v>2</x:v>
      </x:c>
      <x:c r="N62" s="28" t="n">
        <x:v>46203.921904421295</x:v>
      </x:c>
      <x:c r="O62" s="28" t="n">
        <x:v>46219.812988715275</x:v>
      </x:c>
      <x:c r="P62" s="23" t="str">
        <x:v>TEOFILO OTONI</x:v>
      </x:c>
      <x:c r="Q62" s="30" t="n">
        <x:v>38491</x:v>
      </x:c>
      <x:c r="R62" s="22" t="str">
        <x:f>"21425407"</x:f>
        <x:v>21425407</x:v>
      </x:c>
      <x:c r="S62" s="23" t="str">
        <x:v>masculino</x:v>
      </x:c>
      <x:c r="T62" s="22" t="str">
        <x:f>"OWV7E33"</x:f>
        <x:v>OWV7E33</x:v>
      </x:c>
      <x:c r="U62" s="23" t="str">
        <x:v>PAOLA COIMBRA DE SOUZA</x:v>
      </x:c>
      <x:c r="V62" s="22" t="str">
        <x:f>"160.563.696-76"</x:f>
        <x:v>160.563.696-76</x:v>
      </x:c>
      <x:c r="W62" s="22" t="str">
        <x:f>"16056369676"</x:f>
        <x:v>16056369676</x:v>
      </x:c>
      <x:c r="X62" s="23" t="str">
        <x:v>Paolacoimbra1234@gmail.com</x:v>
      </x:c>
      <x:c r="Y62" s="22" t="str">
        <x:f>"(33) 98886-6239"</x:f>
        <x:v>(33) 98886-6239</x:v>
      </x:c>
      <x:c r="Z62" s="30" t="n">
        <x:v>46364</x:v>
      </x:c>
    </x:row>
    <x:row r="63" ht="18" customHeight="1">
      <x:c r="A63" s="22" t="str">
        <x:f>"3a14c4dd-5130-4fed-83ec-1efbe5a05685"</x:f>
        <x:v>3a14c4dd-5130-4fed-83ec-1efbe5a05685</x:v>
      </x:c>
      <x:c r="B63" s="23" t="str">
        <x:v>ADRIANO RODRIGUES DE MIRANDA</x:v>
      </x:c>
      <x:c r="C63" s="23" t="str">
        <x:v>adriano rodrigues de miranda</x:v>
      </x:c>
      <x:c r="D63" s="22" t="str">
        <x:f>"63.293.236/0001-74"</x:f>
        <x:v>63.293.236/0001-74</x:v>
      </x:c>
      <x:c r="E63" s="22" t="str">
        <x:f>"63293236000174"</x:f>
        <x:v>63293236000174</x:v>
      </x:c>
      <x:c r="F63" s="22" t="str">
        <x:f>"039.596.921-29"</x:f>
        <x:v>039.596.921-29</x:v>
      </x:c>
      <x:c r="G63" s="22" t="str">
        <x:f>"03959692129"</x:f>
        <x:v>03959692129</x:v>
      </x:c>
      <x:c r="H63" s="23" t="str">
        <x:v>adrianorodriguesdemiranda6@gmail.com</x:v>
      </x:c>
      <x:c r="I63" s="22" t="str">
        <x:f>"65984660736"</x:f>
        <x:v>65984660736</x:v>
      </x:c>
      <x:c r="J63" s="23" t="str">
        <x:v>SPOT</x:v>
      </x:c>
      <x:c r="K63" s="23" t="str">
        <x:v>favored_only</x:v>
      </x:c>
      <x:c r="L63" s="24" t="b">
        <x:v>1</x:v>
      </x:c>
      <x:c r="M63" s="23" t="n">
        <x:v>1</x:v>
      </x:c>
      <x:c r="N63" s="28" t="n">
        <x:v>46205.60542541667</x:v>
      </x:c>
      <x:c r="O63" s="28" t="n">
        <x:v>46219.812988715275</x:v>
      </x:c>
      <x:c r="P63" s="23" t="str">
        <x:v>ARAPUTANGA</x:v>
      </x:c>
      <x:c r="Q63" s="30" t="n">
        <x:v>32844</x:v>
      </x:c>
      <x:c r="R63" s="22" t="str">
        <x:f>"22665501 SSP MT"</x:f>
        <x:v>22665501 SSP MT</x:v>
      </x:c>
      <x:c r="S63" s="23" t="str">
        <x:v>masculino</x:v>
      </x:c>
      <x:c r="T63" s="22" t="str">
        <x:f>"OBN7E46"</x:f>
        <x:v>OBN7E46</x:v>
      </x:c>
      <x:c r="U63" s="23" t="str">
        <x:v>LUCIMAR GOMES HARTHCOPF</x:v>
      </x:c>
      <x:c r="V63" s="22" t="str">
        <x:f>"050.840.511-45"</x:f>
        <x:v>050.840.511-45</x:v>
      </x:c>
      <x:c r="W63" s="22" t="str">
        <x:f>"05084051145"</x:f>
        <x:v>05084051145</x:v>
      </x:c>
      <x:c r="X63" s="23" t="str">
        <x:v>lucimar_harthcopf@hotmail.com</x:v>
      </x:c>
      <x:c r="Y63" s="22" t="str">
        <x:f>"65984050346"</x:f>
        <x:v>65984050346</x:v>
      </x:c>
      <x:c r="Z63" s="30" t="n">
        <x:v>46323</x:v>
      </x:c>
    </x:row>
    <x:row r="64" ht="18" customHeight="1">
      <x:c r="A64" s="22" t="str">
        <x:f>"76517aff-28ac-4914-8204-66c31828a256"</x:f>
        <x:v>76517aff-28ac-4914-8204-66c31828a256</x:v>
      </x:c>
      <x:c r="B64" s="23" t="str">
        <x:v>ADRIANO SANTOS DA SILVA</x:v>
      </x:c>
      <x:c r="C64" s="23" t="str">
        <x:v>adriano santos da silva</x:v>
      </x:c>
      <x:c r="D64" s="22" t="str">
        <x:f>"40.530.694/0001-93"</x:f>
        <x:v>40.530.694/0001-93</x:v>
      </x:c>
      <x:c r="E64" s="22" t="str">
        <x:f>"40530694000193"</x:f>
        <x:v>40530694000193</x:v>
      </x:c>
      <x:c r="F64" s="22" t="str">
        <x:f>"145.291.937-21"</x:f>
        <x:v>145.291.937-21</x:v>
      </x:c>
      <x:c r="G64" s="22" t="str">
        <x:f>"14529193721"</x:f>
        <x:v>14529193721</x:v>
      </x:c>
      <x:c r="H64" s="23" t="str">
        <x:v>adriano1993.nano@gmail.com</x:v>
      </x:c>
      <x:c r="I64" s="22" t="str">
        <x:f>"21970680535"</x:f>
        <x:v>21970680535</x:v>
      </x:c>
      <x:c r="J64" s="23" t="str">
        <x:v>SPOT</x:v>
      </x:c>
      <x:c r="K64" s="23" t="str">
        <x:v>favored_only</x:v>
      </x:c>
      <x:c r="L64" s="24" t="b">
        <x:v>1</x:v>
      </x:c>
      <x:c r="M64" s="23" t="n">
        <x:v>1</x:v>
      </x:c>
      <x:c r="N64" s="28" t="n">
        <x:v>46219.812988715275</x:v>
      </x:c>
      <x:c r="O64" s="28" t="n">
        <x:v>46219.812988715275</x:v>
      </x:c>
      <x:c r="P64" s="23" t="str">
        <x:v>QUEIMADOS</x:v>
      </x:c>
      <x:c r="Q64" s="30" t="n">
        <x:v>34328</x:v>
      </x:c>
      <x:c r="R64" s="22" t="str">
        <x:f>"271198699"</x:f>
        <x:v>271198699</x:v>
      </x:c>
      <x:c r="S64" s="23" t="str">
        <x:v>masculino</x:v>
      </x:c>
      <x:c r="T64" s="22" t="str">
        <x:f>"KWC8C13"</x:f>
        <x:v>KWC8C13</x:v>
      </x:c>
      <x:c r="U64" s="23" t="str">
        <x:v>ADRIANO SANTOS DA SILVA</x:v>
      </x:c>
      <x:c r="V64" s="22" t="str">
        <x:f>"145.291.937-21"</x:f>
        <x:v>145.291.937-21</x:v>
      </x:c>
      <x:c r="W64" s="22" t="str">
        <x:f>"14529193721"</x:f>
        <x:v>14529193721</x:v>
      </x:c>
      <x:c r="X64" s="23" t="str">
        <x:v>adriano1993.nano@gmail.com</x:v>
      </x:c>
      <x:c r="Y64" s="22" t="str">
        <x:f>"21970680535"</x:f>
        <x:v>21970680535</x:v>
      </x:c>
      <x:c r="Z64" s="30" t="n">
        <x:v>46401</x:v>
      </x:c>
    </x:row>
    <x:row r="65" ht="18" customHeight="1">
      <x:c r="A65" s="22" t="str">
        <x:f>"021cac24-f7a4-493a-aeca-2a74c54e6d58"</x:f>
        <x:v>021cac24-f7a4-493a-aeca-2a74c54e6d58</x:v>
      </x:c>
      <x:c r="B65" s="23" t="str">
        <x:v>ADRIANO SILVA DO VALE</x:v>
      </x:c>
      <x:c r="C65" s="23" t="str">
        <x:v>adriano silva do vale</x:v>
      </x:c>
      <x:c r="D65" s="22" t="str">
        <x:f>"63.119.611/0001-73"</x:f>
        <x:v>63.119.611/0001-73</x:v>
      </x:c>
      <x:c r="E65" s="22" t="str">
        <x:f>"63119611000173"</x:f>
        <x:v>63119611000173</x:v>
      </x:c>
      <x:c r="F65" s="22" t="str">
        <x:f>"333.671.728-04"</x:f>
        <x:v>333.671.728-04</x:v>
      </x:c>
      <x:c r="G65" s="22" t="str">
        <x:f>"33367172804"</x:f>
        <x:v>33367172804</x:v>
      </x:c>
      <x:c r="H65" s="23" t="str">
        <x:v>valeadriano448@gmail.com</x:v>
      </x:c>
      <x:c r="I65" s="22" t="str">
        <x:f>"11988509675"</x:f>
        <x:v>11988509675</x:v>
      </x:c>
      <x:c r="J65" s="23" t="str">
        <x:v>RENTAL</x:v>
      </x:c>
      <x:c r="K65" s="23" t="str">
        <x:v>rental_company</x:v>
      </x:c>
      <x:c r="L65" s="24" t="b">
        <x:v>1</x:v>
      </x:c>
      <x:c r="M65" s="23" t="n">
        <x:v>1</x:v>
      </x:c>
      <x:c r="N65" s="28" t="n">
        <x:v>46203.9218771875</x:v>
      </x:c>
      <x:c r="O65" s="28" t="n">
        <x:v>46219.812988715275</x:v>
      </x:c>
      <x:c r="P65" s="23" t="str">
        <x:v>MADEIRA MADEIRA</x:v>
      </x:c>
      <x:c r="Q65" s="30" t="n">
        <x:v>31152</x:v>
      </x:c>
      <x:c r="R65" s="22" t="str">
        <x:f>"427161770"</x:f>
        <x:v>427161770</x:v>
      </x:c>
      <x:c r="S65" s="23" t="str">
        <x:v>masculino</x:v>
      </x:c>
      <x:c r="T65" s="22" t="str"/>
      <x:c r="U65" s="23" t="str">
        <x:v>ADRIANO SILVA DO VALE</x:v>
      </x:c>
      <x:c r="V65" s="22" t="str">
        <x:f>"333.671.728-04"</x:f>
        <x:v>333.671.728-04</x:v>
      </x:c>
      <x:c r="W65" s="22" t="str">
        <x:f>"33367172804"</x:f>
        <x:v>33367172804</x:v>
      </x:c>
      <x:c r="X65" s="23" t="str">
        <x:v>valeadriano448@gmail.com</x:v>
      </x:c>
      <x:c r="Y65" s="22" t="str">
        <x:f>"11988509675"</x:f>
        <x:v>11988509675</x:v>
      </x:c>
      <x:c r="Z65" s="30" t="n">
        <x:v>46302</x:v>
      </x:c>
    </x:row>
    <x:row r="66" ht="18" customHeight="1">
      <x:c r="A66" s="22" t="str">
        <x:f>"8806eeda-b9c2-4f1f-bd65-cb283330602f"</x:f>
        <x:v>8806eeda-b9c2-4f1f-bd65-cb283330602f</x:v>
      </x:c>
      <x:c r="B66" s="23" t="str">
        <x:v>ADRIANO SILVA DO VALE</x:v>
      </x:c>
      <x:c r="C66" s="23" t="str">
        <x:v>adriano silva do vale</x:v>
      </x:c>
      <x:c r="D66" s="22" t="str">
        <x:f>"34.826.112/0001-18"</x:f>
        <x:v>34.826.112/0001-18</x:v>
      </x:c>
      <x:c r="E66" s="22" t="str">
        <x:f>"34826112000118"</x:f>
        <x:v>34826112000118</x:v>
      </x:c>
      <x:c r="F66" s="22" t="str">
        <x:f>"333.671.728-04"</x:f>
        <x:v>333.671.728-04</x:v>
      </x:c>
      <x:c r="G66" s="22" t="str">
        <x:f>"33367172804"</x:f>
        <x:v>33367172804</x:v>
      </x:c>
      <x:c r="H66" s="23" t="str">
        <x:v>valeadriano448@gmail.com</x:v>
      </x:c>
      <x:c r="I66" s="22" t="str">
        <x:f>"11988509675"</x:f>
        <x:v>11988509675</x:v>
      </x:c>
      <x:c r="J66" s="23" t="str">
        <x:v>RENTAL</x:v>
      </x:c>
      <x:c r="K66" s="23" t="str">
        <x:v>rental_company</x:v>
      </x:c>
      <x:c r="L66" s="24" t="b">
        <x:v>1</x:v>
      </x:c>
      <x:c r="M66" s="23" t="n">
        <x:v>1</x:v>
      </x:c>
      <x:c r="N66" s="28" t="n">
        <x:v>46203.92186888889</x:v>
      </x:c>
      <x:c r="O66" s="28" t="n">
        <x:v>46219.812988715275</x:v>
      </x:c>
      <x:c r="P66" s="23" t="str">
        <x:v>MADEIRA MADEIRA</x:v>
      </x:c>
      <x:c r="Q66" s="30" t="n">
        <x:v>31152</x:v>
      </x:c>
      <x:c r="R66" s="22" t="str">
        <x:f>"427161770"</x:f>
        <x:v>427161770</x:v>
      </x:c>
      <x:c r="S66" s="23" t="str">
        <x:v>masculino</x:v>
      </x:c>
      <x:c r="T66" s="22" t="str"/>
      <x:c r="U66" s="23" t="str">
        <x:v>ADRIANO SILVA DO VALE</x:v>
      </x:c>
      <x:c r="V66" s="22" t="str">
        <x:f>"333.671.728-04"</x:f>
        <x:v>333.671.728-04</x:v>
      </x:c>
      <x:c r="W66" s="22" t="str">
        <x:f>"33367172804"</x:f>
        <x:v>33367172804</x:v>
      </x:c>
      <x:c r="X66" s="23" t="str">
        <x:v>valeadriano448@gmail.com</x:v>
      </x:c>
      <x:c r="Y66" s="22" t="str">
        <x:f>"11988509675"</x:f>
        <x:v>11988509675</x:v>
      </x:c>
      <x:c r="Z66" s="30" t="n">
        <x:v>46302</x:v>
      </x:c>
    </x:row>
    <x:row r="67" ht="18" customHeight="1">
      <x:c r="A67" s="22" t="str">
        <x:f>"b2306780-5095-49c7-a6ed-cdc7d93fc189"</x:f>
        <x:v>b2306780-5095-49c7-a6ed-cdc7d93fc189</x:v>
      </x:c>
      <x:c r="B67" s="23" t="str">
        <x:v>ADRIAN VENANCIO INOCENCIO</x:v>
      </x:c>
      <x:c r="C67" s="23" t="str">
        <x:v>adrian venancio inocencio</x:v>
      </x:c>
      <x:c r="D67" s="22" t="str">
        <x:f>"61.424.157/0001-39"</x:f>
        <x:v>61.424.157/0001-39</x:v>
      </x:c>
      <x:c r="E67" s="22" t="str">
        <x:f>"61424157000139"</x:f>
        <x:v>61424157000139</x:v>
      </x:c>
      <x:c r="F67" s="22" t="str">
        <x:f>"141.620.626-41"</x:f>
        <x:v>141.620.626-41</x:v>
      </x:c>
      <x:c r="G67" s="22" t="str">
        <x:f>"14162062641"</x:f>
        <x:v>14162062641</x:v>
      </x:c>
      <x:c r="H67" s="23" t="str">
        <x:v>aavenancioinocencio@gmail.com</x:v>
      </x:c>
      <x:c r="I67" s="22" t="str">
        <x:f>"(34) 9 9107 2482"</x:f>
        <x:v>(34) 9 9107 2482</x:v>
      </x:c>
      <x:c r="J67" s="23" t="str">
        <x:v>RENTAL</x:v>
      </x:c>
      <x:c r="K67" s="23" t="str">
        <x:v>rental_company</x:v>
      </x:c>
      <x:c r="L67" s="24" t="b">
        <x:v>1</x:v>
      </x:c>
      <x:c r="M67" s="23" t="n">
        <x:v>1</x:v>
      </x:c>
      <x:c r="N67" s="28" t="n">
        <x:v>46203.921840393516</x:v>
      </x:c>
      <x:c r="O67" s="28" t="n">
        <x:v>46219.812988715275</x:v>
      </x:c>
      <x:c r="P67" s="23" t="str">
        <x:v>UBERABA</x:v>
      </x:c>
      <x:c r="Q67" s="30" t="n">
        <x:v>38124</x:v>
      </x:c>
      <x:c r="R67" s="22" t="str">
        <x:f>"21630105"</x:f>
        <x:v>21630105</x:v>
      </x:c>
      <x:c r="S67" s="23" t="str">
        <x:v>masculino</x:v>
      </x:c>
      <x:c r="T67" s="22" t="str"/>
      <x:c r="U67" s="23" t="str">
        <x:v>ADRIAN VENANCIO INOCENCIO</x:v>
      </x:c>
      <x:c r="V67" s="22" t="str">
        <x:f>"141.620.626-41"</x:f>
        <x:v>141.620.626-41</x:v>
      </x:c>
      <x:c r="W67" s="22" t="str">
        <x:f>"14162062641"</x:f>
        <x:v>14162062641</x:v>
      </x:c>
      <x:c r="X67" s="23" t="str">
        <x:v>aavenancioinocencio@gmail.com</x:v>
      </x:c>
      <x:c r="Y67" s="22" t="str">
        <x:f>"(34) 9 9107 2482"</x:f>
        <x:v>(34) 9 9107 2482</x:v>
      </x:c>
      <x:c r="Z67" s="30" t="n">
        <x:v>46577</x:v>
      </x:c>
    </x:row>
    <x:row r="68" ht="18" customHeight="1">
      <x:c r="A68" s="22" t="str">
        <x:f>"5fa54079-b6c8-4029-bc0b-21c8445f20a4"</x:f>
        <x:v>5fa54079-b6c8-4029-bc0b-21c8445f20a4</x:v>
      </x:c>
      <x:c r="B68" s="23" t="str">
        <x:v>ADRIEL GABRIEL BRACONARO BARBOSA</x:v>
      </x:c>
      <x:c r="C68" s="23" t="str">
        <x:v>adriel gabriel braconaro barbosa</x:v>
      </x:c>
      <x:c r="D68" s="22" t="str">
        <x:f>"55.955.726/0001-70"</x:f>
        <x:v>55.955.726/0001-70</x:v>
      </x:c>
      <x:c r="E68" s="22" t="str">
        <x:f>"55955726000170"</x:f>
        <x:v>55955726000170</x:v>
      </x:c>
      <x:c r="F68" s="22" t="str">
        <x:f>"408.757.788-01"</x:f>
        <x:v>408.757.788-01</x:v>
      </x:c>
      <x:c r="G68" s="22" t="str">
        <x:f>"40875778801"</x:f>
        <x:v>40875778801</x:v>
      </x:c>
      <x:c r="H68" s="23" t="str">
        <x:v>agbraconaro@gmail.com</x:v>
      </x:c>
      <x:c r="I68" s="22" t="str">
        <x:f>"14 97400-9851"</x:f>
        <x:v>14 97400-9851</x:v>
      </x:c>
      <x:c r="J68" s="23" t="str">
        <x:v>RENTAL</x:v>
      </x:c>
      <x:c r="K68" s="23" t="str">
        <x:v>rental_company</x:v>
      </x:c>
      <x:c r="L68" s="24" t="b">
        <x:v>1</x:v>
      </x:c>
      <x:c r="M68" s="23" t="n">
        <x:v>1</x:v>
      </x:c>
      <x:c r="N68" s="28" t="n">
        <x:v>46203.92183017361</x:v>
      </x:c>
      <x:c r="O68" s="28" t="n">
        <x:v>46219.812988715275</x:v>
      </x:c>
      <x:c r="P68" s="23" t="str">
        <x:v>BAURU</x:v>
      </x:c>
      <x:c r="Q68" s="30" t="n">
        <x:v>35453</x:v>
      </x:c>
      <x:c r="R68" s="22" t="str">
        <x:f>"555679093"</x:f>
        <x:v>555679093</x:v>
      </x:c>
      <x:c r="S68" s="23" t="str">
        <x:v>masculino</x:v>
      </x:c>
      <x:c r="T68" s="22" t="str"/>
      <x:c r="U68" s="23" t="str">
        <x:v>ADRIEL GABRIEL BRACONARO BARBOSA</x:v>
      </x:c>
      <x:c r="V68" s="22" t="str">
        <x:f>"408.757.788-01"</x:f>
        <x:v>408.757.788-01</x:v>
      </x:c>
      <x:c r="W68" s="22" t="str">
        <x:f>"40875778801"</x:f>
        <x:v>40875778801</x:v>
      </x:c>
      <x:c r="X68" s="23" t="str">
        <x:v>agbraconaro@gmail.com</x:v>
      </x:c>
      <x:c r="Y68" s="22" t="str">
        <x:f>"14 97400-9851"</x:f>
        <x:v>14 97400-9851</x:v>
      </x:c>
      <x:c r="Z68" s="30" t="n">
        <x:v>46518</x:v>
      </x:c>
    </x:row>
    <x:row r="69" ht="18" customHeight="1">
      <x:c r="A69" s="22" t="str">
        <x:f>"77ef6019-66de-4d2d-8e24-f8514d963b8b"</x:f>
        <x:v>77ef6019-66de-4d2d-8e24-f8514d963b8b</x:v>
      </x:c>
      <x:c r="B69" s="23" t="str">
        <x:v>ADRIEL GONCALVES DA SILVA SANTOS</x:v>
      </x:c>
      <x:c r="C69" s="23" t="str">
        <x:v>adriel goncalves da silva santos</x:v>
      </x:c>
      <x:c r="D69" s="22" t="str">
        <x:f>"58.191.830/0001-23"</x:f>
        <x:v>58.191.830/0001-23</x:v>
      </x:c>
      <x:c r="E69" s="22" t="str">
        <x:f>"58191830000123"</x:f>
        <x:v>58191830000123</x:v>
      </x:c>
      <x:c r="F69" s="22" t="str">
        <x:f>"141.069.596-40"</x:f>
        <x:v>141.069.596-40</x:v>
      </x:c>
      <x:c r="G69" s="22" t="str">
        <x:f>"14106959640"</x:f>
        <x:v>14106959640</x:v>
      </x:c>
      <x:c r="H69" s="23" t="str">
        <x:v>adriel.160919@gmail.com</x:v>
      </x:c>
      <x:c r="I69" s="22" t="str">
        <x:f>"3197578-0841"</x:f>
        <x:v>3197578-0841</x:v>
      </x:c>
      <x:c r="J69" s="23" t="str">
        <x:v>RENTAL</x:v>
      </x:c>
      <x:c r="K69" s="23" t="str">
        <x:v>rental_company</x:v>
      </x:c>
      <x:c r="L69" s="24" t="b">
        <x:v>1</x:v>
      </x:c>
      <x:c r="M69" s="23" t="n">
        <x:v>1</x:v>
      </x:c>
      <x:c r="N69" s="28" t="n">
        <x:v>46219.812988715275</x:v>
      </x:c>
      <x:c r="O69" s="28" t="n">
        <x:v>46219.812988715275</x:v>
      </x:c>
      <x:c r="P69" s="23" t="str">
        <x:v>CONTAGEM</x:v>
      </x:c>
      <x:c r="Q69" s="30" t="n">
        <x:v>35697</x:v>
      </x:c>
      <x:c r="R69" s="22" t="str">
        <x:f>"19282399"</x:f>
        <x:v>19282399</x:v>
      </x:c>
      <x:c r="S69" s="23" t="str">
        <x:v>masculino</x:v>
      </x:c>
      <x:c r="T69" s="22" t="str"/>
      <x:c r="U69" s="23" t="str">
        <x:v>ADRIEL GONCALVES DA SILVA SANTOS</x:v>
      </x:c>
      <x:c r="V69" s="22" t="str">
        <x:f>"141.069.596-40"</x:f>
        <x:v>141.069.596-40</x:v>
      </x:c>
      <x:c r="W69" s="22" t="str">
        <x:f>"14106959640"</x:f>
        <x:v>14106959640</x:v>
      </x:c>
      <x:c r="X69" s="23" t="str">
        <x:v>adriel.160919@gmail.com</x:v>
      </x:c>
      <x:c r="Y69" s="22" t="str">
        <x:f>"3197578-0841"</x:f>
        <x:v>3197578-0841</x:v>
      </x:c>
      <x:c r="Z69" s="30" t="n">
        <x:v>46542</x:v>
      </x:c>
    </x:row>
    <x:row r="70" ht="18" customHeight="1">
      <x:c r="A70" s="22" t="str">
        <x:f>"0d666fa4-9754-415f-82bd-3ea1ea84abd1"</x:f>
        <x:v>0d666fa4-9754-415f-82bd-3ea1ea84abd1</x:v>
      </x:c>
      <x:c r="B70" s="23" t="str">
        <x:v>adryel andrade silva</x:v>
      </x:c>
      <x:c r="C70" s="23" t="str">
        <x:v>adryel andrade silva</x:v>
      </x:c>
      <x:c r="D70" s="22" t="str">
        <x:f>"59.562.387/0001-12"</x:f>
        <x:v>59.562.387/0001-12</x:v>
      </x:c>
      <x:c r="E70" s="22" t="str">
        <x:f>"59562387000112"</x:f>
        <x:v>59562387000112</x:v>
      </x:c>
      <x:c r="F70" s="22" t="str">
        <x:f>"493.798.918-90"</x:f>
        <x:v>493.798.918-90</x:v>
      </x:c>
      <x:c r="G70" s="22" t="str">
        <x:f>"49379891890"</x:f>
        <x:v>49379891890</x:v>
      </x:c>
      <x:c r="H70" s="23" t="str">
        <x:v>adryelandrade511@gmail.com</x:v>
      </x:c>
      <x:c r="I70" s="22" t="str">
        <x:f>"(11) 968095922"</x:f>
        <x:v>(11) 968095922</x:v>
      </x:c>
      <x:c r="J70" s="23" t="str">
        <x:v>RENTAL</x:v>
      </x:c>
      <x:c r="K70" s="23" t="str">
        <x:v>rental_company</x:v>
      </x:c>
      <x:c r="L70" s="24" t="b">
        <x:v>1</x:v>
      </x:c>
      <x:c r="M70" s="23" t="n">
        <x:v>1</x:v>
      </x:c>
      <x:c r="N70" s="28" t="n">
        <x:v>46203.92183332176</x:v>
      </x:c>
      <x:c r="O70" s="28" t="n">
        <x:v>46205.604682881945</x:v>
      </x:c>
      <x:c r="P70" s="23" t="str">
        <x:v>BARUERI</x:v>
      </x:c>
      <x:c r="Q70" s="30" t="n">
        <x:v>36675</x:v>
      </x:c>
      <x:c r="R70" s="22" t="str">
        <x:f>"571370780"</x:f>
        <x:v>571370780</x:v>
      </x:c>
      <x:c r="S70" s="23" t="str">
        <x:v>Masculino</x:v>
      </x:c>
      <x:c r="T70" s="22" t="str"/>
      <x:c r="U70" s="23" t="str">
        <x:v>adryel andrade silva</x:v>
      </x:c>
      <x:c r="V70" s="22" t="str">
        <x:f>"49379891890"</x:f>
        <x:v>49379891890</x:v>
      </x:c>
      <x:c r="W70" s="22" t="str">
        <x:f>"49379891890"</x:f>
        <x:v>49379891890</x:v>
      </x:c>
      <x:c r="X70" s="23" t="str">
        <x:v>adryelandrade511@gmail.com</x:v>
      </x:c>
      <x:c r="Y70" s="22" t="str">
        <x:f>"(11) 968095922"</x:f>
        <x:v>(11) 968095922</x:v>
      </x:c>
      <x:c r="Z70" s="30" t="n">
        <x:v>46207</x:v>
      </x:c>
    </x:row>
    <x:row r="71" ht="18" customHeight="1">
      <x:c r="A71" s="22" t="str">
        <x:f>"150218c3-0a15-43fc-b8c9-60f83ec42fe1"</x:f>
        <x:v>150218c3-0a15-43fc-b8c9-60f83ec42fe1</x:v>
      </x:c>
      <x:c r="B71" s="23" t="str">
        <x:v>ADRYEL JOAO CABRELLI FERNANDES</x:v>
      </x:c>
      <x:c r="C71" s="23" t="str">
        <x:v>adryel joao cabrelli fernandes</x:v>
      </x:c>
      <x:c r="D71" s="22" t="str">
        <x:f>"62.306.812/0001-17"</x:f>
        <x:v>62.306.812/0001-17</x:v>
      </x:c>
      <x:c r="E71" s="22" t="str">
        <x:f>"62306812000117"</x:f>
        <x:v>62306812000117</x:v>
      </x:c>
      <x:c r="F71" s="22" t="str">
        <x:f>"472.272.008-84"</x:f>
        <x:v>472.272.008-84</x:v>
      </x:c>
      <x:c r="G71" s="22" t="str">
        <x:f>"47227200884"</x:f>
        <x:v>47227200884</x:v>
      </x:c>
      <x:c r="H71" s="23" t="str">
        <x:v>ADRYEL.FERNANDES@HOTMAIL.COM</x:v>
      </x:c>
      <x:c r="I71" s="22" t="str">
        <x:f>"14982223030"</x:f>
        <x:v>14982223030</x:v>
      </x:c>
      <x:c r="J71" s="23" t="str">
        <x:v>RENTAL</x:v>
      </x:c>
      <x:c r="K71" s="23" t="str">
        <x:v>rental_company</x:v>
      </x:c>
      <x:c r="L71" s="24" t="b">
        <x:v>1</x:v>
      </x:c>
      <x:c r="M71" s="23" t="n">
        <x:v>1</x:v>
      </x:c>
      <x:c r="N71" s="28" t="n">
        <x:v>46203.921858726855</x:v>
      </x:c>
      <x:c r="O71" s="28" t="n">
        <x:v>46219.812988715275</x:v>
      </x:c>
      <x:c r="P71" s="23" t="str">
        <x:v>MARILIA</x:v>
      </x:c>
      <x:c r="Q71" s="30" t="n">
        <x:v>36868</x:v>
      </x:c>
      <x:c r="R71" s="22" t="str">
        <x:f>"394978845"</x:f>
        <x:v>394978845</x:v>
      </x:c>
      <x:c r="S71" s="23" t="str">
        <x:v>masculino</x:v>
      </x:c>
      <x:c r="T71" s="22" t="str"/>
      <x:c r="U71" s="23" t="str">
        <x:v>ADRYEL JOAO CABRELLI FERNANDES</x:v>
      </x:c>
      <x:c r="V71" s="22" t="str">
        <x:f>"472.272.008-84"</x:f>
        <x:v>472.272.008-84</x:v>
      </x:c>
      <x:c r="W71" s="22" t="str">
        <x:f>"47227200884"</x:f>
        <x:v>47227200884</x:v>
      </x:c>
      <x:c r="X71" s="23" t="str">
        <x:v>ADRYEL.FERNANDES@HOTMAIL.COM</x:v>
      </x:c>
      <x:c r="Y71" s="22" t="str">
        <x:f>"14982223030"</x:f>
        <x:v>14982223030</x:v>
      </x:c>
      <x:c r="Z71" s="30" t="n">
        <x:v>46257</x:v>
      </x:c>
    </x:row>
    <x:row r="72" ht="18" customHeight="1">
      <x:c r="A72" s="22" t="str">
        <x:f>"df854fff-08d5-40ef-a46c-a53d9fb89838"</x:f>
        <x:v>df854fff-08d5-40ef-a46c-a53d9fb89838</x:v>
      </x:c>
      <x:c r="B72" s="23" t="str">
        <x:v>AFONSO CELSO SOARES MORAES FILHO</x:v>
      </x:c>
      <x:c r="C72" s="23" t="str">
        <x:v>afonso celso soares moraes filho</x:v>
      </x:c>
      <x:c r="D72" s="22" t="str">
        <x:f>"65.213.987/0001-78"</x:f>
        <x:v>65.213.987/0001-78</x:v>
      </x:c>
      <x:c r="E72" s="22" t="str">
        <x:f>"65213987000178"</x:f>
        <x:v>65213987000178</x:v>
      </x:c>
      <x:c r="F72" s="22" t="str">
        <x:f>"517.750.852-87"</x:f>
        <x:v>517.750.852-87</x:v>
      </x:c>
      <x:c r="G72" s="22" t="str">
        <x:f>"51775085287"</x:f>
        <x:v>51775085287</x:v>
      </x:c>
      <x:c r="H72" s="23" t="str">
        <x:v>afonsolauren@gmail.com</x:v>
      </x:c>
      <x:c r="I72" s="22" t="str">
        <x:f>"66 9227-7867"</x:f>
        <x:v>66 9227-7867</x:v>
      </x:c>
      <x:c r="J72" s="23" t="str">
        <x:v>SPOT</x:v>
      </x:c>
      <x:c r="K72" s="23" t="str">
        <x:v>favored_only</x:v>
      </x:c>
      <x:c r="L72" s="24" t="b">
        <x:v>1</x:v>
      </x:c>
      <x:c r="M72" s="23" t="n">
        <x:v>1</x:v>
      </x:c>
      <x:c r="N72" s="28" t="n">
        <x:v>46219.812988715275</x:v>
      </x:c>
      <x:c r="O72" s="28" t="n">
        <x:v>46219.812988715275</x:v>
      </x:c>
      <x:c r="P72" s="23" t="str">
        <x:v>CUIABA</x:v>
      </x:c>
      <x:c r="Q72" s="30" t="n">
        <x:v>29259</x:v>
      </x:c>
      <x:c r="R72" s="22" t="str">
        <x:f>"14735342"</x:f>
        <x:v>14735342</x:v>
      </x:c>
      <x:c r="S72" s="23" t="str">
        <x:v>masculino</x:v>
      </x:c>
      <x:c r="T72" s="22" t="str">
        <x:f>"PYO6G54"</x:f>
        <x:v>PYO6G54</x:v>
      </x:c>
      <x:c r="U72" s="23" t="str">
        <x:v>AFONSO CELSO SOARES MORAES FILHO</x:v>
      </x:c>
      <x:c r="V72" s="22" t="str">
        <x:f>"517.750.852-87"</x:f>
        <x:v>517.750.852-87</x:v>
      </x:c>
      <x:c r="W72" s="22" t="str">
        <x:f>"51775085287"</x:f>
        <x:v>51775085287</x:v>
      </x:c>
      <x:c r="X72" s="23" t="str">
        <x:v>afonsolauren@gmail.com</x:v>
      </x:c>
      <x:c r="Y72" s="22" t="str">
        <x:f>"66 9227-7867"</x:f>
        <x:v>66 9227-7867</x:v>
      </x:c>
      <x:c r="Z72" s="30" t="n">
        <x:v>46554</x:v>
      </x:c>
    </x:row>
    <x:row r="73" ht="18" customHeight="1">
      <x:c r="A73" s="22" t="str">
        <x:f>"1efe0868-c71f-4984-b3e2-cca61506a745"</x:f>
        <x:v>1efe0868-c71f-4984-b3e2-cca61506a745</x:v>
      </x:c>
      <x:c r="B73" s="23" t="str">
        <x:v>AFONSO DA SILVA RODRIGUES</x:v>
      </x:c>
      <x:c r="C73" s="23" t="str">
        <x:v>afonso da silva rodrigues</x:v>
      </x:c>
      <x:c r="D73" s="22" t="str">
        <x:f>"66.158.501/0001-09"</x:f>
        <x:v>66.158.501/0001-09</x:v>
      </x:c>
      <x:c r="E73" s="22" t="str">
        <x:f>"66158501000109"</x:f>
        <x:v>66158501000109</x:v>
      </x:c>
      <x:c r="F73" s="22" t="str">
        <x:f>"155.150.617-30"</x:f>
        <x:v>155.150.617-30</x:v>
      </x:c>
      <x:c r="G73" s="22" t="str">
        <x:f>"15515061730"</x:f>
        <x:v>15515061730</x:v>
      </x:c>
      <x:c r="H73" s="23" t="str">
        <x:v>afonsodasilvarodrigues1879@gmail.com</x:v>
      </x:c>
      <x:c r="I73" s="22" t="str">
        <x:f>"21989597909"</x:f>
        <x:v>21989597909</x:v>
      </x:c>
      <x:c r="J73" s="23" t="str">
        <x:v>SPOT</x:v>
      </x:c>
      <x:c r="K73" s="23" t="str">
        <x:v>favored_only</x:v>
      </x:c>
      <x:c r="L73" s="24" t="b">
        <x:v>1</x:v>
      </x:c>
      <x:c r="M73" s="23" t="n">
        <x:v>1</x:v>
      </x:c>
      <x:c r="N73" s="28" t="n">
        <x:v>46219.812988715275</x:v>
      </x:c>
      <x:c r="O73" s="28" t="n">
        <x:v>46219.812988715275</x:v>
      </x:c>
      <x:c r="P73" s="23" t="str">
        <x:v>QUEIMADOS</x:v>
      </x:c>
      <x:c r="Q73" s="30" t="n">
        <x:v>33865</x:v>
      </x:c>
      <x:c r="R73" s="22" t="str">
        <x:f>"269295192"</x:f>
        <x:v>269295192</x:v>
      </x:c>
      <x:c r="S73" s="23" t="str">
        <x:v>masculino</x:v>
      </x:c>
      <x:c r="T73" s="22" t="str">
        <x:f>"KRL4A93"</x:f>
        <x:v>KRL4A93</x:v>
      </x:c>
      <x:c r="U73" s="23" t="str">
        <x:v>CONCEICAO HENRIQUES DA SILVA</x:v>
      </x:c>
      <x:c r="V73" s="22" t="str">
        <x:f>"100.820.217-75"</x:f>
        <x:v>100.820.217-75</x:v>
      </x:c>
      <x:c r="W73" s="22" t="str">
        <x:f>"10082021775"</x:f>
        <x:v>10082021775</x:v>
      </x:c>
      <x:c r="X73" s="23" t="str">
        <x:v>afonsodasilvarodrigues1879@gmail.com</x:v>
      </x:c>
      <x:c r="Y73" s="22" t="str">
        <x:f>"21989597909"</x:f>
        <x:v>21989597909</x:v>
      </x:c>
      <x:c r="Z73" s="30" t="n">
        <x:v>46572</x:v>
      </x:c>
    </x:row>
    <x:row r="74" ht="18" customHeight="1">
      <x:c r="A74" s="22" t="str">
        <x:f>"a45dbd79-eea3-468d-bfe8-32bdf81d1bad"</x:f>
        <x:v>a45dbd79-eea3-468d-bfe8-32bdf81d1bad</x:v>
      </x:c>
      <x:c r="B74" s="23" t="str">
        <x:v>AFONSO DA SILVA RODRIGUES</x:v>
      </x:c>
      <x:c r="C74" s="23" t="str">
        <x:v>afonso da silva rodrigues</x:v>
      </x:c>
      <x:c r="D74" s="22" t="str">
        <x:f>"67.600.347/0001-46"</x:f>
        <x:v>67.600.347/0001-46</x:v>
      </x:c>
      <x:c r="E74" s="22" t="str">
        <x:f>"67600347000146"</x:f>
        <x:v>67600347000146</x:v>
      </x:c>
      <x:c r="F74" s="22" t="str">
        <x:f>"155.150.617-30"</x:f>
        <x:v>155.150.617-30</x:v>
      </x:c>
      <x:c r="G74" s="22" t="str">
        <x:f>"15515061730"</x:f>
        <x:v>15515061730</x:v>
      </x:c>
      <x:c r="H74" s="23" t="str">
        <x:v>afonsodasilvarodrigues1879@gmail.com</x:v>
      </x:c>
      <x:c r="I74" s="22" t="str">
        <x:f>"21989597909"</x:f>
        <x:v>21989597909</x:v>
      </x:c>
      <x:c r="J74" s="23" t="str">
        <x:v>SPOT</x:v>
      </x:c>
      <x:c r="K74" s="23" t="str">
        <x:v>favored_only</x:v>
      </x:c>
      <x:c r="L74" s="24" t="b">
        <x:v>1</x:v>
      </x:c>
      <x:c r="M74" s="23" t="n">
        <x:v>1</x:v>
      </x:c>
      <x:c r="N74" s="28" t="n">
        <x:v>46219.812988715275</x:v>
      </x:c>
      <x:c r="O74" s="28" t="n">
        <x:v>46219.812988715275</x:v>
      </x:c>
      <x:c r="P74" s="23" t="str">
        <x:v>QUEIMADOS</x:v>
      </x:c>
      <x:c r="Q74" s="30" t="n">
        <x:v>33865</x:v>
      </x:c>
      <x:c r="R74" s="22" t="str">
        <x:f>"269295192"</x:f>
        <x:v>269295192</x:v>
      </x:c>
      <x:c r="S74" s="23" t="str">
        <x:v>masculino</x:v>
      </x:c>
      <x:c r="T74" s="22" t="str">
        <x:f>"KRL4A93"</x:f>
        <x:v>KRL4A93</x:v>
      </x:c>
      <x:c r="U74" s="23" t="str">
        <x:v>DANIELE LIMA SANTOS</x:v>
      </x:c>
      <x:c r="V74" s="22" t="str">
        <x:f>"133.327.907-81"</x:f>
        <x:v>133.327.907-81</x:v>
      </x:c>
      <x:c r="W74" s="22" t="str">
        <x:f>"13332790781"</x:f>
        <x:v>13332790781</x:v>
      </x:c>
      <x:c r="X74" s="23" t="str">
        <x:v>afonsodasilvarodrigues1879@gmail.com</x:v>
      </x:c>
      <x:c r="Y74" s="22" t="str">
        <x:f>"21989597909"</x:f>
        <x:v>21989597909</x:v>
      </x:c>
      <x:c r="Z74" s="30" t="n">
        <x:v>46571</x:v>
      </x:c>
    </x:row>
    <x:row r="75" ht="18" customHeight="1">
      <x:c r="A75" s="22" t="str">
        <x:f>"18f3e508-0248-4bdb-b806-86e46cc43694"</x:f>
        <x:v>18f3e508-0248-4bdb-b806-86e46cc43694</x:v>
      </x:c>
      <x:c r="B75" s="23" t="str">
        <x:v>AFRANIO APARECIDO DA SILVA SABORITO</x:v>
      </x:c>
      <x:c r="C75" s="23" t="str">
        <x:v>afranio aparecido da silva saborito</x:v>
      </x:c>
      <x:c r="D75" s="22" t="str">
        <x:f>"55.557.828/0001-37"</x:f>
        <x:v>55.557.828/0001-37</x:v>
      </x:c>
      <x:c r="E75" s="22" t="str">
        <x:f>"55557828000137"</x:f>
        <x:v>55557828000137</x:v>
      </x:c>
      <x:c r="F75" s="22" t="str">
        <x:f>"014.114.356-80"</x:f>
        <x:v>014.114.356-80</x:v>
      </x:c>
      <x:c r="G75" s="22" t="str">
        <x:f>"01411435680"</x:f>
        <x:v>01411435680</x:v>
      </x:c>
      <x:c r="H75" s="23" t="str">
        <x:v>afraniosabor@hotmail.com</x:v>
      </x:c>
      <x:c r="I75" s="22" t="str">
        <x:f>"35 98873-5909"</x:f>
        <x:v>35 98873-5909</x:v>
      </x:c>
      <x:c r="J75" s="23" t="str">
        <x:v>SPOT</x:v>
      </x:c>
      <x:c r="K75" s="23" t="str">
        <x:v>favored_only</x:v>
      </x:c>
      <x:c r="L75" s="24" t="b">
        <x:v>1</x:v>
      </x:c>
      <x:c r="M75" s="23" t="n">
        <x:v>1</x:v>
      </x:c>
      <x:c r="N75" s="28" t="n">
        <x:v>46205.606707824074</x:v>
      </x:c>
      <x:c r="O75" s="28" t="n">
        <x:v>46219.812988715275</x:v>
      </x:c>
      <x:c r="P75" s="23" t="str">
        <x:v>GUAXUPE</x:v>
      </x:c>
      <x:c r="Q75" s="30" t="n">
        <x:v>30144</x:v>
      </x:c>
      <x:c r="R75" s="22" t="str">
        <x:f>"12585246"</x:f>
        <x:v>12585246</x:v>
      </x:c>
      <x:c r="S75" s="23" t="str">
        <x:v>masculino</x:v>
      </x:c>
      <x:c r="T75" s="22" t="str">
        <x:f>"EIC9I83"</x:f>
        <x:v>EIC9I83</x:v>
      </x:c>
      <x:c r="U75" s="23" t="str">
        <x:v>RITA APARECIDA MAGRI</x:v>
      </x:c>
      <x:c r="V75" s="22" t="str">
        <x:f>"089.901.176-40"</x:f>
        <x:v>089.901.176-40</x:v>
      </x:c>
      <x:c r="W75" s="22" t="str">
        <x:f>"08990117640"</x:f>
        <x:v>08990117640</x:v>
      </x:c>
      <x:c r="X75" s="23" t="str">
        <x:v>navarroslanches@outlook.com</x:v>
      </x:c>
      <x:c r="Y75" s="22" t="str">
        <x:f>"35 99234-8175"</x:f>
        <x:v>35 99234-8175</x:v>
      </x:c>
      <x:c r="Z75" s="30" t="n">
        <x:v>46372</x:v>
      </x:c>
    </x:row>
    <x:row r="76" ht="18" customHeight="1">
      <x:c r="A76" s="22" t="str">
        <x:f>"e3dc9ef1-535d-41de-8b9c-bbc89b05e7b7"</x:f>
        <x:v>e3dc9ef1-535d-41de-8b9c-bbc89b05e7b7</x:v>
      </x:c>
      <x:c r="B76" s="23" t="str">
        <x:v>AGATA TAUANY DIAS</x:v>
      </x:c>
      <x:c r="C76" s="23" t="str">
        <x:v>agata tauany dias</x:v>
      </x:c>
      <x:c r="D76" s="22" t="str">
        <x:f>"66.677.579/0001-30"</x:f>
        <x:v>66.677.579/0001-30</x:v>
      </x:c>
      <x:c r="E76" s="22" t="str">
        <x:f>"66677579000130"</x:f>
        <x:v>66677579000130</x:v>
      </x:c>
      <x:c r="F76" s="22" t="str">
        <x:f>"001.294.009-46"</x:f>
        <x:v>001.294.009-46</x:v>
      </x:c>
      <x:c r="G76" s="22" t="str">
        <x:f>"00129400946"</x:f>
        <x:v>00129400946</x:v>
      </x:c>
      <x:c r="H76" s="23" t="str">
        <x:v>agatadias312@gmail.com</x:v>
      </x:c>
      <x:c r="I76" s="22" t="str">
        <x:f>"31 9083-4857"</x:f>
        <x:v>31 9083-4857</x:v>
      </x:c>
      <x:c r="J76" s="23" t="str">
        <x:v>SPOT</x:v>
      </x:c>
      <x:c r="K76" s="23" t="str">
        <x:v>favored_only</x:v>
      </x:c>
      <x:c r="L76" s="24" t="b">
        <x:v>1</x:v>
      </x:c>
      <x:c r="M76" s="23" t="n">
        <x:v>1</x:v>
      </x:c>
      <x:c r="N76" s="28" t="n">
        <x:v>46219.812988715275</x:v>
      </x:c>
      <x:c r="O76" s="28" t="n">
        <x:v>46219.812988715275</x:v>
      </x:c>
      <x:c r="P76" s="23" t="str">
        <x:v>NOVA LIMA</x:v>
      </x:c>
      <x:c r="Q76" s="30" t="n">
        <x:v>35288</x:v>
      </x:c>
      <x:c r="R76" s="22" t="str">
        <x:f>"MG19205156"</x:f>
        <x:v>MG19205156</x:v>
      </x:c>
      <x:c r="S76" s="23" t="str">
        <x:v>masculino</x:v>
      </x:c>
      <x:c r="T76" s="22" t="str">
        <x:f>"HJG4933"</x:f>
        <x:v>HJG4933</x:v>
      </x:c>
      <x:c r="U76" s="23" t="str">
        <x:v>AGATA TAUANY DIAS</x:v>
      </x:c>
      <x:c r="V76" s="22" t="str">
        <x:f>"001.294.009-46"</x:f>
        <x:v>001.294.009-46</x:v>
      </x:c>
      <x:c r="W76" s="22" t="str">
        <x:f>"00129400946"</x:f>
        <x:v>00129400946</x:v>
      </x:c>
      <x:c r="X76" s="23" t="str">
        <x:v>agatadias312@gmail.com</x:v>
      </x:c>
      <x:c r="Y76" s="22" t="str">
        <x:f>"31 9083-4857"</x:f>
        <x:v>31 9083-4857</x:v>
      </x:c>
      <x:c r="Z76" s="30" t="n">
        <x:v>46550</x:v>
      </x:c>
    </x:row>
    <x:row r="77" ht="18" customHeight="1">
      <x:c r="A77" s="22" t="str">
        <x:f>"d654638e-a0a0-41e4-bce9-fe8859715e1f"</x:f>
        <x:v>d654638e-a0a0-41e4-bce9-fe8859715e1f</x:v>
      </x:c>
      <x:c r="B77" s="23" t="str">
        <x:v>AGATHA DE FARIAS DE MENDONCA DE OLIVEIRA</x:v>
      </x:c>
      <x:c r="C77" s="23" t="str">
        <x:v>agatha de farias de mendonca de oliveira</x:v>
      </x:c>
      <x:c r="D77" s="22" t="str">
        <x:f>"65.917.596/0001-34"</x:f>
        <x:v>65.917.596/0001-34</x:v>
      </x:c>
      <x:c r="E77" s="22" t="str">
        <x:f>"65917596000134"</x:f>
        <x:v>65917596000134</x:v>
      </x:c>
      <x:c r="F77" s="22" t="str">
        <x:f>"174.339.057-23"</x:f>
        <x:v>174.339.057-23</x:v>
      </x:c>
      <x:c r="G77" s="22" t="str">
        <x:f>"17433905723"</x:f>
        <x:v>17433905723</x:v>
      </x:c>
      <x:c r="H77" s="23" t="str">
        <x:v>agatha.mdigital@gmail.com</x:v>
      </x:c>
      <x:c r="I77" s="22" t="str">
        <x:f>"21979574219"</x:f>
        <x:v>21979574219</x:v>
      </x:c>
      <x:c r="J77" s="23" t="str">
        <x:v>SPOT</x:v>
      </x:c>
      <x:c r="K77" s="23" t="str">
        <x:v>favored_only</x:v>
      </x:c>
      <x:c r="L77" s="24" t="b">
        <x:v>1</x:v>
      </x:c>
      <x:c r="M77" s="23" t="n">
        <x:v>1</x:v>
      </x:c>
      <x:c r="N77" s="28" t="n">
        <x:v>46219.812988715275</x:v>
      </x:c>
      <x:c r="O77" s="28" t="n">
        <x:v>46219.812988715275</x:v>
      </x:c>
      <x:c r="P77" s="23" t="str">
        <x:v>CAMPO GRANDE</x:v>
      </x:c>
      <x:c r="Q77" s="30" t="n">
        <x:v>36334</x:v>
      </x:c>
      <x:c r="R77" s="22" t="str">
        <x:f>"9296131"</x:f>
        <x:v>9296131</x:v>
      </x:c>
      <x:c r="S77" s="23" t="str">
        <x:v>feminino</x:v>
      </x:c>
      <x:c r="T77" s="22" t="str">
        <x:f>"QQC9G05"</x:f>
        <x:v>QQC9G05</x:v>
      </x:c>
      <x:c r="U77" s="23" t="str">
        <x:v>LUAN DE OLIVEIRA PINTO MENDONCA</x:v>
      </x:c>
      <x:c r="V77" s="22" t="str">
        <x:f>"140.309.767-43"</x:f>
        <x:v>140.309.767-43</x:v>
      </x:c>
      <x:c r="W77" s="22" t="str">
        <x:f>"14030976743"</x:f>
        <x:v>14030976743</x:v>
      </x:c>
      <x:c r="X77" s="23" t="str">
        <x:v>lauralolo.0512@gmail.com</x:v>
      </x:c>
      <x:c r="Y77" s="22" t="str">
        <x:f>"21987786892"</x:f>
        <x:v>21987786892</x:v>
      </x:c>
      <x:c r="Z77" s="30" t="n">
        <x:v>46502</x:v>
      </x:c>
    </x:row>
    <x:row r="78" ht="18" customHeight="1">
      <x:c r="A78" s="22" t="str">
        <x:f>"ef1f29bf-2775-439b-a228-9d3387fa10c9"</x:f>
        <x:v>ef1f29bf-2775-439b-a228-9d3387fa10c9</x:v>
      </x:c>
      <x:c r="B78" s="23" t="str">
        <x:v>AGATHA DE FARIAS DE MENDONCA DE OLIVEIRA</x:v>
      </x:c>
      <x:c r="C78" s="23" t="str">
        <x:v>agatha de farias de mendonca de oliveira</x:v>
      </x:c>
      <x:c r="D78" s="22" t="str">
        <x:f>"37.872.743/0001-61"</x:f>
        <x:v>37.872.743/0001-61</x:v>
      </x:c>
      <x:c r="E78" s="22" t="str">
        <x:f>"37872743000161"</x:f>
        <x:v>37872743000161</x:v>
      </x:c>
      <x:c r="F78" s="22" t="str">
        <x:f>"174.339.057-23"</x:f>
        <x:v>174.339.057-23</x:v>
      </x:c>
      <x:c r="G78" s="22" t="str">
        <x:f>"17433905723"</x:f>
        <x:v>17433905723</x:v>
      </x:c>
      <x:c r="H78" s="23" t="str">
        <x:v>agatha.mdigital@gmail.com</x:v>
      </x:c>
      <x:c r="I78" s="22" t="str">
        <x:f>"21979574219"</x:f>
        <x:v>21979574219</x:v>
      </x:c>
      <x:c r="J78" s="23" t="str">
        <x:v>SPOT</x:v>
      </x:c>
      <x:c r="K78" s="23" t="str">
        <x:v>favored_only</x:v>
      </x:c>
      <x:c r="L78" s="24" t="b">
        <x:v>1</x:v>
      </x:c>
      <x:c r="M78" s="23" t="n">
        <x:v>1</x:v>
      </x:c>
      <x:c r="N78" s="28" t="n">
        <x:v>46219.812988715275</x:v>
      </x:c>
      <x:c r="O78" s="28" t="n">
        <x:v>46219.812988715275</x:v>
      </x:c>
      <x:c r="P78" s="23" t="str">
        <x:v>CAMPO GRANDE</x:v>
      </x:c>
      <x:c r="Q78" s="30" t="n">
        <x:v>36334</x:v>
      </x:c>
      <x:c r="R78" s="22" t="str">
        <x:f>"9296131"</x:f>
        <x:v>9296131</x:v>
      </x:c>
      <x:c r="S78" s="23" t="str">
        <x:v>feminino</x:v>
      </x:c>
      <x:c r="T78" s="22" t="str">
        <x:f>"QQC9G05"</x:f>
        <x:v>QQC9G05</x:v>
      </x:c>
      <x:c r="U78" s="23" t="str">
        <x:v>AGATHA DE FARIAS DE MENDONCA DE OLIVEIRA</x:v>
      </x:c>
      <x:c r="V78" s="22" t="str">
        <x:f>"174.339.057-23"</x:f>
        <x:v>174.339.057-23</x:v>
      </x:c>
      <x:c r="W78" s="22" t="str">
        <x:f>"17433905723"</x:f>
        <x:v>17433905723</x:v>
      </x:c>
      <x:c r="X78" s="23" t="str">
        <x:v>agatha.mdigital@gmail.com</x:v>
      </x:c>
      <x:c r="Y78" s="22" t="str">
        <x:f>"21979574219"</x:f>
        <x:v>21979574219</x:v>
      </x:c>
      <x:c r="Z78" s="30" t="n">
        <x:v>46502</x:v>
      </x:c>
    </x:row>
    <x:row r="79" ht="18" customHeight="1">
      <x:c r="A79" s="22" t="str">
        <x:f>"561f52fe-aea4-4a42-a403-676d8a36f201"</x:f>
        <x:v>561f52fe-aea4-4a42-a403-676d8a36f201</x:v>
      </x:c>
      <x:c r="B79" s="23" t="str">
        <x:v>AGATHA LARISSA NATAN SILVA</x:v>
      </x:c>
      <x:c r="C79" s="23" t="str">
        <x:v>agatha larissa natan silva</x:v>
      </x:c>
      <x:c r="D79" s="22" t="str">
        <x:f>"65.094.408/0001-15"</x:f>
        <x:v>65.094.408/0001-15</x:v>
      </x:c>
      <x:c r="E79" s="22" t="str">
        <x:f>"65094408000115"</x:f>
        <x:v>65094408000115</x:v>
      </x:c>
      <x:c r="F79" s="22" t="str">
        <x:f>"130.734.626-00"</x:f>
        <x:v>130.734.626-00</x:v>
      </x:c>
      <x:c r="G79" s="22" t="str">
        <x:f>"13073462600"</x:f>
        <x:v>13073462600</x:v>
      </x:c>
      <x:c r="H79" s="23" t="str">
        <x:v>agathaflautista@gmail.com</x:v>
      </x:c>
      <x:c r="I79" s="22" t="str">
        <x:f>"(31) 9 9229-9564"</x:f>
        <x:v>(31) 9 9229-9564</x:v>
      </x:c>
      <x:c r="J79" s="23" t="str">
        <x:v>RENTAL</x:v>
      </x:c>
      <x:c r="K79" s="23" t="str">
        <x:v>rental_company</x:v>
      </x:c>
      <x:c r="L79" s="24" t="b">
        <x:v>1</x:v>
      </x:c>
      <x:c r="M79" s="23" t="n">
        <x:v>1</x:v>
      </x:c>
      <x:c r="N79" s="28" t="n">
        <x:v>46219.812988715275</x:v>
      </x:c>
      <x:c r="O79" s="28" t="n">
        <x:v>46219.812988715275</x:v>
      </x:c>
      <x:c r="P79" s="23" t="str">
        <x:v>NOVA LIMA</x:v>
      </x:c>
      <x:c r="Q79" s="30" t="n">
        <x:v>35193</x:v>
      </x:c>
      <x:c r="R79" s="22" t="str">
        <x:f>"16677939"</x:f>
        <x:v>16677939</x:v>
      </x:c>
      <x:c r="S79" s="23" t="str">
        <x:v>feminino</x:v>
      </x:c>
      <x:c r="T79" s="22" t="str"/>
      <x:c r="U79" s="23" t="str">
        <x:v>AGATHA LARISSA NATAN SILVA</x:v>
      </x:c>
      <x:c r="V79" s="22" t="str">
        <x:f>"130.734.626-00"</x:f>
        <x:v>130.734.626-00</x:v>
      </x:c>
      <x:c r="W79" s="22" t="str">
        <x:f>"13073462600"</x:f>
        <x:v>13073462600</x:v>
      </x:c>
      <x:c r="X79" s="23" t="str">
        <x:v>agathaflautista@gmail.com</x:v>
      </x:c>
      <x:c r="Y79" s="22" t="str">
        <x:f>"(31) 9 9229-9564"</x:f>
        <x:v>(31) 9 9229-9564</x:v>
      </x:c>
      <x:c r="Z79" s="30" t="n">
        <x:v>46228</x:v>
      </x:c>
    </x:row>
    <x:row r="80" ht="18" customHeight="1">
      <x:c r="A80" s="22" t="str">
        <x:f>"5cac6403-166f-4e93-83d4-8c5cfb29195c"</x:f>
        <x:v>5cac6403-166f-4e93-83d4-8c5cfb29195c</x:v>
      </x:c>
      <x:c r="B80" s="23" t="str">
        <x:v>AGILSON NUNES BAHIENSE</x:v>
      </x:c>
      <x:c r="C80" s="23" t="str">
        <x:v>agilson nunes bahiense</x:v>
      </x:c>
      <x:c r="D80" s="22" t="str">
        <x:f>"30.752.892/0001-48"</x:f>
        <x:v>30.752.892/0001-48</x:v>
      </x:c>
      <x:c r="E80" s="22" t="str">
        <x:f>"30752892000148"</x:f>
        <x:v>30752892000148</x:v>
      </x:c>
      <x:c r="F80" s="22" t="str">
        <x:f>"125.043.757-19"</x:f>
        <x:v>125.043.757-19</x:v>
      </x:c>
      <x:c r="G80" s="22" t="str">
        <x:f>"12504375719"</x:f>
        <x:v>12504375719</x:v>
      </x:c>
      <x:c r="H80" s="23" t="str">
        <x:v>Rafy.anb@hotmail.com</x:v>
      </x:c>
      <x:c r="I80" s="22" t="str">
        <x:f>"21 96429-4918"</x:f>
        <x:v>21 96429-4918</x:v>
      </x:c>
      <x:c r="J80" s="23" t="str">
        <x:v>spot</x:v>
      </x:c>
      <x:c r="K80" s="23" t="str">
        <x:v>favored_only</x:v>
      </x:c>
      <x:c r="L80" s="24" t="b">
        <x:v>1</x:v>
      </x:c>
      <x:c r="M80" s="23" t="n">
        <x:v>1</x:v>
      </x:c>
      <x:c r="N80" s="28" t="n">
        <x:v>46219.812988715275</x:v>
      </x:c>
      <x:c r="O80" s="28" t="n">
        <x:v>46219.812988715275</x:v>
      </x:c>
      <x:c r="P80" s="23" t="str">
        <x:v>QUEIMADOS</x:v>
      </x:c>
      <x:c r="Q80" s="30" t="n">
        <x:v>33462</x:v>
      </x:c>
      <x:c r="R80" s="22" t="str">
        <x:f>"230539876"</x:f>
        <x:v>230539876</x:v>
      </x:c>
      <x:c r="S80" s="23" t="str">
        <x:v>masculino</x:v>
      </x:c>
      <x:c r="T80" s="22" t="str">
        <x:f>"KPD4E14"</x:f>
        <x:v>KPD4E14</x:v>
      </x:c>
      <x:c r="U80" s="23" t="str">
        <x:v>AGILSON NUNES BAHIENSE</x:v>
      </x:c>
      <x:c r="V80" s="22" t="str">
        <x:f>"125.043.757-19"</x:f>
        <x:v>125.043.757-19</x:v>
      </x:c>
      <x:c r="W80" s="22" t="str">
        <x:f>"12504375719"</x:f>
        <x:v>12504375719</x:v>
      </x:c>
      <x:c r="X80" s="23" t="str">
        <x:v>Rafy.anb@hotmail.com</x:v>
      </x:c>
      <x:c r="Y80" s="22" t="str">
        <x:f>"21 96429-4918"</x:f>
        <x:v>21 96429-4918</x:v>
      </x:c>
      <x:c r="Z80" s="30" t="n">
        <x:v>46541</x:v>
      </x:c>
    </x:row>
    <x:row r="81" ht="18" customHeight="1">
      <x:c r="A81" s="22" t="str">
        <x:f>"a8322693-3cec-4657-b087-a15a29a2ff8b"</x:f>
        <x:v>a8322693-3cec-4657-b087-a15a29a2ff8b</x:v>
      </x:c>
      <x:c r="B81" s="23" t="str">
        <x:v>AGNALUCIA ROSA SILVA</x:v>
      </x:c>
      <x:c r="C81" s="23" t="str">
        <x:v>agnalucia rosa silva</x:v>
      </x:c>
      <x:c r="D81" s="22" t="str">
        <x:f>"38412604000118"</x:f>
        <x:v>38412604000118</x:v>
      </x:c>
      <x:c r="E81" s="22" t="str">
        <x:f>"38412604000118"</x:f>
        <x:v>38412604000118</x:v>
      </x:c>
      <x:c r="F81" s="22" t="str">
        <x:f>"050.690.436-92"</x:f>
        <x:v>050.690.436-92</x:v>
      </x:c>
      <x:c r="G81" s="22" t="str">
        <x:f>"05069043692"</x:f>
        <x:v>05069043692</x:v>
      </x:c>
      <x:c r="H81" s="23" t="str">
        <x:v>agna_mg@hotmail.com</x:v>
      </x:c>
      <x:c r="I81" s="22" t="str">
        <x:f>"(34) 99675-7006"</x:f>
        <x:v>(34) 99675-7006</x:v>
      </x:c>
      <x:c r="J81" s="23" t="str">
        <x:v>SPOT</x:v>
      </x:c>
      <x:c r="K81" s="23" t="str">
        <x:v>favored_only</x:v>
      </x:c>
      <x:c r="L81" s="24" t="b">
        <x:v>1</x:v>
      </x:c>
      <x:c r="M81" s="23" t="n">
        <x:v>1</x:v>
      </x:c>
      <x:c r="N81" s="28" t="n">
        <x:v>46203.92183017361</x:v>
      </x:c>
      <x:c r="O81" s="28" t="n">
        <x:v>46203.92183017361</x:v>
      </x:c>
      <x:c r="P81" s="23" t="str"/>
      <x:c r="Q81" s="30" t="str"/>
      <x:c r="R81" s="22" t="str"/>
      <x:c r="S81" s="23" t="str"/>
      <x:c r="T81" s="22" t="str"/>
      <x:c r="U81" s="23" t="str">
        <x:v>AGNALUCIA ROSA SILVA</x:v>
      </x:c>
      <x:c r="V81" s="22" t="str">
        <x:f>"050.690.436-92"</x:f>
        <x:v>050.690.436-92</x:v>
      </x:c>
      <x:c r="W81" s="22" t="str">
        <x:f>"05069043692"</x:f>
        <x:v>05069043692</x:v>
      </x:c>
      <x:c r="X81" s="23" t="str">
        <x:v>agna_mg@hotmail.com</x:v>
      </x:c>
      <x:c r="Y81" s="22" t="str">
        <x:f>"(34) 99675-7006"</x:f>
        <x:v>(34) 99675-7006</x:v>
      </x:c>
      <x:c r="Z81" s="30" t="str"/>
    </x:row>
    <x:row r="82" ht="18" customHeight="1">
      <x:c r="A82" s="22" t="str">
        <x:f>"b367d1e7-bd3f-4e2e-a3ac-fc1cd0590083"</x:f>
        <x:v>b367d1e7-bd3f-4e2e-a3ac-fc1cd0590083</x:v>
      </x:c>
      <x:c r="B82" s="23" t="str">
        <x:v>AGUILLAR SERVICOS ADMINISTRATIVOS LTDA</x:v>
      </x:c>
      <x:c r="C82" s="23" t="str">
        <x:v>aguillar servicos administrativos ltda</x:v>
      </x:c>
      <x:c r="D82" s="22" t="str">
        <x:f>"39.649.152/0001-55"</x:f>
        <x:v>39.649.152/0001-55</x:v>
      </x:c>
      <x:c r="E82" s="22" t="str">
        <x:f>"39649152000155"</x:f>
        <x:v>39649152000155</x:v>
      </x:c>
      <x:c r="F82" s="22" t="str">
        <x:f>"246.152.658-32"</x:f>
        <x:v>246.152.658-32</x:v>
      </x:c>
      <x:c r="G82" s="22" t="str">
        <x:f>"24615265832"</x:f>
        <x:v>24615265832</x:v>
      </x:c>
      <x:c r="H82" s="23" t="str">
        <x:v>vaidefreterp@gmail.com</x:v>
      </x:c>
      <x:c r="I82" s="22" t="str">
        <x:f>"17996014101"</x:f>
        <x:v>17996014101</x:v>
      </x:c>
      <x:c r="J82" s="23" t="str">
        <x:v>SPOT</x:v>
      </x:c>
      <x:c r="K82" s="23" t="str">
        <x:v>favored_only</x:v>
      </x:c>
      <x:c r="L82" s="24" t="b">
        <x:v>1</x:v>
      </x:c>
      <x:c r="M82" s="23" t="n">
        <x:v>1</x:v>
      </x:c>
      <x:c r="N82" s="28" t="n">
        <x:v>46203.9218771875</x:v>
      </x:c>
      <x:c r="O82" s="28" t="n">
        <x:v>46203.9218771875</x:v>
      </x:c>
      <x:c r="P82" s="23" t="str"/>
      <x:c r="Q82" s="30" t="str"/>
      <x:c r="R82" s="22" t="str"/>
      <x:c r="S82" s="23" t="str"/>
      <x:c r="T82" s="22" t="str"/>
      <x:c r="U82" s="23" t="str">
        <x:v>AGUILLAR SERVICOS ADMINISTRATIVOS LTDA</x:v>
      </x:c>
      <x:c r="V82" s="22" t="str">
        <x:f>"246.152.658-32"</x:f>
        <x:v>246.152.658-32</x:v>
      </x:c>
      <x:c r="W82" s="22" t="str">
        <x:f>"24615265832"</x:f>
        <x:v>24615265832</x:v>
      </x:c>
      <x:c r="X82" s="23" t="str">
        <x:v>vaidefreterp@gmail.com</x:v>
      </x:c>
      <x:c r="Y82" s="22" t="str">
        <x:f>"17996014101"</x:f>
        <x:v>17996014101</x:v>
      </x:c>
      <x:c r="Z82" s="30" t="str"/>
    </x:row>
    <x:row r="83" ht="18" customHeight="1">
      <x:c r="A83" s="22" t="str">
        <x:f>"1b13bd60-7839-4e55-865a-09f2dc7e35cc"</x:f>
        <x:v>1b13bd60-7839-4e55-865a-09f2dc7e35cc</x:v>
      </x:c>
      <x:c r="B83" s="23" t="str">
        <x:v>ALADINE DOMINIQUE POSS PEREIRA</x:v>
      </x:c>
      <x:c r="C83" s="23" t="str">
        <x:v>aladine dominique poss pereira</x:v>
      </x:c>
      <x:c r="D83" s="22" t="str">
        <x:f>"61.568.137/0001-31"</x:f>
        <x:v>61.568.137/0001-31</x:v>
      </x:c>
      <x:c r="E83" s="22" t="str">
        <x:f>"61568137000131"</x:f>
        <x:v>61568137000131</x:v>
      </x:c>
      <x:c r="F83" s="22" t="str">
        <x:f>"065.003.429-50"</x:f>
        <x:v>065.003.429-50</x:v>
      </x:c>
      <x:c r="G83" s="22" t="str">
        <x:f>"06500342950"</x:f>
        <x:v>06500342950</x:v>
      </x:c>
      <x:c r="H83" s="23" t="str">
        <x:v>gustavoposs2@gmail.com</x:v>
      </x:c>
      <x:c r="I83" s="22" t="str">
        <x:f>"43988553111"</x:f>
        <x:v>43988553111</x:v>
      </x:c>
      <x:c r="J83" s="23" t="str">
        <x:v>SPOT</x:v>
      </x:c>
      <x:c r="K83" s="23" t="str">
        <x:v>favored_only</x:v>
      </x:c>
      <x:c r="L83" s="24" t="b">
        <x:v>1</x:v>
      </x:c>
      <x:c r="M83" s="23" t="n">
        <x:v>3</x:v>
      </x:c>
      <x:c r="N83" s="28" t="n">
        <x:v>46205.607341145835</x:v>
      </x:c>
      <x:c r="O83" s="28" t="n">
        <x:v>46219.81489466435</x:v>
      </x:c>
      <x:c r="P83" s="23" t="str">
        <x:v>SANTO ANTONIO DA PLATINA</x:v>
      </x:c>
      <x:c r="Q83" s="30" t="n">
        <x:v>32283</x:v>
      </x:c>
      <x:c r="R83" s="22" t="str">
        <x:f>"65309637"</x:f>
        <x:v>65309637</x:v>
      </x:c>
      <x:c r="S83" s="23" t="str">
        <x:v>Feminino</x:v>
      </x:c>
      <x:c r="T83" s="22" t="str">
        <x:f>"EZB1H89"</x:f>
        <x:v>EZB1H89</x:v>
      </x:c>
      <x:c r="U83" s="23" t="str">
        <x:v>DOMINIQUE POSS PEREIRA</x:v>
      </x:c>
      <x:c r="V83" s="22" t="str">
        <x:f>"06500342950"</x:f>
        <x:v>06500342950</x:v>
      </x:c>
      <x:c r="W83" s="22" t="str">
        <x:f>"06500342950"</x:f>
        <x:v>06500342950</x:v>
      </x:c>
      <x:c r="X83" s="23" t="str">
        <x:v>gustavoposs2@gmail.com</x:v>
      </x:c>
      <x:c r="Y83" s="22" t="str">
        <x:f>"43988553111"</x:f>
        <x:v>43988553111</x:v>
      </x:c>
      <x:c r="Z83" s="30" t="n">
        <x:v>46238</x:v>
      </x:c>
    </x:row>
    <x:row r="84" ht="18" customHeight="1">
      <x:c r="A84" s="22" t="str">
        <x:f>"bb5c0096-ffe2-4e10-85b4-c828f6bc1b08"</x:f>
        <x:v>bb5c0096-ffe2-4e10-85b4-c828f6bc1b08</x:v>
      </x:c>
      <x:c r="B84" s="23" t="str">
        <x:v>ALAN ALVES GOUVEIA DOS SANTOS</x:v>
      </x:c>
      <x:c r="C84" s="23" t="str">
        <x:v>alan alves gouveia dos santos</x:v>
      </x:c>
      <x:c r="D84" s="22" t="str">
        <x:f>"53.902.969/0001-14"</x:f>
        <x:v>53.902.969/0001-14</x:v>
      </x:c>
      <x:c r="E84" s="22" t="str">
        <x:f>"53902969000114"</x:f>
        <x:v>53902969000114</x:v>
      </x:c>
      <x:c r="F84" s="22" t="str">
        <x:f>"081.883.806-01"</x:f>
        <x:v>081.883.806-01</x:v>
      </x:c>
      <x:c r="G84" s="22" t="str">
        <x:f>"08188380601"</x:f>
        <x:v>08188380601</x:v>
      </x:c>
      <x:c r="H84" s="23" t="str">
        <x:v>alanalvesgouveiadossantos@gamai.com</x:v>
      </x:c>
      <x:c r="I84" s="22" t="str">
        <x:f>"34992767367"</x:f>
        <x:v>34992767367</x:v>
      </x:c>
      <x:c r="J84" s="23" t="str">
        <x:v>RENTAL</x:v>
      </x:c>
      <x:c r="K84" s="23" t="str">
        <x:v>rental_company</x:v>
      </x:c>
      <x:c r="L84" s="24" t="b">
        <x:v>1</x:v>
      </x:c>
      <x:c r="M84" s="23" t="n">
        <x:v>1</x:v>
      </x:c>
      <x:c r="N84" s="28" t="n">
        <x:v>46203.92189349537</x:v>
      </x:c>
      <x:c r="O84" s="28" t="n">
        <x:v>46219.812988715275</x:v>
      </x:c>
      <x:c r="P84" s="23" t="str">
        <x:v>UBERLANDIA</x:v>
      </x:c>
      <x:c r="Q84" s="30" t="n">
        <x:v>31753</x:v>
      </x:c>
      <x:c r="R84" s="22" t="str">
        <x:f>"14239044"</x:f>
        <x:v>14239044</x:v>
      </x:c>
      <x:c r="S84" s="23" t="str">
        <x:v>masculino</x:v>
      </x:c>
      <x:c r="T84" s="22" t="str"/>
      <x:c r="U84" s="23" t="str">
        <x:v>ALAN ALVES GOUVEIA DOS SANTOS</x:v>
      </x:c>
      <x:c r="V84" s="22" t="str">
        <x:f>"081.883.806-01"</x:f>
        <x:v>081.883.806-01</x:v>
      </x:c>
      <x:c r="W84" s="22" t="str">
        <x:f>"08188380601"</x:f>
        <x:v>08188380601</x:v>
      </x:c>
      <x:c r="X84" s="23" t="str">
        <x:v>alanalvesgouveiadossantos@gamai.com</x:v>
      </x:c>
      <x:c r="Y84" s="22" t="str">
        <x:f>"34992767367"</x:f>
        <x:v>34992767367</x:v>
      </x:c>
      <x:c r="Z84" s="30" t="n">
        <x:v>46337</x:v>
      </x:c>
    </x:row>
    <x:row r="85" ht="18" customHeight="1">
      <x:c r="A85" s="22" t="str">
        <x:f>"0b1ff00f-bddb-406f-915f-066335377265"</x:f>
        <x:v>0b1ff00f-bddb-406f-915f-066335377265</x:v>
      </x:c>
      <x:c r="B85" s="23" t="str">
        <x:v>ALAN CESAR ORTIZ FERREIRA LISBOA</x:v>
      </x:c>
      <x:c r="C85" s="23" t="str">
        <x:v>alan cesar ortiz ferreira lisboa</x:v>
      </x:c>
      <x:c r="D85" s="22" t="str">
        <x:f>"52.947.524/0001-98"</x:f>
        <x:v>52.947.524/0001-98</x:v>
      </x:c>
      <x:c r="E85" s="22" t="str">
        <x:f>"52947524000198"</x:f>
        <x:v>52947524000198</x:v>
      </x:c>
      <x:c r="F85" s="22" t="str">
        <x:f>"457.976.298-36"</x:f>
        <x:v>457.976.298-36</x:v>
      </x:c>
      <x:c r="G85" s="22" t="str">
        <x:f>"45797629836"</x:f>
        <x:v>45797629836</x:v>
      </x:c>
      <x:c r="H85" s="23" t="str">
        <x:v>Lisboaallan20@gmail.com</x:v>
      </x:c>
      <x:c r="I85" s="22" t="str">
        <x:f>"17991968894"</x:f>
        <x:v>17991968894</x:v>
      </x:c>
      <x:c r="J85" s="23" t="str">
        <x:v>SPOT</x:v>
      </x:c>
      <x:c r="K85" s="23" t="str">
        <x:v>favored_only</x:v>
      </x:c>
      <x:c r="L85" s="24" t="b">
        <x:v>1</x:v>
      </x:c>
      <x:c r="M85" s="23" t="n">
        <x:v>1</x:v>
      </x:c>
      <x:c r="N85" s="28" t="n">
        <x:v>46203.9218771875</x:v>
      </x:c>
      <x:c r="O85" s="28" t="n">
        <x:v>46219.812988715275</x:v>
      </x:c>
      <x:c r="P85" s="23" t="str">
        <x:v>JALES</x:v>
      </x:c>
      <x:c r="Q85" s="30" t="n">
        <x:v>35981</x:v>
      </x:c>
      <x:c r="R85" s="22" t="str">
        <x:f>"552066308"</x:f>
        <x:v>552066308</x:v>
      </x:c>
      <x:c r="S85" s="23" t="str">
        <x:v>masculino</x:v>
      </x:c>
      <x:c r="T85" s="22" t="str">
        <x:f>"FNE2179"</x:f>
        <x:v>FNE2179</x:v>
      </x:c>
      <x:c r="U85" s="23" t="str">
        <x:v>ALAN CESAR ORTIZ FERREIRA LISBOA</x:v>
      </x:c>
      <x:c r="V85" s="22" t="str">
        <x:f>"457.976.298-36"</x:f>
        <x:v>457.976.298-36</x:v>
      </x:c>
      <x:c r="W85" s="22" t="str">
        <x:f>"45797629836"</x:f>
        <x:v>45797629836</x:v>
      </x:c>
      <x:c r="X85" s="23" t="str">
        <x:v>Lisboaallan20@gmail.com</x:v>
      </x:c>
      <x:c r="Y85" s="22" t="str">
        <x:f>"17991968894"</x:f>
        <x:v>17991968894</x:v>
      </x:c>
      <x:c r="Z85" s="30" t="n">
        <x:v>46310</x:v>
      </x:c>
    </x:row>
    <x:row r="86" ht="18" customHeight="1">
      <x:c r="A86" s="22" t="str">
        <x:f>"18e17dab-1283-4173-b1c2-b5e92b6ae541"</x:f>
        <x:v>18e17dab-1283-4173-b1c2-b5e92b6ae541</x:v>
      </x:c>
      <x:c r="B86" s="23" t="str">
        <x:v>ALAN DE SOUZA SILVA</x:v>
      </x:c>
      <x:c r="C86" s="23" t="str">
        <x:v>alan de souza silva</x:v>
      </x:c>
      <x:c r="D86" s="22" t="str">
        <x:f>"62.014.698/0001-51"</x:f>
        <x:v>62.014.698/0001-51</x:v>
      </x:c>
      <x:c r="E86" s="22" t="str">
        <x:f>"62014698000151"</x:f>
        <x:v>62014698000151</x:v>
      </x:c>
      <x:c r="F86" s="22" t="str">
        <x:f>"230.664.498-58"</x:f>
        <x:v>230.664.498-58</x:v>
      </x:c>
      <x:c r="G86" s="22" t="str">
        <x:f>"23066449858"</x:f>
        <x:v>23066449858</x:v>
      </x:c>
      <x:c r="H86" s="23" t="str">
        <x:v>alansilvasouzava@gmail.com</x:v>
      </x:c>
      <x:c r="I86" s="22" t="str">
        <x:f>"11966874350"</x:f>
        <x:v>11966874350</x:v>
      </x:c>
      <x:c r="J86" s="23" t="str">
        <x:v>RENTAL</x:v>
      </x:c>
      <x:c r="K86" s="23" t="str">
        <x:v>rental_company</x:v>
      </x:c>
      <x:c r="L86" s="24" t="b">
        <x:v>1</x:v>
      </x:c>
      <x:c r="M86" s="23" t="n">
        <x:v>1</x:v>
      </x:c>
      <x:c r="N86" s="28" t="n">
        <x:v>46203.9218771875</x:v>
      </x:c>
      <x:c r="O86" s="28" t="n">
        <x:v>46219.812988715275</x:v>
      </x:c>
      <x:c r="P86" s="23" t="str">
        <x:v>MADEIRA MADEIRA</x:v>
      </x:c>
      <x:c r="Q86" s="30" t="n">
        <x:v>33281</x:v>
      </x:c>
      <x:c r="R86" s="22" t="str">
        <x:f>"47186450"</x:f>
        <x:v>47186450</x:v>
      </x:c>
      <x:c r="S86" s="23" t="str">
        <x:v>feminino</x:v>
      </x:c>
      <x:c r="T86" s="22" t="str"/>
      <x:c r="U86" s="23" t="str">
        <x:v>ALAN DE SOUZA SILVA</x:v>
      </x:c>
      <x:c r="V86" s="22" t="str">
        <x:f>"230.664.498-58"</x:f>
        <x:v>230.664.498-58</x:v>
      </x:c>
      <x:c r="W86" s="22" t="str">
        <x:f>"23066449858"</x:f>
        <x:v>23066449858</x:v>
      </x:c>
      <x:c r="X86" s="23" t="str">
        <x:v>alansilvasouzava@gmail.com</x:v>
      </x:c>
      <x:c r="Y86" s="22" t="str">
        <x:f>"11966874350"</x:f>
        <x:v>11966874350</x:v>
      </x:c>
      <x:c r="Z86" s="30" t="n">
        <x:v>46304</x:v>
      </x:c>
    </x:row>
    <x:row r="87" ht="18" customHeight="1">
      <x:c r="A87" s="22" t="str">
        <x:f>"1e2763c8-8724-4bb1-abca-2bbced6bac27"</x:f>
        <x:v>1e2763c8-8724-4bb1-abca-2bbced6bac27</x:v>
      </x:c>
      <x:c r="B87" s="23" t="str">
        <x:v>ALAN DIAS</x:v>
      </x:c>
      <x:c r="C87" s="23" t="str">
        <x:v>alan dias</x:v>
      </x:c>
      <x:c r="D87" s="22" t="str">
        <x:f>"67.268.764/0001-33"</x:f>
        <x:v>67.268.764/0001-33</x:v>
      </x:c>
      <x:c r="E87" s="22" t="str">
        <x:f>"67268764000133"</x:f>
        <x:v>67268764000133</x:v>
      </x:c>
      <x:c r="F87" s="22" t="str">
        <x:f>"493.524.728-29"</x:f>
        <x:v>493.524.728-29</x:v>
      </x:c>
      <x:c r="G87" s="22" t="str">
        <x:f>"49352472829"</x:f>
        <x:v>49352472829</x:v>
      </x:c>
      <x:c r="H87" s="23" t="str">
        <x:v>alandias61530@gmail.com</x:v>
      </x:c>
      <x:c r="I87" s="22" t="str">
        <x:f>"16988334448"</x:f>
        <x:v>16988334448</x:v>
      </x:c>
      <x:c r="J87" s="23" t="str">
        <x:v>RENTAL</x:v>
      </x:c>
      <x:c r="K87" s="23" t="str">
        <x:v>rental_company</x:v>
      </x:c>
      <x:c r="L87" s="24" t="b">
        <x:v>1</x:v>
      </x:c>
      <x:c r="M87" s="23" t="n">
        <x:v>1</x:v>
      </x:c>
      <x:c r="N87" s="28" t="n">
        <x:v>46219.812988715275</x:v>
      </x:c>
      <x:c r="O87" s="28" t="n">
        <x:v>46219.812988715275</x:v>
      </x:c>
      <x:c r="P87" s="23" t="str">
        <x:v>SÃO CARLOS</x:v>
      </x:c>
      <x:c r="Q87" s="30" t="n">
        <x:v>38802</x:v>
      </x:c>
      <x:c r="R87" s="22" t="str">
        <x:f>"596392278"</x:f>
        <x:v>596392278</x:v>
      </x:c>
      <x:c r="S87" s="23" t="str">
        <x:v>masculino</x:v>
      </x:c>
      <x:c r="T87" s="22" t="str"/>
      <x:c r="U87" s="23" t="str">
        <x:v>ALAN DIAS</x:v>
      </x:c>
      <x:c r="V87" s="22" t="str">
        <x:f>"493.524.728-29"</x:f>
        <x:v>493.524.728-29</x:v>
      </x:c>
      <x:c r="W87" s="22" t="str">
        <x:f>"49352472829"</x:f>
        <x:v>49352472829</x:v>
      </x:c>
      <x:c r="X87" s="23" t="str">
        <x:v>alandias61530@gmail.com</x:v>
      </x:c>
      <x:c r="Y87" s="22" t="str">
        <x:f>"16988334448"</x:f>
        <x:v>16988334448</x:v>
      </x:c>
      <x:c r="Z87" s="30" t="n">
        <x:v>46549</x:v>
      </x:c>
    </x:row>
    <x:row r="88" ht="18" customHeight="1">
      <x:c r="A88" s="22" t="str">
        <x:f>"21c1853a-be3e-4496-8ff0-ec6230a3a8bb"</x:f>
        <x:v>21c1853a-be3e-4496-8ff0-ec6230a3a8bb</x:v>
      </x:c>
      <x:c r="B88" s="23" t="str">
        <x:v>ALAN DIAS DE OLIVEIRA</x:v>
      </x:c>
      <x:c r="C88" s="23" t="str">
        <x:v>alan dias de oliveira</x:v>
      </x:c>
      <x:c r="D88" s="22" t="str">
        <x:f>"41.335.963/0001-23"</x:f>
        <x:v>41.335.963/0001-23</x:v>
      </x:c>
      <x:c r="E88" s="22" t="str">
        <x:f>"41335963000123"</x:f>
        <x:v>41335963000123</x:v>
      </x:c>
      <x:c r="F88" s="22" t="str">
        <x:f>"098.584.836-78"</x:f>
        <x:v>098.584.836-78</x:v>
      </x:c>
      <x:c r="G88" s="22" t="str">
        <x:f>"09858483678"</x:f>
        <x:v>09858483678</x:v>
      </x:c>
      <x:c r="H88" s="23" t="str">
        <x:v>alandias6950@gmail.com</x:v>
      </x:c>
      <x:c r="I88" s="22" t="str">
        <x:f>"3199906-0193"</x:f>
        <x:v>3199906-0193</x:v>
      </x:c>
      <x:c r="J88" s="23" t="str">
        <x:v>RENTAL</x:v>
      </x:c>
      <x:c r="K88" s="23" t="str">
        <x:v>rental_company</x:v>
      </x:c>
      <x:c r="L88" s="24" t="b">
        <x:v>1</x:v>
      </x:c>
      <x:c r="M88" s="23" t="n">
        <x:v>2</x:v>
      </x:c>
      <x:c r="N88" s="28" t="n">
        <x:v>46203.92183017361</x:v>
      </x:c>
      <x:c r="O88" s="28" t="n">
        <x:v>46219.812988715275</x:v>
      </x:c>
      <x:c r="P88" s="23" t="str">
        <x:v>IPATINGA</x:v>
      </x:c>
      <x:c r="Q88" s="30" t="n">
        <x:v>32556</x:v>
      </x:c>
      <x:c r="R88" s="22" t="str">
        <x:f>"M 12646904 SSP MG"</x:f>
        <x:v>M 12646904 SSP MG</x:v>
      </x:c>
      <x:c r="S88" s="23" t="str">
        <x:v>masculino</x:v>
      </x:c>
      <x:c r="T88" s="22" t="str"/>
      <x:c r="U88" s="23" t="str">
        <x:v>ALAN DIAS DE OLIVEIRA</x:v>
      </x:c>
      <x:c r="V88" s="22" t="str">
        <x:f>"098.584.836-78"</x:f>
        <x:v>098.584.836-78</x:v>
      </x:c>
      <x:c r="W88" s="22" t="str">
        <x:f>"09858483678"</x:f>
        <x:v>09858483678</x:v>
      </x:c>
      <x:c r="X88" s="23" t="str">
        <x:v>alandias6950@gmail.com</x:v>
      </x:c>
      <x:c r="Y88" s="22" t="str">
        <x:f>"3199906-0193"</x:f>
        <x:v>3199906-0193</x:v>
      </x:c>
      <x:c r="Z88" s="30" t="n">
        <x:v>46451</x:v>
      </x:c>
    </x:row>
    <x:row r="89" ht="18" customHeight="1">
      <x:c r="A89" s="22" t="str">
        <x:f>"6a49efe9-8a07-4e07-bc78-e84014859a7e"</x:f>
        <x:v>6a49efe9-8a07-4e07-bc78-e84014859a7e</x:v>
      </x:c>
      <x:c r="B89" s="23" t="str">
        <x:v>ALAN DIAS DE OLIVEIRA</x:v>
      </x:c>
      <x:c r="C89" s="23" t="str">
        <x:v>alan dias de oliveira</x:v>
      </x:c>
      <x:c r="D89" s="22" t="str">
        <x:f>"64.111.995/0001-40"</x:f>
        <x:v>64.111.995/0001-40</x:v>
      </x:c>
      <x:c r="E89" s="22" t="str">
        <x:f>"64111995000140"</x:f>
        <x:v>64111995000140</x:v>
      </x:c>
      <x:c r="F89" s="22" t="str">
        <x:f>"098.584.836-78"</x:f>
        <x:v>098.584.836-78</x:v>
      </x:c>
      <x:c r="G89" s="22" t="str">
        <x:f>"09858483678"</x:f>
        <x:v>09858483678</x:v>
      </x:c>
      <x:c r="H89" s="23" t="str">
        <x:v>alandias6950@gmail.com</x:v>
      </x:c>
      <x:c r="I89" s="22" t="str">
        <x:f>"+55 31 9906-0193"</x:f>
        <x:v>+55 31 9906-0193</x:v>
      </x:c>
      <x:c r="J89" s="23" t="str">
        <x:v>SPOT</x:v>
      </x:c>
      <x:c r="K89" s="23" t="str">
        <x:v>favored_only</x:v>
      </x:c>
      <x:c r="L89" s="24" t="b">
        <x:v>1</x:v>
      </x:c>
      <x:c r="M89" s="23" t="n">
        <x:v>1</x:v>
      </x:c>
      <x:c r="N89" s="28" t="n">
        <x:v>46219.812988715275</x:v>
      </x:c>
      <x:c r="O89" s="28" t="n">
        <x:v>46219.812988715275</x:v>
      </x:c>
      <x:c r="P89" s="23" t="str">
        <x:v>IPATINGA</x:v>
      </x:c>
      <x:c r="Q89" s="30" t="n">
        <x:v>32556</x:v>
      </x:c>
      <x:c r="R89" s="22" t="str">
        <x:f>"12646904"</x:f>
        <x:v>12646904</x:v>
      </x:c>
      <x:c r="S89" s="23" t="str">
        <x:v>masculino</x:v>
      </x:c>
      <x:c r="T89" s="22" t="str">
        <x:f>"ODQ6D52"</x:f>
        <x:v>ODQ6D52</x:v>
      </x:c>
      <x:c r="U89" s="23" t="str">
        <x:v>IGOR THIAGO DE MATOS LAIA</x:v>
      </x:c>
      <x:c r="V89" s="22" t="str">
        <x:f>"127.470.466-99"</x:f>
        <x:v>127.470.466-99</x:v>
      </x:c>
      <x:c r="W89" s="22" t="str">
        <x:f>"12747046699"</x:f>
        <x:v>12747046699</x:v>
      </x:c>
      <x:c r="X89" s="23" t="str">
        <x:v>igoralctransportes@gmail.com</x:v>
      </x:c>
      <x:c r="Y89" s="22" t="str">
        <x:f>"31985381065"</x:f>
        <x:v>31985381065</x:v>
      </x:c>
      <x:c r="Z89" s="30" t="n">
        <x:v>46406</x:v>
      </x:c>
    </x:row>
    <x:row r="90" ht="18" customHeight="1">
      <x:c r="A90" s="22" t="str">
        <x:f>"e91b5bb2-135c-4d58-90a7-118878dbda37"</x:f>
        <x:v>e91b5bb2-135c-4d58-90a7-118878dbda37</x:v>
      </x:c>
      <x:c r="B90" s="23" t="str">
        <x:v>ALAN DIAS DE OLIVEIRA</x:v>
      </x:c>
      <x:c r="C90" s="23" t="str">
        <x:v>alan dias de oliveira</x:v>
      </x:c>
      <x:c r="D90" s="22" t="str">
        <x:f>"47.008.307/0001-00"</x:f>
        <x:v>47.008.307/0001-00</x:v>
      </x:c>
      <x:c r="E90" s="22" t="str">
        <x:f>"47008307000100"</x:f>
        <x:v>47008307000100</x:v>
      </x:c>
      <x:c r="F90" s="22" t="str">
        <x:f>"098.584.836-78"</x:f>
        <x:v>098.584.836-78</x:v>
      </x:c>
      <x:c r="G90" s="22" t="str">
        <x:f>"09858483678"</x:f>
        <x:v>09858483678</x:v>
      </x:c>
      <x:c r="H90" s="23" t="str">
        <x:v>alandias6950@gmail.com</x:v>
      </x:c>
      <x:c r="I90" s="22" t="str">
        <x:f>"(31) 99906-0193"</x:f>
        <x:v>(31) 99906-0193</x:v>
      </x:c>
      <x:c r="J90" s="23" t="str">
        <x:v>SPOT</x:v>
      </x:c>
      <x:c r="K90" s="23" t="str">
        <x:v>favored_only</x:v>
      </x:c>
      <x:c r="L90" s="24" t="b">
        <x:v>1</x:v>
      </x:c>
      <x:c r="M90" s="23" t="n">
        <x:v>1</x:v>
      </x:c>
      <x:c r="N90" s="28" t="n">
        <x:v>46205.6056796875</x:v>
      </x:c>
      <x:c r="O90" s="28" t="n">
        <x:v>46219.812988715275</x:v>
      </x:c>
      <x:c r="P90" s="23" t="str">
        <x:v>IPATINGA</x:v>
      </x:c>
      <x:c r="Q90" s="30" t="n">
        <x:v>32556</x:v>
      </x:c>
      <x:c r="R90" s="22" t="str">
        <x:f>"12646904"</x:f>
        <x:v>12646904</x:v>
      </x:c>
      <x:c r="S90" s="23" t="str">
        <x:v>masculino</x:v>
      </x:c>
      <x:c r="T90" s="22" t="str">
        <x:f>"HCW4I77"</x:f>
        <x:v>HCW4I77</x:v>
      </x:c>
      <x:c r="U90" s="23" t="str">
        <x:v>MAURICIO RODRIGUES DOS SANTOS JUNIOR</x:v>
      </x:c>
      <x:c r="V90" s="22" t="str">
        <x:f>"098.920.416-23"</x:f>
        <x:v>098.920.416-23</x:v>
      </x:c>
      <x:c r="W90" s="22" t="str">
        <x:f>"09892041623"</x:f>
        <x:v>09892041623</x:v>
      </x:c>
      <x:c r="X90" s="23" t="str">
        <x:v>juninho_gdb@yahoo.com.br</x:v>
      </x:c>
      <x:c r="Y90" s="22" t="str">
        <x:f>"31 988214929"</x:f>
        <x:v>31 988214929</x:v>
      </x:c>
      <x:c r="Z90" s="30" t="n">
        <x:v>46330</x:v>
      </x:c>
    </x:row>
    <x:row r="91" ht="18" customHeight="1">
      <x:c r="A91" s="22" t="str">
        <x:f>"ea8c1048-9ded-4199-99b5-a14077ad5fa4"</x:f>
        <x:v>ea8c1048-9ded-4199-99b5-a14077ad5fa4</x:v>
      </x:c>
      <x:c r="B91" s="23" t="str">
        <x:v>ALAN DIAS DE OLIVEIRA</x:v>
      </x:c>
      <x:c r="C91" s="23" t="str">
        <x:v>alan dias de oliveira</x:v>
      </x:c>
      <x:c r="D91" s="22" t="str">
        <x:f>"65.954.723/0001-75"</x:f>
        <x:v>65.954.723/0001-75</x:v>
      </x:c>
      <x:c r="E91" s="22" t="str">
        <x:f>"65954723000175"</x:f>
        <x:v>65954723000175</x:v>
      </x:c>
      <x:c r="F91" s="22" t="str">
        <x:f>"098.584.836-78"</x:f>
        <x:v>098.584.836-78</x:v>
      </x:c>
      <x:c r="G91" s="22" t="str">
        <x:f>"09858483678"</x:f>
        <x:v>09858483678</x:v>
      </x:c>
      <x:c r="H91" s="23" t="str">
        <x:v>alandias6950@gmail.com</x:v>
      </x:c>
      <x:c r="I91" s="22" t="str">
        <x:f>"31 9906-0193"</x:f>
        <x:v>31 9906-0193</x:v>
      </x:c>
      <x:c r="J91" s="23" t="str">
        <x:v>RENTAL</x:v>
      </x:c>
      <x:c r="K91" s="23" t="str">
        <x:v>rental_company</x:v>
      </x:c>
      <x:c r="L91" s="24" t="b">
        <x:v>1</x:v>
      </x:c>
      <x:c r="M91" s="23" t="n">
        <x:v>1</x:v>
      </x:c>
      <x:c r="N91" s="28" t="n">
        <x:v>46219.812988715275</x:v>
      </x:c>
      <x:c r="O91" s="28" t="n">
        <x:v>46219.812988715275</x:v>
      </x:c>
      <x:c r="P91" s="23" t="str">
        <x:v>IPATINGA</x:v>
      </x:c>
      <x:c r="Q91" s="30" t="n">
        <x:v>32556</x:v>
      </x:c>
      <x:c r="R91" s="22" t="str">
        <x:f>"M 12646904 SSP  MG"</x:f>
        <x:v>M 12646904 SSP  MG</x:v>
      </x:c>
      <x:c r="S91" s="23" t="str">
        <x:v>masculino</x:v>
      </x:c>
      <x:c r="T91" s="22" t="str"/>
      <x:c r="U91" s="23" t="str">
        <x:v>ALAN DIAS DE OLIVEIRA</x:v>
      </x:c>
      <x:c r="V91" s="22" t="str">
        <x:f>"098.584.836-78"</x:f>
        <x:v>098.584.836-78</x:v>
      </x:c>
      <x:c r="W91" s="22" t="str">
        <x:f>"09858483678"</x:f>
        <x:v>09858483678</x:v>
      </x:c>
      <x:c r="X91" s="23" t="str">
        <x:v>alandias6950@gmail.com</x:v>
      </x:c>
      <x:c r="Y91" s="22" t="str">
        <x:f>"31 9906-0193"</x:f>
        <x:v>31 9906-0193</x:v>
      </x:c>
      <x:c r="Z91" s="30" t="n">
        <x:v>46477</x:v>
      </x:c>
    </x:row>
    <x:row r="92" ht="18" customHeight="1">
      <x:c r="A92" s="22" t="str">
        <x:f>"a7ab95d0-0ef3-4ce2-9fc8-366b954ec156"</x:f>
        <x:v>a7ab95d0-0ef3-4ce2-9fc8-366b954ec156</x:v>
      </x:c>
      <x:c r="B92" s="23" t="str">
        <x:v>ALAN DOS SANTOS PEREIRA</x:v>
      </x:c>
      <x:c r="C92" s="23" t="str">
        <x:v>alan dos santos pereira</x:v>
      </x:c>
      <x:c r="D92" s="22" t="str">
        <x:f>"60.902.416/0001-27"</x:f>
        <x:v>60.902.416/0001-27</x:v>
      </x:c>
      <x:c r="E92" s="22" t="str">
        <x:f>"60902416000127"</x:f>
        <x:v>60902416000127</x:v>
      </x:c>
      <x:c r="F92" s="22" t="str">
        <x:f>"482.819.908-05"</x:f>
        <x:v>482.819.908-05</x:v>
      </x:c>
      <x:c r="G92" s="22" t="str">
        <x:f>"48281990805"</x:f>
        <x:v>48281990805</x:v>
      </x:c>
      <x:c r="H92" s="23" t="str">
        <x:v>allansantos24111@gmail.com</x:v>
      </x:c>
      <x:c r="I92" s="22" t="str">
        <x:f>"11964889600"</x:f>
        <x:v>11964889600</x:v>
      </x:c>
      <x:c r="J92" s="23" t="str">
        <x:v>SPOT</x:v>
      </x:c>
      <x:c r="K92" s="23" t="str">
        <x:v>favored_only</x:v>
      </x:c>
      <x:c r="L92" s="24" t="b">
        <x:v>1</x:v>
      </x:c>
      <x:c r="M92" s="23" t="n">
        <x:v>2</x:v>
      </x:c>
      <x:c r="N92" s="28" t="n">
        <x:v>46203.92186888889</x:v>
      </x:c>
      <x:c r="O92" s="28" t="n">
        <x:v>46219.812988715275</x:v>
      </x:c>
      <x:c r="P92" s="23" t="str">
        <x:v>BARUERI</x:v>
      </x:c>
      <x:c r="Q92" s="30" t="n">
        <x:v>35879</x:v>
      </x:c>
      <x:c r="R92" s="22" t="str">
        <x:f>"531387410"</x:f>
        <x:v>531387410</x:v>
      </x:c>
      <x:c r="S92" s="23" t="str">
        <x:v>masculino</x:v>
      </x:c>
      <x:c r="T92" s="22" t="str">
        <x:f>"BYZ7H19"</x:f>
        <x:v>BYZ7H19</x:v>
      </x:c>
      <x:c r="U92" s="23" t="str">
        <x:v>ALAN DOS SANTOS PEREIRA</x:v>
      </x:c>
      <x:c r="V92" s="22" t="str">
        <x:f>"482.819.908-05"</x:f>
        <x:v>482.819.908-05</x:v>
      </x:c>
      <x:c r="W92" s="22" t="str">
        <x:f>"48281990805"</x:f>
        <x:v>48281990805</x:v>
      </x:c>
      <x:c r="X92" s="23" t="str">
        <x:v>allansantos24111@gmail.com</x:v>
      </x:c>
      <x:c r="Y92" s="22" t="str">
        <x:f>"11964889600"</x:f>
        <x:v>11964889600</x:v>
      </x:c>
      <x:c r="Z92" s="30" t="n">
        <x:v>46415</x:v>
      </x:c>
    </x:row>
    <x:row r="93" ht="18" customHeight="1">
      <x:c r="A93" s="22" t="str">
        <x:f>"63d8e88d-e7f7-4c93-94b8-8f5d9c428e50"</x:f>
        <x:v>63d8e88d-e7f7-4c93-94b8-8f5d9c428e50</x:v>
      </x:c>
      <x:c r="B93" s="23" t="str">
        <x:v>ALAN FELIPE DA SILVA ADAO</x:v>
      </x:c>
      <x:c r="C93" s="23" t="str">
        <x:v>alan felipe da silva adao</x:v>
      </x:c>
      <x:c r="D93" s="22" t="str">
        <x:f>"55.169.118/0001-30"</x:f>
        <x:v>55.169.118/0001-30</x:v>
      </x:c>
      <x:c r="E93" s="22" t="str">
        <x:f>"55169118000130"</x:f>
        <x:v>55169118000130</x:v>
      </x:c>
      <x:c r="F93" s="22" t="str">
        <x:f>"165.055.437-08"</x:f>
        <x:v>165.055.437-08</x:v>
      </x:c>
      <x:c r="G93" s="22" t="str">
        <x:f>"16505543708"</x:f>
        <x:v>16505543708</x:v>
      </x:c>
      <x:c r="H93" s="23" t="str">
        <x:v>allantottehan10@gmail.com</x:v>
      </x:c>
      <x:c r="I93" s="22" t="str">
        <x:f>"21995402478"</x:f>
        <x:v>21995402478</x:v>
      </x:c>
      <x:c r="J93" s="23" t="str">
        <x:v>SPOT</x:v>
      </x:c>
      <x:c r="K93" s="23" t="str">
        <x:v>favored_only</x:v>
      </x:c>
      <x:c r="L93" s="24" t="b">
        <x:v>1</x:v>
      </x:c>
      <x:c r="M93" s="23" t="n">
        <x:v>1</x:v>
      </x:c>
      <x:c r="N93" s="28" t="n">
        <x:v>46219.812988715275</x:v>
      </x:c>
      <x:c r="O93" s="28" t="n">
        <x:v>46219.812988715275</x:v>
      </x:c>
      <x:c r="P93" s="23" t="str">
        <x:v>QUEIMADOS</x:v>
      </x:c>
      <x:c r="Q93" s="30" t="n">
        <x:v>33859</x:v>
      </x:c>
      <x:c r="R93" s="22" t="str">
        <x:f>"257637595"</x:f>
        <x:v>257637595</x:v>
      </x:c>
      <x:c r="S93" s="23" t="str">
        <x:v>masculino</x:v>
      </x:c>
      <x:c r="T93" s="22" t="str">
        <x:f>"KOR5C64"</x:f>
        <x:v>KOR5C64</x:v>
      </x:c>
      <x:c r="U93" s="23" t="str">
        <x:v>JOHNNY FRANKLIN DA SILVA ADAO</x:v>
      </x:c>
      <x:c r="V93" s="22" t="str">
        <x:f>"131.563.077-00"</x:f>
        <x:v>131.563.077-00</x:v>
      </x:c>
      <x:c r="W93" s="22" t="str">
        <x:f>"13156307700"</x:f>
        <x:v>13156307700</x:v>
      </x:c>
      <x:c r="X93" s="23" t="str">
        <x:v>johnnyfranklind@gmail.com</x:v>
      </x:c>
      <x:c r="Y93" s="22" t="str">
        <x:f>"21975161469"</x:f>
        <x:v>21975161469</x:v>
      </x:c>
      <x:c r="Z93" s="30" t="n">
        <x:v>46488</x:v>
      </x:c>
    </x:row>
    <x:row r="94" ht="18" customHeight="1">
      <x:c r="A94" s="22" t="str">
        <x:f>"59569030-c8b8-440d-beba-586007d53470"</x:f>
        <x:v>59569030-c8b8-440d-beba-586007d53470</x:v>
      </x:c>
      <x:c r="B94" s="23" t="str">
        <x:v>ALAN FELIX BARBALHO</x:v>
      </x:c>
      <x:c r="C94" s="23" t="str">
        <x:v>alan felix barbalho</x:v>
      </x:c>
      <x:c r="D94" s="22" t="str">
        <x:f>"67.877.510/0001-12"</x:f>
        <x:v>67.877.510/0001-12</x:v>
      </x:c>
      <x:c r="E94" s="22" t="str">
        <x:f>"67877510000112"</x:f>
        <x:v>67877510000112</x:v>
      </x:c>
      <x:c r="F94" s="22" t="str">
        <x:f>"096.654.956-23"</x:f>
        <x:v>096.654.956-23</x:v>
      </x:c>
      <x:c r="G94" s="22" t="str">
        <x:f>"09665495623"</x:f>
        <x:v>09665495623</x:v>
      </x:c>
      <x:c r="H94" s="23" t="str">
        <x:v>alan_gzn@hotmail.com</x:v>
      </x:c>
      <x:c r="I94" s="22" t="str">
        <x:f>"31986862054"</x:f>
        <x:v>31986862054</x:v>
      </x:c>
      <x:c r="J94" s="23" t="str">
        <x:v>SPOT</x:v>
      </x:c>
      <x:c r="K94" s="23" t="str">
        <x:v>favored_only</x:v>
      </x:c>
      <x:c r="L94" s="24" t="b">
        <x:v>1</x:v>
      </x:c>
      <x:c r="M94" s="23" t="n">
        <x:v>2</x:v>
      </x:c>
      <x:c r="N94" s="28" t="n">
        <x:v>46219.812988715275</x:v>
      </x:c>
      <x:c r="O94" s="28" t="n">
        <x:v>46219.812988715275</x:v>
      </x:c>
      <x:c r="P94" s="23" t="str">
        <x:v>VESPASIANO</x:v>
      </x:c>
      <x:c r="Q94" s="30" t="n">
        <x:v>33619</x:v>
      </x:c>
      <x:c r="R94" s="22" t="str">
        <x:f>"MG13714324"</x:f>
        <x:v>MG13714324</x:v>
      </x:c>
      <x:c r="S94" s="23" t="str">
        <x:v>masculino</x:v>
      </x:c>
      <x:c r="T94" s="22" t="str">
        <x:f>"OWN8H55"</x:f>
        <x:v>OWN8H55</x:v>
      </x:c>
      <x:c r="U94" s="23" t="str">
        <x:v>STELA DA RESSUREICAO NUNES NDOQUI</x:v>
      </x:c>
      <x:c r="V94" s="22" t="str">
        <x:f>"017.775.016-28"</x:f>
        <x:v>017.775.016-28</x:v>
      </x:c>
      <x:c r="W94" s="22" t="str">
        <x:f>"01777501628"</x:f>
        <x:v>01777501628</x:v>
      </x:c>
      <x:c r="X94" s="23" t="str">
        <x:v>stelandoqui22@gmail.com</x:v>
      </x:c>
      <x:c r="Y94" s="22" t="str">
        <x:f>"(31) 988431548"</x:f>
        <x:v>(31) 988431548</x:v>
      </x:c>
      <x:c r="Z94" s="30" t="n">
        <x:v>46581</x:v>
      </x:c>
    </x:row>
    <x:row r="95" ht="18" customHeight="1">
      <x:c r="A95" s="22" t="str">
        <x:f>"e513aa18-b211-4230-842a-a3a1897c1e31"</x:f>
        <x:v>e513aa18-b211-4230-842a-a3a1897c1e31</x:v>
      </x:c>
      <x:c r="B95" s="23" t="str">
        <x:v>ALAN FELIX BARBALHO</x:v>
      </x:c>
      <x:c r="C95" s="23" t="str">
        <x:v>alan felix barbalho</x:v>
      </x:c>
      <x:c r="D95" s="22" t="str">
        <x:f>"57.322.225/0001-81"</x:f>
        <x:v>57.322.225/0001-81</x:v>
      </x:c>
      <x:c r="E95" s="22" t="str">
        <x:f>"57322225000181"</x:f>
        <x:v>57322225000181</x:v>
      </x:c>
      <x:c r="F95" s="22" t="str">
        <x:f>"096.654.956-23"</x:f>
        <x:v>096.654.956-23</x:v>
      </x:c>
      <x:c r="G95" s="22" t="str">
        <x:f>"09665495623"</x:f>
        <x:v>09665495623</x:v>
      </x:c>
      <x:c r="H95" s="23" t="str">
        <x:v>alan_gzn@hotmail.com</x:v>
      </x:c>
      <x:c r="I95" s="22" t="str">
        <x:f>"31986862054"</x:f>
        <x:v>31986862054</x:v>
      </x:c>
      <x:c r="J95" s="23" t="str">
        <x:v>SPOT</x:v>
      </x:c>
      <x:c r="K95" s="23" t="str">
        <x:v>favored_only</x:v>
      </x:c>
      <x:c r="L95" s="24" t="b">
        <x:v>1</x:v>
      </x:c>
      <x:c r="M95" s="23" t="n">
        <x:v>1</x:v>
      </x:c>
      <x:c r="N95" s="28" t="n">
        <x:v>46218.62115420139</x:v>
      </x:c>
      <x:c r="O95" s="28" t="n">
        <x:v>46219.812988715275</x:v>
      </x:c>
      <x:c r="P95" s="23" t="str">
        <x:v>VESPASIANO</x:v>
      </x:c>
      <x:c r="Q95" s="30" t="n">
        <x:v>33619</x:v>
      </x:c>
      <x:c r="R95" s="22" t="str">
        <x:f>"MG13714324"</x:f>
        <x:v>MG13714324</x:v>
      </x:c>
      <x:c r="S95" s="23" t="str">
        <x:v>masculino</x:v>
      </x:c>
      <x:c r="T95" s="22" t="str">
        <x:f>"HCK9A60"</x:f>
        <x:v>HCK9A60</x:v>
      </x:c>
      <x:c r="U95" s="23" t="str">
        <x:v>ALAN FELIX BARBALHO</x:v>
      </x:c>
      <x:c r="V95" s="22" t="str">
        <x:f>"096.654.956-23"</x:f>
        <x:v>096.654.956-23</x:v>
      </x:c>
      <x:c r="W95" s="22" t="str">
        <x:f>"09665495623"</x:f>
        <x:v>09665495623</x:v>
      </x:c>
      <x:c r="X95" s="23" t="str">
        <x:v>alan_gzn@hotmail.com</x:v>
      </x:c>
      <x:c r="Y95" s="22" t="str">
        <x:f>"31986862054"</x:f>
        <x:v>31986862054</x:v>
      </x:c>
      <x:c r="Z95" s="30" t="n">
        <x:v>46246</x:v>
      </x:c>
    </x:row>
    <x:row r="96" ht="18" customHeight="1">
      <x:c r="A96" s="22" t="str">
        <x:f>"60a2eb02-0485-4610-9f25-f06c0946947b"</x:f>
        <x:v>60a2eb02-0485-4610-9f25-f06c0946947b</x:v>
      </x:c>
      <x:c r="B96" s="23" t="str">
        <x:v>ALAN FERREIRA BERNARDO</x:v>
      </x:c>
      <x:c r="C96" s="23" t="str">
        <x:v>alan ferreira bernardo</x:v>
      </x:c>
      <x:c r="D96" s="22" t="str">
        <x:f>"30.408.034/0001-80"</x:f>
        <x:v>30.408.034/0001-80</x:v>
      </x:c>
      <x:c r="E96" s="22" t="str">
        <x:f>"30408034000180"</x:f>
        <x:v>30408034000180</x:v>
      </x:c>
      <x:c r="F96" s="22" t="str">
        <x:f>"073.884.647-35"</x:f>
        <x:v>073.884.647-35</x:v>
      </x:c>
      <x:c r="G96" s="22" t="str">
        <x:f>"07388464735"</x:f>
        <x:v>07388464735</x:v>
      </x:c>
      <x:c r="H96" s="23" t="str">
        <x:v>alanferreirabernardo@hotmail.com</x:v>
      </x:c>
      <x:c r="I96" s="22" t="str">
        <x:f>"21999250785"</x:f>
        <x:v>21999250785</x:v>
      </x:c>
      <x:c r="J96" s="23" t="str">
        <x:v>SPOT</x:v>
      </x:c>
      <x:c r="K96" s="23" t="str">
        <x:v>favored_only</x:v>
      </x:c>
      <x:c r="L96" s="24" t="b">
        <x:v>1</x:v>
      </x:c>
      <x:c r="M96" s="23" t="n">
        <x:v>1</x:v>
      </x:c>
      <x:c r="N96" s="28" t="n">
        <x:v>46203.92189349537</x:v>
      </x:c>
      <x:c r="O96" s="28" t="n">
        <x:v>46219.812988715275</x:v>
      </x:c>
      <x:c r="P96" s="23" t="str">
        <x:v>CAMPO GRANDE</x:v>
      </x:c>
      <x:c r="Q96" s="30" t="n">
        <x:v>27890</x:v>
      </x:c>
      <x:c r="R96" s="22" t="str">
        <x:f>"109390062"</x:f>
        <x:v>109390062</x:v>
      </x:c>
      <x:c r="S96" s="23" t="str">
        <x:v>masculino</x:v>
      </x:c>
      <x:c r="T96" s="22" t="str">
        <x:f>"KVH7G07"</x:f>
        <x:v>KVH7G07</x:v>
      </x:c>
      <x:c r="U96" s="23" t="str">
        <x:v>ALAN FERREIRA BERNARDO</x:v>
      </x:c>
      <x:c r="V96" s="22" t="str">
        <x:f>"073.884.647-35"</x:f>
        <x:v>073.884.647-35</x:v>
      </x:c>
      <x:c r="W96" s="22" t="str">
        <x:f>"07388464735"</x:f>
        <x:v>07388464735</x:v>
      </x:c>
      <x:c r="X96" s="23" t="str">
        <x:v>alanferreirabernardo@hotmail.com</x:v>
      </x:c>
      <x:c r="Y96" s="22" t="str">
        <x:f>"21999250785"</x:f>
        <x:v>21999250785</x:v>
      </x:c>
      <x:c r="Z96" s="30" t="n">
        <x:v>46336</x:v>
      </x:c>
    </x:row>
    <x:row r="97" ht="18" customHeight="1">
      <x:c r="A97" s="22" t="str">
        <x:f>"8badb3c4-909e-41b7-a1e7-4a2b3e937292"</x:f>
        <x:v>8badb3c4-909e-41b7-a1e7-4a2b3e937292</x:v>
      </x:c>
      <x:c r="B97" s="23" t="str">
        <x:v>ALAN MURILO NUNES FERNANDES</x:v>
      </x:c>
      <x:c r="C97" s="23" t="str">
        <x:v>alan murilo nunes fernandes</x:v>
      </x:c>
      <x:c r="D97" s="22" t="str">
        <x:f>"57.051.133/0001-04"</x:f>
        <x:v>57.051.133/0001-04</x:v>
      </x:c>
      <x:c r="E97" s="22" t="str">
        <x:f>"57051133000104"</x:f>
        <x:v>57051133000104</x:v>
      </x:c>
      <x:c r="F97" s="22" t="str">
        <x:f>"377.181.578-90"</x:f>
        <x:v>377.181.578-90</x:v>
      </x:c>
      <x:c r="G97" s="22" t="str">
        <x:f>"37718157890"</x:f>
        <x:v>37718157890</x:v>
      </x:c>
      <x:c r="H97" s="23" t="str">
        <x:v>murilonunesfernandes2023@gmail.com</x:v>
      </x:c>
      <x:c r="I97" s="22" t="str">
        <x:f>"18 99124-1884"</x:f>
        <x:v>18 99124-1884</x:v>
      </x:c>
      <x:c r="J97" s="23" t="str">
        <x:v>SPOT</x:v>
      </x:c>
      <x:c r="K97" s="23" t="str">
        <x:v>favored_only</x:v>
      </x:c>
      <x:c r="L97" s="24" t="b">
        <x:v>1</x:v>
      </x:c>
      <x:c r="M97" s="23" t="n">
        <x:v>1</x:v>
      </x:c>
      <x:c r="N97" s="28" t="n">
        <x:v>46203.92186462963</x:v>
      </x:c>
      <x:c r="O97" s="28" t="n">
        <x:v>46219.812988715275</x:v>
      </x:c>
      <x:c r="P97" s="23" t="str">
        <x:v>ARAÇATUBA</x:v>
      </x:c>
      <x:c r="Q97" s="30" t="n">
        <x:v>33255</x:v>
      </x:c>
      <x:c r="R97" s="22" t="str">
        <x:f>"47870335"</x:f>
        <x:v>47870335</x:v>
      </x:c>
      <x:c r="S97" s="23" t="str">
        <x:v>masculino</x:v>
      </x:c>
      <x:c r="T97" s="22" t="str">
        <x:f>"SJH0F21"</x:f>
        <x:v>SJH0F21</x:v>
      </x:c>
      <x:c r="U97" s="23" t="str">
        <x:v>ALAN MURILO NUNES FERNANDES</x:v>
      </x:c>
      <x:c r="V97" s="22" t="str">
        <x:f>"377.181.578-90"</x:f>
        <x:v>377.181.578-90</x:v>
      </x:c>
      <x:c r="W97" s="22" t="str">
        <x:f>"37718157890"</x:f>
        <x:v>37718157890</x:v>
      </x:c>
      <x:c r="X97" s="23" t="str">
        <x:v>murilonunesfernandes2023@gmail.com</x:v>
      </x:c>
      <x:c r="Y97" s="22" t="str">
        <x:f>"18 99124-1884"</x:f>
        <x:v>18 99124-1884</x:v>
      </x:c>
      <x:c r="Z97" s="30" t="n">
        <x:v>46275</x:v>
      </x:c>
    </x:row>
    <x:row r="98" ht="18" customHeight="1">
      <x:c r="A98" s="22" t="str">
        <x:f>"39f5300c-05f0-4bce-8722-f3406c0cda36"</x:f>
        <x:v>39f5300c-05f0-4bce-8722-f3406c0cda36</x:v>
      </x:c>
      <x:c r="B98" s="23" t="str">
        <x:v>ALAN NASCIMENTO DE ALBUQUERQUE</x:v>
      </x:c>
      <x:c r="C98" s="23" t="str">
        <x:v>alan nascimento de albuquerque</x:v>
      </x:c>
      <x:c r="D98" s="22" t="str">
        <x:f>"39.639.200/0001-24"</x:f>
        <x:v>39.639.200/0001-24</x:v>
      </x:c>
      <x:c r="E98" s="22" t="str">
        <x:f>"39639200000124"</x:f>
        <x:v>39639200000124</x:v>
      </x:c>
      <x:c r="F98" s="22" t="str">
        <x:f>"130.843.497-97"</x:f>
        <x:v>130.843.497-97</x:v>
      </x:c>
      <x:c r="G98" s="22" t="str">
        <x:f>"13084349797"</x:f>
        <x:v>13084349797</x:v>
      </x:c>
      <x:c r="H98" s="23" t="str">
        <x:v>Nalahot@icloud.com</x:v>
      </x:c>
      <x:c r="I98" s="22" t="str">
        <x:f>"21998893979"</x:f>
        <x:v>21998893979</x:v>
      </x:c>
      <x:c r="J98" s="23" t="str">
        <x:v>SPOT</x:v>
      </x:c>
      <x:c r="K98" s="23" t="str">
        <x:v>favored_only</x:v>
      </x:c>
      <x:c r="L98" s="24" t="b">
        <x:v>1</x:v>
      </x:c>
      <x:c r="M98" s="23" t="n">
        <x:v>1</x:v>
      </x:c>
      <x:c r="N98" s="28" t="n">
        <x:v>46203.921887453704</x:v>
      </x:c>
      <x:c r="O98" s="28" t="n">
        <x:v>46219.812988715275</x:v>
      </x:c>
      <x:c r="P98" s="23" t="str">
        <x:v>CORDOVIL</x:v>
      </x:c>
      <x:c r="Q98" s="30" t="n">
        <x:v>33785</x:v>
      </x:c>
      <x:c r="R98" s="22" t="str">
        <x:f>"248198814"</x:f>
        <x:v>248198814</x:v>
      </x:c>
      <x:c r="S98" s="23" t="str">
        <x:v>masculino</x:v>
      </x:c>
      <x:c r="T98" s="22" t="str">
        <x:f>"FVP8D57"</x:f>
        <x:v>FVP8D57</x:v>
      </x:c>
      <x:c r="U98" s="23" t="str">
        <x:v>ALAN NASCIMENTO DE ALBUQUERQUE</x:v>
      </x:c>
      <x:c r="V98" s="22" t="str">
        <x:f>"130.843.497-97"</x:f>
        <x:v>130.843.497-97</x:v>
      </x:c>
      <x:c r="W98" s="22" t="str">
        <x:f>"13084349797"</x:f>
        <x:v>13084349797</x:v>
      </x:c>
      <x:c r="X98" s="23" t="str">
        <x:v>Nalahot@icloud.com</x:v>
      </x:c>
      <x:c r="Y98" s="22" t="str">
        <x:f>"21998893979"</x:f>
        <x:v>21998893979</x:v>
      </x:c>
      <x:c r="Z98" s="30" t="n">
        <x:v>46334</x:v>
      </x:c>
    </x:row>
    <x:row r="99" ht="18" customHeight="1">
      <x:c r="A99" s="22" t="str">
        <x:f>"122f2b24-21c6-4b2d-b716-2a2f2c4da812"</x:f>
        <x:v>122f2b24-21c6-4b2d-b716-2a2f2c4da812</x:v>
      </x:c>
      <x:c r="B99" s="23" t="str">
        <x:v>ALAN RIBEIRO FERREIRA SALLES</x:v>
      </x:c>
      <x:c r="C99" s="23" t="str">
        <x:v>alan ribeiro ferreira salles</x:v>
      </x:c>
      <x:c r="D99" s="22" t="str">
        <x:f>"37.146.365/0001-39"</x:f>
        <x:v>37.146.365/0001-39</x:v>
      </x:c>
      <x:c r="E99" s="22" t="str">
        <x:f>"37146365000139"</x:f>
        <x:v>37146365000139</x:v>
      </x:c>
      <x:c r="F99" s="22" t="str">
        <x:f>"080.452.157-39"</x:f>
        <x:v>080.452.157-39</x:v>
      </x:c>
      <x:c r="G99" s="22" t="str">
        <x:f>"08045215739"</x:f>
        <x:v>08045215739</x:v>
      </x:c>
      <x:c r="H99" s="23" t="str">
        <x:v>alansallesmks@gmail.com</x:v>
      </x:c>
      <x:c r="I99" s="22" t="str">
        <x:f>"21996774059"</x:f>
        <x:v>21996774059</x:v>
      </x:c>
      <x:c r="J99" s="23" t="str">
        <x:v>SPOT</x:v>
      </x:c>
      <x:c r="K99" s="23" t="str">
        <x:v>favored_only</x:v>
      </x:c>
      <x:c r="L99" s="24" t="b">
        <x:v>1</x:v>
      </x:c>
      <x:c r="M99" s="23" t="n">
        <x:v>1</x:v>
      </x:c>
      <x:c r="N99" s="28" t="n">
        <x:v>46219.812988715275</x:v>
      </x:c>
      <x:c r="O99" s="28" t="n">
        <x:v>46219.812988715275</x:v>
      </x:c>
      <x:c r="P99" s="23" t="str">
        <x:v>CAMPO GRANDE</x:v>
      </x:c>
      <x:c r="Q99" s="30" t="n">
        <x:v>29199</x:v>
      </x:c>
      <x:c r="R99" s="22" t="str">
        <x:f>"120998638"</x:f>
        <x:v>120998638</x:v>
      </x:c>
      <x:c r="S99" s="23" t="str">
        <x:v>masculino</x:v>
      </x:c>
      <x:c r="T99" s="22" t="str">
        <x:f>"TUC2F41"</x:f>
        <x:v>TUC2F41</x:v>
      </x:c>
      <x:c r="U99" s="23" t="str">
        <x:v>ALAN SALLES</x:v>
      </x:c>
      <x:c r="V99" s="22" t="str">
        <x:f>"080.452.157-39"</x:f>
        <x:v>080.452.157-39</x:v>
      </x:c>
      <x:c r="W99" s="22" t="str">
        <x:f>"08045215739"</x:f>
        <x:v>08045215739</x:v>
      </x:c>
      <x:c r="X99" s="23" t="str">
        <x:v>alansallesmks@gmail.com</x:v>
      </x:c>
      <x:c r="Y99" s="22" t="str">
        <x:f>"21996774059"</x:f>
        <x:v>21996774059</x:v>
      </x:c>
      <x:c r="Z99" s="30" t="n">
        <x:v>46536</x:v>
      </x:c>
    </x:row>
    <x:row r="100" ht="18" customHeight="1">
      <x:c r="A100" s="22" t="str">
        <x:f>"b71499ce-7e6f-4c06-b6e6-b2d70d5393f7"</x:f>
        <x:v>b71499ce-7e6f-4c06-b6e6-b2d70d5393f7</x:v>
      </x:c>
      <x:c r="B100" s="23" t="str">
        <x:v>ALAN VICTOR DE LIMA VELLOZO</x:v>
      </x:c>
      <x:c r="C100" s="23" t="str">
        <x:v>alan victor de lima vellozo</x:v>
      </x:c>
      <x:c r="D100" s="22" t="str">
        <x:f>"63.656.189/0001-95"</x:f>
        <x:v>63.656.189/0001-95</x:v>
      </x:c>
      <x:c r="E100" s="22" t="str">
        <x:f>"63656189000195"</x:f>
        <x:v>63656189000195</x:v>
      </x:c>
      <x:c r="F100" s="22" t="str">
        <x:f>"141.621.917-00"</x:f>
        <x:v>141.621.917-00</x:v>
      </x:c>
      <x:c r="G100" s="22" t="str">
        <x:f>"14162191700"</x:f>
        <x:v>14162191700</x:v>
      </x:c>
      <x:c r="H100" s="23" t="str">
        <x:v>alanvellozo5@gmail.com</x:v>
      </x:c>
      <x:c r="I100" s="22" t="str">
        <x:f>"21914266971"</x:f>
        <x:v>21914266971</x:v>
      </x:c>
      <x:c r="J100" s="23" t="str">
        <x:v>SPOT</x:v>
      </x:c>
      <x:c r="K100" s="23" t="str">
        <x:v>favored_only</x:v>
      </x:c>
      <x:c r="L100" s="24" t="b">
        <x:v>1</x:v>
      </x:c>
      <x:c r="M100" s="23" t="n">
        <x:v>1</x:v>
      </x:c>
      <x:c r="N100" s="28" t="n">
        <x:v>46203.92189349537</x:v>
      </x:c>
      <x:c r="O100" s="28" t="n">
        <x:v>46219.812988715275</x:v>
      </x:c>
      <x:c r="P100" s="23" t="str">
        <x:v>CAMPO GRANDE</x:v>
      </x:c>
      <x:c r="Q100" s="30" t="n">
        <x:v>34063</x:v>
      </x:c>
      <x:c r="R100" s="22" t="str">
        <x:f>"267777134"</x:f>
        <x:v>267777134</x:v>
      </x:c>
      <x:c r="S100" s="23" t="str">
        <x:v>masculino</x:v>
      </x:c>
      <x:c r="T100" s="22" t="str">
        <x:f>"KJS7F76"</x:f>
        <x:v>KJS7F76</x:v>
      </x:c>
      <x:c r="U100" s="23" t="str">
        <x:v>ALAN VICTOR DE LIMA VELLOZO</x:v>
      </x:c>
      <x:c r="V100" s="22" t="str">
        <x:f>"141.621.917-00"</x:f>
        <x:v>141.621.917-00</x:v>
      </x:c>
      <x:c r="W100" s="22" t="str">
        <x:f>"14162191700"</x:f>
        <x:v>14162191700</x:v>
      </x:c>
      <x:c r="X100" s="23" t="str">
        <x:v>alanvellozo5@gmail.com</x:v>
      </x:c>
      <x:c r="Y100" s="22" t="str">
        <x:f>"21914266971"</x:f>
        <x:v>21914266971</x:v>
      </x:c>
      <x:c r="Z100" s="30" t="n">
        <x:v>46340</x:v>
      </x:c>
    </x:row>
    <x:row r="101" ht="18" customHeight="1">
      <x:c r="A101" s="22" t="str">
        <x:f>"a52b7462-e480-42bc-88c0-e998f1333b58"</x:f>
        <x:v>a52b7462-e480-42bc-88c0-e998f1333b58</x:v>
      </x:c>
      <x:c r="B101" s="23" t="str">
        <x:v>ALAN VITOR SILVA</x:v>
      </x:c>
      <x:c r="C101" s="23" t="str">
        <x:v>alan vitor silva</x:v>
      </x:c>
      <x:c r="D101" s="22" t="str">
        <x:f>"67.884.906/0001-97"</x:f>
        <x:v>67.884.906/0001-97</x:v>
      </x:c>
      <x:c r="E101" s="22" t="str">
        <x:f>"67884906000197"</x:f>
        <x:v>67884906000197</x:v>
      </x:c>
      <x:c r="F101" s="22" t="str">
        <x:f>"129.544.816-50"</x:f>
        <x:v>129.544.816-50</x:v>
      </x:c>
      <x:c r="G101" s="22" t="str">
        <x:f>"12954481650"</x:f>
        <x:v>12954481650</x:v>
      </x:c>
      <x:c r="H101" s="23" t="str">
        <x:v>alan_zinho_16@hotmail.com</x:v>
      </x:c>
      <x:c r="I101" s="22" t="str">
        <x:f>"(35)99977-5440"</x:f>
        <x:v>(35)99977-5440</x:v>
      </x:c>
      <x:c r="J101" s="23" t="str">
        <x:v>RENTAL</x:v>
      </x:c>
      <x:c r="K101" s="23" t="str">
        <x:v>rental_company</x:v>
      </x:c>
      <x:c r="L101" s="24" t="b">
        <x:v>1</x:v>
      </x:c>
      <x:c r="M101" s="23" t="n">
        <x:v>1</x:v>
      </x:c>
      <x:c r="N101" s="28" t="n">
        <x:v>46219.812988715275</x:v>
      </x:c>
      <x:c r="O101" s="28" t="n">
        <x:v>46219.812988715275</x:v>
      </x:c>
      <x:c r="P101" s="23" t="str">
        <x:v>POUSO ALEGRE</x:v>
      </x:c>
      <x:c r="Q101" s="30" t="n">
        <x:v>34951</x:v>
      </x:c>
      <x:c r="R101" s="22" t="str">
        <x:f>"MG20676315 SSP MG"</x:f>
        <x:v>MG20676315 SSP MG</x:v>
      </x:c>
      <x:c r="S101" s="23" t="str">
        <x:v>masculino</x:v>
      </x:c>
      <x:c r="T101" s="22" t="str"/>
      <x:c r="U101" s="23" t="str">
        <x:v>ALAN VITOR SILVA</x:v>
      </x:c>
      <x:c r="V101" s="22" t="str">
        <x:f>"129.544.816-50"</x:f>
        <x:v>129.544.816-50</x:v>
      </x:c>
      <x:c r="W101" s="22" t="str">
        <x:f>"12954481650"</x:f>
        <x:v>12954481650</x:v>
      </x:c>
      <x:c r="X101" s="23" t="str">
        <x:v>alan_zinho_16@hotmail.com</x:v>
      </x:c>
      <x:c r="Y101" s="22" t="str">
        <x:f>"(35)99977-5440"</x:f>
        <x:v>(35)99977-5440</x:v>
      </x:c>
      <x:c r="Z101" s="30" t="n">
        <x:v>46576</x:v>
      </x:c>
    </x:row>
    <x:row r="102" ht="18" customHeight="1">
      <x:c r="A102" s="22" t="str">
        <x:f>"401fd92d-05e7-4487-9c84-5042bbb094bf"</x:f>
        <x:v>401fd92d-05e7-4487-9c84-5042bbb094bf</x:v>
      </x:c>
      <x:c r="B102" s="23" t="str">
        <x:v>ALBERT ELIAN DOS SANTOS</x:v>
      </x:c>
      <x:c r="C102" s="23" t="str">
        <x:v>albert elian dos santos</x:v>
      </x:c>
      <x:c r="D102" s="22" t="str">
        <x:f>"45.974.214/0001-05"</x:f>
        <x:v>45.974.214/0001-05</x:v>
      </x:c>
      <x:c r="E102" s="22" t="str">
        <x:f>"45974214000105"</x:f>
        <x:v>45974214000105</x:v>
      </x:c>
      <x:c r="F102" s="22" t="str">
        <x:f>"087.105.326-84"</x:f>
        <x:v>087.105.326-84</x:v>
      </x:c>
      <x:c r="G102" s="22" t="str">
        <x:f>"08710532684"</x:f>
        <x:v>08710532684</x:v>
      </x:c>
      <x:c r="H102" s="23" t="str">
        <x:v>albertelian1@gmail.com</x:v>
      </x:c>
      <x:c r="I102" s="22" t="str">
        <x:f>"(34) 98858-9399"</x:f>
        <x:v>(34) 98858-9399</x:v>
      </x:c>
      <x:c r="J102" s="23" t="str">
        <x:v>RENTAL</x:v>
      </x:c>
      <x:c r="K102" s="23" t="str">
        <x:v>rental_company</x:v>
      </x:c>
      <x:c r="L102" s="24" t="b">
        <x:v>1</x:v>
      </x:c>
      <x:c r="M102" s="23" t="n">
        <x:v>1</x:v>
      </x:c>
      <x:c r="N102" s="28" t="n">
        <x:v>46203.921824756944</x:v>
      </x:c>
      <x:c r="O102" s="28" t="n">
        <x:v>46219.812988715275</x:v>
      </x:c>
      <x:c r="P102" s="23" t="str">
        <x:v>UBERABA</x:v>
      </x:c>
      <x:c r="Q102" s="30" t="n">
        <x:v>32056</x:v>
      </x:c>
      <x:c r="R102" s="22" t="str">
        <x:f>"15613621"</x:f>
        <x:v>15613621</x:v>
      </x:c>
      <x:c r="S102" s="23" t="str">
        <x:v>masculino</x:v>
      </x:c>
      <x:c r="T102" s="22" t="str"/>
      <x:c r="U102" s="23" t="str">
        <x:v>ALBERT ELIAN DOS SANTOS</x:v>
      </x:c>
      <x:c r="V102" s="22" t="str">
        <x:f>"087.105.326-84"</x:f>
        <x:v>087.105.326-84</x:v>
      </x:c>
      <x:c r="W102" s="22" t="str">
        <x:f>"08710532684"</x:f>
        <x:v>08710532684</x:v>
      </x:c>
      <x:c r="X102" s="23" t="str">
        <x:v>albertelian1@gmail.com</x:v>
      </x:c>
      <x:c r="Y102" s="22" t="str">
        <x:f>"(34) 98858-9399"</x:f>
        <x:v>(34) 98858-9399</x:v>
      </x:c>
      <x:c r="Z102" s="30" t="n">
        <x:v>46332</x:v>
      </x:c>
    </x:row>
    <x:row r="103" ht="18" customHeight="1">
      <x:c r="A103" s="22" t="str">
        <x:f>"9d12adca-6df0-4140-a252-a3ccb5d993f7"</x:f>
        <x:v>9d12adca-6df0-4140-a252-a3ccb5d993f7</x:v>
      </x:c>
      <x:c r="B103" s="23" t="str">
        <x:v>ALBERTO LUCIO MACEDO</x:v>
      </x:c>
      <x:c r="C103" s="23" t="str">
        <x:v>alberto lucio macedo</x:v>
      </x:c>
      <x:c r="D103" s="22" t="str">
        <x:f>"64.516.300/0001-00"</x:f>
        <x:v>64.516.300/0001-00</x:v>
      </x:c>
      <x:c r="E103" s="22" t="str">
        <x:f>"64516300000100"</x:f>
        <x:v>64516300000100</x:v>
      </x:c>
      <x:c r="F103" s="22" t="str">
        <x:f>"389.756.138-79"</x:f>
        <x:v>389.756.138-79</x:v>
      </x:c>
      <x:c r="G103" s="22" t="str">
        <x:f>"38975613879"</x:f>
        <x:v>38975613879</x:v>
      </x:c>
      <x:c r="H103" s="23" t="str">
        <x:v>albertoluciomacedo@gmail.com</x:v>
      </x:c>
      <x:c r="I103" s="22" t="str">
        <x:f>"18997430325"</x:f>
        <x:v>18997430325</x:v>
      </x:c>
      <x:c r="J103" s="23" t="str">
        <x:v>RENTALS</x:v>
      </x:c>
      <x:c r="K103" s="23" t="str">
        <x:v>rental_company</x:v>
      </x:c>
      <x:c r="L103" s="24" t="b">
        <x:v>1</x:v>
      </x:c>
      <x:c r="M103" s="23" t="n">
        <x:v>2</x:v>
      </x:c>
      <x:c r="N103" s="28" t="n">
        <x:v>46219.812988715275</x:v>
      </x:c>
      <x:c r="O103" s="28" t="n">
        <x:v>46219.812988715275</x:v>
      </x:c>
      <x:c r="P103" s="23" t="str">
        <x:v>PRESIDENTE PRUDENTE</x:v>
      </x:c>
      <x:c r="Q103" s="30" t="n">
        <x:v>33339</x:v>
      </x:c>
      <x:c r="R103" s="22" t="str">
        <x:f>"474386375"</x:f>
        <x:v>474386375</x:v>
      </x:c>
      <x:c r="S103" s="23" t="str">
        <x:v>masculino</x:v>
      </x:c>
      <x:c r="T103" s="22" t="str"/>
      <x:c r="U103" s="23" t="str">
        <x:v>ALBERTO LUCIO MACEDO</x:v>
      </x:c>
      <x:c r="V103" s="22" t="str">
        <x:f>"389.756.138-79"</x:f>
        <x:v>389.756.138-79</x:v>
      </x:c>
      <x:c r="W103" s="22" t="str">
        <x:f>"38975613879"</x:f>
        <x:v>38975613879</x:v>
      </x:c>
      <x:c r="X103" s="23" t="str">
        <x:v>albertoluciomacedo@gmail.com</x:v>
      </x:c>
      <x:c r="Y103" s="22" t="str">
        <x:f>"18997430325"</x:f>
        <x:v>18997430325</x:v>
      </x:c>
      <x:c r="Z103" s="30" t="n">
        <x:v>46493</x:v>
      </x:c>
    </x:row>
    <x:row r="104" ht="18" customHeight="1">
      <x:c r="A104" s="22" t="str">
        <x:f>"7022234d-fe1e-45cc-b011-bb018c27f050"</x:f>
        <x:v>7022234d-fe1e-45cc-b011-bb018c27f050</x:v>
      </x:c>
      <x:c r="B104" s="23" t="str">
        <x:v>ALCIR CARVALHO FRANCO</x:v>
      </x:c>
      <x:c r="C104" s="23" t="str">
        <x:v>alcir carvalho franco</x:v>
      </x:c>
      <x:c r="D104" s="22" t="str">
        <x:f>"62.991.628/0001-53"</x:f>
        <x:v>62.991.628/0001-53</x:v>
      </x:c>
      <x:c r="E104" s="22" t="str">
        <x:f>"62991628000153"</x:f>
        <x:v>62991628000153</x:v>
      </x:c>
      <x:c r="F104" s="22" t="str">
        <x:f>"472.066.671-04"</x:f>
        <x:v>472.066.671-04</x:v>
      </x:c>
      <x:c r="G104" s="22" t="str">
        <x:f>"47206667104"</x:f>
        <x:v>47206667104</x:v>
      </x:c>
      <x:c r="H104" s="23" t="str">
        <x:v>cirinho_s.mesa@hotmail.com</x:v>
      </x:c>
      <x:c r="I104" s="22" t="str">
        <x:f>"62 9996-7525"</x:f>
        <x:v>62 9996-7525</x:v>
      </x:c>
      <x:c r="J104" s="23" t="str">
        <x:v>RENTAL</x:v>
      </x:c>
      <x:c r="K104" s="23" t="str">
        <x:v>rental_company</x:v>
      </x:c>
      <x:c r="L104" s="24" t="b">
        <x:v>1</x:v>
      </x:c>
      <x:c r="M104" s="23" t="n">
        <x:v>1</x:v>
      </x:c>
      <x:c r="N104" s="28" t="n">
        <x:v>46203.92188238426</x:v>
      </x:c>
      <x:c r="O104" s="28" t="n">
        <x:v>46219.812988715275</x:v>
      </x:c>
      <x:c r="P104" s="23" t="str">
        <x:v>GOIANIA</x:v>
      </x:c>
      <x:c r="Q104" s="30" t="n">
        <x:v>25237</x:v>
      </x:c>
      <x:c r="R104" s="22" t="str">
        <x:f>"1812164"</x:f>
        <x:v>1812164</x:v>
      </x:c>
      <x:c r="S104" s="23" t="str">
        <x:v>masculino</x:v>
      </x:c>
      <x:c r="T104" s="22" t="str"/>
      <x:c r="U104" s="23" t="str">
        <x:v>ALCIR CARVALHO FRANCO</x:v>
      </x:c>
      <x:c r="V104" s="22" t="str">
        <x:f>"472.066.671-04"</x:f>
        <x:v>472.066.671-04</x:v>
      </x:c>
      <x:c r="W104" s="22" t="str">
        <x:f>"47206667104"</x:f>
        <x:v>47206667104</x:v>
      </x:c>
      <x:c r="X104" s="23" t="str">
        <x:v>cirinho_s.mesa@hotmail.com</x:v>
      </x:c>
      <x:c r="Y104" s="22" t="str">
        <x:f>"62 9996-7525"</x:f>
        <x:v>62 9996-7525</x:v>
      </x:c>
      <x:c r="Z104" s="30" t="n">
        <x:v>46318</x:v>
      </x:c>
    </x:row>
    <x:row r="105" ht="18" customHeight="1">
      <x:c r="A105" s="22" t="str">
        <x:f>"799c4d94-8af1-4497-8f9a-f4353f7106e0"</x:f>
        <x:v>799c4d94-8af1-4497-8f9a-f4353f7106e0</x:v>
      </x:c>
      <x:c r="B105" s="23" t="str">
        <x:v>ALDAIR PEDRO DA SILVA</x:v>
      </x:c>
      <x:c r="C105" s="23" t="str">
        <x:v>aldair pedro da silva</x:v>
      </x:c>
      <x:c r="D105" s="22" t="str">
        <x:f>"64.901.600/0001-03"</x:f>
        <x:v>64.901.600/0001-03</x:v>
      </x:c>
      <x:c r="E105" s="22" t="str">
        <x:f>"64901600000103"</x:f>
        <x:v>64901600000103</x:v>
      </x:c>
      <x:c r="F105" s="22" t="str">
        <x:f>"163.361.307-03"</x:f>
        <x:v>163.361.307-03</x:v>
      </x:c>
      <x:c r="G105" s="22" t="str">
        <x:f>"16336130703"</x:f>
        <x:v>16336130703</x:v>
      </x:c>
      <x:c r="H105" s="23" t="str">
        <x:v>aldairpedrosilva@outlook.com</x:v>
      </x:c>
      <x:c r="I105" s="22" t="str">
        <x:f>"21968909752"</x:f>
        <x:v>21968909752</x:v>
      </x:c>
      <x:c r="J105" s="23" t="str">
        <x:v>SPOT</x:v>
      </x:c>
      <x:c r="K105" s="23" t="str">
        <x:v>favored_only</x:v>
      </x:c>
      <x:c r="L105" s="24" t="b">
        <x:v>1</x:v>
      </x:c>
      <x:c r="M105" s="23" t="n">
        <x:v>1</x:v>
      </x:c>
      <x:c r="N105" s="28" t="n">
        <x:v>46219.812988715275</x:v>
      </x:c>
      <x:c r="O105" s="28" t="n">
        <x:v>46219.812988715275</x:v>
      </x:c>
      <x:c r="P105" s="23" t="str">
        <x:v>SÃO JOAO DE MERITI</x:v>
      </x:c>
      <x:c r="Q105" s="30" t="n">
        <x:v>34500</x:v>
      </x:c>
      <x:c r="R105" s="22" t="str">
        <x:f>"241144237"</x:f>
        <x:v>241144237</x:v>
      </x:c>
      <x:c r="S105" s="23" t="str">
        <x:v>masculino</x:v>
      </x:c>
      <x:c r="T105" s="22" t="str">
        <x:f>"EZF2G17"</x:f>
        <x:v>EZF2G17</x:v>
      </x:c>
      <x:c r="U105" s="23" t="str">
        <x:v>ALDAIR PEDRO DA SILVA</x:v>
      </x:c>
      <x:c r="V105" s="22" t="str">
        <x:f>"163.361.307-03"</x:f>
        <x:v>163.361.307-03</x:v>
      </x:c>
      <x:c r="W105" s="22" t="str">
        <x:f>"16336130703"</x:f>
        <x:v>16336130703</x:v>
      </x:c>
      <x:c r="X105" s="23" t="str">
        <x:v>aldairpedrosilva@outlook.com</x:v>
      </x:c>
      <x:c r="Y105" s="22" t="str">
        <x:f>"21968909752"</x:f>
        <x:v>21968909752</x:v>
      </x:c>
      <x:c r="Z105" s="30" t="n">
        <x:v>46460</x:v>
      </x:c>
    </x:row>
    <x:row r="106" ht="18" customHeight="1">
      <x:c r="A106" s="22" t="str">
        <x:f>"9b729cd0-3aa4-4384-b832-52ed57c24c47"</x:f>
        <x:v>9b729cd0-3aa4-4384-b832-52ed57c24c47</x:v>
      </x:c>
      <x:c r="B106" s="23" t="str">
        <x:v>ALDO CHAPRON RIBEIRO</x:v>
      </x:c>
      <x:c r="C106" s="23" t="str">
        <x:v>aldo chapron ribeiro</x:v>
      </x:c>
      <x:c r="D106" s="22" t="str">
        <x:f>"59.658.394/0001-12"</x:f>
        <x:v>59.658.394/0001-12</x:v>
      </x:c>
      <x:c r="E106" s="22" t="str">
        <x:f>"59658394000112"</x:f>
        <x:v>59658394000112</x:v>
      </x:c>
      <x:c r="F106" s="22" t="str">
        <x:f>"055.423.516-11"</x:f>
        <x:v>055.423.516-11</x:v>
      </x:c>
      <x:c r="G106" s="22" t="str">
        <x:f>"05542351611"</x:f>
        <x:v>05542351611</x:v>
      </x:c>
      <x:c r="H106" s="23" t="str">
        <x:v>chapronaldo065@gmail.com</x:v>
      </x:c>
      <x:c r="I106" s="22" t="str">
        <x:f>"31989158987"</x:f>
        <x:v>31989158987</x:v>
      </x:c>
      <x:c r="J106" s="23" t="str">
        <x:v>SPOT</x:v>
      </x:c>
      <x:c r="K106" s="23" t="str">
        <x:v>favored_only</x:v>
      </x:c>
      <x:c r="L106" s="24" t="b">
        <x:v>1</x:v>
      </x:c>
      <x:c r="M106" s="23" t="n">
        <x:v>1</x:v>
      </x:c>
      <x:c r="N106" s="28" t="n">
        <x:v>46219.812988715275</x:v>
      </x:c>
      <x:c r="O106" s="28" t="n">
        <x:v>46219.812988715275</x:v>
      </x:c>
      <x:c r="P106" s="23" t="str">
        <x:v>NOVA LIMA</x:v>
      </x:c>
      <x:c r="Q106" s="30" t="n">
        <x:v>29632</x:v>
      </x:c>
      <x:c r="R106" s="22" t="str">
        <x:f>"6850800107"</x:f>
        <x:v>6850800107</x:v>
      </x:c>
      <x:c r="S106" s="23" t="str">
        <x:v>masculino</x:v>
      </x:c>
      <x:c r="T106" s="22" t="str">
        <x:f>"RVR5H63"</x:f>
        <x:v>RVR5H63</x:v>
      </x:c>
      <x:c r="U106" s="23" t="str">
        <x:v>ALDO CHAPRON RIBEIRO</x:v>
      </x:c>
      <x:c r="V106" s="22" t="str">
        <x:f>"055.423.516-11"</x:f>
        <x:v>055.423.516-11</x:v>
      </x:c>
      <x:c r="W106" s="22" t="str">
        <x:f>"05542351611"</x:f>
        <x:v>05542351611</x:v>
      </x:c>
      <x:c r="X106" s="23" t="str">
        <x:v>chapronaldo065@gmail.com</x:v>
      </x:c>
      <x:c r="Y106" s="22" t="str">
        <x:f>"31989158987"</x:f>
        <x:v>31989158987</x:v>
      </x:c>
      <x:c r="Z106" s="30" t="n">
        <x:v>46466</x:v>
      </x:c>
    </x:row>
    <x:row r="107" ht="18" customHeight="1">
      <x:c r="A107" s="22" t="str">
        <x:f>"1cb29b41-fb78-49a7-8724-fe597ba91669"</x:f>
        <x:v>1cb29b41-fb78-49a7-8724-fe597ba91669</x:v>
      </x:c>
      <x:c r="B107" s="23" t="str">
        <x:v>ALDO YOSHITO FUKUSHIMA</x:v>
      </x:c>
      <x:c r="C107" s="23" t="str">
        <x:v>aldo yoshito fukushima</x:v>
      </x:c>
      <x:c r="D107" s="22" t="str">
        <x:f>"53.805.148/0001-60"</x:f>
        <x:v>53.805.148/0001-60</x:v>
      </x:c>
      <x:c r="E107" s="22" t="str">
        <x:f>"53805148000160"</x:f>
        <x:v>53805148000160</x:v>
      </x:c>
      <x:c r="F107" s="22" t="str">
        <x:f>"218.910.388-69"</x:f>
        <x:v>218.910.388-69</x:v>
      </x:c>
      <x:c r="G107" s="22" t="str">
        <x:f>"21891038869"</x:f>
        <x:v>21891038869</x:v>
      </x:c>
      <x:c r="H107" s="23" t="str">
        <x:v>aldo.fukushima@gmail.com</x:v>
      </x:c>
      <x:c r="I107" s="22" t="str">
        <x:f>"17 99155-4321"</x:f>
        <x:v>17 99155-4321</x:v>
      </x:c>
      <x:c r="J107" s="23" t="str">
        <x:v>SPOIT</x:v>
      </x:c>
      <x:c r="K107" s="23" t="str">
        <x:v>favored_only</x:v>
      </x:c>
      <x:c r="L107" s="24" t="b">
        <x:v>1</x:v>
      </x:c>
      <x:c r="M107" s="23" t="n">
        <x:v>1</x:v>
      </x:c>
      <x:c r="N107" s="28" t="n">
        <x:v>46219.812988715275</x:v>
      </x:c>
      <x:c r="O107" s="28" t="n">
        <x:v>46219.812988715275</x:v>
      </x:c>
      <x:c r="P107" s="23" t="str">
        <x:v>SÃO JOSE DO RIO PRETO</x:v>
      </x:c>
      <x:c r="Q107" s="30" t="n">
        <x:v>29114</x:v>
      </x:c>
      <x:c r="R107" s="22" t="str">
        <x:f>"27338135"</x:f>
        <x:v>27338135</x:v>
      </x:c>
      <x:c r="S107" s="23" t="str">
        <x:v>masculino</x:v>
      </x:c>
      <x:c r="T107" s="22" t="str">
        <x:f>"RFH9D05"</x:f>
        <x:v>RFH9D05</x:v>
      </x:c>
      <x:c r="U107" s="23" t="str">
        <x:v>ALDO YOSHITO FUKUSHIMA</x:v>
      </x:c>
      <x:c r="V107" s="22" t="str">
        <x:f>"218.910.388-69"</x:f>
        <x:v>218.910.388-69</x:v>
      </x:c>
      <x:c r="W107" s="22" t="str">
        <x:f>"21891038869"</x:f>
        <x:v>21891038869</x:v>
      </x:c>
      <x:c r="X107" s="23" t="str">
        <x:v>aldo.fukushima@gmail.com</x:v>
      </x:c>
      <x:c r="Y107" s="22" t="str">
        <x:f>"17 99155-4321"</x:f>
        <x:v>17 99155-4321</x:v>
      </x:c>
      <x:c r="Z107" s="30" t="n">
        <x:v>46453</x:v>
      </x:c>
    </x:row>
    <x:row r="108" ht="18" customHeight="1">
      <x:c r="A108" s="22" t="str">
        <x:f>"8fe7d3de-c7f7-4298-a435-20a6d30d9232"</x:f>
        <x:v>8fe7d3de-c7f7-4298-a435-20a6d30d9232</x:v>
      </x:c>
      <x:c r="B108" s="23" t="str">
        <x:v>ALEANDRO ALVES DA SILLVA</x:v>
      </x:c>
      <x:c r="C108" s="23" t="str">
        <x:v>aleandro alves da sillva</x:v>
      </x:c>
      <x:c r="D108" s="22" t="str">
        <x:f>"60.862.909/0001-80"</x:f>
        <x:v>60.862.909/0001-80</x:v>
      </x:c>
      <x:c r="E108" s="22" t="str">
        <x:f>"60862909000180"</x:f>
        <x:v>60862909000180</x:v>
      </x:c>
      <x:c r="F108" s="22" t="str">
        <x:f>"073.632.776-21"</x:f>
        <x:v>073.632.776-21</x:v>
      </x:c>
      <x:c r="G108" s="22" t="str">
        <x:f>"07363277621"</x:f>
        <x:v>07363277621</x:v>
      </x:c>
      <x:c r="H108" s="23" t="str">
        <x:v>aleandroas@gmail.com</x:v>
      </x:c>
      <x:c r="I108" s="22" t="str">
        <x:f>"( 31)984924044"</x:f>
        <x:v>( 31)984924044</x:v>
      </x:c>
      <x:c r="J108" s="23" t="str">
        <x:v>SPOT</x:v>
      </x:c>
      <x:c r="K108" s="23" t="str">
        <x:v>favored_only</x:v>
      </x:c>
      <x:c r="L108" s="24" t="b">
        <x:v>1</x:v>
      </x:c>
      <x:c r="M108" s="23" t="n">
        <x:v>1</x:v>
      </x:c>
      <x:c r="N108" s="28" t="n">
        <x:v>46203.92189349537</x:v>
      </x:c>
      <x:c r="O108" s="28" t="n">
        <x:v>46219.812988715275</x:v>
      </x:c>
      <x:c r="P108" s="23" t="str">
        <x:v>VESPASIANO</x:v>
      </x:c>
      <x:c r="Q108" s="30" t="n">
        <x:v>30948</x:v>
      </x:c>
      <x:c r="R108" s="22" t="str">
        <x:f>"RG: 12396985"</x:f>
        <x:v>RG: 12396985</x:v>
      </x:c>
      <x:c r="S108" s="23" t="str">
        <x:v>masculino</x:v>
      </x:c>
      <x:c r="T108" s="22" t="str">
        <x:f>"PXL4J49"</x:f>
        <x:v>PXL4J49</x:v>
      </x:c>
      <x:c r="U108" s="23" t="str">
        <x:v>ALEANDRO ALVES DA SILLVA</x:v>
      </x:c>
      <x:c r="V108" s="22" t="str">
        <x:f>"073.632.776-21"</x:f>
        <x:v>073.632.776-21</x:v>
      </x:c>
      <x:c r="W108" s="22" t="str">
        <x:f>"07363277621"</x:f>
        <x:v>07363277621</x:v>
      </x:c>
      <x:c r="X108" s="23" t="str">
        <x:v>aleandroas@gmail.com</x:v>
      </x:c>
      <x:c r="Y108" s="22" t="str">
        <x:f>"( 31)984924044"</x:f>
        <x:v>( 31)984924044</x:v>
      </x:c>
      <x:c r="Z108" s="30" t="n">
        <x:v>46338</x:v>
      </x:c>
    </x:row>
    <x:row r="109" ht="18" customHeight="1">
      <x:c r="A109" s="22" t="str">
        <x:f>"5f4841ae-1259-4e04-9498-ae6dfac9f95d"</x:f>
        <x:v>5f4841ae-1259-4e04-9498-ae6dfac9f95d</x:v>
      </x:c>
      <x:c r="B109" s="23" t="str">
        <x:v>ALEF ALMEIDA DA CRUZ</x:v>
      </x:c>
      <x:c r="C109" s="23" t="str">
        <x:v>alef almeida da cruz</x:v>
      </x:c>
      <x:c r="D109" s="22" t="str">
        <x:f>"48.378.419/0001-08"</x:f>
        <x:v>48.378.419/0001-08</x:v>
      </x:c>
      <x:c r="E109" s="22" t="str">
        <x:f>"48378419000108"</x:f>
        <x:v>48378419000108</x:v>
      </x:c>
      <x:c r="F109" s="22" t="str">
        <x:f>"020.677.666-78"</x:f>
        <x:v>020.677.666-78</x:v>
      </x:c>
      <x:c r="G109" s="22" t="str">
        <x:f>"02067766678"</x:f>
        <x:v>02067766678</x:v>
      </x:c>
      <x:c r="H109" s="23" t="str">
        <x:v>almeidacruz9220@gmail.com</x:v>
      </x:c>
      <x:c r="I109" s="22" t="str">
        <x:f>"(34) 9 9739 2072"</x:f>
        <x:v>(34) 9 9739 2072</x:v>
      </x:c>
      <x:c r="J109" s="23" t="str">
        <x:v>RENTAL</x:v>
      </x:c>
      <x:c r="K109" s="23" t="str">
        <x:v>rental_company</x:v>
      </x:c>
      <x:c r="L109" s="24" t="b">
        <x:v>1</x:v>
      </x:c>
      <x:c r="M109" s="23" t="n">
        <x:v>1</x:v>
      </x:c>
      <x:c r="N109" s="28" t="n">
        <x:v>46219.812988715275</x:v>
      </x:c>
      <x:c r="O109" s="28" t="n">
        <x:v>46219.812988715275</x:v>
      </x:c>
      <x:c r="P109" s="23" t="str">
        <x:v>UBERABA</x:v>
      </x:c>
      <x:c r="Q109" s="30" t="n">
        <x:v>35497</x:v>
      </x:c>
      <x:c r="R109" s="22" t="str">
        <x:f>"20138873"</x:f>
        <x:v>20138873</x:v>
      </x:c>
      <x:c r="S109" s="23" t="str">
        <x:v>masculino</x:v>
      </x:c>
      <x:c r="T109" s="22" t="str"/>
      <x:c r="U109" s="23" t="str">
        <x:v>ALEF ALMEIDA DA CRUZ</x:v>
      </x:c>
      <x:c r="V109" s="22" t="str">
        <x:f>"020.677.666-78"</x:f>
        <x:v>020.677.666-78</x:v>
      </x:c>
      <x:c r="W109" s="22" t="str">
        <x:f>"02067766678"</x:f>
        <x:v>02067766678</x:v>
      </x:c>
      <x:c r="X109" s="23" t="str">
        <x:v>almeidacruz9220@gmail.com</x:v>
      </x:c>
      <x:c r="Y109" s="22" t="str">
        <x:f>"(34) 9 9739 2072"</x:f>
        <x:v>(34) 9 9739 2072</x:v>
      </x:c>
      <x:c r="Z109" s="30" t="n">
        <x:v>46470</x:v>
      </x:c>
    </x:row>
    <x:row r="110" ht="18" customHeight="1">
      <x:c r="A110" s="22" t="str">
        <x:f>"7438792f-fc6c-451b-a913-b81cbf40b6d1"</x:f>
        <x:v>7438792f-fc6c-451b-a913-b81cbf40b6d1</x:v>
      </x:c>
      <x:c r="B110" s="23" t="str">
        <x:v>ALEFE DE SEIXAS PEREIRA</x:v>
      </x:c>
      <x:c r="C110" s="23" t="str">
        <x:v>alefe de seixas pereira</x:v>
      </x:c>
      <x:c r="D110" s="22" t="str">
        <x:f>"49.297.061/0001-51"</x:f>
        <x:v>49.297.061/0001-51</x:v>
      </x:c>
      <x:c r="E110" s="22" t="str">
        <x:f>"49297061000151"</x:f>
        <x:v>49297061000151</x:v>
      </x:c>
      <x:c r="F110" s="22" t="str">
        <x:f>"388.865.548-00"</x:f>
        <x:v>388.865.548-00</x:v>
      </x:c>
      <x:c r="G110" s="22" t="str">
        <x:f>"38886554800"</x:f>
        <x:v>38886554800</x:v>
      </x:c>
      <x:c r="H110" s="23" t="str">
        <x:v>alefe.seixas@gmail.com</x:v>
      </x:c>
      <x:c r="I110" s="22" t="str">
        <x:f>"18998050611"</x:f>
        <x:v>18998050611</x:v>
      </x:c>
      <x:c r="J110" s="23" t="str">
        <x:v>RENTAL</x:v>
      </x:c>
      <x:c r="K110" s="23" t="str">
        <x:v>rental_company</x:v>
      </x:c>
      <x:c r="L110" s="24" t="b">
        <x:v>1</x:v>
      </x:c>
      <x:c r="M110" s="23" t="n">
        <x:v>1</x:v>
      </x:c>
      <x:c r="N110" s="28" t="n">
        <x:v>46219.812988715275</x:v>
      </x:c>
      <x:c r="O110" s="28" t="n">
        <x:v>46219.812988715275</x:v>
      </x:c>
      <x:c r="P110" s="23" t="str">
        <x:v>ARAÇATUBA</x:v>
      </x:c>
      <x:c r="Q110" s="30" t="n">
        <x:v>35361</x:v>
      </x:c>
      <x:c r="R110" s="22" t="str">
        <x:f>"45872984"</x:f>
        <x:v>45872984</x:v>
      </x:c>
      <x:c r="S110" s="23" t="str">
        <x:v>masculino</x:v>
      </x:c>
      <x:c r="T110" s="22" t="str"/>
      <x:c r="U110" s="23" t="str">
        <x:v>ALEFE DE SEIXAS PEREIRA</x:v>
      </x:c>
      <x:c r="V110" s="22" t="str">
        <x:f>"388.865.548-00"</x:f>
        <x:v>388.865.548-00</x:v>
      </x:c>
      <x:c r="W110" s="22" t="str">
        <x:f>"38886554800"</x:f>
        <x:v>38886554800</x:v>
      </x:c>
      <x:c r="X110" s="23" t="str">
        <x:v>alefe.seixas@gmail.com</x:v>
      </x:c>
      <x:c r="Y110" s="22" t="str">
        <x:f>"18998050611"</x:f>
        <x:v>18998050611</x:v>
      </x:c>
      <x:c r="Z110" s="30" t="n">
        <x:v>46582</x:v>
      </x:c>
    </x:row>
    <x:row r="111" ht="18" customHeight="1">
      <x:c r="A111" s="22" t="str">
        <x:f>"3bbc3130-43d6-47ab-a7f1-1560f1c67a30"</x:f>
        <x:v>3bbc3130-43d6-47ab-a7f1-1560f1c67a30</x:v>
      </x:c>
      <x:c r="B111" s="23" t="str">
        <x:v>ALEFE DE SOUZA MENEZES</x:v>
      </x:c>
      <x:c r="C111" s="23" t="str">
        <x:v>alefe de souza menezes</x:v>
      </x:c>
      <x:c r="D111" s="22" t="str">
        <x:f>"64.919.774/0001-01"</x:f>
        <x:v>64.919.774/0001-01</x:v>
      </x:c>
      <x:c r="E111" s="22" t="str">
        <x:f>"64919774000101"</x:f>
        <x:v>64919774000101</x:v>
      </x:c>
      <x:c r="F111" s="22" t="str">
        <x:f>"136.586.837-08"</x:f>
        <x:v>136.586.837-08</x:v>
      </x:c>
      <x:c r="G111" s="22" t="str">
        <x:f>"13658683708"</x:f>
        <x:v>13658683708</x:v>
      </x:c>
      <x:c r="H111" s="23" t="str">
        <x:v>alefe11122@gmail.com</x:v>
      </x:c>
      <x:c r="I111" s="22" t="str">
        <x:f>"22997308505"</x:f>
        <x:v>22997308505</x:v>
      </x:c>
      <x:c r="J111" s="23" t="str">
        <x:v>spot</x:v>
      </x:c>
      <x:c r="K111" s="23" t="str">
        <x:v>favored_only</x:v>
      </x:c>
      <x:c r="L111" s="24" t="b">
        <x:v>1</x:v>
      </x:c>
      <x:c r="M111" s="23" t="n">
        <x:v>1</x:v>
      </x:c>
      <x:c r="N111" s="28" t="n">
        <x:v>46219.812988715275</x:v>
      </x:c>
      <x:c r="O111" s="28" t="n">
        <x:v>46219.812988715275</x:v>
      </x:c>
      <x:c r="P111" s="23" t="str">
        <x:v>CAMPOS DOS GOYTACAZES</x:v>
      </x:c>
      <x:c r="Q111" s="30" t="n">
        <x:v>34338</x:v>
      </x:c>
      <x:c r="R111" s="22" t="str">
        <x:f>"241705037"</x:f>
        <x:v>241705037</x:v>
      </x:c>
      <x:c r="S111" s="23" t="str">
        <x:v>masculino</x:v>
      </x:c>
      <x:c r="T111" s="22" t="str">
        <x:f>"PVA3G44"</x:f>
        <x:v>PVA3G44</x:v>
      </x:c>
      <x:c r="U111" s="23" t="str">
        <x:v>MARCUS DA SILVA SA</x:v>
      </x:c>
      <x:c r="V111" s="22" t="str">
        <x:f>"139295487880"</x:f>
        <x:v>139295487880</x:v>
      </x:c>
      <x:c r="W111" s="22" t="str">
        <x:f>"139295487880"</x:f>
        <x:v>139295487880</x:v>
      </x:c>
      <x:c r="X111" s="23" t="str">
        <x:v>marcussilvasa3@hotmail.com</x:v>
      </x:c>
      <x:c r="Y111" s="22" t="str">
        <x:f>"22999499917"</x:f>
        <x:v>22999499917</x:v>
      </x:c>
      <x:c r="Z111" s="30" t="n">
        <x:v>46525</x:v>
      </x:c>
    </x:row>
    <x:row r="112" ht="18" customHeight="1">
      <x:c r="A112" s="22" t="str">
        <x:f>"efd2b382-b392-4301-9205-3db5ad824827"</x:f>
        <x:v>efd2b382-b392-4301-9205-3db5ad824827</x:v>
      </x:c>
      <x:c r="B112" s="23" t="str">
        <x:v>ALEF JUNIO GOMES FERREIRA</x:v>
      </x:c>
      <x:c r="C112" s="23" t="str">
        <x:v>alef junio gomes ferreira</x:v>
      </x:c>
      <x:c r="D112" s="22" t="str">
        <x:f>"36295224000115"</x:f>
        <x:v>36295224000115</x:v>
      </x:c>
      <x:c r="E112" s="22" t="str">
        <x:f>"36295224000115"</x:f>
        <x:v>36295224000115</x:v>
      </x:c>
      <x:c r="F112" s="22" t="str">
        <x:f>"122.392.796-21"</x:f>
        <x:v>122.392.796-21</x:v>
      </x:c>
      <x:c r="G112" s="22" t="str">
        <x:f>"12239279621"</x:f>
        <x:v>12239279621</x:v>
      </x:c>
      <x:c r="H112" s="23" t="str">
        <x:v>juninhobhp18alef@gmail.com</x:v>
      </x:c>
      <x:c r="I112" s="22" t="str">
        <x:f>"31999220041"</x:f>
        <x:v>31999220041</x:v>
      </x:c>
      <x:c r="J112" s="23" t="str">
        <x:v>SPOT</x:v>
      </x:c>
      <x:c r="K112" s="23" t="str">
        <x:v>favored_only</x:v>
      </x:c>
      <x:c r="L112" s="24" t="b">
        <x:v>1</x:v>
      </x:c>
      <x:c r="M112" s="23" t="n">
        <x:v>1</x:v>
      </x:c>
      <x:c r="N112" s="28" t="n">
        <x:v>46203.92184908565</x:v>
      </x:c>
      <x:c r="O112" s="28" t="n">
        <x:v>46203.92184908565</x:v>
      </x:c>
      <x:c r="P112" s="23" t="str"/>
      <x:c r="Q112" s="30" t="str"/>
      <x:c r="R112" s="22" t="str"/>
      <x:c r="S112" s="23" t="str"/>
      <x:c r="T112" s="22" t="str"/>
      <x:c r="U112" s="23" t="str">
        <x:v>ALEF JUNIO GOMES FERREIRA</x:v>
      </x:c>
      <x:c r="V112" s="22" t="str">
        <x:f>"122.392.796-21"</x:f>
        <x:v>122.392.796-21</x:v>
      </x:c>
      <x:c r="W112" s="22" t="str">
        <x:f>"12239279621"</x:f>
        <x:v>12239279621</x:v>
      </x:c>
      <x:c r="X112" s="23" t="str">
        <x:v>juninhobhp18alef@gmail.com</x:v>
      </x:c>
      <x:c r="Y112" s="22" t="str">
        <x:f>"31999220041"</x:f>
        <x:v>31999220041</x:v>
      </x:c>
      <x:c r="Z112" s="30" t="str"/>
    </x:row>
    <x:row r="113" ht="18" customHeight="1">
      <x:c r="A113" s="22" t="str">
        <x:f>"dfe82c83-44bb-478a-a8a9-cde2bfced0de"</x:f>
        <x:v>dfe82c83-44bb-478a-a8a9-cde2bfced0de</x:v>
      </x:c>
      <x:c r="B113" s="23" t="str">
        <x:v>ALEF SANTOS DA SILVA</x:v>
      </x:c>
      <x:c r="C113" s="23" t="str">
        <x:v>alef santos da silva</x:v>
      </x:c>
      <x:c r="D113" s="22" t="str">
        <x:f>"63.141.327/0001-01"</x:f>
        <x:v>63.141.327/0001-01</x:v>
      </x:c>
      <x:c r="E113" s="22" t="str">
        <x:f>"63141327000101"</x:f>
        <x:v>63141327000101</x:v>
      </x:c>
      <x:c r="F113" s="22" t="str">
        <x:f>"704.681.736-76"</x:f>
        <x:v>704.681.736-76</x:v>
      </x:c>
      <x:c r="G113" s="22" t="str">
        <x:f>"70468173676"</x:f>
        <x:v>70468173676</x:v>
      </x:c>
      <x:c r="H113" s="23" t="str">
        <x:v>alefsantosdasilva30@gmail.com</x:v>
      </x:c>
      <x:c r="I113" s="22" t="str">
        <x:f>"34997399601"</x:f>
        <x:v>34997399601</x:v>
      </x:c>
      <x:c r="J113" s="23" t="str">
        <x:v>SPOT</x:v>
      </x:c>
      <x:c r="K113" s="23" t="str">
        <x:v>favored_only</x:v>
      </x:c>
      <x:c r="L113" s="24" t="b">
        <x:v>1</x:v>
      </x:c>
      <x:c r="M113" s="23" t="n">
        <x:v>1</x:v>
      </x:c>
      <x:c r="N113" s="28" t="n">
        <x:v>46219.812988715275</x:v>
      </x:c>
      <x:c r="O113" s="28" t="n">
        <x:v>46219.812988715275</x:v>
      </x:c>
      <x:c r="P113" s="23" t="str">
        <x:v>PATOS DE MINAS</x:v>
      </x:c>
      <x:c r="Q113" s="30" t="n">
        <x:v>37256</x:v>
      </x:c>
      <x:c r="R113" s="22" t="str">
        <x:f>"MG 22660146"</x:f>
        <x:v>MG 22660146</x:v>
      </x:c>
      <x:c r="S113" s="23" t="str">
        <x:v>masculino</x:v>
      </x:c>
      <x:c r="T113" s="22" t="str">
        <x:f>"QIL5B87"</x:f>
        <x:v>QIL5B87</x:v>
      </x:c>
      <x:c r="U113" s="23" t="str">
        <x:v>CRISTHIAN PABLO PEREIRA FERREIRA</x:v>
      </x:c>
      <x:c r="V113" s="22" t="str">
        <x:f>"114.507.436-76"</x:f>
        <x:v>114.507.436-76</x:v>
      </x:c>
      <x:c r="W113" s="22" t="str">
        <x:f>"11450743676"</x:f>
        <x:v>11450743676</x:v>
      </x:c>
      <x:c r="X113" s="23" t="str">
        <x:v>cristhian.pablo@hotmail.com</x:v>
      </x:c>
      <x:c r="Y113" s="22" t="str">
        <x:f>"34984258665"</x:f>
        <x:v>34984258665</x:v>
      </x:c>
      <x:c r="Z113" s="30" t="n">
        <x:v>46469</x:v>
      </x:c>
    </x:row>
    <x:row r="114" ht="18" customHeight="1">
      <x:c r="A114" s="22" t="str">
        <x:f>"6bbb97b2-efeb-4e1d-82e9-74f2501e3c6b"</x:f>
        <x:v>6bbb97b2-efeb-4e1d-82e9-74f2501e3c6b</x:v>
      </x:c>
      <x:c r="B114" s="23" t="str">
        <x:v>ALESSANDRO AGUIAR DOS ANJOS</x:v>
      </x:c>
      <x:c r="C114" s="23" t="str">
        <x:v>alessandro aguiar dos anjos</x:v>
      </x:c>
      <x:c r="D114" s="22" t="str">
        <x:f>"62.039.729/0001-29"</x:f>
        <x:v>62.039.729/0001-29</x:v>
      </x:c>
      <x:c r="E114" s="22" t="str">
        <x:f>"62039729000129"</x:f>
        <x:v>62039729000129</x:v>
      </x:c>
      <x:c r="F114" s="22" t="str">
        <x:f>"135.093.214-05"</x:f>
        <x:v>135.093.214-05</x:v>
      </x:c>
      <x:c r="G114" s="22" t="str">
        <x:f>"13509321405"</x:f>
        <x:v>13509321405</x:v>
      </x:c>
      <x:c r="H114" s="23" t="str">
        <x:v>alessandro92498852@gmail.com</x:v>
      </x:c>
      <x:c r="I114" s="22" t="str">
        <x:f>"(17)99751-8293"</x:f>
        <x:v>(17)99751-8293</x:v>
      </x:c>
      <x:c r="J114" s="23" t="str">
        <x:v>SPOT</x:v>
      </x:c>
      <x:c r="K114" s="23" t="str">
        <x:v>favored_only</x:v>
      </x:c>
      <x:c r="L114" s="24" t="b">
        <x:v>1</x:v>
      </x:c>
      <x:c r="M114" s="23" t="n">
        <x:v>1</x:v>
      </x:c>
      <x:c r="N114" s="28" t="n">
        <x:v>46219.812988715275</x:v>
      </x:c>
      <x:c r="O114" s="28" t="n">
        <x:v>46219.812988715275</x:v>
      </x:c>
      <x:c r="P114" s="23" t="str">
        <x:v>SÃO JOSE DO RIO PRETO</x:v>
      </x:c>
      <x:c r="Q114" s="30" t="n">
        <x:v>36617</x:v>
      </x:c>
      <x:c r="R114" s="22" t="str">
        <x:f>"10280173"</x:f>
        <x:v>10280173</x:v>
      </x:c>
      <x:c r="S114" s="23" t="str">
        <x:v>masculino</x:v>
      </x:c>
      <x:c r="T114" s="22" t="str">
        <x:f>"QAD1I823"</x:f>
        <x:v>QAD1I823</x:v>
      </x:c>
      <x:c r="U114" s="23" t="str">
        <x:v>ALESSANDRO AGUIAR DOS ANJOS</x:v>
      </x:c>
      <x:c r="V114" s="22" t="str">
        <x:f>"135.093.214-05"</x:f>
        <x:v>135.093.214-05</x:v>
      </x:c>
      <x:c r="W114" s="22" t="str">
        <x:f>"13509321405"</x:f>
        <x:v>13509321405</x:v>
      </x:c>
      <x:c r="X114" s="23" t="str">
        <x:v>alessandro92498852@gmail.com</x:v>
      </x:c>
      <x:c r="Y114" s="22" t="str">
        <x:f>"(17)99751-8293"</x:f>
        <x:v>(17)99751-8293</x:v>
      </x:c>
      <x:c r="Z114" s="30" t="n">
        <x:v>46506</x:v>
      </x:c>
    </x:row>
    <x:row r="115" ht="18" customHeight="1">
      <x:c r="A115" s="22" t="str">
        <x:f>"d61593d1-fa97-44ae-a7f0-76a0e40bae86"</x:f>
        <x:v>d61593d1-fa97-44ae-a7f0-76a0e40bae86</x:v>
      </x:c>
      <x:c r="B115" s="23" t="str">
        <x:v>ALESSANDRO DA CRUZ ARRUDA</x:v>
      </x:c>
      <x:c r="C115" s="23" t="str">
        <x:v>alessandro da cruz arruda</x:v>
      </x:c>
      <x:c r="D115" s="22" t="str">
        <x:f>"28.559.758/0001-83"</x:f>
        <x:v>28.559.758/0001-83</x:v>
      </x:c>
      <x:c r="E115" s="22" t="str">
        <x:f>"28559758000183"</x:f>
        <x:v>28559758000183</x:v>
      </x:c>
      <x:c r="F115" s="22" t="str">
        <x:f>"045.312.441-09"</x:f>
        <x:v>045.312.441-09</x:v>
      </x:c>
      <x:c r="G115" s="22" t="str">
        <x:f>"04531244109"</x:f>
        <x:v>04531244109</x:v>
      </x:c>
      <x:c r="H115" s="23" t="str">
        <x:v>trmaster2026@gmail.com</x:v>
      </x:c>
      <x:c r="I115" s="22" t="str">
        <x:f>"65992717187"</x:f>
        <x:v>65992717187</x:v>
      </x:c>
      <x:c r="J115" s="23" t="str">
        <x:v>SPOT</x:v>
      </x:c>
      <x:c r="K115" s="23" t="str">
        <x:v>favored_only</x:v>
      </x:c>
      <x:c r="L115" s="24" t="b">
        <x:v>1</x:v>
      </x:c>
      <x:c r="M115" s="23" t="n">
        <x:v>1</x:v>
      </x:c>
      <x:c r="N115" s="28" t="n">
        <x:v>46219.812988715275</x:v>
      </x:c>
      <x:c r="O115" s="28" t="n">
        <x:v>46219.812988715275</x:v>
      </x:c>
      <x:c r="P115" s="23" t="str">
        <x:v>CUIABA</x:v>
      </x:c>
      <x:c r="Q115" s="30" t="n">
        <x:v>34829</x:v>
      </x:c>
      <x:c r="R115" s="22" t="str">
        <x:f>"18665292"</x:f>
        <x:v>18665292</x:v>
      </x:c>
      <x:c r="S115" s="23" t="str">
        <x:v>masculino</x:v>
      </x:c>
      <x:c r="T115" s="22" t="str">
        <x:f>"SCD8C52"</x:f>
        <x:v>SCD8C52</x:v>
      </x:c>
      <x:c r="U115" s="23" t="str">
        <x:v>ALESSANDRO DA CRUZ ARRUDA</x:v>
      </x:c>
      <x:c r="V115" s="22" t="str">
        <x:f>"045.312.441-09"</x:f>
        <x:v>045.312.441-09</x:v>
      </x:c>
      <x:c r="W115" s="22" t="str">
        <x:f>"04531244109"</x:f>
        <x:v>04531244109</x:v>
      </x:c>
      <x:c r="X115" s="23" t="str">
        <x:v>trmaster2026@gmail.com</x:v>
      </x:c>
      <x:c r="Y115" s="22" t="str">
        <x:f>"65992717187"</x:f>
        <x:v>65992717187</x:v>
      </x:c>
      <x:c r="Z115" s="30" t="n">
        <x:v>46471</x:v>
      </x:c>
    </x:row>
    <x:row r="116" ht="18" customHeight="1">
      <x:c r="A116" s="22" t="str">
        <x:f>"c50f0dac-24de-4096-965c-9be3a310be0c"</x:f>
        <x:v>c50f0dac-24de-4096-965c-9be3a310be0c</x:v>
      </x:c>
      <x:c r="B116" s="23" t="str">
        <x:v>ALESSANDRO DA SILVA GENEROSO</x:v>
      </x:c>
      <x:c r="C116" s="23" t="str">
        <x:v>alessandro da silva generoso</x:v>
      </x:c>
      <x:c r="D116" s="22" t="str">
        <x:f>"59.173.507/0001-90"</x:f>
        <x:v>59.173.507/0001-90</x:v>
      </x:c>
      <x:c r="E116" s="22" t="str">
        <x:f>"59173507000190"</x:f>
        <x:v>59173507000190</x:v>
      </x:c>
      <x:c r="F116" s="22" t="str">
        <x:f>"152.274.107-04"</x:f>
        <x:v>152.274.107-04</x:v>
      </x:c>
      <x:c r="G116" s="22" t="str">
        <x:f>"15227410704"</x:f>
        <x:v>15227410704</x:v>
      </x:c>
      <x:c r="H116" s="23" t="str">
        <x:v>alessandroentregador03@gmail.com</x:v>
      </x:c>
      <x:c r="I116" s="22" t="str">
        <x:f>"21976082940"</x:f>
        <x:v>21976082940</x:v>
      </x:c>
      <x:c r="J116" s="23" t="str">
        <x:v>SPOT</x:v>
      </x:c>
      <x:c r="K116" s="23" t="str">
        <x:v>favored_only</x:v>
      </x:c>
      <x:c r="L116" s="24" t="b">
        <x:v>1</x:v>
      </x:c>
      <x:c r="M116" s="23" t="n">
        <x:v>1</x:v>
      </x:c>
      <x:c r="N116" s="28" t="n">
        <x:v>46219.812988715275</x:v>
      </x:c>
      <x:c r="O116" s="28" t="n">
        <x:v>46219.812988715275</x:v>
      </x:c>
      <x:c r="P116" s="23" t="str">
        <x:v>CORDOVIL</x:v>
      </x:c>
      <x:c r="Q116" s="30" t="n">
        <x:v>37851</x:v>
      </x:c>
      <x:c r="R116" s="22" t="str">
        <x:f>"295719066"</x:f>
        <x:v>295719066</x:v>
      </x:c>
      <x:c r="S116" s="23" t="str">
        <x:v>masculino</x:v>
      </x:c>
      <x:c r="T116" s="22" t="str">
        <x:f>"KWM7A29"</x:f>
        <x:v>KWM7A29</x:v>
      </x:c>
      <x:c r="U116" s="23" t="str">
        <x:v>ALESSANDRO DA SILVA GENEROSO</x:v>
      </x:c>
      <x:c r="V116" s="22" t="str">
        <x:f>"152.274.107-04"</x:f>
        <x:v>152.274.107-04</x:v>
      </x:c>
      <x:c r="W116" s="22" t="str">
        <x:f>"15227410704"</x:f>
        <x:v>15227410704</x:v>
      </x:c>
      <x:c r="X116" s="23" t="str">
        <x:v>alessandroentregador03@gmail.com</x:v>
      </x:c>
      <x:c r="Y116" s="22" t="str">
        <x:f>"21976082940"</x:f>
        <x:v>21976082940</x:v>
      </x:c>
      <x:c r="Z116" s="30" t="n">
        <x:v>46492</x:v>
      </x:c>
    </x:row>
    <x:row r="117" ht="18" customHeight="1">
      <x:c r="A117" s="22" t="str">
        <x:f>"a31158ce-ac38-409b-92ec-6243f75f4b3d"</x:f>
        <x:v>a31158ce-ac38-409b-92ec-6243f75f4b3d</x:v>
      </x:c>
      <x:c r="B117" s="23" t="str">
        <x:v>ALESSANDRO DA SILVA REIS SANTOS</x:v>
      </x:c>
      <x:c r="C117" s="23" t="str">
        <x:v>alessandro da silva reis santos</x:v>
      </x:c>
      <x:c r="D117" s="22" t="str">
        <x:f>"64.052.550/0001-37"</x:f>
        <x:v>64.052.550/0001-37</x:v>
      </x:c>
      <x:c r="E117" s="22" t="str">
        <x:f>"64052550000137"</x:f>
        <x:v>64052550000137</x:v>
      </x:c>
      <x:c r="F117" s="22" t="str">
        <x:f>"067.213.026-24"</x:f>
        <x:v>067.213.026-24</x:v>
      </x:c>
      <x:c r="G117" s="22" t="str">
        <x:f>"06721302624"</x:f>
        <x:v>06721302624</x:v>
      </x:c>
      <x:c r="H117" s="23" t="str">
        <x:v>alessandrosilva824asd@gmail.com</x:v>
      </x:c>
      <x:c r="I117" s="22" t="str">
        <x:f>"33999818265"</x:f>
        <x:v>33999818265</x:v>
      </x:c>
      <x:c r="J117" s="23" t="str">
        <x:v>SPOT</x:v>
      </x:c>
      <x:c r="K117" s="23" t="str">
        <x:v>favored_only</x:v>
      </x:c>
      <x:c r="L117" s="24" t="b">
        <x:v>1</x:v>
      </x:c>
      <x:c r="M117" s="23" t="n">
        <x:v>1</x:v>
      </x:c>
      <x:c r="N117" s="28" t="n">
        <x:v>46203.921904421295</x:v>
      </x:c>
      <x:c r="O117" s="28" t="n">
        <x:v>46219.812988715275</x:v>
      </x:c>
      <x:c r="P117" s="23" t="str">
        <x:v>GUANHAES</x:v>
      </x:c>
      <x:c r="Q117" s="30" t="n">
        <x:v>30495</x:v>
      </x:c>
      <x:c r="R117" s="22" t="str">
        <x:f>"11800-859"</x:f>
        <x:v>11800-859</x:v>
      </x:c>
      <x:c r="S117" s="23" t="str">
        <x:v>masculino</x:v>
      </x:c>
      <x:c r="T117" s="22" t="str">
        <x:f>"QOL4H08"</x:f>
        <x:v>QOL4H08</x:v>
      </x:c>
      <x:c r="U117" s="23" t="str">
        <x:v>ALESSANDRO DA SILVA REIS SANTOS</x:v>
      </x:c>
      <x:c r="V117" s="22" t="str">
        <x:f>"067.213.026-24"</x:f>
        <x:v>067.213.026-24</x:v>
      </x:c>
      <x:c r="W117" s="22" t="str">
        <x:f>"06721302624"</x:f>
        <x:v>06721302624</x:v>
      </x:c>
      <x:c r="X117" s="23" t="str">
        <x:v>alessandrosilva824asd@gmail.com</x:v>
      </x:c>
      <x:c r="Y117" s="22" t="str">
        <x:f>"33999818265"</x:f>
        <x:v>33999818265</x:v>
      </x:c>
      <x:c r="Z117" s="30" t="n">
        <x:v>46372</x:v>
      </x:c>
    </x:row>
    <x:row r="118" ht="18" customHeight="1">
      <x:c r="A118" s="22" t="str">
        <x:f>"34c6fd36-31d5-4abc-bb58-c39f7c26e9ca"</x:f>
        <x:v>34c6fd36-31d5-4abc-bb58-c39f7c26e9ca</x:v>
      </x:c>
      <x:c r="B118" s="23" t="str">
        <x:v>ALESSANDRO DESPOSTI</x:v>
      </x:c>
      <x:c r="C118" s="23" t="str">
        <x:v>alessandro desposti</x:v>
      </x:c>
      <x:c r="D118" s="22" t="str">
        <x:f>"63.563.326/0001-47"</x:f>
        <x:v>63.563.326/0001-47</x:v>
      </x:c>
      <x:c r="E118" s="22" t="str">
        <x:f>"63563326000147"</x:f>
        <x:v>63563326000147</x:v>
      </x:c>
      <x:c r="F118" s="22" t="str">
        <x:f>"108.804.578-21"</x:f>
        <x:v>108.804.578-21</x:v>
      </x:c>
      <x:c r="G118" s="22" t="str">
        <x:f>"10880457821"</x:f>
        <x:v>10880457821</x:v>
      </x:c>
      <x:c r="H118" s="23" t="str">
        <x:v>alessandrodesposti@gmail.com</x:v>
      </x:c>
      <x:c r="I118" s="22" t="str">
        <x:f>"18997047814"</x:f>
        <x:v>18997047814</x:v>
      </x:c>
      <x:c r="J118" s="23" t="str">
        <x:v>SPOT</x:v>
      </x:c>
      <x:c r="K118" s="23" t="str">
        <x:v>favored_only</x:v>
      </x:c>
      <x:c r="L118" s="24" t="b">
        <x:v>1</x:v>
      </x:c>
      <x:c r="M118" s="23" t="n">
        <x:v>1</x:v>
      </x:c>
      <x:c r="N118" s="28" t="n">
        <x:v>46219.812988715275</x:v>
      </x:c>
      <x:c r="O118" s="28" t="n">
        <x:v>46219.812988715275</x:v>
      </x:c>
      <x:c r="P118" s="23" t="str">
        <x:v>ARAÇATUBA</x:v>
      </x:c>
      <x:c r="Q118" s="30" t="n">
        <x:v>27866</x:v>
      </x:c>
      <x:c r="R118" s="22" t="str">
        <x:f>"24633675"</x:f>
        <x:v>24633675</x:v>
      </x:c>
      <x:c r="S118" s="23" t="str">
        <x:v>masculino</x:v>
      </x:c>
      <x:c r="T118" s="22" t="str">
        <x:f>"FOY7F61"</x:f>
        <x:v>FOY7F61</x:v>
      </x:c>
      <x:c r="U118" s="23" t="str">
        <x:v>ALESSANDRO DESPOSTI</x:v>
      </x:c>
      <x:c r="V118" s="22" t="str">
        <x:f>"108.804.578-21"</x:f>
        <x:v>108.804.578-21</x:v>
      </x:c>
      <x:c r="W118" s="22" t="str">
        <x:f>"10880457821"</x:f>
        <x:v>10880457821</x:v>
      </x:c>
      <x:c r="X118" s="23" t="str">
        <x:v>alessandrodesposti@gmail.com</x:v>
      </x:c>
      <x:c r="Y118" s="22" t="str">
        <x:f>"18997047814"</x:f>
        <x:v>18997047814</x:v>
      </x:c>
      <x:c r="Z118" s="30" t="n">
        <x:v>46571</x:v>
      </x:c>
    </x:row>
    <x:row r="119" ht="18" customHeight="1">
      <x:c r="A119" s="22" t="str">
        <x:f>"d4ab7155-9a49-46aa-8be7-d82f13a8340c"</x:f>
        <x:v>d4ab7155-9a49-46aa-8be7-d82f13a8340c</x:v>
      </x:c>
      <x:c r="B119" s="23" t="str">
        <x:v>ALESSANDRO DIAS DE OLIVEIRA</x:v>
      </x:c>
      <x:c r="C119" s="23" t="str">
        <x:v>alessandro dias de oliveira</x:v>
      </x:c>
      <x:c r="D119" s="22" t="str">
        <x:f>"37.823.997/0001-90"</x:f>
        <x:v>37.823.997/0001-90</x:v>
      </x:c>
      <x:c r="E119" s="22" t="str">
        <x:f>"37823997000190"</x:f>
        <x:v>37823997000190</x:v>
      </x:c>
      <x:c r="F119" s="22" t="str">
        <x:f>"390.001.218-09"</x:f>
        <x:v>390.001.218-09</x:v>
      </x:c>
      <x:c r="G119" s="22" t="str">
        <x:f>"39000121809"</x:f>
        <x:v>39000121809</x:v>
      </x:c>
      <x:c r="H119" s="23" t="str">
        <x:v>alessandrodiasdeoliveiradias@gmail.com</x:v>
      </x:c>
      <x:c r="I119" s="22" t="str">
        <x:f>"67996156148"</x:f>
        <x:v>67996156148</x:v>
      </x:c>
      <x:c r="J119" s="23" t="str">
        <x:v>SPOT</x:v>
      </x:c>
      <x:c r="K119" s="23" t="str">
        <x:v>favored_only</x:v>
      </x:c>
      <x:c r="L119" s="24" t="b">
        <x:v>1</x:v>
      </x:c>
      <x:c r="M119" s="23" t="n">
        <x:v>1</x:v>
      </x:c>
      <x:c r="N119" s="28" t="n">
        <x:v>46219.812988715275</x:v>
      </x:c>
      <x:c r="O119" s="28" t="n">
        <x:v>46219.812988715275</x:v>
      </x:c>
      <x:c r="P119" s="23" t="str">
        <x:v>CHAPADÃO DO SUL</x:v>
      </x:c>
      <x:c r="Q119" s="30" t="n">
        <x:v>31146</x:v>
      </x:c>
      <x:c r="R119" s="22" t="str">
        <x:f>"301632032349"</x:f>
        <x:v>301632032349</x:v>
      </x:c>
      <x:c r="S119" s="23" t="str">
        <x:v>masculino</x:v>
      </x:c>
      <x:c r="T119" s="22" t="str">
        <x:f>"OAY2J21"</x:f>
        <x:v>OAY2J21</x:v>
      </x:c>
      <x:c r="U119" s="23" t="str">
        <x:v>RODOPRIME TRANSPORTES E CARGAS LTDA</x:v>
      </x:c>
      <x:c r="V119" s="22" t="str">
        <x:f>"038.768.901-01"</x:f>
        <x:v>038.768.901-01</x:v>
      </x:c>
      <x:c r="W119" s="22" t="str">
        <x:f>"03876890101"</x:f>
        <x:v>03876890101</x:v>
      </x:c>
      <x:c r="X119" s="23" t="str">
        <x:v>rtp.cargas@gmail.com</x:v>
      </x:c>
      <x:c r="Y119" s="22" t="str">
        <x:f>"62991277279"</x:f>
        <x:v>62991277279</x:v>
      </x:c>
      <x:c r="Z119" s="30" t="n">
        <x:v>46505</x:v>
      </x:c>
    </x:row>
    <x:row r="120" ht="18" customHeight="1">
      <x:c r="A120" s="22" t="str">
        <x:f>"4301b941-c96f-418b-b31a-a3c5c14ecc82"</x:f>
        <x:v>4301b941-c96f-418b-b31a-a3c5c14ecc82</x:v>
      </x:c>
      <x:c r="B120" s="23" t="str">
        <x:v>ALESSANDRO GUILHERME DOS SANTOS</x:v>
      </x:c>
      <x:c r="C120" s="23" t="str">
        <x:v>alessandro guilherme dos santos</x:v>
      </x:c>
      <x:c r="D120" s="22" t="str">
        <x:f>"65.342.423/0001-35"</x:f>
        <x:v>65.342.423/0001-35</x:v>
      </x:c>
      <x:c r="E120" s="22" t="str">
        <x:f>"65342423000135"</x:f>
        <x:v>65342423000135</x:v>
      </x:c>
      <x:c r="F120" s="22" t="str">
        <x:f>"224.945.247-41"</x:f>
        <x:v>224.945.247-41</x:v>
      </x:c>
      <x:c r="G120" s="22" t="str">
        <x:f>"22494524741"</x:f>
        <x:v>22494524741</x:v>
      </x:c>
      <x:c r="H120" s="23" t="str">
        <x:v>alessandroguilherme998@gmail.com</x:v>
      </x:c>
      <x:c r="I120" s="22" t="str">
        <x:f>"21987505321"</x:f>
        <x:v>21987505321</x:v>
      </x:c>
      <x:c r="J120" s="23" t="str">
        <x:v>SPOT</x:v>
      </x:c>
      <x:c r="K120" s="23" t="str">
        <x:v>favored_only</x:v>
      </x:c>
      <x:c r="L120" s="24" t="b">
        <x:v>1</x:v>
      </x:c>
      <x:c r="M120" s="23" t="n">
        <x:v>1</x:v>
      </x:c>
      <x:c r="N120" s="28" t="n">
        <x:v>46203.92191240741</x:v>
      </x:c>
      <x:c r="O120" s="28" t="n">
        <x:v>46219.812988715275</x:v>
      </x:c>
      <x:c r="P120" s="23" t="str">
        <x:v>ITABORAI</x:v>
      </x:c>
      <x:c r="Q120" s="30" t="n">
        <x:v>37701</x:v>
      </x:c>
      <x:c r="R120" s="22" t="str">
        <x:f>"341824431"</x:f>
        <x:v>341824431</x:v>
      </x:c>
      <x:c r="S120" s="23" t="str">
        <x:v>masculino</x:v>
      </x:c>
      <x:c r="T120" s="22" t="str">
        <x:f>"PVE5G79"</x:f>
        <x:v>PVE5G79</x:v>
      </x:c>
      <x:c r="U120" s="23" t="str">
        <x:v>ALESSANDRO GUILHERME DOS SANTOS</x:v>
      </x:c>
      <x:c r="V120" s="22" t="str">
        <x:f>"224.945.247-41"</x:f>
        <x:v>224.945.247-41</x:v>
      </x:c>
      <x:c r="W120" s="22" t="str">
        <x:f>"22494524741"</x:f>
        <x:v>22494524741</x:v>
      </x:c>
      <x:c r="X120" s="23" t="str">
        <x:v>alessandroguilherme998@gmail.com</x:v>
      </x:c>
      <x:c r="Y120" s="22" t="str">
        <x:f>"21987505321"</x:f>
        <x:v>21987505321</x:v>
      </x:c>
      <x:c r="Z120" s="30" t="n">
        <x:v>46309</x:v>
      </x:c>
    </x:row>
    <x:row r="121" ht="18" customHeight="1">
      <x:c r="A121" s="22" t="str">
        <x:f>"4a66335d-b485-46e9-8adc-d5580c7af844"</x:f>
        <x:v>4a66335d-b485-46e9-8adc-d5580c7af844</x:v>
      </x:c>
      <x:c r="B121" s="23" t="str">
        <x:v>ALESSANDRO JOSE DIAS</x:v>
      </x:c>
      <x:c r="C121" s="23" t="str">
        <x:v>alessandro jose dias</x:v>
      </x:c>
      <x:c r="D121" s="22" t="str">
        <x:f>"43.129.919/0001-92"</x:f>
        <x:v>43.129.919/0001-92</x:v>
      </x:c>
      <x:c r="E121" s="22" t="str">
        <x:f>"43129919000192"</x:f>
        <x:v>43129919000192</x:v>
      </x:c>
      <x:c r="F121" s="22" t="str">
        <x:f>"036.010.507-65"</x:f>
        <x:v>036.010.507-65</x:v>
      </x:c>
      <x:c r="G121" s="22" t="str">
        <x:f>"03601050765"</x:f>
        <x:v>03601050765</x:v>
      </x:c>
      <x:c r="H121" s="23" t="str">
        <x:v>alessandrojosedias@hotmail.com</x:v>
      </x:c>
      <x:c r="I121" s="22" t="str">
        <x:f>"21965954940"</x:f>
        <x:v>21965954940</x:v>
      </x:c>
      <x:c r="J121" s="23" t="str">
        <x:v>SPOT</x:v>
      </x:c>
      <x:c r="K121" s="23" t="str">
        <x:v>favored_only</x:v>
      </x:c>
      <x:c r="L121" s="24" t="b">
        <x:v>1</x:v>
      </x:c>
      <x:c r="M121" s="23" t="n">
        <x:v>1</x:v>
      </x:c>
      <x:c r="N121" s="28" t="n">
        <x:v>46203.92186462963</x:v>
      </x:c>
      <x:c r="O121" s="28" t="n">
        <x:v>46219.812988715275</x:v>
      </x:c>
      <x:c r="P121" s="23" t="str">
        <x:v>QUEIMADOS</x:v>
      </x:c>
      <x:c r="Q121" s="30" t="n">
        <x:v>27755</x:v>
      </x:c>
      <x:c r="R121" s="22" t="str">
        <x:f>"93355964"</x:f>
        <x:v>93355964</x:v>
      </x:c>
      <x:c r="S121" s="23" t="str">
        <x:v>masculino</x:v>
      </x:c>
      <x:c r="T121" s="22" t="str">
        <x:f>"HLW1A94"</x:f>
        <x:v>HLW1A94</x:v>
      </x:c>
      <x:c r="U121" s="23" t="str">
        <x:v>ALESSANDRO JOSE DIAS</x:v>
      </x:c>
      <x:c r="V121" s="22" t="str">
        <x:f>"036.010.507-65"</x:f>
        <x:v>036.010.507-65</x:v>
      </x:c>
      <x:c r="W121" s="22" t="str">
        <x:f>"03601050765"</x:f>
        <x:v>03601050765</x:v>
      </x:c>
      <x:c r="X121" s="23" t="str">
        <x:v>alessandrojosedias@hotmail.com</x:v>
      </x:c>
      <x:c r="Y121" s="22" t="str">
        <x:f>"21965954940"</x:f>
        <x:v>21965954940</x:v>
      </x:c>
      <x:c r="Z121" s="30" t="n">
        <x:v>46285</x:v>
      </x:c>
    </x:row>
    <x:row r="122" ht="18" customHeight="1">
      <x:c r="A122" s="22" t="str">
        <x:f>"05d44e4f-437d-4a1b-9a14-dacff3f9402b"</x:f>
        <x:v>05d44e4f-437d-4a1b-9a14-dacff3f9402b</x:v>
      </x:c>
      <x:c r="B122" s="23" t="str">
        <x:v>ALESSANDRO TENORIA DA SILVA</x:v>
      </x:c>
      <x:c r="C122" s="23" t="str">
        <x:v>alessandro tenoria da silva</x:v>
      </x:c>
      <x:c r="D122" s="22" t="str">
        <x:f>"54.517.423/0001-02"</x:f>
        <x:v>54.517.423/0001-02</x:v>
      </x:c>
      <x:c r="E122" s="22" t="str">
        <x:f>"54517423000102"</x:f>
        <x:v>54517423000102</x:v>
      </x:c>
      <x:c r="F122" s="22" t="str">
        <x:f>"008.666.621-54"</x:f>
        <x:v>008.666.621-54</x:v>
      </x:c>
      <x:c r="G122" s="22" t="str">
        <x:f>"00866662154"</x:f>
        <x:v>00866662154</x:v>
      </x:c>
      <x:c r="H122" s="23" t="str">
        <x:v>Alessandrotenoria620@gmail.com</x:v>
      </x:c>
      <x:c r="I122" s="22" t="str">
        <x:f>"65996584451"</x:f>
        <x:v>65996584451</x:v>
      </x:c>
      <x:c r="J122" s="23" t="str">
        <x:v>SPOT</x:v>
      </x:c>
      <x:c r="K122" s="23" t="str">
        <x:v>favored_only</x:v>
      </x:c>
      <x:c r="L122" s="24" t="b">
        <x:v>1</x:v>
      </x:c>
      <x:c r="M122" s="23" t="n">
        <x:v>2</x:v>
      </x:c>
      <x:c r="N122" s="28" t="n">
        <x:v>46205.60704935185</x:v>
      </x:c>
      <x:c r="O122" s="28" t="n">
        <x:v>46219.812988715275</x:v>
      </x:c>
      <x:c r="P122" s="23" t="str">
        <x:v>PONTES E LACERDA</x:v>
      </x:c>
      <x:c r="Q122" s="30" t="n">
        <x:v>30649</x:v>
      </x:c>
      <x:c r="R122" s="22" t="str">
        <x:f>"15751309"</x:f>
        <x:v>15751309</x:v>
      </x:c>
      <x:c r="S122" s="23" t="str">
        <x:v>masculino</x:v>
      </x:c>
      <x:c r="T122" s="22" t="str">
        <x:f>"QCK9C16"</x:f>
        <x:v>QCK9C16</x:v>
      </x:c>
      <x:c r="U122" s="23" t="str">
        <x:v>CARLOS HENRIQUE FIQUEIREDO DOS SANTOS</x:v>
      </x:c>
      <x:c r="V122" s="22" t="str">
        <x:f>"063.257.171-39"</x:f>
        <x:v>063.257.171-39</x:v>
      </x:c>
      <x:c r="W122" s="22" t="str">
        <x:f>"06325717139"</x:f>
        <x:v>06325717139</x:v>
      </x:c>
      <x:c r="X122" s="23" t="str">
        <x:v>Alessandrotenoria620@gmail.com</x:v>
      </x:c>
      <x:c r="Y122" s="22" t="str">
        <x:f>"65996584451"</x:f>
        <x:v>65996584451</x:v>
      </x:c>
      <x:c r="Z122" s="30" t="n">
        <x:v>46575</x:v>
      </x:c>
    </x:row>
    <x:row r="123" ht="18" customHeight="1">
      <x:c r="A123" s="22" t="str">
        <x:f>"45735594-ad38-4989-956d-67535da162c2"</x:f>
        <x:v>45735594-ad38-4989-956d-67535da162c2</x:v>
      </x:c>
      <x:c r="B123" s="23" t="str">
        <x:v>ALEX ALVES SCARABELLE</x:v>
      </x:c>
      <x:c r="C123" s="23" t="str">
        <x:v>alex alves scarabelle</x:v>
      </x:c>
      <x:c r="D123" s="22" t="str">
        <x:f>"66.862.421/0001-30"</x:f>
        <x:v>66.862.421/0001-30</x:v>
      </x:c>
      <x:c r="E123" s="22" t="str">
        <x:f>"66862421000130"</x:f>
        <x:v>66862421000130</x:v>
      </x:c>
      <x:c r="F123" s="22" t="str">
        <x:f>"452.366.968-60"</x:f>
        <x:v>452.366.968-60</x:v>
      </x:c>
      <x:c r="G123" s="22" t="str">
        <x:f>"45236696860"</x:f>
        <x:v>45236696860</x:v>
      </x:c>
      <x:c r="H123" s="23" t="str">
        <x:v>ea721526@gmail.com</x:v>
      </x:c>
      <x:c r="I123" s="22" t="str">
        <x:f>"34 996856052"</x:f>
        <x:v>34 996856052</x:v>
      </x:c>
      <x:c r="J123" s="23" t="str">
        <x:v>SPOT</x:v>
      </x:c>
      <x:c r="K123" s="23" t="str">
        <x:v>favored_only</x:v>
      </x:c>
      <x:c r="L123" s="24" t="b">
        <x:v>1</x:v>
      </x:c>
      <x:c r="M123" s="23" t="n">
        <x:v>2</x:v>
      </x:c>
      <x:c r="N123" s="28" t="n">
        <x:v>46219.812988715275</x:v>
      </x:c>
      <x:c r="O123" s="28" t="n">
        <x:v>46219.812988715275</x:v>
      </x:c>
      <x:c r="P123" s="23" t="str">
        <x:v>CÁCERES</x:v>
      </x:c>
      <x:c r="Q123" s="30" t="n">
        <x:v>35777</x:v>
      </x:c>
      <x:c r="R123" s="22" t="str">
        <x:f>"18818771 SSP MG"</x:f>
        <x:v>18818771 SSP MG</x:v>
      </x:c>
      <x:c r="S123" s="23" t="str">
        <x:v>masculino</x:v>
      </x:c>
      <x:c r="T123" s="22" t="str">
        <x:f>"OBR7F04"</x:f>
        <x:v>OBR7F04</x:v>
      </x:c>
      <x:c r="U123" s="23" t="str">
        <x:v>ELAINE APARECIDA ALVES</x:v>
      </x:c>
      <x:c r="V123" s="22" t="str">
        <x:f>"650.986.411-87"</x:f>
        <x:v>650.986.411-87</x:v>
      </x:c>
      <x:c r="W123" s="22" t="str">
        <x:f>"65098641187"</x:f>
        <x:v>65098641187</x:v>
      </x:c>
      <x:c r="X123" s="23" t="str">
        <x:v>ea721526@gmail.com</x:v>
      </x:c>
      <x:c r="Y123" s="22" t="str">
        <x:f>"34 999823668"</x:f>
        <x:v>34 999823668</x:v>
      </x:c>
      <x:c r="Z123" s="30" t="n">
        <x:v>46575</x:v>
      </x:c>
    </x:row>
    <x:row r="124" ht="18" customHeight="1">
      <x:c r="A124" s="22" t="str">
        <x:f>"c42b548f-4697-4fcd-a58b-57db100c1e27"</x:f>
        <x:v>c42b548f-4697-4fcd-a58b-57db100c1e27</x:v>
      </x:c>
      <x:c r="B124" s="23" t="str">
        <x:v>ALEXANDER DE SOUZA DE OLIVEIRA</x:v>
      </x:c>
      <x:c r="C124" s="23" t="str">
        <x:v>alexander de souza de oliveira</x:v>
      </x:c>
      <x:c r="D124" s="22" t="str">
        <x:f>"57.455.635/0001-09"</x:f>
        <x:v>57.455.635/0001-09</x:v>
      </x:c>
      <x:c r="E124" s="22" t="str">
        <x:f>"57455635000109"</x:f>
        <x:v>57455635000109</x:v>
      </x:c>
      <x:c r="F124" s="22" t="str">
        <x:f>"817.665.646-15"</x:f>
        <x:v>817.665.646-15</x:v>
      </x:c>
      <x:c r="G124" s="22" t="str">
        <x:f>"81766564615"</x:f>
        <x:v>81766564615</x:v>
      </x:c>
      <x:c r="H124" s="23" t="str">
        <x:v>limalex1315@gmail.com</x:v>
      </x:c>
      <x:c r="I124" s="22" t="str">
        <x:f>"(31)985930677"</x:f>
        <x:v>(31)985930677</x:v>
      </x:c>
      <x:c r="J124" s="23" t="str">
        <x:v>SPOT</x:v>
      </x:c>
      <x:c r="K124" s="23" t="str">
        <x:v>favored_only</x:v>
      </x:c>
      <x:c r="L124" s="24" t="b">
        <x:v>1</x:v>
      </x:c>
      <x:c r="M124" s="23" t="n">
        <x:v>1</x:v>
      </x:c>
      <x:c r="N124" s="28" t="n">
        <x:v>46219.812988715275</x:v>
      </x:c>
      <x:c r="O124" s="28" t="n">
        <x:v>46219.812988715275</x:v>
      </x:c>
      <x:c r="P124" s="23" t="str">
        <x:v>VESPASIANO</x:v>
      </x:c>
      <x:c r="Q124" s="30" t="n">
        <x:v>26625</x:v>
      </x:c>
      <x:c r="R124" s="22" t="str">
        <x:f>"MG5182492"</x:f>
        <x:v>MG5182492</x:v>
      </x:c>
      <x:c r="S124" s="23" t="str">
        <x:v>masculino</x:v>
      </x:c>
      <x:c r="T124" s="22" t="str">
        <x:f>"RNT9H37"</x:f>
        <x:v>RNT9H37</x:v>
      </x:c>
      <x:c r="U124" s="23" t="str">
        <x:v>ALEXANDER DE SOUZA DE OLIVEIRA</x:v>
      </x:c>
      <x:c r="V124" s="22" t="str">
        <x:f>"817.665.646-15"</x:f>
        <x:v>817.665.646-15</x:v>
      </x:c>
      <x:c r="W124" s="22" t="str">
        <x:f>"81766564615"</x:f>
        <x:v>81766564615</x:v>
      </x:c>
      <x:c r="X124" s="23" t="str">
        <x:v>limalex1315@gmail.com</x:v>
      </x:c>
      <x:c r="Y124" s="22" t="str">
        <x:f>"(31)985930677"</x:f>
        <x:v>(31)985930677</x:v>
      </x:c>
      <x:c r="Z124" s="30" t="n">
        <x:v>46406</x:v>
      </x:c>
    </x:row>
    <x:row r="125" ht="18" customHeight="1">
      <x:c r="A125" s="22" t="str">
        <x:f>"1baded56-049a-4a69-b53e-995602fafccc"</x:f>
        <x:v>1baded56-049a-4a69-b53e-995602fafccc</x:v>
      </x:c>
      <x:c r="B125" s="23" t="str">
        <x:v>ALEXANDRE ALVES DA GAMA</x:v>
      </x:c>
      <x:c r="C125" s="23" t="str">
        <x:v>alexandre alves da gama</x:v>
      </x:c>
      <x:c r="D125" s="22" t="str">
        <x:f>"59.908.576/0001-02"</x:f>
        <x:v>59.908.576/0001-02</x:v>
      </x:c>
      <x:c r="E125" s="22" t="str">
        <x:f>"59908576000102"</x:f>
        <x:v>59908576000102</x:v>
      </x:c>
      <x:c r="F125" s="22" t="str">
        <x:f>"032.938.461-90"</x:f>
        <x:v>032.938.461-90</x:v>
      </x:c>
      <x:c r="G125" s="22" t="str">
        <x:f>"03293846190"</x:f>
        <x:v>03293846190</x:v>
      </x:c>
      <x:c r="H125" s="23" t="str">
        <x:v>alexandregamaoficial@gmail.com</x:v>
      </x:c>
      <x:c r="I125" s="22" t="str">
        <x:f>"65 99665-4390"</x:f>
        <x:v>65 99665-4390</x:v>
      </x:c>
      <x:c r="J125" s="23" t="str">
        <x:v>SPOT</x:v>
      </x:c>
      <x:c r="K125" s="23" t="str">
        <x:v>favored_only</x:v>
      </x:c>
      <x:c r="L125" s="24" t="b">
        <x:v>1</x:v>
      </x:c>
      <x:c r="M125" s="23" t="n">
        <x:v>1</x:v>
      </x:c>
      <x:c r="N125" s="28" t="n">
        <x:v>46203.92186888889</x:v>
      </x:c>
      <x:c r="O125" s="28" t="n">
        <x:v>46219.812988715275</x:v>
      </x:c>
      <x:c r="P125" s="23" t="str">
        <x:v>CUIABA</x:v>
      </x:c>
      <x:c r="Q125" s="30" t="n">
        <x:v>31999</x:v>
      </x:c>
      <x:c r="R125" s="22" t="str">
        <x:f>"19770391"</x:f>
        <x:v>19770391</x:v>
      </x:c>
      <x:c r="S125" s="23" t="str">
        <x:v>masculino</x:v>
      </x:c>
      <x:c r="T125" s="22" t="str">
        <x:f>"QNR4A99"</x:f>
        <x:v>QNR4A99</x:v>
      </x:c>
      <x:c r="U125" s="23" t="str">
        <x:v>ALEXANDRE ALVES DA GAMA</x:v>
      </x:c>
      <x:c r="V125" s="22" t="str">
        <x:f>"032.938.461-90"</x:f>
        <x:v>032.938.461-90</x:v>
      </x:c>
      <x:c r="W125" s="22" t="str">
        <x:f>"03293846190"</x:f>
        <x:v>03293846190</x:v>
      </x:c>
      <x:c r="X125" s="23" t="str">
        <x:v>alexandregamaoficial@gmail.com</x:v>
      </x:c>
      <x:c r="Y125" s="22" t="str">
        <x:f>"65 99665-4390"</x:f>
        <x:v>65 99665-4390</x:v>
      </x:c>
      <x:c r="Z125" s="30" t="n">
        <x:v>46291</x:v>
      </x:c>
    </x:row>
    <x:row r="126" ht="18" customHeight="1">
      <x:c r="A126" s="22" t="str">
        <x:f>"9fece025-09bb-4447-99a8-856408dae18d"</x:f>
        <x:v>9fece025-09bb-4447-99a8-856408dae18d</x:v>
      </x:c>
      <x:c r="B126" s="23" t="str">
        <x:v>ALEXANDRE AUGUSTO DA SILVA BARROS</x:v>
      </x:c>
      <x:c r="C126" s="23" t="str">
        <x:v>alexandre augusto da silva barros</x:v>
      </x:c>
      <x:c r="D126" s="22" t="str">
        <x:f>"46.935.907/0001-43"</x:f>
        <x:v>46.935.907/0001-43</x:v>
      </x:c>
      <x:c r="E126" s="22" t="str">
        <x:f>"46935907000143"</x:f>
        <x:v>46935907000143</x:v>
      </x:c>
      <x:c r="F126" s="22" t="str">
        <x:f>"142.446.426-92"</x:f>
        <x:v>142.446.426-92</x:v>
      </x:c>
      <x:c r="G126" s="22" t="str">
        <x:f>"14244642692"</x:f>
        <x:v>14244642692</x:v>
      </x:c>
      <x:c r="H126" s="23" t="str">
        <x:v>alexandresilvabarros2017@outlook.com</x:v>
      </x:c>
      <x:c r="I126" s="22" t="str">
        <x:f>"31995286094"</x:f>
        <x:v>31995286094</x:v>
      </x:c>
      <x:c r="J126" s="23" t="str">
        <x:v>SPOT</x:v>
      </x:c>
      <x:c r="K126" s="23" t="str">
        <x:v>favored_only</x:v>
      </x:c>
      <x:c r="L126" s="24" t="b">
        <x:v>1</x:v>
      </x:c>
      <x:c r="M126" s="23" t="n">
        <x:v>1</x:v>
      </x:c>
      <x:c r="N126" s="28" t="n">
        <x:v>46205.606659502315</x:v>
      </x:c>
      <x:c r="O126" s="28" t="n">
        <x:v>46219.812988715275</x:v>
      </x:c>
      <x:c r="P126" s="23" t="str">
        <x:v>CONCEIÇÃO DO MATO DENTRO</x:v>
      </x:c>
      <x:c r="Q126" s="30" t="n">
        <x:v>36173</x:v>
      </x:c>
      <x:c r="R126" s="22" t="str">
        <x:f>"MG-20674513"</x:f>
        <x:v>MG-20674513</x:v>
      </x:c>
      <x:c r="S126" s="23" t="str">
        <x:v>masculino</x:v>
      </x:c>
      <x:c r="T126" s="22" t="str">
        <x:f>"MKN6I37"</x:f>
        <x:v>MKN6I37</x:v>
      </x:c>
      <x:c r="U126" s="23" t="str">
        <x:v>JULIENE VALADARES DA SILVA BARROS</x:v>
      </x:c>
      <x:c r="V126" s="22" t="str">
        <x:f>"876.101.246-72"</x:f>
        <x:v>876.101.246-72</x:v>
      </x:c>
      <x:c r="W126" s="22" t="str">
        <x:f>"87610124672"</x:f>
        <x:v>87610124672</x:v>
      </x:c>
      <x:c r="X126" s="23" t="str">
        <x:v>Julienevaladares@hotmail.com</x:v>
      </x:c>
      <x:c r="Y126" s="22" t="str">
        <x:f>"31981019553"</x:f>
        <x:v>31981019553</x:v>
      </x:c>
      <x:c r="Z126" s="30" t="n">
        <x:v>46368</x:v>
      </x:c>
    </x:row>
    <x:row r="127" ht="18" customHeight="1">
      <x:c r="A127" s="22" t="str">
        <x:f>"125ffbfa-08f8-4e22-9208-c1269b640121"</x:f>
        <x:v>125ffbfa-08f8-4e22-9208-c1269b640121</x:v>
      </x:c>
      <x:c r="B127" s="23" t="str">
        <x:v>ALEXANDRE BRITO MONTEZUMA</x:v>
      </x:c>
      <x:c r="C127" s="23" t="str">
        <x:v>alexandre brito montezuma</x:v>
      </x:c>
      <x:c r="D127" s="22" t="str">
        <x:f>"59.992.921/0001-20"</x:f>
        <x:v>59.992.921/0001-20</x:v>
      </x:c>
      <x:c r="E127" s="22" t="str">
        <x:f>"59992921000120"</x:f>
        <x:v>59992921000120</x:v>
      </x:c>
      <x:c r="F127" s="22" t="str">
        <x:f>"033.755.217-74"</x:f>
        <x:v>033.755.217-74</x:v>
      </x:c>
      <x:c r="G127" s="22" t="str">
        <x:f>"03375521774"</x:f>
        <x:v>03375521774</x:v>
      </x:c>
      <x:c r="H127" s="23" t="str">
        <x:v>alexandrebrito20285@gmail.com</x:v>
      </x:c>
      <x:c r="I127" s="22" t="str">
        <x:f>"21 97046-0455"</x:f>
        <x:v>21 97046-0455</x:v>
      </x:c>
      <x:c r="J127" s="23" t="str">
        <x:v>SPOT</x:v>
      </x:c>
      <x:c r="K127" s="23" t="str">
        <x:v>favored_only</x:v>
      </x:c>
      <x:c r="L127" s="24" t="b">
        <x:v>1</x:v>
      </x:c>
      <x:c r="M127" s="23" t="n">
        <x:v>1</x:v>
      </x:c>
      <x:c r="N127" s="28" t="n">
        <x:v>46219.812988715275</x:v>
      </x:c>
      <x:c r="O127" s="28" t="n">
        <x:v>46219.812988715275</x:v>
      </x:c>
      <x:c r="P127" s="23" t="str">
        <x:v>CORDOVIL</x:v>
      </x:c>
      <x:c r="Q127" s="30" t="n">
        <x:v>27597</x:v>
      </x:c>
      <x:c r="R127" s="22" t="str">
        <x:f>"99228603"</x:f>
        <x:v>99228603</x:v>
      </x:c>
      <x:c r="S127" s="23" t="str">
        <x:v>masculino</x:v>
      </x:c>
      <x:c r="T127" s="22" t="str">
        <x:f>"KPT4408"</x:f>
        <x:v>KPT4408</x:v>
      </x:c>
      <x:c r="U127" s="23" t="str">
        <x:v>ALEXANDRE BRITO MONTEZUMA</x:v>
      </x:c>
      <x:c r="V127" s="22" t="str">
        <x:f>"033.755.217-74"</x:f>
        <x:v>033.755.217-74</x:v>
      </x:c>
      <x:c r="W127" s="22" t="str">
        <x:f>"03375521774"</x:f>
        <x:v>03375521774</x:v>
      </x:c>
      <x:c r="X127" s="23" t="str">
        <x:v>alexandrebrito20285@gmail.com</x:v>
      </x:c>
      <x:c r="Y127" s="22" t="str">
        <x:f>"21 97046-0455"</x:f>
        <x:v>21 97046-0455</x:v>
      </x:c>
      <x:c r="Z127" s="30" t="n">
        <x:v>46450</x:v>
      </x:c>
    </x:row>
    <x:row r="128" ht="18" customHeight="1">
      <x:c r="A128" s="22" t="str">
        <x:f>"38941ca9-4f62-4cfe-aaf7-a4a417e2b023"</x:f>
        <x:v>38941ca9-4f62-4cfe-aaf7-a4a417e2b023</x:v>
      </x:c>
      <x:c r="B128" s="23" t="str">
        <x:v>ALEXANDRE CESARIO TONIETO</x:v>
      </x:c>
      <x:c r="C128" s="23" t="str">
        <x:v>alexandre cesario tonieto</x:v>
      </x:c>
      <x:c r="D128" s="22" t="str">
        <x:f>"40.894.379/0001-45"</x:f>
        <x:v>40.894.379/0001-45</x:v>
      </x:c>
      <x:c r="E128" s="22" t="str">
        <x:f>"40894379000145"</x:f>
        <x:v>40894379000145</x:v>
      </x:c>
      <x:c r="F128" s="22" t="str">
        <x:f>"834.478.576-68"</x:f>
        <x:v>834.478.576-68</x:v>
      </x:c>
      <x:c r="G128" s="22" t="str">
        <x:f>"83447857668"</x:f>
        <x:v>83447857668</x:v>
      </x:c>
      <x:c r="H128" s="23" t="str">
        <x:v>tonieto1970@gmail.com</x:v>
      </x:c>
      <x:c r="I128" s="22" t="str">
        <x:f>"3199316-1001"</x:f>
        <x:v>3199316-1001</x:v>
      </x:c>
      <x:c r="J128" s="23" t="str">
        <x:v>RENTAL</x:v>
      </x:c>
      <x:c r="K128" s="23" t="str">
        <x:v>rental_company</x:v>
      </x:c>
      <x:c r="L128" s="24" t="b">
        <x:v>1</x:v>
      </x:c>
      <x:c r="M128" s="23" t="n">
        <x:v>1</x:v>
      </x:c>
      <x:c r="N128" s="28" t="n">
        <x:v>46203.921824756944</x:v>
      </x:c>
      <x:c r="O128" s="28" t="n">
        <x:v>46219.812988715275</x:v>
      </x:c>
      <x:c r="P128" s="23" t="str">
        <x:v>NOVA LIMA</x:v>
      </x:c>
      <x:c r="Q128" s="30" t="n">
        <x:v>25909</x:v>
      </x:c>
      <x:c r="R128" s="22" t="str">
        <x:f>"7368525"</x:f>
        <x:v>7368525</x:v>
      </x:c>
      <x:c r="S128" s="23" t="str">
        <x:v>masculino</x:v>
      </x:c>
      <x:c r="T128" s="22" t="str"/>
      <x:c r="U128" s="23" t="str">
        <x:v>ALEXANDRE CESARIO TONIETO</x:v>
      </x:c>
      <x:c r="V128" s="22" t="str">
        <x:f>"834.478.576-68"</x:f>
        <x:v>834.478.576-68</x:v>
      </x:c>
      <x:c r="W128" s="22" t="str">
        <x:f>"83447857668"</x:f>
        <x:v>83447857668</x:v>
      </x:c>
      <x:c r="X128" s="23" t="str">
        <x:v>tonieto1970@gmail.com</x:v>
      </x:c>
      <x:c r="Y128" s="22" t="str">
        <x:f>"3199316-1001"</x:f>
        <x:v>3199316-1001</x:v>
      </x:c>
      <x:c r="Z128" s="30" t="n">
        <x:v>46372</x:v>
      </x:c>
    </x:row>
    <x:row r="129" ht="18" customHeight="1">
      <x:c r="A129" s="22" t="str">
        <x:f>"0b65148f-1604-49e0-a574-10c1009b988a"</x:f>
        <x:v>0b65148f-1604-49e0-a574-10c1009b988a</x:v>
      </x:c>
      <x:c r="B129" s="23" t="str">
        <x:v>ALEXANDRE DA COSTA PEREIRA LUGAO</x:v>
      </x:c>
      <x:c r="C129" s="23" t="str">
        <x:v>alexandre da costa pereira lugao</x:v>
      </x:c>
      <x:c r="D129" s="22" t="str">
        <x:f>"62.931.335/0001-80"</x:f>
        <x:v>62.931.335/0001-80</x:v>
      </x:c>
      <x:c r="E129" s="22" t="str">
        <x:f>"62931335000180"</x:f>
        <x:v>62931335000180</x:v>
      </x:c>
      <x:c r="F129" s="22" t="str">
        <x:f>"137.542.687-75"</x:f>
        <x:v>137.542.687-75</x:v>
      </x:c>
      <x:c r="G129" s="22" t="str">
        <x:f>"13754268775"</x:f>
        <x:v>13754268775</x:v>
      </x:c>
      <x:c r="H129" s="23" t="str">
        <x:v>Alexandre.lugao@gmail.com</x:v>
      </x:c>
      <x:c r="I129" s="22" t="str">
        <x:f>"21978947034"</x:f>
        <x:v>21978947034</x:v>
      </x:c>
      <x:c r="J129" s="23" t="str">
        <x:v>SPOT</x:v>
      </x:c>
      <x:c r="K129" s="23" t="str">
        <x:v>favored_only</x:v>
      </x:c>
      <x:c r="L129" s="24" t="b">
        <x:v>1</x:v>
      </x:c>
      <x:c r="M129" s="23" t="n">
        <x:v>1</x:v>
      </x:c>
      <x:c r="N129" s="28" t="n">
        <x:v>46203.9218771875</x:v>
      </x:c>
      <x:c r="O129" s="28" t="n">
        <x:v>46219.812988715275</x:v>
      </x:c>
      <x:c r="P129" s="23" t="str">
        <x:v>QUEIMADOS</x:v>
      </x:c>
      <x:c r="Q129" s="30" t="n">
        <x:v>33534</x:v>
      </x:c>
      <x:c r="R129" s="22" t="str">
        <x:f>"241500354"</x:f>
        <x:v>241500354</x:v>
      </x:c>
      <x:c r="S129" s="23" t="str">
        <x:v>masculino</x:v>
      </x:c>
      <x:c r="T129" s="22" t="str">
        <x:f>"FBC8758"</x:f>
        <x:v>FBC8758</x:v>
      </x:c>
      <x:c r="U129" s="23" t="str">
        <x:v>ALEXANDRE DA COSTA PEREIRA LUGAO</x:v>
      </x:c>
      <x:c r="V129" s="22" t="str">
        <x:f>"137.542.687-75"</x:f>
        <x:v>137.542.687-75</x:v>
      </x:c>
      <x:c r="W129" s="22" t="str">
        <x:f>"13754268775"</x:f>
        <x:v>13754268775</x:v>
      </x:c>
      <x:c r="X129" s="23" t="str">
        <x:v>Alexandre.lugao@gmail.com</x:v>
      </x:c>
      <x:c r="Y129" s="22" t="str">
        <x:f>"21978947034"</x:f>
        <x:v>21978947034</x:v>
      </x:c>
      <x:c r="Z129" s="30" t="n">
        <x:v>46306</x:v>
      </x:c>
    </x:row>
    <x:row r="130" ht="18" customHeight="1">
      <x:c r="A130" s="22" t="str">
        <x:f>"692cbf6b-83fc-453b-acb7-a56336a6603d"</x:f>
        <x:v>692cbf6b-83fc-453b-acb7-a56336a6603d</x:v>
      </x:c>
      <x:c r="B130" s="23" t="str">
        <x:v>ALEXANDRE DA SILVA GIVIGIER</x:v>
      </x:c>
      <x:c r="C130" s="23" t="str">
        <x:v>alexandre da silva givigier</x:v>
      </x:c>
      <x:c r="D130" s="22" t="str">
        <x:f>"61.873.241/0001-30"</x:f>
        <x:v>61.873.241/0001-30</x:v>
      </x:c>
      <x:c r="E130" s="22" t="str">
        <x:f>"61873241000130"</x:f>
        <x:v>61873241000130</x:v>
      </x:c>
      <x:c r="F130" s="22" t="str">
        <x:f>"124.744.127-00"</x:f>
        <x:v>124.744.127-00</x:v>
      </x:c>
      <x:c r="G130" s="22" t="str">
        <x:f>"12474412700"</x:f>
        <x:v>12474412700</x:v>
      </x:c>
      <x:c r="H130" s="23" t="str">
        <x:v>alexandregivigier5@gmail.com</x:v>
      </x:c>
      <x:c r="I130" s="22" t="str">
        <x:f>"22997076041"</x:f>
        <x:v>22997076041</x:v>
      </x:c>
      <x:c r="J130" s="23" t="str">
        <x:v>SPOT</x:v>
      </x:c>
      <x:c r="K130" s="23" t="str">
        <x:v>favored_only</x:v>
      </x:c>
      <x:c r="L130" s="24" t="b">
        <x:v>1</x:v>
      </x:c>
      <x:c r="M130" s="23" t="n">
        <x:v>4</x:v>
      </x:c>
      <x:c r="N130" s="28" t="n">
        <x:v>46203.921858726855</x:v>
      </x:c>
      <x:c r="O130" s="28" t="n">
        <x:v>46203.921858726855</x:v>
      </x:c>
      <x:c r="P130" s="23" t="str"/>
      <x:c r="Q130" s="30" t="str"/>
      <x:c r="R130" s="22" t="str"/>
      <x:c r="S130" s="23" t="str"/>
      <x:c r="T130" s="22" t="str"/>
      <x:c r="U130" s="23" t="str">
        <x:v>ALEXANDRE DA SILVA GIVIGIER</x:v>
      </x:c>
      <x:c r="V130" s="22" t="str">
        <x:f>"124.744.127-00"</x:f>
        <x:v>124.744.127-00</x:v>
      </x:c>
      <x:c r="W130" s="22" t="str">
        <x:f>"12474412700"</x:f>
        <x:v>12474412700</x:v>
      </x:c>
      <x:c r="X130" s="23" t="str">
        <x:v>ALEXANDREGIVIGIER5@GMAIL.COM</x:v>
      </x:c>
      <x:c r="Y130" s="22" t="str">
        <x:f>"22 997076041"</x:f>
        <x:v>22 997076041</x:v>
      </x:c>
      <x:c r="Z130" s="30" t="str"/>
    </x:row>
    <x:row r="131" ht="18" customHeight="1">
      <x:c r="A131" s="22" t="str">
        <x:f>"3d6b28cd-5b86-4925-95bc-c9734d832d4f"</x:f>
        <x:v>3d6b28cd-5b86-4925-95bc-c9734d832d4f</x:v>
      </x:c>
      <x:c r="B131" s="23" t="str">
        <x:v>ALEXANDRE DA SILVEIRA</x:v>
      </x:c>
      <x:c r="C131" s="23" t="str">
        <x:v>alexandre da silveira</x:v>
      </x:c>
      <x:c r="D131" s="22" t="str">
        <x:f>"64.724.763/0001-68"</x:f>
        <x:v>64.724.763/0001-68</x:v>
      </x:c>
      <x:c r="E131" s="22" t="str">
        <x:f>"64724763000168"</x:f>
        <x:v>64724763000168</x:v>
      </x:c>
      <x:c r="F131" s="22" t="str">
        <x:f>"133.283.236-94"</x:f>
        <x:v>133.283.236-94</x:v>
      </x:c>
      <x:c r="G131" s="22" t="str">
        <x:f>"13328323694"</x:f>
        <x:v>13328323694</x:v>
      </x:c>
      <x:c r="H131" s="23" t="str">
        <x:v>alexandresilveiram1@gmail.com</x:v>
      </x:c>
      <x:c r="I131" s="22" t="str">
        <x:f>"31991536581"</x:f>
        <x:v>31991536581</x:v>
      </x:c>
      <x:c r="J131" s="23" t="str">
        <x:v>RENTALS</x:v>
      </x:c>
      <x:c r="K131" s="23" t="str">
        <x:v>rental_company</x:v>
      </x:c>
      <x:c r="L131" s="24" t="b">
        <x:v>1</x:v>
      </x:c>
      <x:c r="M131" s="23" t="n">
        <x:v>1</x:v>
      </x:c>
      <x:c r="N131" s="28" t="n">
        <x:v>46219.812988715275</x:v>
      </x:c>
      <x:c r="O131" s="28" t="n">
        <x:v>46219.812988715275</x:v>
      </x:c>
      <x:c r="P131" s="23" t="str">
        <x:v>CONTAGEM</x:v>
      </x:c>
      <x:c r="Q131" s="30" t="n">
        <x:v>35339</x:v>
      </x:c>
      <x:c r="R131" s="22" t="str">
        <x:f>"17350468"</x:f>
        <x:v>17350468</x:v>
      </x:c>
      <x:c r="S131" s="23" t="str">
        <x:v>masculino</x:v>
      </x:c>
      <x:c r="T131" s="22" t="str"/>
      <x:c r="U131" s="23" t="str">
        <x:v>ALEXANDRE DA SILVEIRA</x:v>
      </x:c>
      <x:c r="V131" s="22" t="str">
        <x:f>"133.283.236-94"</x:f>
        <x:v>133.283.236-94</x:v>
      </x:c>
      <x:c r="W131" s="22" t="str">
        <x:f>"13328323694"</x:f>
        <x:v>13328323694</x:v>
      </x:c>
      <x:c r="X131" s="23" t="str">
        <x:v>alexandresilveiram1@gmail.com</x:v>
      </x:c>
      <x:c r="Y131" s="22" t="str">
        <x:f>"31991536581"</x:f>
        <x:v>31991536581</x:v>
      </x:c>
      <x:c r="Z131" s="30" t="n">
        <x:v>46487</x:v>
      </x:c>
    </x:row>
    <x:row r="132" ht="18" customHeight="1">
      <x:c r="A132" s="22" t="str">
        <x:f>"fcf8b29a-003e-456d-9a66-85c4c867db3f"</x:f>
        <x:v>fcf8b29a-003e-456d-9a66-85c4c867db3f</x:v>
      </x:c>
      <x:c r="B132" s="23" t="str">
        <x:v>ALEXANDRE DA SILVEIRA</x:v>
      </x:c>
      <x:c r="C132" s="23" t="str">
        <x:v>alexandre da silveira</x:v>
      </x:c>
      <x:c r="D132" s="22" t="str">
        <x:f>"67.587.132/0001-32"</x:f>
        <x:v>67.587.132/0001-32</x:v>
      </x:c>
      <x:c r="E132" s="22" t="str">
        <x:f>"67587132000132"</x:f>
        <x:v>67587132000132</x:v>
      </x:c>
      <x:c r="F132" s="22" t="str">
        <x:f>"133.283.236-94"</x:f>
        <x:v>133.283.236-94</x:v>
      </x:c>
      <x:c r="G132" s="22" t="str">
        <x:f>"13328323694"</x:f>
        <x:v>13328323694</x:v>
      </x:c>
      <x:c r="H132" s="23" t="str">
        <x:v>alexandresilveiram1@gmail.com</x:v>
      </x:c>
      <x:c r="I132" s="22" t="str">
        <x:f>"31991536581"</x:f>
        <x:v>31991536581</x:v>
      </x:c>
      <x:c r="J132" s="23" t="str">
        <x:v>RENTAL</x:v>
      </x:c>
      <x:c r="K132" s="23" t="str">
        <x:v>rental_company</x:v>
      </x:c>
      <x:c r="L132" s="24" t="b">
        <x:v>1</x:v>
      </x:c>
      <x:c r="M132" s="23" t="n">
        <x:v>1</x:v>
      </x:c>
      <x:c r="N132" s="28" t="n">
        <x:v>46219.812988715275</x:v>
      </x:c>
      <x:c r="O132" s="28" t="n">
        <x:v>46219.812988715275</x:v>
      </x:c>
      <x:c r="P132" s="23" t="str">
        <x:v>NOVA LIMA</x:v>
      </x:c>
      <x:c r="Q132" s="30" t="n">
        <x:v>35339</x:v>
      </x:c>
      <x:c r="R132" s="22" t="str">
        <x:f>"17350468"</x:f>
        <x:v>17350468</x:v>
      </x:c>
      <x:c r="S132" s="23" t="str">
        <x:v>masculino</x:v>
      </x:c>
      <x:c r="T132" s="22" t="str"/>
      <x:c r="U132" s="23" t="str">
        <x:v>ALEXANDRE DA SILVEIRA</x:v>
      </x:c>
      <x:c r="V132" s="22" t="str">
        <x:f>"133.283.236-94"</x:f>
        <x:v>133.283.236-94</x:v>
      </x:c>
      <x:c r="W132" s="22" t="str">
        <x:f>"13328323694"</x:f>
        <x:v>13328323694</x:v>
      </x:c>
      <x:c r="X132" s="23" t="str">
        <x:v>alexandresilveiram1@gmail.com</x:v>
      </x:c>
      <x:c r="Y132" s="22" t="str">
        <x:f>"31991536581"</x:f>
        <x:v>31991536581</x:v>
      </x:c>
      <x:c r="Z132" s="30" t="n">
        <x:v>46571</x:v>
      </x:c>
    </x:row>
    <x:row r="133" ht="18" customHeight="1">
      <x:c r="A133" s="22" t="str">
        <x:f>"79c435c8-73ed-4c6b-80c1-623c7c43d6aa"</x:f>
        <x:v>79c435c8-73ed-4c6b-80c1-623c7c43d6aa</x:v>
      </x:c>
      <x:c r="B133" s="23" t="str">
        <x:v>ALEXANDRE DE ALMEIDA SANTOS</x:v>
      </x:c>
      <x:c r="C133" s="23" t="str">
        <x:v>alexandre de almeida santos</x:v>
      </x:c>
      <x:c r="D133" s="22" t="str">
        <x:f>"37.823.997/0001-90"</x:f>
        <x:v>37.823.997/0001-90</x:v>
      </x:c>
      <x:c r="E133" s="22" t="str">
        <x:f>"37823997000190"</x:f>
        <x:v>37823997000190</x:v>
      </x:c>
      <x:c r="F133" s="22" t="str">
        <x:f>"137.057.488-66"</x:f>
        <x:v>137.057.488-66</x:v>
      </x:c>
      <x:c r="G133" s="22" t="str">
        <x:f>"13705748866"</x:f>
        <x:v>13705748866</x:v>
      </x:c>
      <x:c r="H133" s="23" t="str">
        <x:v>alexandrealmeidasantos6231@gmail.com</x:v>
      </x:c>
      <x:c r="I133" s="22" t="str">
        <x:f>"(18) 99747-7386"</x:f>
        <x:v>(18) 99747-7386</x:v>
      </x:c>
      <x:c r="J133" s="23" t="str">
        <x:v>SPOT</x:v>
      </x:c>
      <x:c r="K133" s="23" t="str">
        <x:v>favored_only</x:v>
      </x:c>
      <x:c r="L133" s="24" t="b">
        <x:v>1</x:v>
      </x:c>
      <x:c r="M133" s="23" t="n">
        <x:v>1</x:v>
      </x:c>
      <x:c r="N133" s="28" t="n">
        <x:v>46219.812988715275</x:v>
      </x:c>
      <x:c r="O133" s="28" t="n">
        <x:v>46219.812988715275</x:v>
      </x:c>
      <x:c r="P133" s="23" t="str">
        <x:v>CHAPADÃO DO SUL</x:v>
      </x:c>
      <x:c r="Q133" s="30" t="n">
        <x:v>27930</x:v>
      </x:c>
      <x:c r="R133" s="22" t="str">
        <x:f>"24264806"</x:f>
        <x:v>24264806</x:v>
      </x:c>
      <x:c r="S133" s="23" t="str">
        <x:v>masculino</x:v>
      </x:c>
      <x:c r="T133" s="22" t="str">
        <x:f>"EPI8J24"</x:f>
        <x:v>EPI8J24</x:v>
      </x:c>
      <x:c r="U133" s="23" t="str">
        <x:v>RODOPRIME TRANSPORTES E CARGAS LTDA</x:v>
      </x:c>
      <x:c r="V133" s="22" t="str">
        <x:f>"962.005.291-91"</x:f>
        <x:v>962.005.291-91</x:v>
      </x:c>
      <x:c r="W133" s="22" t="str">
        <x:f>"96200529191"</x:f>
        <x:v>96200529191</x:v>
      </x:c>
      <x:c r="X133" s="23" t="str">
        <x:v>rtp.cargas@gmail.com</x:v>
      </x:c>
      <x:c r="Y133" s="22" t="str">
        <x:f>"62991277279"</x:f>
        <x:v>62991277279</x:v>
      </x:c>
      <x:c r="Z133" s="30" t="n">
        <x:v>46451</x:v>
      </x:c>
    </x:row>
    <x:row r="134" ht="18" customHeight="1">
      <x:c r="A134" s="22" t="str">
        <x:f>"331ec622-9a2e-46eb-bde3-59d528bb954a"</x:f>
        <x:v>331ec622-9a2e-46eb-bde3-59d528bb954a</x:v>
      </x:c>
      <x:c r="B134" s="23" t="str">
        <x:v>ALEXANDRE DE SOUSA CARDOSO</x:v>
      </x:c>
      <x:c r="C134" s="23" t="str">
        <x:v>alexandre de sousa cardoso</x:v>
      </x:c>
      <x:c r="D134" s="22" t="str">
        <x:f>"57.572.063/0001-30"</x:f>
        <x:v>57.572.063/0001-30</x:v>
      </x:c>
      <x:c r="E134" s="22" t="str">
        <x:f>"57572063000130"</x:f>
        <x:v>57572063000130</x:v>
      </x:c>
      <x:c r="F134" s="22" t="str">
        <x:f>"000.617.041-21"</x:f>
        <x:v>000.617.041-21</x:v>
      </x:c>
      <x:c r="G134" s="22" t="str">
        <x:f>"00061704121"</x:f>
        <x:v>00061704121</x:v>
      </x:c>
      <x:c r="H134" s="23" t="str">
        <x:v>alexsousa.editor@gmail.com</x:v>
      </x:c>
      <x:c r="I134" s="22" t="str">
        <x:f>"62991613932"</x:f>
        <x:v>62991613932</x:v>
      </x:c>
      <x:c r="J134" s="23" t="str">
        <x:v>SPOT</x:v>
      </x:c>
      <x:c r="K134" s="23" t="str">
        <x:v>favored_only</x:v>
      </x:c>
      <x:c r="L134" s="24" t="b">
        <x:v>1</x:v>
      </x:c>
      <x:c r="M134" s="23" t="n">
        <x:v>1</x:v>
      </x:c>
      <x:c r="N134" s="28" t="n">
        <x:v>46219.812988715275</x:v>
      </x:c>
      <x:c r="O134" s="28" t="n">
        <x:v>46219.812988715275</x:v>
      </x:c>
      <x:c r="P134" s="23" t="str">
        <x:v>GOIANIA</x:v>
      </x:c>
      <x:c r="Q134" s="30" t="n">
        <x:v>30973</x:v>
      </x:c>
      <x:c r="R134" s="22" t="str">
        <x:f>"4480295"</x:f>
        <x:v>4480295</x:v>
      </x:c>
      <x:c r="S134" s="23" t="str">
        <x:v>masculino</x:v>
      </x:c>
      <x:c r="T134" s="22" t="str">
        <x:f>"PRU8J46"</x:f>
        <x:v>PRU8J46</x:v>
      </x:c>
      <x:c r="U134" s="23" t="str">
        <x:v>ALEXANDRE DE SOUSA CARDOSO</x:v>
      </x:c>
      <x:c r="V134" s="22" t="str">
        <x:f>"000.617.041-21"</x:f>
        <x:v>000.617.041-21</x:v>
      </x:c>
      <x:c r="W134" s="22" t="str">
        <x:f>"00061704121"</x:f>
        <x:v>00061704121</x:v>
      </x:c>
      <x:c r="X134" s="23" t="str">
        <x:v>alexsousa.editor@gmail.com</x:v>
      </x:c>
      <x:c r="Y134" s="22" t="str">
        <x:f>"62991613932"</x:f>
        <x:v>62991613932</x:v>
      </x:c>
      <x:c r="Z134" s="30" t="n">
        <x:v>46420</x:v>
      </x:c>
    </x:row>
    <x:row r="135" ht="18" customHeight="1">
      <x:c r="A135" s="22" t="str">
        <x:f>"3f779da5-c77e-4616-9322-e162aa2d4867"</x:f>
        <x:v>3f779da5-c77e-4616-9322-e162aa2d4867</x:v>
      </x:c>
      <x:c r="B135" s="23" t="str">
        <x:v>ALEXANDRE DE SOUSA CARDOSO</x:v>
      </x:c>
      <x:c r="C135" s="23" t="str">
        <x:v>alexandre de sousa cardoso</x:v>
      </x:c>
      <x:c r="D135" s="22" t="str">
        <x:f>"37.823.997/0001-90"</x:f>
        <x:v>37.823.997/0001-90</x:v>
      </x:c>
      <x:c r="E135" s="22" t="str">
        <x:f>"37823997000190"</x:f>
        <x:v>37823997000190</x:v>
      </x:c>
      <x:c r="F135" s="22" t="str">
        <x:f>"000.617.041-21"</x:f>
        <x:v>000.617.041-21</x:v>
      </x:c>
      <x:c r="G135" s="22" t="str">
        <x:f>"00061704121"</x:f>
        <x:v>00061704121</x:v>
      </x:c>
      <x:c r="H135" s="23" t="str">
        <x:v>alexsousa.editor@gmail.com</x:v>
      </x:c>
      <x:c r="I135" s="22" t="str">
        <x:f>"62 99161-3932"</x:f>
        <x:v>62 99161-3932</x:v>
      </x:c>
      <x:c r="J135" s="23" t="str">
        <x:v>SPOT</x:v>
      </x:c>
      <x:c r="K135" s="23" t="str">
        <x:v>favored_only</x:v>
      </x:c>
      <x:c r="L135" s="24" t="b">
        <x:v>1</x:v>
      </x:c>
      <x:c r="M135" s="23" t="n">
        <x:v>1</x:v>
      </x:c>
      <x:c r="N135" s="28" t="n">
        <x:v>46205.60193365741</x:v>
      </x:c>
      <x:c r="O135" s="28" t="n">
        <x:v>46219.812988715275</x:v>
      </x:c>
      <x:c r="P135" s="23" t="str">
        <x:v>GOIANIA</x:v>
      </x:c>
      <x:c r="Q135" s="30" t="n">
        <x:v>30973</x:v>
      </x:c>
      <x:c r="R135" s="22" t="str">
        <x:f>"4480295"</x:f>
        <x:v>4480295</x:v>
      </x:c>
      <x:c r="S135" s="23" t="str">
        <x:v>masculino</x:v>
      </x:c>
      <x:c r="T135" s="22" t="str">
        <x:f>"PRU8J46"</x:f>
        <x:v>PRU8J46</x:v>
      </x:c>
      <x:c r="U135" s="23" t="str">
        <x:v>DANILLO BACIEL ALMEIDA</x:v>
      </x:c>
      <x:c r="V135" s="22" t="str">
        <x:f>"962.005.291-91"</x:f>
        <x:v>962.005.291-91</x:v>
      </x:c>
      <x:c r="W135" s="22" t="str">
        <x:f>"96200529191"</x:f>
        <x:v>96200529191</x:v>
      </x:c>
      <x:c r="X135" s="23" t="str">
        <x:v>rpt.cargas@gmail.com</x:v>
      </x:c>
      <x:c r="Y135" s="22" t="str">
        <x:f>"62 996610607"</x:f>
        <x:v>62 996610607</x:v>
      </x:c>
      <x:c r="Z135" s="30" t="n">
        <x:v>46529</x:v>
      </x:c>
    </x:row>
    <x:row r="136" ht="18" customHeight="1">
      <x:c r="A136" s="22" t="str">
        <x:f>"18ec3e5b-893e-4b99-b981-3534dcc4ca36"</x:f>
        <x:v>18ec3e5b-893e-4b99-b981-3534dcc4ca36</x:v>
      </x:c>
      <x:c r="B136" s="23" t="str">
        <x:v>ALEXANDRE DE SOUZA DIAS</x:v>
      </x:c>
      <x:c r="C136" s="23" t="str">
        <x:v>alexandre de souza dias</x:v>
      </x:c>
      <x:c r="D136" s="22" t="str">
        <x:f>"37.328.372/0001-51"</x:f>
        <x:v>37.328.372/0001-51</x:v>
      </x:c>
      <x:c r="E136" s="22" t="str">
        <x:f>"37328372000151"</x:f>
        <x:v>37328372000151</x:v>
      </x:c>
      <x:c r="F136" s="22" t="str">
        <x:f>"323.423.348-93"</x:f>
        <x:v>323.423.348-93</x:v>
      </x:c>
      <x:c r="G136" s="22" t="str">
        <x:f>"32342334893"</x:f>
        <x:v>32342334893</x:v>
      </x:c>
      <x:c r="H136" s="23" t="str">
        <x:v>alexandresouza1883@gmail.com</x:v>
      </x:c>
      <x:c r="I136" s="22" t="str">
        <x:f>"11997486198"</x:f>
        <x:v>11997486198</x:v>
      </x:c>
      <x:c r="J136" s="23" t="str">
        <x:v>SPOT</x:v>
      </x:c>
      <x:c r="K136" s="23" t="str">
        <x:v>favored_only</x:v>
      </x:c>
      <x:c r="L136" s="24" t="b">
        <x:v>1</x:v>
      </x:c>
      <x:c r="M136" s="23" t="n">
        <x:v>1</x:v>
      </x:c>
      <x:c r="N136" s="28" t="n">
        <x:v>46219.812988715275</x:v>
      </x:c>
      <x:c r="O136" s="28" t="n">
        <x:v>46219.812988715275</x:v>
      </x:c>
      <x:c r="P136" s="23" t="str">
        <x:v>BARUERI</x:v>
      </x:c>
      <x:c r="Q136" s="30" t="n">
        <x:v>30882</x:v>
      </x:c>
      <x:c r="R136" s="22" t="str">
        <x:f>"45180976 2"</x:f>
        <x:v>45180976 2</x:v>
      </x:c>
      <x:c r="S136" s="23" t="str">
        <x:v>masculino</x:v>
      </x:c>
      <x:c r="T136" s="22" t="str">
        <x:f>"CUA1A40"</x:f>
        <x:v>CUA1A40</x:v>
      </x:c>
      <x:c r="U136" s="23" t="str">
        <x:v>ALEXANDRE DE SOUZA DIAS</x:v>
      </x:c>
      <x:c r="V136" s="22" t="str">
        <x:f>"323.423.348-93"</x:f>
        <x:v>323.423.348-93</x:v>
      </x:c>
      <x:c r="W136" s="22" t="str">
        <x:f>"32342334893"</x:f>
        <x:v>32342334893</x:v>
      </x:c>
      <x:c r="X136" s="23" t="str">
        <x:v>alexandresouza1883@gmail.com</x:v>
      </x:c>
      <x:c r="Y136" s="22" t="str">
        <x:f>"11997486198"</x:f>
        <x:v>11997486198</x:v>
      </x:c>
      <x:c r="Z136" s="30" t="n">
        <x:v>46465</x:v>
      </x:c>
    </x:row>
    <x:row r="137" ht="18" customHeight="1">
      <x:c r="A137" s="22" t="str">
        <x:f>"117cc80f-0966-4692-9dd7-07fdd8bf0c6d"</x:f>
        <x:v>117cc80f-0966-4692-9dd7-07fdd8bf0c6d</x:v>
      </x:c>
      <x:c r="B137" s="23" t="str">
        <x:v>ALEXANDRE FARIAS DE JESUS</x:v>
      </x:c>
      <x:c r="C137" s="23" t="str">
        <x:v>alexandre farias de jesus</x:v>
      </x:c>
      <x:c r="D137" s="22" t="str">
        <x:f>"27.507.499/0001-84"</x:f>
        <x:v>27.507.499/0001-84</x:v>
      </x:c>
      <x:c r="E137" s="22" t="str">
        <x:f>"27507499000184"</x:f>
        <x:v>27507499000184</x:v>
      </x:c>
      <x:c r="F137" s="22" t="str">
        <x:f>"055.517.561-81"</x:f>
        <x:v>055.517.561-81</x:v>
      </x:c>
      <x:c r="G137" s="22" t="str">
        <x:f>"05551756181"</x:f>
        <x:v>05551756181</x:v>
      </x:c>
      <x:c r="H137" s="23" t="str">
        <x:v>alexandrefarias000@gmail.com</x:v>
      </x:c>
      <x:c r="I137" s="22" t="str">
        <x:f>"62 9 85309539"</x:f>
        <x:v>62 9 85309539</x:v>
      </x:c>
      <x:c r="J137" s="23" t="str">
        <x:v>SPOT</x:v>
      </x:c>
      <x:c r="K137" s="23" t="str">
        <x:v>favored_only</x:v>
      </x:c>
      <x:c r="L137" s="24" t="b">
        <x:v>1</x:v>
      </x:c>
      <x:c r="M137" s="23" t="n">
        <x:v>1</x:v>
      </x:c>
      <x:c r="N137" s="28" t="n">
        <x:v>46205.603063194445</x:v>
      </x:c>
      <x:c r="O137" s="28" t="n">
        <x:v>46219.812988715275</x:v>
      </x:c>
      <x:c r="P137" s="23" t="str">
        <x:v>MOZARLANDIA</x:v>
      </x:c>
      <x:c r="Q137" s="30" t="n">
        <x:v>35612</x:v>
      </x:c>
      <x:c r="R137" s="22" t="str">
        <x:f>"6216520"</x:f>
        <x:v>6216520</x:v>
      </x:c>
      <x:c r="S137" s="23" t="str">
        <x:v>masculino</x:v>
      </x:c>
      <x:c r="T137" s="22" t="str">
        <x:f>"RNI9J35"</x:f>
        <x:v>RNI9J35</x:v>
      </x:c>
      <x:c r="U137" s="23" t="str">
        <x:v>EDUARDO LUCAS SILVA CAMELO</x:v>
      </x:c>
      <x:c r="V137" s="22" t="str">
        <x:f>"047.616.391-99"</x:f>
        <x:v>047.616.391-99</x:v>
      </x:c>
      <x:c r="W137" s="22" t="str">
        <x:f>"04761639199"</x:f>
        <x:v>04761639199</x:v>
      </x:c>
      <x:c r="X137" s="23" t="str">
        <x:v>educamelo2010@gmail.com</x:v>
      </x:c>
      <x:c r="Y137" s="22" t="str">
        <x:f>"62 9 8403-3674"</x:f>
        <x:v>62 9 8403-3674</x:v>
      </x:c>
      <x:c r="Z137" s="30" t="n">
        <x:v>46516</x:v>
      </x:c>
    </x:row>
    <x:row r="138" ht="18" customHeight="1">
      <x:c r="A138" s="22" t="str">
        <x:f>"e709ea9d-c2fc-4dda-8b28-25ad0a0158c2"</x:f>
        <x:v>e709ea9d-c2fc-4dda-8b28-25ad0a0158c2</x:v>
      </x:c>
      <x:c r="B138" s="23" t="str">
        <x:v>ALEXANDRE FERNANDES VELOSO</x:v>
      </x:c>
      <x:c r="C138" s="23" t="str">
        <x:v>alexandre fernandes veloso</x:v>
      </x:c>
      <x:c r="D138" s="22" t="str">
        <x:f>"66.447.303/0001-08"</x:f>
        <x:v>66.447.303/0001-08</x:v>
      </x:c>
      <x:c r="E138" s="22" t="str">
        <x:f>"66447303000108"</x:f>
        <x:v>66447303000108</x:v>
      </x:c>
      <x:c r="F138" s="22" t="str">
        <x:f>"704.448.861-76"</x:f>
        <x:v>704.448.861-76</x:v>
      </x:c>
      <x:c r="G138" s="22" t="str">
        <x:f>"70444886176"</x:f>
        <x:v>70444886176</x:v>
      </x:c>
      <x:c r="H138" s="23" t="str">
        <x:v>alexandreveloso9988@gmail.com</x:v>
      </x:c>
      <x:c r="I138" s="22" t="str">
        <x:f>"‪‬65999098771"</x:f>
        <x:v>‪‬65999098771</x:v>
      </x:c>
      <x:c r="J138" s="23" t="str">
        <x:v>SPOT</x:v>
      </x:c>
      <x:c r="K138" s="23" t="str">
        <x:v>favored_only</x:v>
      </x:c>
      <x:c r="L138" s="24" t="b">
        <x:v>1</x:v>
      </x:c>
      <x:c r="M138" s="23" t="n">
        <x:v>1</x:v>
      </x:c>
      <x:c r="N138" s="28" t="n">
        <x:v>46219.812988715275</x:v>
      </x:c>
      <x:c r="O138" s="28" t="n">
        <x:v>46219.812988715275</x:v>
      </x:c>
      <x:c r="P138" s="23" t="str">
        <x:v>CÁCERES</x:v>
      </x:c>
      <x:c r="Q138" s="30" t="n">
        <x:v>36123</x:v>
      </x:c>
      <x:c r="R138" s="22" t="str">
        <x:f>"6451647"</x:f>
        <x:v>6451647</x:v>
      </x:c>
      <x:c r="S138" s="23" t="str">
        <x:v>masculino</x:v>
      </x:c>
      <x:c r="T138" s="22" t="str">
        <x:f>"OBC7F20"</x:f>
        <x:v>OBC7F20</x:v>
      </x:c>
      <x:c r="U138" s="23" t="str">
        <x:v>ALEXANDRE FERNANDES VELOSO</x:v>
      </x:c>
      <x:c r="V138" s="22" t="str">
        <x:f>"704.448.861-76"</x:f>
        <x:v>704.448.861-76</x:v>
      </x:c>
      <x:c r="W138" s="22" t="str">
        <x:f>"70444886176"</x:f>
        <x:v>70444886176</x:v>
      </x:c>
      <x:c r="X138" s="23" t="str">
        <x:v>alexandreveloso9988@gmail.com</x:v>
      </x:c>
      <x:c r="Y138" s="22" t="str">
        <x:f>"65999098771"</x:f>
        <x:v>65999098771</x:v>
      </x:c>
      <x:c r="Z138" s="30" t="n">
        <x:v>46511</x:v>
      </x:c>
    </x:row>
    <x:row r="139" ht="18" customHeight="1">
      <x:c r="A139" s="22" t="str">
        <x:f>"02ec4b97-452e-499a-ba16-ba6432d40b7c"</x:f>
        <x:v>02ec4b97-452e-499a-ba16-ba6432d40b7c</x:v>
      </x:c>
      <x:c r="B139" s="23" t="str">
        <x:v>ALEXANDRE LEANDRO DA SIVA</x:v>
      </x:c>
      <x:c r="C139" s="23" t="str">
        <x:v>alexandre leandro da siva</x:v>
      </x:c>
      <x:c r="D139" s="22" t="str">
        <x:f>"57.946.950/0001-20"</x:f>
        <x:v>57.946.950/0001-20</x:v>
      </x:c>
      <x:c r="E139" s="22" t="str">
        <x:f>"57946950000120"</x:f>
        <x:v>57946950000120</x:v>
      </x:c>
      <x:c r="F139" s="22" t="str">
        <x:f>"117.432.526-76"</x:f>
        <x:v>117.432.526-76</x:v>
      </x:c>
      <x:c r="G139" s="22" t="str">
        <x:f>"11743252676"</x:f>
        <x:v>11743252676</x:v>
      </x:c>
      <x:c r="H139" s="23" t="str">
        <x:v>alexandred020@hotmail.com</x:v>
      </x:c>
      <x:c r="I139" s="22" t="str">
        <x:f>"31982563257"</x:f>
        <x:v>31982563257</x:v>
      </x:c>
      <x:c r="J139" s="23" t="str">
        <x:v>SPOT</x:v>
      </x:c>
      <x:c r="K139" s="23" t="str">
        <x:v>favored_only</x:v>
      </x:c>
      <x:c r="L139" s="24" t="b">
        <x:v>1</x:v>
      </x:c>
      <x:c r="M139" s="23" t="n">
        <x:v>1</x:v>
      </x:c>
      <x:c r="N139" s="28" t="n">
        <x:v>46219.812988715275</x:v>
      </x:c>
      <x:c r="O139" s="28" t="n">
        <x:v>46219.812988715275</x:v>
      </x:c>
      <x:c r="P139" s="23" t="str">
        <x:v>CONCEIÇÃO DO MATO DENTRO</x:v>
      </x:c>
      <x:c r="Q139" s="30" t="n">
        <x:v>32688</x:v>
      </x:c>
      <x:c r="R139" s="22" t="str">
        <x:f>"MG18604552"</x:f>
        <x:v>MG18604552</x:v>
      </x:c>
      <x:c r="S139" s="23" t="str">
        <x:v>masculino</x:v>
      </x:c>
      <x:c r="T139" s="22" t="str">
        <x:f>"MSQ3H95"</x:f>
        <x:v>MSQ3H95</x:v>
      </x:c>
      <x:c r="U139" s="23" t="str">
        <x:v>FILIPI JESUS DE ASSIS</x:v>
      </x:c>
      <x:c r="V139" s="22" t="str">
        <x:f>"135.092.436-92"</x:f>
        <x:v>135.092.436-92</x:v>
      </x:c>
      <x:c r="W139" s="22" t="str">
        <x:f>"13509243692"</x:f>
        <x:v>13509243692</x:v>
      </x:c>
      <x:c r="X139" s="23" t="str">
        <x:v>filipijesus374@gmail.com</x:v>
      </x:c>
      <x:c r="Y139" s="22" t="str">
        <x:f>"31984413796"</x:f>
        <x:v>31984413796</x:v>
      </x:c>
      <x:c r="Z139" s="30" t="n">
        <x:v>46471</x:v>
      </x:c>
    </x:row>
    <x:row r="140" ht="18" customHeight="1">
      <x:c r="A140" s="22" t="str">
        <x:f>"abdf19b4-6e90-4fa6-badb-62187f64537d"</x:f>
        <x:v>abdf19b4-6e90-4fa6-badb-62187f64537d</x:v>
      </x:c>
      <x:c r="B140" s="23" t="str">
        <x:v>ALEXANDRE LUIZ ROSA</x:v>
      </x:c>
      <x:c r="C140" s="23" t="str">
        <x:v>alexandre luiz rosa</x:v>
      </x:c>
      <x:c r="D140" s="22" t="str">
        <x:f>"64.892.252/0001-55"</x:f>
        <x:v>64.892.252/0001-55</x:v>
      </x:c>
      <x:c r="E140" s="22" t="str">
        <x:f>"64892252000155"</x:f>
        <x:v>64892252000155</x:v>
      </x:c>
      <x:c r="F140" s="22" t="str">
        <x:f>"070.428.858-30"</x:f>
        <x:v>070.428.858-30</x:v>
      </x:c>
      <x:c r="G140" s="22" t="str">
        <x:f>"07042885830"</x:f>
        <x:v>07042885830</x:v>
      </x:c>
      <x:c r="H140" s="23" t="str">
        <x:v>aluizrosa52@gmail.com</x:v>
      </x:c>
      <x:c r="I140" s="22" t="str">
        <x:f>"17 98814-5260"</x:f>
        <x:v>17 98814-5260</x:v>
      </x:c>
      <x:c r="J140" s="23" t="str">
        <x:v>SPOT</x:v>
      </x:c>
      <x:c r="K140" s="23" t="str">
        <x:v>favored_only</x:v>
      </x:c>
      <x:c r="L140" s="24" t="b">
        <x:v>1</x:v>
      </x:c>
      <x:c r="M140" s="23" t="n">
        <x:v>1</x:v>
      </x:c>
      <x:c r="N140" s="28" t="n">
        <x:v>46219.812988715275</x:v>
      </x:c>
      <x:c r="O140" s="28" t="n">
        <x:v>46219.812988715275</x:v>
      </x:c>
      <x:c r="P140" s="23" t="str">
        <x:v>SÃO JOSE DO RIO PRETO</x:v>
      </x:c>
      <x:c r="Q140" s="30" t="n">
        <x:v>26606</x:v>
      </x:c>
      <x:c r="R140" s="22" t="str">
        <x:f>"24343049"</x:f>
        <x:v>24343049</x:v>
      </x:c>
      <x:c r="S140" s="23" t="str">
        <x:v>masculino</x:v>
      </x:c>
      <x:c r="T140" s="22" t="str">
        <x:f>"EAQ4201"</x:f>
        <x:v>EAQ4201</x:v>
      </x:c>
      <x:c r="U140" s="23" t="str">
        <x:v>ALEXANDRE LUIZ ROSA</x:v>
      </x:c>
      <x:c r="V140" s="22" t="str">
        <x:f>"070.428.858-30"</x:f>
        <x:v>070.428.858-30</x:v>
      </x:c>
      <x:c r="W140" s="22" t="str">
        <x:f>"07042885830"</x:f>
        <x:v>07042885830</x:v>
      </x:c>
      <x:c r="X140" s="23" t="str">
        <x:v>aluizrosa52@gmail.com</x:v>
      </x:c>
      <x:c r="Y140" s="22" t="str">
        <x:f>"17 98814-5260"</x:f>
        <x:v>17 98814-5260</x:v>
      </x:c>
      <x:c r="Z140" s="30" t="n">
        <x:v>46421</x:v>
      </x:c>
    </x:row>
    <x:row r="141" ht="18" customHeight="1">
      <x:c r="A141" s="22" t="str">
        <x:f>"3097e027-32a4-4fc7-8296-a922f2bbe56c"</x:f>
        <x:v>3097e027-32a4-4fc7-8296-a922f2bbe56c</x:v>
      </x:c>
      <x:c r="B141" s="23" t="str">
        <x:v>ALEXANDRE MARQUES DO NASCIMENTO</x:v>
      </x:c>
      <x:c r="C141" s="23" t="str">
        <x:v>alexandre marques do nascimento</x:v>
      </x:c>
      <x:c r="D141" s="22" t="str">
        <x:f>"65.627.693/0001-92"</x:f>
        <x:v>65.627.693/0001-92</x:v>
      </x:c>
      <x:c r="E141" s="22" t="str">
        <x:f>"65627693000192"</x:f>
        <x:v>65627693000192</x:v>
      </x:c>
      <x:c r="F141" s="22" t="str">
        <x:f>"016.467.956-10"</x:f>
        <x:v>016.467.956-10</x:v>
      </x:c>
      <x:c r="G141" s="22" t="str">
        <x:f>"01646795610"</x:f>
        <x:v>01646795610</x:v>
      </x:c>
      <x:c r="H141" s="23" t="str">
        <x:v>alexandrerenildes@gmail.com</x:v>
      </x:c>
      <x:c r="I141" s="22" t="str">
        <x:f>"31998725307"</x:f>
        <x:v>31998725307</x:v>
      </x:c>
      <x:c r="J141" s="23" t="str">
        <x:v>RENTAL</x:v>
      </x:c>
      <x:c r="K141" s="23" t="str">
        <x:v>rental_company</x:v>
      </x:c>
      <x:c r="L141" s="24" t="b">
        <x:v>1</x:v>
      </x:c>
      <x:c r="M141" s="23" t="n">
        <x:v>1</x:v>
      </x:c>
      <x:c r="N141" s="28" t="n">
        <x:v>46219.812988715275</x:v>
      </x:c>
      <x:c r="O141" s="28" t="n">
        <x:v>46219.812988715275</x:v>
      </x:c>
      <x:c r="P141" s="23" t="str">
        <x:v>VESPASIANO</x:v>
      </x:c>
      <x:c r="Q141" s="30" t="n">
        <x:v>32094</x:v>
      </x:c>
      <x:c r="R141" s="22" t="str">
        <x:f>"14789846"</x:f>
        <x:v>14789846</x:v>
      </x:c>
      <x:c r="S141" s="23" t="str">
        <x:v>masculino</x:v>
      </x:c>
      <x:c r="T141" s="22" t="str"/>
      <x:c r="U141" s="23" t="str">
        <x:v>ALEXANDRE MARQUES DO NASCIMENTO</x:v>
      </x:c>
      <x:c r="V141" s="22" t="str">
        <x:f>"016.467.956-10"</x:f>
        <x:v>016.467.956-10</x:v>
      </x:c>
      <x:c r="W141" s="22" t="str">
        <x:f>"01646795610"</x:f>
        <x:v>01646795610</x:v>
      </x:c>
      <x:c r="X141" s="23" t="str">
        <x:v>alexandrerenildes@gmail.com</x:v>
      </x:c>
      <x:c r="Y141" s="22" t="str">
        <x:f>"31998725307"</x:f>
        <x:v>31998725307</x:v>
      </x:c>
      <x:c r="Z141" s="30" t="n">
        <x:v>46457</x:v>
      </x:c>
    </x:row>
    <x:row r="142" ht="18" customHeight="1">
      <x:c r="A142" s="22" t="str">
        <x:f>"db56d440-6cec-4fce-b21e-ba3f005543b7"</x:f>
        <x:v>db56d440-6cec-4fce-b21e-ba3f005543b7</x:v>
      </x:c>
      <x:c r="B142" s="23" t="str">
        <x:v>ALEXANDRE MARQUES DO NASCIMENTO</x:v>
      </x:c>
      <x:c r="C142" s="23" t="str">
        <x:v>alexandre marques do nascimento</x:v>
      </x:c>
      <x:c r="D142" s="22" t="str">
        <x:f>"42.527.542/0001-67"</x:f>
        <x:v>42.527.542/0001-67</x:v>
      </x:c>
      <x:c r="E142" s="22" t="str">
        <x:f>"42527542000167"</x:f>
        <x:v>42527542000167</x:v>
      </x:c>
      <x:c r="F142" s="22" t="str">
        <x:f>"016.467.956-10"</x:f>
        <x:v>016.467.956-10</x:v>
      </x:c>
      <x:c r="G142" s="22" t="str">
        <x:f>"01646795610"</x:f>
        <x:v>01646795610</x:v>
      </x:c>
      <x:c r="H142" s="23" t="str">
        <x:v>alexandrerenildes@gmail.com</x:v>
      </x:c>
      <x:c r="I142" s="22" t="str">
        <x:f>"31998725307"</x:f>
        <x:v>31998725307</x:v>
      </x:c>
      <x:c r="J142" s="23" t="str">
        <x:v>SPOT</x:v>
      </x:c>
      <x:c r="K142" s="23" t="str">
        <x:v>favored_only</x:v>
      </x:c>
      <x:c r="L142" s="24" t="b">
        <x:v>1</x:v>
      </x:c>
      <x:c r="M142" s="23" t="n">
        <x:v>1</x:v>
      </x:c>
      <x:c r="N142" s="28" t="n">
        <x:v>46203.921852962965</x:v>
      </x:c>
      <x:c r="O142" s="28" t="n">
        <x:v>46219.812988715275</x:v>
      </x:c>
      <x:c r="P142" s="23" t="str">
        <x:v>VESPASIANO</x:v>
      </x:c>
      <x:c r="Q142" s="30" t="n">
        <x:v>32094</x:v>
      </x:c>
      <x:c r="R142" s="22" t="str">
        <x:f>"14789846"</x:f>
        <x:v>14789846</x:v>
      </x:c>
      <x:c r="S142" s="23" t="str">
        <x:v>masculino</x:v>
      </x:c>
      <x:c r="T142" s="22" t="str">
        <x:f>"PXW1H99"</x:f>
        <x:v>PXW1H99</x:v>
      </x:c>
      <x:c r="U142" s="23" t="str">
        <x:v>ALEXANDRE MARQUES DO NASCIMENTO</x:v>
      </x:c>
      <x:c r="V142" s="22" t="str">
        <x:f>"016.467.956-10"</x:f>
        <x:v>016.467.956-10</x:v>
      </x:c>
      <x:c r="W142" s="22" t="str">
        <x:f>"01646795610"</x:f>
        <x:v>01646795610</x:v>
      </x:c>
      <x:c r="X142" s="23" t="str">
        <x:v>alexandrerenildes@gmail.com</x:v>
      </x:c>
      <x:c r="Y142" s="22" t="str">
        <x:f>"31998725307"</x:f>
        <x:v>31998725307</x:v>
      </x:c>
      <x:c r="Z142" s="30" t="n">
        <x:v>46252</x:v>
      </x:c>
    </x:row>
    <x:row r="143" ht="18" customHeight="1">
      <x:c r="A143" s="22" t="str">
        <x:f>"90cc9b2d-2312-484e-baa2-96f9df12e749"</x:f>
        <x:v>90cc9b2d-2312-484e-baa2-96f9df12e749</x:v>
      </x:c>
      <x:c r="B143" s="23" t="str">
        <x:v>ALEXANDRE OLIMPIO DA ROCHA</x:v>
      </x:c>
      <x:c r="C143" s="23" t="str">
        <x:v>alexandre olimpio da rocha</x:v>
      </x:c>
      <x:c r="D143" s="22" t="str">
        <x:f>"63.716.628/0001-08"</x:f>
        <x:v>63.716.628/0001-08</x:v>
      </x:c>
      <x:c r="E143" s="22" t="str">
        <x:f>"63716628000108"</x:f>
        <x:v>63716628000108</x:v>
      </x:c>
      <x:c r="F143" s="22" t="str">
        <x:f>"163.574.948-44"</x:f>
        <x:v>163.574.948-44</x:v>
      </x:c>
      <x:c r="G143" s="22" t="str">
        <x:f>"16357494844"</x:f>
        <x:v>16357494844</x:v>
      </x:c>
      <x:c r="H143" s="23" t="str">
        <x:v>alexandreolimpiodarocha@gmail.com</x:v>
      </x:c>
      <x:c r="I143" s="22" t="str">
        <x:f>"17997219374"</x:f>
        <x:v>17997219374</x:v>
      </x:c>
      <x:c r="J143" s="23" t="str">
        <x:v>spot</x:v>
      </x:c>
      <x:c r="K143" s="23" t="str">
        <x:v>favored_only</x:v>
      </x:c>
      <x:c r="L143" s="24" t="b">
        <x:v>1</x:v>
      </x:c>
      <x:c r="M143" s="23" t="n">
        <x:v>1</x:v>
      </x:c>
      <x:c r="N143" s="28" t="n">
        <x:v>46219.812988715275</x:v>
      </x:c>
      <x:c r="O143" s="28" t="n">
        <x:v>46219.812988715275</x:v>
      </x:c>
      <x:c r="P143" s="23" t="str">
        <x:v>JALES</x:v>
      </x:c>
      <x:c r="Q143" s="30" t="n">
        <x:v>27119</x:v>
      </x:c>
      <x:c r="R143" s="22" t="str">
        <x:f>"22746328"</x:f>
        <x:v>22746328</x:v>
      </x:c>
      <x:c r="S143" s="23" t="str">
        <x:v>masculino</x:v>
      </x:c>
      <x:c r="T143" s="22" t="str">
        <x:f>"CLG0G78"</x:f>
        <x:v>CLG0G78</x:v>
      </x:c>
      <x:c r="U143" s="23" t="str">
        <x:v>ALEXANDRE OLIMPIO DA ROCHA</x:v>
      </x:c>
      <x:c r="V143" s="22" t="str">
        <x:f>"163.574.948-44"</x:f>
        <x:v>163.574.948-44</x:v>
      </x:c>
      <x:c r="W143" s="22" t="str">
        <x:f>"16357494844"</x:f>
        <x:v>16357494844</x:v>
      </x:c>
      <x:c r="X143" s="23" t="str">
        <x:v>alexandreolimpiodarocha@gmail.com</x:v>
      </x:c>
      <x:c r="Y143" s="22" t="str">
        <x:f>"17997219374"</x:f>
        <x:v>17997219374</x:v>
      </x:c>
      <x:c r="Z143" s="30" t="n">
        <x:v>46564</x:v>
      </x:c>
    </x:row>
    <x:row r="144" ht="18" customHeight="1">
      <x:c r="A144" s="22" t="str">
        <x:f>"da14fa04-6fc5-4d56-8ae9-4d805613dd74"</x:f>
        <x:v>da14fa04-6fc5-4d56-8ae9-4d805613dd74</x:v>
      </x:c>
      <x:c r="B144" s="23" t="str">
        <x:v>ALEXANDRE PEGORA DA SILVA</x:v>
      </x:c>
      <x:c r="C144" s="23" t="str">
        <x:v>alexandre pegora da silva</x:v>
      </x:c>
      <x:c r="D144" s="22" t="str">
        <x:f>"66.959.105/0001-80"</x:f>
        <x:v>66.959.105/0001-80</x:v>
      </x:c>
      <x:c r="E144" s="22" t="str">
        <x:f>"66959105000180"</x:f>
        <x:v>66959105000180</x:v>
      </x:c>
      <x:c r="F144" s="22" t="str">
        <x:f>"052.945.951-50"</x:f>
        <x:v>052.945.951-50</x:v>
      </x:c>
      <x:c r="G144" s="22" t="str">
        <x:f>"05294595150"</x:f>
        <x:v>05294595150</x:v>
      </x:c>
      <x:c r="H144" s="23" t="str">
        <x:v>pegoraagz@gmail.com</x:v>
      </x:c>
      <x:c r="I144" s="22" t="str">
        <x:f>"62 99565 8535"</x:f>
        <x:v>62 99565 8535</x:v>
      </x:c>
      <x:c r="J144" s="23" t="str">
        <x:v>SPOT</x:v>
      </x:c>
      <x:c r="K144" s="23" t="str">
        <x:v>favored_only</x:v>
      </x:c>
      <x:c r="L144" s="24" t="b">
        <x:v>1</x:v>
      </x:c>
      <x:c r="M144" s="23" t="n">
        <x:v>1</x:v>
      </x:c>
      <x:c r="N144" s="28" t="n">
        <x:v>46203.92189349537</x:v>
      </x:c>
      <x:c r="O144" s="28" t="n">
        <x:v>46219.812988715275</x:v>
      </x:c>
      <x:c r="P144" s="23" t="str">
        <x:v>MOZARLANDIA</x:v>
      </x:c>
      <x:c r="Q144" s="30" t="n">
        <x:v>34328</x:v>
      </x:c>
      <x:c r="R144" s="22" t="str">
        <x:f>"6496333"</x:f>
        <x:v>6496333</x:v>
      </x:c>
      <x:c r="S144" s="23" t="str">
        <x:v>masculino</x:v>
      </x:c>
      <x:c r="T144" s="22" t="str">
        <x:f>"QUY9G73"</x:f>
        <x:v>QUY9G73</x:v>
      </x:c>
      <x:c r="U144" s="23" t="str">
        <x:v>ROMARIO PEGORA DA SILVA</x:v>
      </x:c>
      <x:c r="V144" s="22" t="str">
        <x:f>"018.235.111-47"</x:f>
        <x:v>018.235.111-47</x:v>
      </x:c>
      <x:c r="W144" s="22" t="str">
        <x:f>"01823511147"</x:f>
        <x:v>01823511147</x:v>
      </x:c>
      <x:c r="X144" s="23" t="str">
        <x:v>romariopegora1208@gmail.com</x:v>
      </x:c>
      <x:c r="Y144" s="22" t="str">
        <x:f>"62 9178-4096"</x:f>
        <x:v>62 9178-4096</x:v>
      </x:c>
      <x:c r="Z144" s="30" t="n">
        <x:v>46539</x:v>
      </x:c>
    </x:row>
    <x:row r="145" ht="18" customHeight="1">
      <x:c r="A145" s="22" t="str">
        <x:f>"26b092b4-d0f7-4fc1-b05f-c27697217fee"</x:f>
        <x:v>26b092b4-d0f7-4fc1-b05f-c27697217fee</x:v>
      </x:c>
      <x:c r="B145" s="23" t="str">
        <x:v>ALEXANDRE QUINTINO DE JESUS SANTOS</x:v>
      </x:c>
      <x:c r="C145" s="23" t="str">
        <x:v>alexandre quintino de jesus santos</x:v>
      </x:c>
      <x:c r="D145" s="22" t="str">
        <x:f>"59.336.914/0001-70"</x:f>
        <x:v>59.336.914/0001-70</x:v>
      </x:c>
      <x:c r="E145" s="22" t="str">
        <x:f>"59336914000170"</x:f>
        <x:v>59336914000170</x:v>
      </x:c>
      <x:c r="F145" s="22" t="str">
        <x:f>"494.837.948-46"</x:f>
        <x:v>494.837.948-46</x:v>
      </x:c>
      <x:c r="G145" s="22" t="str">
        <x:f>"49483794846"</x:f>
        <x:v>49483794846</x:v>
      </x:c>
      <x:c r="H145" s="23" t="str">
        <x:v>alexandreqjs11@gmail.com</x:v>
      </x:c>
      <x:c r="I145" s="22" t="str">
        <x:f>"(11) 941544383"</x:f>
        <x:v>(11) 941544383</x:v>
      </x:c>
      <x:c r="J145" s="23" t="str">
        <x:v>RENTAL</x:v>
      </x:c>
      <x:c r="K145" s="23" t="str">
        <x:v>rental_company</x:v>
      </x:c>
      <x:c r="L145" s="24" t="b">
        <x:v>1</x:v>
      </x:c>
      <x:c r="M145" s="23" t="n">
        <x:v>1</x:v>
      </x:c>
      <x:c r="N145" s="28" t="n">
        <x:v>46203.92184908565</x:v>
      </x:c>
      <x:c r="O145" s="28" t="n">
        <x:v>46219.812988715275</x:v>
      </x:c>
      <x:c r="P145" s="23" t="str">
        <x:v>MADEIRA MADEIRA</x:v>
      </x:c>
      <x:c r="Q145" s="30" t="n">
        <x:v>38419</x:v>
      </x:c>
      <x:c r="R145" s="22" t="str">
        <x:f>"59.651.932-1"</x:f>
        <x:v>59.651.932-1</x:v>
      </x:c>
      <x:c r="S145" s="23" t="str">
        <x:v>feminino</x:v>
      </x:c>
      <x:c r="T145" s="22" t="str"/>
      <x:c r="U145" s="23" t="str">
        <x:v>ALEXANDRE QUINTINO DE JESUS SANTOS</x:v>
      </x:c>
      <x:c r="V145" s="22" t="str">
        <x:f>"494.837.948-46"</x:f>
        <x:v>494.837.948-46</x:v>
      </x:c>
      <x:c r="W145" s="22" t="str">
        <x:f>"49483794846"</x:f>
        <x:v>49483794846</x:v>
      </x:c>
      <x:c r="X145" s="23" t="str">
        <x:v>alexandreqjs11@gmail.com</x:v>
      </x:c>
      <x:c r="Y145" s="22" t="str">
        <x:f>"(11) 941544383"</x:f>
        <x:v>(11) 941544383</x:v>
      </x:c>
      <x:c r="Z145" s="30" t="n">
        <x:v>46235</x:v>
      </x:c>
    </x:row>
    <x:row r="146" ht="18" customHeight="1">
      <x:c r="A146" s="22" t="str">
        <x:f>"c0862ae4-ed71-4bde-8a41-2dffa659acb5"</x:f>
        <x:v>c0862ae4-ed71-4bde-8a41-2dffa659acb5</x:v>
      </x:c>
      <x:c r="B146" s="23" t="str">
        <x:v>ALEXANDRE RODRIGUES DE OLIVEIRA</x:v>
      </x:c>
      <x:c r="C146" s="23" t="str">
        <x:v>alexandre rodrigues de oliveira</x:v>
      </x:c>
      <x:c r="D146" s="22" t="str">
        <x:f>"57.887.596/0001-00"</x:f>
        <x:v>57.887.596/0001-00</x:v>
      </x:c>
      <x:c r="E146" s="22" t="str">
        <x:f>"57887596000100"</x:f>
        <x:v>57887596000100</x:v>
      </x:c>
      <x:c r="F146" s="22" t="str">
        <x:f>"091.445.547-88"</x:f>
        <x:v>091.445.547-88</x:v>
      </x:c>
      <x:c r="G146" s="22" t="str">
        <x:f>"09144554788"</x:f>
        <x:v>09144554788</x:v>
      </x:c>
      <x:c r="H146" s="23" t="str">
        <x:v>Alexandreolidrigues@gmail.com</x:v>
      </x:c>
      <x:c r="I146" s="22" t="str">
        <x:f>"21983214386"</x:f>
        <x:v>21983214386</x:v>
      </x:c>
      <x:c r="J146" s="23" t="str">
        <x:v>SPOT</x:v>
      </x:c>
      <x:c r="K146" s="23" t="str">
        <x:v>favored_only</x:v>
      </x:c>
      <x:c r="L146" s="24" t="b">
        <x:v>1</x:v>
      </x:c>
      <x:c r="M146" s="23" t="n">
        <x:v>1</x:v>
      </x:c>
      <x:c r="N146" s="28" t="n">
        <x:v>46219.812988715275</x:v>
      </x:c>
      <x:c r="O146" s="28" t="n">
        <x:v>46219.812988715275</x:v>
      </x:c>
      <x:c r="P146" s="23" t="str">
        <x:v>CORDOVIL</x:v>
      </x:c>
      <x:c r="Q146" s="30" t="n">
        <x:v>29562</x:v>
      </x:c>
      <x:c r="R146" s="22" t="str">
        <x:f>"125833947"</x:f>
        <x:v>125833947</x:v>
      </x:c>
      <x:c r="S146" s="23" t="str">
        <x:v>masculino</x:v>
      </x:c>
      <x:c r="T146" s="22" t="str">
        <x:f>"05850212316"</x:f>
        <x:v>05850212316</x:v>
      </x:c>
      <x:c r="U146" s="23" t="str">
        <x:v>ALEXANDRE RODRIGUES DE OLIVEIRA</x:v>
      </x:c>
      <x:c r="V146" s="22" t="str">
        <x:f>"091.445.547-88"</x:f>
        <x:v>091.445.547-88</x:v>
      </x:c>
      <x:c r="W146" s="22" t="str">
        <x:f>"09144554788"</x:f>
        <x:v>09144554788</x:v>
      </x:c>
      <x:c r="X146" s="23" t="str">
        <x:v>Alexandreolidrigues@gmail.com</x:v>
      </x:c>
      <x:c r="Y146" s="22" t="str">
        <x:f>"21983214386"</x:f>
        <x:v>21983214386</x:v>
      </x:c>
      <x:c r="Z146" s="30" t="n">
        <x:v>46504</x:v>
      </x:c>
    </x:row>
    <x:row r="147" ht="18" customHeight="1">
      <x:c r="A147" s="22" t="str">
        <x:f>"efc79ecf-a418-407e-879c-a3e1570ffcd5"</x:f>
        <x:v>efc79ecf-a418-407e-879c-a3e1570ffcd5</x:v>
      </x:c>
      <x:c r="B147" s="23" t="str">
        <x:v>ALEXANDRE SALGADO DA SILVA</x:v>
      </x:c>
      <x:c r="C147" s="23" t="str">
        <x:v>alexandre salgado da silva</x:v>
      </x:c>
      <x:c r="D147" s="22" t="str">
        <x:f>"32.584.913/0001-99"</x:f>
        <x:v>32.584.913/0001-99</x:v>
      </x:c>
      <x:c r="E147" s="22" t="str">
        <x:f>"32584913000199"</x:f>
        <x:v>32584913000199</x:v>
      </x:c>
      <x:c r="F147" s="22" t="str">
        <x:f>"260.847.358-00"</x:f>
        <x:v>260.847.358-00</x:v>
      </x:c>
      <x:c r="G147" s="22" t="str">
        <x:f>"26084735800"</x:f>
        <x:v>26084735800</x:v>
      </x:c>
      <x:c r="H147" s="23" t="str">
        <x:v>alexandresalgado2@hotmail.com</x:v>
      </x:c>
      <x:c r="I147" s="22" t="str">
        <x:f>"11949099504"</x:f>
        <x:v>11949099504</x:v>
      </x:c>
      <x:c r="J147" s="23" t="str">
        <x:v>RENTAL</x:v>
      </x:c>
      <x:c r="K147" s="23" t="str">
        <x:v>rental_company</x:v>
      </x:c>
      <x:c r="L147" s="24" t="b">
        <x:v>1</x:v>
      </x:c>
      <x:c r="M147" s="23" t="n">
        <x:v>1</x:v>
      </x:c>
      <x:c r="N147" s="28" t="n">
        <x:v>46219.812988715275</x:v>
      </x:c>
      <x:c r="O147" s="28" t="n">
        <x:v>46219.812988715275</x:v>
      </x:c>
      <x:c r="P147" s="23" t="str">
        <x:v>POUSO ALEGRE</x:v>
      </x:c>
      <x:c r="Q147" s="30" t="n">
        <x:v>27955</x:v>
      </x:c>
      <x:c r="R147" s="22" t="str">
        <x:f>"27422557"</x:f>
        <x:v>27422557</x:v>
      </x:c>
      <x:c r="S147" s="23" t="str">
        <x:v>masculino</x:v>
      </x:c>
      <x:c r="T147" s="22" t="str"/>
      <x:c r="U147" s="23" t="str">
        <x:v>ALEXANDRE SALGADO DA SILVA</x:v>
      </x:c>
      <x:c r="V147" s="22" t="str">
        <x:f>"260.847.358-00"</x:f>
        <x:v>260.847.358-00</x:v>
      </x:c>
      <x:c r="W147" s="22" t="str">
        <x:f>"26084735800"</x:f>
        <x:v>26084735800</x:v>
      </x:c>
      <x:c r="X147" s="23" t="str">
        <x:v>alexandresalgado2@hotmail.com</x:v>
      </x:c>
      <x:c r="Y147" s="22" t="str">
        <x:f>"11949099504"</x:f>
        <x:v>11949099504</x:v>
      </x:c>
      <x:c r="Z147" s="30" t="n">
        <x:v>46465</x:v>
      </x:c>
    </x:row>
    <x:row r="148" ht="18" customHeight="1">
      <x:c r="A148" s="22" t="str">
        <x:f>"313a21de-bb03-4c06-9fb4-025778107ba9"</x:f>
        <x:v>313a21de-bb03-4c06-9fb4-025778107ba9</x:v>
      </x:c>
      <x:c r="B148" s="23" t="str">
        <x:v>ALEXANDRE SANTOS DA SILVA</x:v>
      </x:c>
      <x:c r="C148" s="23" t="str">
        <x:v>alexandre santos da silva</x:v>
      </x:c>
      <x:c r="D148" s="22" t="str">
        <x:f>"49.747.624/0001-66"</x:f>
        <x:v>49.747.624/0001-66</x:v>
      </x:c>
      <x:c r="E148" s="22" t="str">
        <x:f>"49747624000166"</x:f>
        <x:v>49747624000166</x:v>
      </x:c>
      <x:c r="F148" s="22" t="str">
        <x:f>"141.382.026-33"</x:f>
        <x:v>141.382.026-33</x:v>
      </x:c>
      <x:c r="G148" s="22" t="str">
        <x:f>"14138202633"</x:f>
        <x:v>14138202633</x:v>
      </x:c>
      <x:c r="H148" s="23" t="str">
        <x:v>alexandre988525686@gmail.com</x:v>
      </x:c>
      <x:c r="I148" s="22" t="str">
        <x:f>"37999099868"</x:f>
        <x:v>37999099868</x:v>
      </x:c>
      <x:c r="J148" s="23" t="str">
        <x:v>SPOT</x:v>
      </x:c>
      <x:c r="K148" s="23" t="str">
        <x:v>favored_only</x:v>
      </x:c>
      <x:c r="L148" s="24" t="b">
        <x:v>1</x:v>
      </x:c>
      <x:c r="M148" s="23" t="n">
        <x:v>1</x:v>
      </x:c>
      <x:c r="N148" s="28" t="n">
        <x:v>46219.812988715275</x:v>
      </x:c>
      <x:c r="O148" s="28" t="n">
        <x:v>46219.812988715275</x:v>
      </x:c>
      <x:c r="P148" s="23" t="str">
        <x:v>ARAXÁ</x:v>
      </x:c>
      <x:c r="Q148" s="30" t="n">
        <x:v>37197</x:v>
      </x:c>
      <x:c r="R148" s="22" t="str">
        <x:f>"MG21769435"</x:f>
        <x:v>MG21769435</x:v>
      </x:c>
      <x:c r="S148" s="23" t="str">
        <x:v>masculino</x:v>
      </x:c>
      <x:c r="T148" s="22" t="str">
        <x:f>"QQI8E83"</x:f>
        <x:v>QQI8E83</x:v>
      </x:c>
      <x:c r="U148" s="23" t="str">
        <x:v>ALEXANDRE SANTOS DA SILVA</x:v>
      </x:c>
      <x:c r="V148" s="22" t="str">
        <x:f>"141.382.026-33"</x:f>
        <x:v>141.382.026-33</x:v>
      </x:c>
      <x:c r="W148" s="22" t="str">
        <x:f>"14138202633"</x:f>
        <x:v>14138202633</x:v>
      </x:c>
      <x:c r="X148" s="23" t="str">
        <x:v>alexandre988525686@gmail.com</x:v>
      </x:c>
      <x:c r="Y148" s="22" t="str">
        <x:f>"37999099868"</x:f>
        <x:v>37999099868</x:v>
      </x:c>
      <x:c r="Z148" s="30" t="n">
        <x:v>46492</x:v>
      </x:c>
    </x:row>
    <x:row r="149" ht="18" customHeight="1">
      <x:c r="A149" s="22" t="str">
        <x:f>"42feff51-eef9-4234-ac09-c8a59e20c1e3"</x:f>
        <x:v>42feff51-eef9-4234-ac09-c8a59e20c1e3</x:v>
      </x:c>
      <x:c r="B149" s="23" t="str">
        <x:v>ALEX DA CRUZ SILVA</x:v>
      </x:c>
      <x:c r="C149" s="23" t="str">
        <x:v>alex da cruz silva</x:v>
      </x:c>
      <x:c r="D149" s="22" t="str">
        <x:f>"62.352.096/0001-04"</x:f>
        <x:v>62.352.096/0001-04</x:v>
      </x:c>
      <x:c r="E149" s="22" t="str">
        <x:f>"62352096000104"</x:f>
        <x:v>62352096000104</x:v>
      </x:c>
      <x:c r="F149" s="22" t="str">
        <x:f>"082.470.936-50"</x:f>
        <x:v>082.470.936-50</x:v>
      </x:c>
      <x:c r="G149" s="22" t="str">
        <x:f>"08247093650"</x:f>
        <x:v>08247093650</x:v>
      </x:c>
      <x:c r="H149" s="23" t="str">
        <x:v>2alexcruztopazio22@gmail.com</x:v>
      </x:c>
      <x:c r="I149" s="22" t="str">
        <x:f>"33987080880"</x:f>
        <x:v>33987080880</x:v>
      </x:c>
      <x:c r="J149" s="23" t="str">
        <x:v>SPOT</x:v>
      </x:c>
      <x:c r="K149" s="23" t="str">
        <x:v>favored_only</x:v>
      </x:c>
      <x:c r="L149" s="24" t="b">
        <x:v>1</x:v>
      </x:c>
      <x:c r="M149" s="23" t="n">
        <x:v>1</x:v>
      </x:c>
      <x:c r="N149" s="28" t="n">
        <x:v>46203.921858726855</x:v>
      </x:c>
      <x:c r="O149" s="28" t="n">
        <x:v>46219.812988715275</x:v>
      </x:c>
      <x:c r="P149" s="23" t="str">
        <x:v>TEOFILO OTONI</x:v>
      </x:c>
      <x:c r="Q149" s="30" t="n">
        <x:v>32720</x:v>
      </x:c>
      <x:c r="R149" s="22" t="str">
        <x:f>"15820490"</x:f>
        <x:v>15820490</x:v>
      </x:c>
      <x:c r="S149" s="23" t="str">
        <x:v>masculino</x:v>
      </x:c>
      <x:c r="T149" s="22" t="str">
        <x:f>"OTI4E54"</x:f>
        <x:v>OTI4E54</x:v>
      </x:c>
      <x:c r="U149" s="23" t="str">
        <x:v>ALEX DA CRUZ SILVA</x:v>
      </x:c>
      <x:c r="V149" s="22" t="str">
        <x:f>"082.470.936-50"</x:f>
        <x:v>082.470.936-50</x:v>
      </x:c>
      <x:c r="W149" s="22" t="str">
        <x:f>"08247093650"</x:f>
        <x:v>08247093650</x:v>
      </x:c>
      <x:c r="X149" s="23" t="str">
        <x:v>2alexcruztopazio22@gmail.com</x:v>
      </x:c>
      <x:c r="Y149" s="22" t="str">
        <x:f>"33987080880"</x:f>
        <x:v>33987080880</x:v>
      </x:c>
      <x:c r="Z149" s="30" t="n">
        <x:v>46259</x:v>
      </x:c>
    </x:row>
    <x:row r="150" ht="18" customHeight="1">
      <x:c r="A150" s="22" t="str">
        <x:f>"ad18c9cb-4ba0-4307-bf00-c1d36a1b7baa"</x:f>
        <x:v>ad18c9cb-4ba0-4307-bf00-c1d36a1b7baa</x:v>
      </x:c>
      <x:c r="B150" s="23" t="str">
        <x:v>ALEX DUTRA VIEIRA</x:v>
      </x:c>
      <x:c r="C150" s="23" t="str">
        <x:v>alex dutra vieira</x:v>
      </x:c>
      <x:c r="D150" s="22" t="str">
        <x:f>"32.789.804/0001-08"</x:f>
        <x:v>32.789.804/0001-08</x:v>
      </x:c>
      <x:c r="E150" s="22" t="str">
        <x:f>"32789804000108"</x:f>
        <x:v>32789804000108</x:v>
      </x:c>
      <x:c r="F150" s="22" t="str">
        <x:f>"114.948.956-17"</x:f>
        <x:v>114.948.956-17</x:v>
      </x:c>
      <x:c r="G150" s="22" t="str">
        <x:f>"11494895617"</x:f>
        <x:v>11494895617</x:v>
      </x:c>
      <x:c r="H150" s="23" t="str">
        <x:v>ALEXDUTRA166.AD@GMAIL.COM</x:v>
      </x:c>
      <x:c r="I150" s="22" t="str">
        <x:f>"35 992761663"</x:f>
        <x:v>35 992761663</x:v>
      </x:c>
      <x:c r="J150" s="23" t="str">
        <x:v>SPOT</x:v>
      </x:c>
      <x:c r="K150" s="23" t="str">
        <x:v>favored_only</x:v>
      </x:c>
      <x:c r="L150" s="24" t="b">
        <x:v>1</x:v>
      </x:c>
      <x:c r="M150" s="23" t="n">
        <x:v>1</x:v>
      </x:c>
      <x:c r="N150" s="28" t="n">
        <x:v>46203.921824756944</x:v>
      </x:c>
      <x:c r="O150" s="28" t="n">
        <x:v>46219.812988715275</x:v>
      </x:c>
      <x:c r="P150" s="23" t="str">
        <x:v>GUAXUPE</x:v>
      </x:c>
      <x:c r="Q150" s="30" t="n">
        <x:v>33881</x:v>
      </x:c>
      <x:c r="R150" s="22" t="str">
        <x:f>"17272103"</x:f>
        <x:v>17272103</x:v>
      </x:c>
      <x:c r="S150" s="23" t="str">
        <x:v>masculino</x:v>
      </x:c>
      <x:c r="T150" s="22" t="str">
        <x:f>"PUO2A05"</x:f>
        <x:v>PUO2A05</x:v>
      </x:c>
      <x:c r="U150" s="23" t="str">
        <x:v>ALEX DUTRA VIEIRA</x:v>
      </x:c>
      <x:c r="V150" s="22" t="str">
        <x:f>"114.948.956-17"</x:f>
        <x:v>114.948.956-17</x:v>
      </x:c>
      <x:c r="W150" s="22" t="str">
        <x:f>"11494895617"</x:f>
        <x:v>11494895617</x:v>
      </x:c>
      <x:c r="X150" s="23" t="str">
        <x:v>ALEXDUTRA166.AD@GMAIL.COM</x:v>
      </x:c>
      <x:c r="Y150" s="22" t="str">
        <x:f>"35 992761663"</x:f>
        <x:v>35 992761663</x:v>
      </x:c>
      <x:c r="Z150" s="30" t="n">
        <x:v>46175</x:v>
      </x:c>
    </x:row>
    <x:row r="151" ht="18" customHeight="1">
      <x:c r="A151" s="22" t="str">
        <x:f>"c2995685-f2d4-4129-8202-9ac5718771af"</x:f>
        <x:v>c2995685-f2d4-4129-8202-9ac5718771af</x:v>
      </x:c>
      <x:c r="B151" s="23" t="str">
        <x:v>ALEX EDUARDO FRANCISCO VIEIRA</x:v>
      </x:c>
      <x:c r="C151" s="23" t="str">
        <x:v>alex eduardo francisco vieira</x:v>
      </x:c>
      <x:c r="D151" s="22" t="str">
        <x:f>"47.352.784/0001-80"</x:f>
        <x:v>47.352.784/0001-80</x:v>
      </x:c>
      <x:c r="E151" s="22" t="str">
        <x:f>"47352784000180"</x:f>
        <x:v>47352784000180</x:v>
      </x:c>
      <x:c r="F151" s="22" t="str">
        <x:f>"061.412.831-52"</x:f>
        <x:v>061.412.831-52</x:v>
      </x:c>
      <x:c r="G151" s="22" t="str">
        <x:f>"06141283152"</x:f>
        <x:v>06141283152</x:v>
      </x:c>
      <x:c r="H151" s="23" t="str">
        <x:v>Ae0837212@gmail.com</x:v>
      </x:c>
      <x:c r="I151" s="22" t="str">
        <x:f>"+55 65 9661-7410"</x:f>
        <x:v>+55 65 9661-7410</x:v>
      </x:c>
      <x:c r="J151" s="23" t="str">
        <x:v>SPOT</x:v>
      </x:c>
      <x:c r="K151" s="23" t="str">
        <x:v>favored_only</x:v>
      </x:c>
      <x:c r="L151" s="24" t="b">
        <x:v>1</x:v>
      </x:c>
      <x:c r="M151" s="23" t="n">
        <x:v>1</x:v>
      </x:c>
      <x:c r="N151" s="28" t="n">
        <x:v>46205.605210277776</x:v>
      </x:c>
      <x:c r="O151" s="28" t="n">
        <x:v>46219.812988715275</x:v>
      </x:c>
      <x:c r="P151" s="23" t="str">
        <x:v>PONTES E LACERDA</x:v>
      </x:c>
      <x:c r="Q151" s="30" t="n">
        <x:v>36256</x:v>
      </x:c>
      <x:c r="R151" s="22" t="str">
        <x:f>"27914038"</x:f>
        <x:v>27914038</x:v>
      </x:c>
      <x:c r="S151" s="23" t="str">
        <x:v>masculino</x:v>
      </x:c>
      <x:c r="T151" s="22" t="str">
        <x:f>"RVM9142"</x:f>
        <x:v>RVM9142</x:v>
      </x:c>
      <x:c r="U151" s="23" t="str">
        <x:v>WESLEY SANTOS ABREU</x:v>
      </x:c>
      <x:c r="V151" s="22" t="str">
        <x:f>"062.631.491-75"</x:f>
        <x:v>062.631.491-75</x:v>
      </x:c>
      <x:c r="W151" s="22" t="str">
        <x:f>"06263149175"</x:f>
        <x:v>06263149175</x:v>
      </x:c>
      <x:c r="X151" s="23" t="str">
        <x:v>wesleysantosabreu13@gmail.com</x:v>
      </x:c>
      <x:c r="Y151" s="22" t="str">
        <x:f>"(65)993081162"</x:f>
        <x:v>(65)993081162</x:v>
      </x:c>
      <x:c r="Z151" s="30" t="n">
        <x:v>46315</x:v>
      </x:c>
    </x:row>
    <x:row r="152" ht="18" customHeight="1">
      <x:c r="A152" s="22" t="str">
        <x:f>"ce88400a-1897-4eb3-abcc-d3d15cea5878"</x:f>
        <x:v>ce88400a-1897-4eb3-abcc-d3d15cea5878</x:v>
      </x:c>
      <x:c r="B152" s="23" t="str">
        <x:v>ALEX FERREIRA GARCIA</x:v>
      </x:c>
      <x:c r="C152" s="23" t="str">
        <x:v>alex ferreira garcia</x:v>
      </x:c>
      <x:c r="D152" s="22" t="str">
        <x:f>"66.607.818/0001-85"</x:f>
        <x:v>66.607.818/0001-85</x:v>
      </x:c>
      <x:c r="E152" s="22" t="str">
        <x:f>"66607818000185"</x:f>
        <x:v>66607818000185</x:v>
      </x:c>
      <x:c r="F152" s="22" t="str">
        <x:f>"392.063.558-21"</x:f>
        <x:v>392.063.558-21</x:v>
      </x:c>
      <x:c r="G152" s="22" t="str">
        <x:f>"39206355821"</x:f>
        <x:v>39206355821</x:v>
      </x:c>
      <x:c r="H152" s="23" t="str">
        <x:v>ag8491359@gmail.com</x:v>
      </x:c>
      <x:c r="I152" s="22" t="str">
        <x:f>"17981082788"</x:f>
        <x:v>17981082788</x:v>
      </x:c>
      <x:c r="J152" s="23" t="str">
        <x:v>DESCONHECIDO</x:v>
      </x:c>
      <x:c r="K152" s="23" t="str">
        <x:v>favored_only</x:v>
      </x:c>
      <x:c r="L152" s="24" t="b">
        <x:v>1</x:v>
      </x:c>
      <x:c r="M152" s="23" t="n">
        <x:v>1</x:v>
      </x:c>
      <x:c r="N152" s="28" t="n">
        <x:v>46219.812988715275</x:v>
      </x:c>
      <x:c r="O152" s="28" t="n">
        <x:v>46219.812988715275</x:v>
      </x:c>
      <x:c r="P152" s="23" t="str">
        <x:v>BARRETOS</x:v>
      </x:c>
      <x:c r="Q152" s="30" t="str"/>
      <x:c r="R152" s="22" t="str">
        <x:f>"45713755"</x:f>
        <x:v>45713755</x:v>
      </x:c>
      <x:c r="S152" s="23" t="str">
        <x:v>masculino</x:v>
      </x:c>
      <x:c r="T152" s="22" t="str"/>
      <x:c r="U152" s="23" t="str">
        <x:v>ALEX FERREIRA GARCIA</x:v>
      </x:c>
      <x:c r="V152" s="22" t="str">
        <x:f>"392.063.558-21"</x:f>
        <x:v>392.063.558-21</x:v>
      </x:c>
      <x:c r="W152" s="22" t="str">
        <x:f>"39206355821"</x:f>
        <x:v>39206355821</x:v>
      </x:c>
      <x:c r="X152" s="23" t="str">
        <x:v>ag8491359@gmail.com</x:v>
      </x:c>
      <x:c r="Y152" s="22" t="str">
        <x:f>"17981082788"</x:f>
        <x:v>17981082788</x:v>
      </x:c>
      <x:c r="Z152" s="30" t="n">
        <x:v>46512</x:v>
      </x:c>
    </x:row>
    <x:row r="153" ht="18" customHeight="1">
      <x:c r="A153" s="22" t="str">
        <x:f>"19bca729-36c6-413d-ae65-4019bd03adf6"</x:f>
        <x:v>19bca729-36c6-413d-ae65-4019bd03adf6</x:v>
      </x:c>
      <x:c r="B153" s="23" t="str">
        <x:v>Alex  Geranutti</x:v>
      </x:c>
      <x:c r="C153" s="23" t="str">
        <x:v>alex geranutti</x:v>
      </x:c>
      <x:c r="D153" s="22" t="str">
        <x:f>"13.956.531/0001-02"</x:f>
        <x:v>13.956.531/0001-02</x:v>
      </x:c>
      <x:c r="E153" s="22" t="str">
        <x:f>"13956531000102"</x:f>
        <x:v>13956531000102</x:v>
      </x:c>
      <x:c r="F153" s="22" t="str">
        <x:f>"037.787.488-40"</x:f>
        <x:v>037.787.488-40</x:v>
      </x:c>
      <x:c r="G153" s="22" t="str">
        <x:f>"03778748840"</x:f>
        <x:v>03778748840</x:v>
      </x:c>
      <x:c r="H153" s="23" t="str">
        <x:v>alexgeranutti@gmail.com</x:v>
      </x:c>
      <x:c r="I153" s="22" t="str">
        <x:f>"31991978220"</x:f>
        <x:v>31991978220</x:v>
      </x:c>
      <x:c r="J153" s="23" t="str">
        <x:v>SPOT</x:v>
      </x:c>
      <x:c r="K153" s="23" t="str">
        <x:v>favored_only</x:v>
      </x:c>
      <x:c r="L153" s="24" t="b">
        <x:v>1</x:v>
      </x:c>
      <x:c r="M153" s="23" t="n">
        <x:v>1</x:v>
      </x:c>
      <x:c r="N153" s="28" t="n">
        <x:v>46203.92186888889</x:v>
      </x:c>
      <x:c r="O153" s="28" t="n">
        <x:v>46203.92186888889</x:v>
      </x:c>
      <x:c r="P153" s="23" t="str"/>
      <x:c r="Q153" s="30" t="str"/>
      <x:c r="R153" s="22" t="str"/>
      <x:c r="S153" s="23" t="str"/>
      <x:c r="T153" s="22" t="str"/>
      <x:c r="U153" s="23" t="str">
        <x:v>Alex  Geranutti</x:v>
      </x:c>
      <x:c r="V153" s="22" t="str">
        <x:f>"037.787.488-40"</x:f>
        <x:v>037.787.488-40</x:v>
      </x:c>
      <x:c r="W153" s="22" t="str">
        <x:f>"03778748840"</x:f>
        <x:v>03778748840</x:v>
      </x:c>
      <x:c r="X153" s="23" t="str">
        <x:v>alexgeranutti@gmail.com</x:v>
      </x:c>
      <x:c r="Y153" s="22" t="str">
        <x:f>"31991978220"</x:f>
        <x:v>31991978220</x:v>
      </x:c>
      <x:c r="Z153" s="30" t="str"/>
    </x:row>
    <x:row r="154" ht="18" customHeight="1">
      <x:c r="A154" s="22" t="str">
        <x:f>"de950304-50d7-4e07-90bf-7659a68c6253"</x:f>
        <x:v>de950304-50d7-4e07-90bf-7659a68c6253</x:v>
      </x:c>
      <x:c r="B154" s="23" t="str">
        <x:v>ALEX JONATHAN NUNES SOARES</x:v>
      </x:c>
      <x:c r="C154" s="23" t="str">
        <x:v>alex jonathan nunes soares</x:v>
      </x:c>
      <x:c r="D154" s="22" t="str">
        <x:f>"57.818.291/0001-47"</x:f>
        <x:v>57.818.291/0001-47</x:v>
      </x:c>
      <x:c r="E154" s="22" t="str">
        <x:f>"57818291000147"</x:f>
        <x:v>57818291000147</x:v>
      </x:c>
      <x:c r="F154" s="22" t="str">
        <x:f>"071.994.701-42"</x:f>
        <x:v>071.994.701-42</x:v>
      </x:c>
      <x:c r="G154" s="22" t="str">
        <x:f>"07199470142"</x:f>
        <x:v>07199470142</x:v>
      </x:c>
      <x:c r="H154" s="23" t="str">
        <x:v>alexjonathan009@gmail.com</x:v>
      </x:c>
      <x:c r="I154" s="22" t="str">
        <x:f>"65 99200-8945"</x:f>
        <x:v>65 99200-8945</x:v>
      </x:c>
      <x:c r="J154" s="23" t="str">
        <x:v>RENTAL</x:v>
      </x:c>
      <x:c r="K154" s="23" t="str">
        <x:v>rental_company</x:v>
      </x:c>
      <x:c r="L154" s="24" t="b">
        <x:v>1</x:v>
      </x:c>
      <x:c r="M154" s="23" t="n">
        <x:v>2</x:v>
      </x:c>
      <x:c r="N154" s="28" t="n">
        <x:v>46203.92186888889</x:v>
      </x:c>
      <x:c r="O154" s="28" t="n">
        <x:v>46219.812988715275</x:v>
      </x:c>
      <x:c r="P154" s="23" t="str">
        <x:v>CUIABA</x:v>
      </x:c>
      <x:c r="Q154" s="30" t="n">
        <x:v>35468</x:v>
      </x:c>
      <x:c r="R154" s="22" t="str">
        <x:f>"2877300-4"</x:f>
        <x:v>2877300-4</x:v>
      </x:c>
      <x:c r="S154" s="23" t="str">
        <x:v>masculino</x:v>
      </x:c>
      <x:c r="T154" s="22" t="str"/>
      <x:c r="U154" s="23" t="str">
        <x:v>ALEX JONATHAN NUNES SOARES</x:v>
      </x:c>
      <x:c r="V154" s="22" t="str">
        <x:f>"071.994.701-42"</x:f>
        <x:v>071.994.701-42</x:v>
      </x:c>
      <x:c r="W154" s="22" t="str">
        <x:f>"07199470142"</x:f>
        <x:v>07199470142</x:v>
      </x:c>
      <x:c r="X154" s="23" t="str">
        <x:v>alexjonathan009@gmail.com</x:v>
      </x:c>
      <x:c r="Y154" s="22" t="str">
        <x:f>"65 99200-8945"</x:f>
        <x:v>65 99200-8945</x:v>
      </x:c>
      <x:c r="Z154" s="30" t="n">
        <x:v>46298</x:v>
      </x:c>
    </x:row>
    <x:row r="155" ht="18" customHeight="1">
      <x:c r="A155" s="22" t="str">
        <x:f>"f143a750-9d71-442c-9ad2-9b42d58d88ca"</x:f>
        <x:v>f143a750-9d71-442c-9ad2-9b42d58d88ca</x:v>
      </x:c>
      <x:c r="B155" s="23" t="str">
        <x:v>ALEX MACHADO NEPOMUCENO</x:v>
      </x:c>
      <x:c r="C155" s="23" t="str">
        <x:v>alex machado nepomuceno</x:v>
      </x:c>
      <x:c r="D155" s="22" t="str">
        <x:f>"53.625.437/0001-87"</x:f>
        <x:v>53.625.437/0001-87</x:v>
      </x:c>
      <x:c r="E155" s="22" t="str">
        <x:f>"53625437000187"</x:f>
        <x:v>53625437000187</x:v>
      </x:c>
      <x:c r="F155" s="22" t="str">
        <x:f>"485.306.848-18"</x:f>
        <x:v>485.306.848-18</x:v>
      </x:c>
      <x:c r="G155" s="22" t="str">
        <x:f>"48530684818"</x:f>
        <x:v>48530684818</x:v>
      </x:c>
      <x:c r="H155" s="23" t="str">
        <x:v>alex.nepomuceno2002@gmail.com</x:v>
      </x:c>
      <x:c r="I155" s="22" t="str">
        <x:f>"(16)99312-3651"</x:f>
        <x:v>(16)99312-3651</x:v>
      </x:c>
      <x:c r="J155" s="23" t="str">
        <x:v>RENTAL</x:v>
      </x:c>
      <x:c r="K155" s="23" t="str">
        <x:v>rental_company</x:v>
      </x:c>
      <x:c r="L155" s="24" t="b">
        <x:v>1</x:v>
      </x:c>
      <x:c r="M155" s="23" t="n">
        <x:v>1</x:v>
      </x:c>
      <x:c r="N155" s="28" t="n">
        <x:v>46219.812988715275</x:v>
      </x:c>
      <x:c r="O155" s="28" t="n">
        <x:v>46219.812988715275</x:v>
      </x:c>
      <x:c r="P155" s="23" t="str">
        <x:v>MADEIRA MADEIRA</x:v>
      </x:c>
      <x:c r="Q155" s="30" t="n">
        <x:v>37342</x:v>
      </x:c>
      <x:c r="R155" s="22" t="str">
        <x:f>"587436621"</x:f>
        <x:v>587436621</x:v>
      </x:c>
      <x:c r="S155" s="23" t="str">
        <x:v>masculino</x:v>
      </x:c>
      <x:c r="T155" s="22" t="str"/>
      <x:c r="U155" s="23" t="str">
        <x:v>ALEX MACHADO NEPOMUCENO</x:v>
      </x:c>
      <x:c r="V155" s="22" t="str">
        <x:f>"485.306.848-18"</x:f>
        <x:v>485.306.848-18</x:v>
      </x:c>
      <x:c r="W155" s="22" t="str">
        <x:f>"48530684818"</x:f>
        <x:v>48530684818</x:v>
      </x:c>
      <x:c r="X155" s="23" t="str">
        <x:v>alex.nepomuceno2002@gmail.com</x:v>
      </x:c>
      <x:c r="Y155" s="22" t="str">
        <x:f>"(16)99312-3651"</x:f>
        <x:v>(16)99312-3651</x:v>
      </x:c>
      <x:c r="Z155" s="30" t="n">
        <x:v>46476</x:v>
      </x:c>
    </x:row>
    <x:row r="156" ht="18" customHeight="1">
      <x:c r="A156" s="22" t="str">
        <x:f>"1d042208-eaf6-4474-b4a6-0ebe18611d66"</x:f>
        <x:v>1d042208-eaf6-4474-b4a6-0ebe18611d66</x:v>
      </x:c>
      <x:c r="B156" s="23" t="str">
        <x:v>ALEX PETERSON SOUZA DO REGO MONTEIRO</x:v>
      </x:c>
      <x:c r="C156" s="23" t="str">
        <x:v>alex peterson souza do rego monteiro</x:v>
      </x:c>
      <x:c r="D156" s="22" t="str">
        <x:f>"66.551.776/0001-08"</x:f>
        <x:v>66.551.776/0001-08</x:v>
      </x:c>
      <x:c r="E156" s="22" t="str">
        <x:f>"66551776000108"</x:f>
        <x:v>66551776000108</x:v>
      </x:c>
      <x:c r="F156" s="22" t="str">
        <x:f>"813.734.902-25"</x:f>
        <x:v>813.734.902-25</x:v>
      </x:c>
      <x:c r="G156" s="22" t="str">
        <x:f>"81373490225"</x:f>
        <x:v>81373490225</x:v>
      </x:c>
      <x:c r="H156" s="23" t="str">
        <x:v>Monteiro.alex.0507@gmail.com</x:v>
      </x:c>
      <x:c r="I156" s="22" t="str">
        <x:f>"+55 92 8159-6273"</x:f>
        <x:v>+55 92 8159-6273</x:v>
      </x:c>
      <x:c r="J156" s="23" t="str">
        <x:v>rental</x:v>
      </x:c>
      <x:c r="K156" s="23" t="str">
        <x:v>rental_company</x:v>
      </x:c>
      <x:c r="L156" s="24" t="b">
        <x:v>1</x:v>
      </x:c>
      <x:c r="M156" s="23" t="n">
        <x:v>1</x:v>
      </x:c>
      <x:c r="N156" s="28" t="n">
        <x:v>46219.812988715275</x:v>
      </x:c>
      <x:c r="O156" s="28" t="n">
        <x:v>46219.812988715275</x:v>
      </x:c>
      <x:c r="P156" s="23" t="str">
        <x:v>BARRETOS</x:v>
      </x:c>
      <x:c r="Q156" s="30" t="n">
        <x:v>31450</x:v>
      </x:c>
      <x:c r="R156" s="22" t="str">
        <x:f>"18073689"</x:f>
        <x:v>18073689</x:v>
      </x:c>
      <x:c r="S156" s="23" t="str">
        <x:v>masculino</x:v>
      </x:c>
      <x:c r="T156" s="22" t="str"/>
      <x:c r="U156" s="23" t="str">
        <x:v>ALEX PETERSON SOUZA DO REGO MONTEIRO</x:v>
      </x:c>
      <x:c r="V156" s="22" t="str">
        <x:f>"813.734.902-25"</x:f>
        <x:v>813.734.902-25</x:v>
      </x:c>
      <x:c r="W156" s="22" t="str">
        <x:f>"81373490225"</x:f>
        <x:v>81373490225</x:v>
      </x:c>
      <x:c r="X156" s="23" t="str">
        <x:v>Monteiro.alex.0507@gmail.com</x:v>
      </x:c>
      <x:c r="Y156" s="22" t="str">
        <x:f>"+55 92 8159-6273"</x:f>
        <x:v>+55 92 8159-6273</x:v>
      </x:c>
      <x:c r="Z156" s="30" t="n">
        <x:v>46511</x:v>
      </x:c>
    </x:row>
    <x:row r="157" ht="18" customHeight="1">
      <x:c r="A157" s="22" t="str">
        <x:f>"d6b62a3d-fbf1-4308-a918-01f3d87c307d"</x:f>
        <x:v>d6b62a3d-fbf1-4308-a918-01f3d87c307d</x:v>
      </x:c>
      <x:c r="B157" s="23" t="str">
        <x:v>ALEXSANDER JUNIOR MARTINS</x:v>
      </x:c>
      <x:c r="C157" s="23" t="str">
        <x:v>alexsander junior martins</x:v>
      </x:c>
      <x:c r="D157" s="22" t="str">
        <x:f>"22.690.935/0001-80"</x:f>
        <x:v>22.690.935/0001-80</x:v>
      </x:c>
      <x:c r="E157" s="22" t="str">
        <x:f>"22690935000180"</x:f>
        <x:v>22690935000180</x:v>
      </x:c>
      <x:c r="F157" s="22" t="str">
        <x:f>"079.919.226-00"</x:f>
        <x:v>079.919.226-00</x:v>
      </x:c>
      <x:c r="G157" s="22" t="str">
        <x:f>"07991922600"</x:f>
        <x:v>07991922600</x:v>
      </x:c>
      <x:c r="H157" s="23" t="str">
        <x:v>alexsander.tito13@gmail.com</x:v>
      </x:c>
      <x:c r="I157" s="22" t="str">
        <x:f>"3199700786"</x:f>
        <x:v>3199700786</x:v>
      </x:c>
      <x:c r="J157" s="23" t="str">
        <x:v>SPOT</x:v>
      </x:c>
      <x:c r="K157" s="23" t="str">
        <x:v>favored_only</x:v>
      </x:c>
      <x:c r="L157" s="24" t="b">
        <x:v>1</x:v>
      </x:c>
      <x:c r="M157" s="23" t="n">
        <x:v>1</x:v>
      </x:c>
      <x:c r="N157" s="28" t="n">
        <x:v>46203.92186462963</x:v>
      </x:c>
      <x:c r="O157" s="28" t="n">
        <x:v>46219.812988715275</x:v>
      </x:c>
      <x:c r="P157" s="23" t="str">
        <x:v>CONTAGEM</x:v>
      </x:c>
      <x:c r="Q157" s="30" t="n">
        <x:v>35321</x:v>
      </x:c>
      <x:c r="R157" s="22" t="str">
        <x:f>"19467483"</x:f>
        <x:v>19467483</x:v>
      </x:c>
      <x:c r="S157" s="23" t="str">
        <x:v>masculino</x:v>
      </x:c>
      <x:c r="T157" s="22" t="str">
        <x:f>"HHK9G99"</x:f>
        <x:v>HHK9G99</x:v>
      </x:c>
      <x:c r="U157" s="23" t="str">
        <x:v>ALEXSANDER JUNIOR MARTINS</x:v>
      </x:c>
      <x:c r="V157" s="22" t="str">
        <x:f>"079.919.226-00"</x:f>
        <x:v>079.919.226-00</x:v>
      </x:c>
      <x:c r="W157" s="22" t="str">
        <x:f>"07991922600"</x:f>
        <x:v>07991922600</x:v>
      </x:c>
      <x:c r="X157" s="23" t="str">
        <x:v>alexsander.tito13@gmail.com</x:v>
      </x:c>
      <x:c r="Y157" s="22" t="str">
        <x:f>"3199700786"</x:f>
        <x:v>3199700786</x:v>
      </x:c>
      <x:c r="Z157" s="30" t="n">
        <x:v>46270</x:v>
      </x:c>
    </x:row>
    <x:row r="158" ht="18" customHeight="1">
      <x:c r="A158" s="22" t="str">
        <x:f>"cf1728c6-e74c-47ef-8305-d8d124544068"</x:f>
        <x:v>cf1728c6-e74c-47ef-8305-d8d124544068</x:v>
      </x:c>
      <x:c r="B158" s="23" t="str">
        <x:v>ALEXSANDRO APARECIDO TOLEDO JUNIOR</x:v>
      </x:c>
      <x:c r="C158" s="23" t="str">
        <x:v>alexsandro aparecido toledo junior</x:v>
      </x:c>
      <x:c r="D158" s="22" t="str">
        <x:f>"67.706.502/0001-03"</x:f>
        <x:v>67.706.502/0001-03</x:v>
      </x:c>
      <x:c r="E158" s="22" t="str">
        <x:f>"67706502000103"</x:f>
        <x:v>67706502000103</x:v>
      </x:c>
      <x:c r="F158" s="22" t="str">
        <x:f>"499.324.298-05"</x:f>
        <x:v>499.324.298-05</x:v>
      </x:c>
      <x:c r="G158" s="22" t="str">
        <x:f>"49932429805"</x:f>
        <x:v>49932429805</x:v>
      </x:c>
      <x:c r="H158" s="23" t="str">
        <x:v>toledoalexsandroaparecido@gmail.com</x:v>
      </x:c>
      <x:c r="I158" s="22" t="str">
        <x:f>"+55 14 99731-9002"</x:f>
        <x:v>+55 14 99731-9002</x:v>
      </x:c>
      <x:c r="J158" s="23" t="str">
        <x:v>SPOT</x:v>
      </x:c>
      <x:c r="K158" s="23" t="str">
        <x:v>favored_only</x:v>
      </x:c>
      <x:c r="L158" s="24" t="b">
        <x:v>1</x:v>
      </x:c>
      <x:c r="M158" s="23" t="n">
        <x:v>1</x:v>
      </x:c>
      <x:c r="N158" s="28" t="n">
        <x:v>46219.812988715275</x:v>
      </x:c>
      <x:c r="O158" s="28" t="n">
        <x:v>46219.812988715275</x:v>
      </x:c>
      <x:c r="P158" s="23" t="str">
        <x:v>MARILIA</x:v>
      </x:c>
      <x:c r="Q158" s="30" t="n">
        <x:v>39192</x:v>
      </x:c>
      <x:c r="R158" s="22" t="str">
        <x:f>"561691484"</x:f>
        <x:v>561691484</x:v>
      </x:c>
      <x:c r="S158" s="23" t="str">
        <x:v>masculino</x:v>
      </x:c>
      <x:c r="T158" s="22" t="str">
        <x:f>"AVU1D78"</x:f>
        <x:v>AVU1D78</x:v>
      </x:c>
      <x:c r="U158" s="23" t="str">
        <x:v>ALEXSANDRO APARECIDO TOLEDO JUNIOR</x:v>
      </x:c>
      <x:c r="V158" s="22" t="str">
        <x:f>"499.324.298-05"</x:f>
        <x:v>499.324.298-05</x:v>
      </x:c>
      <x:c r="W158" s="22" t="str">
        <x:f>"49932429805"</x:f>
        <x:v>49932429805</x:v>
      </x:c>
      <x:c r="X158" s="23" t="str">
        <x:v>toledoalexsandroaparecido@gmail.com</x:v>
      </x:c>
      <x:c r="Y158" s="22" t="str">
        <x:f>"+55 14 99731-9002"</x:f>
        <x:v>+55 14 99731-9002</x:v>
      </x:c>
      <x:c r="Z158" s="30" t="n">
        <x:v>46297</x:v>
      </x:c>
    </x:row>
    <x:row r="159" ht="18" customHeight="1">
      <x:c r="A159" s="22" t="str">
        <x:f>"e7ed05fe-66f0-48a9-ac68-df314e59a6d5"</x:f>
        <x:v>e7ed05fe-66f0-48a9-ac68-df314e59a6d5</x:v>
      </x:c>
      <x:c r="B159" s="23" t="str">
        <x:v>ALEXSANDRO DE LIMA CASSAMASSIMO</x:v>
      </x:c>
      <x:c r="C159" s="23" t="str">
        <x:v>alexsandro de lima cassamassimo</x:v>
      </x:c>
      <x:c r="D159" s="22" t="str">
        <x:f>"60.990.364/0001-98"</x:f>
        <x:v>60.990.364/0001-98</x:v>
      </x:c>
      <x:c r="E159" s="22" t="str">
        <x:f>"60990364000198"</x:f>
        <x:v>60990364000198</x:v>
      </x:c>
      <x:c r="F159" s="22" t="str">
        <x:f>"518.193.448-00"</x:f>
        <x:v>518.193.448-00</x:v>
      </x:c>
      <x:c r="G159" s="22" t="str">
        <x:f>"51819344800"</x:f>
        <x:v>51819344800</x:v>
      </x:c>
      <x:c r="H159" s="23" t="str">
        <x:v>alexsandrodelimacassamassimo@gmail.com</x:v>
      </x:c>
      <x:c r="I159" s="22" t="str">
        <x:f>"+55 14 99651-5885"</x:f>
        <x:v>+55 14 99651-5885</x:v>
      </x:c>
      <x:c r="J159" s="23" t="str">
        <x:v>RENTAL</x:v>
      </x:c>
      <x:c r="K159" s="23" t="str">
        <x:v>rental_company</x:v>
      </x:c>
      <x:c r="L159" s="24" t="b">
        <x:v>1</x:v>
      </x:c>
      <x:c r="M159" s="23" t="n">
        <x:v>1</x:v>
      </x:c>
      <x:c r="N159" s="28" t="n">
        <x:v>46203.92189349537</x:v>
      </x:c>
      <x:c r="O159" s="28" t="n">
        <x:v>46219.812988715275</x:v>
      </x:c>
      <x:c r="P159" s="23" t="str">
        <x:v>BAURU</x:v>
      </x:c>
      <x:c r="Q159" s="30" t="n">
        <x:v>37721</x:v>
      </x:c>
      <x:c r="R159" s="22" t="str">
        <x:f>"62.700.445-3"</x:f>
        <x:v>62.700.445-3</x:v>
      </x:c>
      <x:c r="S159" s="23" t="str">
        <x:v>masculino</x:v>
      </x:c>
      <x:c r="T159" s="22" t="str"/>
      <x:c r="U159" s="23" t="str">
        <x:v>ALEXSANDRO DE LIMA CASSAMASSIMO</x:v>
      </x:c>
      <x:c r="V159" s="22" t="str">
        <x:f>"518.193.448-00"</x:f>
        <x:v>518.193.448-00</x:v>
      </x:c>
      <x:c r="W159" s="22" t="str">
        <x:f>"51819344800"</x:f>
        <x:v>51819344800</x:v>
      </x:c>
      <x:c r="X159" s="23" t="str">
        <x:v>alexsandrodelimacassamassimo@gmail.com</x:v>
      </x:c>
      <x:c r="Y159" s="22" t="str">
        <x:f>"+55 14 99651-5885"</x:f>
        <x:v>+55 14 99651-5885</x:v>
      </x:c>
      <x:c r="Z159" s="30" t="n">
        <x:v>46340</x:v>
      </x:c>
    </x:row>
    <x:row r="160" ht="18" customHeight="1">
      <x:c r="A160" s="22" t="str">
        <x:f>"31a0afca-2628-4bb8-b240-fe3f15d61b64"</x:f>
        <x:v>31a0afca-2628-4bb8-b240-fe3f15d61b64</x:v>
      </x:c>
      <x:c r="B160" s="23" t="str">
        <x:v>ALEX SANDRO RICARDO</x:v>
      </x:c>
      <x:c r="C160" s="23" t="str">
        <x:v>alex sandro ricardo</x:v>
      </x:c>
      <x:c r="D160" s="22" t="str">
        <x:f>"60.296.742/0001-38"</x:f>
        <x:v>60.296.742/0001-38</x:v>
      </x:c>
      <x:c r="E160" s="22" t="str">
        <x:f>"60296742000138"</x:f>
        <x:v>60296742000138</x:v>
      </x:c>
      <x:c r="F160" s="22" t="str">
        <x:f>"189.186.148-45"</x:f>
        <x:v>189.186.148-45</x:v>
      </x:c>
      <x:c r="G160" s="22" t="str">
        <x:f>"18918614845"</x:f>
        <x:v>18918614845</x:v>
      </x:c>
      <x:c r="H160" s="23" t="str">
        <x:v>a.sandro1974@gmail.com</x:v>
      </x:c>
      <x:c r="I160" s="22" t="str">
        <x:f>"(16)98836-5834"</x:f>
        <x:v>(16)98836-5834</x:v>
      </x:c>
      <x:c r="J160" s="23" t="str">
        <x:v>SPOT</x:v>
      </x:c>
      <x:c r="K160" s="23" t="str">
        <x:v>favored_only</x:v>
      </x:c>
      <x:c r="L160" s="24" t="b">
        <x:v>1</x:v>
      </x:c>
      <x:c r="M160" s="23" t="n">
        <x:v>1</x:v>
      </x:c>
      <x:c r="N160" s="28" t="n">
        <x:v>46203.921852962965</x:v>
      </x:c>
      <x:c r="O160" s="28" t="n">
        <x:v>46219.812988715275</x:v>
      </x:c>
      <x:c r="P160" s="23" t="str">
        <x:v>SÃO CARLOS</x:v>
      </x:c>
      <x:c r="Q160" s="30" t="n">
        <x:v>27373</x:v>
      </x:c>
      <x:c r="R160" s="22" t="str">
        <x:f>"23.440.404-8"</x:f>
        <x:v>23.440.404-8</x:v>
      </x:c>
      <x:c r="S160" s="23" t="str">
        <x:v>masculino</x:v>
      </x:c>
      <x:c r="T160" s="22" t="str">
        <x:f>"EPX0D58"</x:f>
        <x:v>EPX0D58</x:v>
      </x:c>
      <x:c r="U160" s="23" t="str">
        <x:v>ALEX SANDRO RICARDO</x:v>
      </x:c>
      <x:c r="V160" s="22" t="str">
        <x:f>"189.186.148-45"</x:f>
        <x:v>189.186.148-45</x:v>
      </x:c>
      <x:c r="W160" s="22" t="str">
        <x:f>"18918614845"</x:f>
        <x:v>18918614845</x:v>
      </x:c>
      <x:c r="X160" s="23" t="str">
        <x:v>a.sandro1974@gmail.com</x:v>
      </x:c>
      <x:c r="Y160" s="22" t="str">
        <x:f>"(16)98836-5834"</x:f>
        <x:v>(16)98836-5834</x:v>
      </x:c>
      <x:c r="Z160" s="30" t="n">
        <x:v>46252</x:v>
      </x:c>
    </x:row>
    <x:row r="161" ht="18" customHeight="1">
      <x:c r="A161" s="22" t="str">
        <x:f>"646c62c5-7be8-4906-bf54-4a1a9f099bb6"</x:f>
        <x:v>646c62c5-7be8-4906-bf54-4a1a9f099bb6</x:v>
      </x:c>
      <x:c r="B161" s="23" t="str">
        <x:v>ALEXSANDRO SIMOES SANT ANA</x:v>
      </x:c>
      <x:c r="C161" s="23" t="str">
        <x:v>alexsandro simoes sant ana</x:v>
      </x:c>
      <x:c r="D161" s="22" t="str">
        <x:f>"52.767.082/0001-06"</x:f>
        <x:v>52.767.082/0001-06</x:v>
      </x:c>
      <x:c r="E161" s="22" t="str">
        <x:f>"52767082000106"</x:f>
        <x:v>52767082000106</x:v>
      </x:c>
      <x:c r="F161" s="22" t="str">
        <x:f>"023.911.527-95"</x:f>
        <x:v>023.911.527-95</x:v>
      </x:c>
      <x:c r="G161" s="22" t="str">
        <x:f>"02391152795"</x:f>
        <x:v>02391152795</x:v>
      </x:c>
      <x:c r="H161" s="23" t="str">
        <x:v>alexsandrosimoes001@gmail.com</x:v>
      </x:c>
      <x:c r="I161" s="22" t="str">
        <x:f>"2199228-5051"</x:f>
        <x:v>2199228-5051</x:v>
      </x:c>
      <x:c r="J161" s="23" t="str">
        <x:v>SPOT</x:v>
      </x:c>
      <x:c r="K161" s="23" t="str">
        <x:v>favored_only</x:v>
      </x:c>
      <x:c r="L161" s="24" t="b">
        <x:v>1</x:v>
      </x:c>
      <x:c r="M161" s="23" t="n">
        <x:v>3</x:v>
      </x:c>
      <x:c r="N161" s="28" t="n">
        <x:v>46205.606638784724</x:v>
      </x:c>
      <x:c r="O161" s="28" t="n">
        <x:v>46219.812988715275</x:v>
      </x:c>
      <x:c r="P161" s="23" t="str">
        <x:v>CAMPO GRANDE</x:v>
      </x:c>
      <x:c r="Q161" s="30" t="n">
        <x:v>27256</x:v>
      </x:c>
      <x:c r="R161" s="22" t="str">
        <x:f>"96841267"</x:f>
        <x:v>96841267</x:v>
      </x:c>
      <x:c r="S161" s="23" t="str">
        <x:v>masculino</x:v>
      </x:c>
      <x:c r="T161" s="22" t="str">
        <x:f>"EQB728В"</x:f>
        <x:v>EQB728В</x:v>
      </x:c>
      <x:c r="U161" s="23" t="str">
        <x:v>ALEXSANDRO SIMOES SANT ANA</x:v>
      </x:c>
      <x:c r="V161" s="22" t="str">
        <x:f>"023.911.527-95"</x:f>
        <x:v>023.911.527-95</x:v>
      </x:c>
      <x:c r="W161" s="22" t="str">
        <x:f>"02391152795"</x:f>
        <x:v>02391152795</x:v>
      </x:c>
      <x:c r="X161" s="23" t="str">
        <x:v>alexsandrosimoes001@gmail.com</x:v>
      </x:c>
      <x:c r="Y161" s="22" t="str">
        <x:f>"2199228-5051"</x:f>
        <x:v>2199228-5051</x:v>
      </x:c>
      <x:c r="Z161" s="30" t="n">
        <x:v>46557</x:v>
      </x:c>
    </x:row>
    <x:row r="162" ht="18" customHeight="1">
      <x:c r="A162" s="22" t="str">
        <x:f>"30fef7c1-cf00-4589-ba14-7171844a5d67"</x:f>
        <x:v>30fef7c1-cf00-4589-ba14-7171844a5d67</x:v>
      </x:c>
      <x:c r="B162" s="23" t="str">
        <x:v>ALEX SANTANA DE CARVALHO</x:v>
      </x:c>
      <x:c r="C162" s="23" t="str">
        <x:v>alex santana de carvalho</x:v>
      </x:c>
      <x:c r="D162" s="22" t="str">
        <x:f>"65.492.906/0001-16"</x:f>
        <x:v>65.492.906/0001-16</x:v>
      </x:c>
      <x:c r="E162" s="22" t="str">
        <x:f>"65492906000116"</x:f>
        <x:v>65492906000116</x:v>
      </x:c>
      <x:c r="F162" s="22" t="str">
        <x:f>"493.516.128-05"</x:f>
        <x:v>493.516.128-05</x:v>
      </x:c>
      <x:c r="G162" s="22" t="str">
        <x:f>"49351612805"</x:f>
        <x:v>49351612805</x:v>
      </x:c>
      <x:c r="H162" s="23" t="str">
        <x:v>alexfidojao2017@gmail.com</x:v>
      </x:c>
      <x:c r="I162" s="22" t="str">
        <x:f>"(16)99230-7082"</x:f>
        <x:v>(16)99230-7082</x:v>
      </x:c>
      <x:c r="J162" s="23" t="str">
        <x:v>RENTAL</x:v>
      </x:c>
      <x:c r="K162" s="23" t="str">
        <x:v>rental_company</x:v>
      </x:c>
      <x:c r="L162" s="24" t="b">
        <x:v>1</x:v>
      </x:c>
      <x:c r="M162" s="23" t="n">
        <x:v>1</x:v>
      </x:c>
      <x:c r="N162" s="28" t="n">
        <x:v>46219.812988715275</x:v>
      </x:c>
      <x:c r="O162" s="28" t="n">
        <x:v>46219.812988715275</x:v>
      </x:c>
      <x:c r="P162" s="23" t="str">
        <x:v>SÃO CARLOS</x:v>
      </x:c>
      <x:c r="Q162" s="30" t="n">
        <x:v>35879</x:v>
      </x:c>
      <x:c r="R162" s="22" t="str">
        <x:f>"49977106"</x:f>
        <x:v>49977106</x:v>
      </x:c>
      <x:c r="S162" s="23" t="str">
        <x:v>masculino</x:v>
      </x:c>
      <x:c r="T162" s="22" t="str"/>
      <x:c r="U162" s="23" t="str">
        <x:v>ALEX SANTANA DE CARVALHO</x:v>
      </x:c>
      <x:c r="V162" s="22" t="str">
        <x:f>"493.516.128-05"</x:f>
        <x:v>493.516.128-05</x:v>
      </x:c>
      <x:c r="W162" s="22" t="str">
        <x:f>"49351612805"</x:f>
        <x:v>49351612805</x:v>
      </x:c>
      <x:c r="X162" s="23" t="str">
        <x:v>alexfidojao2017@gmail.com</x:v>
      </x:c>
      <x:c r="Y162" s="22" t="str">
        <x:f>"(16)99230-7082"</x:f>
        <x:v>(16)99230-7082</x:v>
      </x:c>
      <x:c r="Z162" s="30" t="n">
        <x:v>46459</x:v>
      </x:c>
    </x:row>
    <x:row r="163" ht="18" customHeight="1">
      <x:c r="A163" s="22" t="str">
        <x:f>"8453c191-f739-451c-97ee-50aa73d508c7"</x:f>
        <x:v>8453c191-f739-451c-97ee-50aa73d508c7</x:v>
      </x:c>
      <x:c r="B163" s="23" t="str">
        <x:v>ALEX SILVA VASCONCELOS</x:v>
      </x:c>
      <x:c r="C163" s="23" t="str">
        <x:v>alex silva vasconcelos</x:v>
      </x:c>
      <x:c r="D163" s="22" t="str">
        <x:f>"45.008.025/0001-70"</x:f>
        <x:v>45.008.025/0001-70</x:v>
      </x:c>
      <x:c r="E163" s="22" t="str">
        <x:f>"45008025000170"</x:f>
        <x:v>45008025000170</x:v>
      </x:c>
      <x:c r="F163" s="22" t="str">
        <x:f>"117.013.497-10"</x:f>
        <x:v>117.013.497-10</x:v>
      </x:c>
      <x:c r="G163" s="22" t="str">
        <x:f>"11701349710"</x:f>
        <x:v>11701349710</x:v>
      </x:c>
      <x:c r="H163" s="23" t="str">
        <x:v>vasconcelos.alex17@gmail.com</x:v>
      </x:c>
      <x:c r="I163" s="22" t="str">
        <x:f>"21982217211"</x:f>
        <x:v>21982217211</x:v>
      </x:c>
      <x:c r="J163" s="23" t="str">
        <x:v>SPOT</x:v>
      </x:c>
      <x:c r="K163" s="23" t="str">
        <x:v>favored_only</x:v>
      </x:c>
      <x:c r="L163" s="24" t="b">
        <x:v>1</x:v>
      </x:c>
      <x:c r="M163" s="23" t="n">
        <x:v>1</x:v>
      </x:c>
      <x:c r="N163" s="28" t="n">
        <x:v>46203.921887453704</x:v>
      </x:c>
      <x:c r="O163" s="28" t="n">
        <x:v>46219.812988715275</x:v>
      </x:c>
      <x:c r="P163" s="23" t="str">
        <x:v>CAMPO GRANDE</x:v>
      </x:c>
      <x:c r="Q163" s="30" t="n">
        <x:v>32410</x:v>
      </x:c>
      <x:c r="R163" s="22" t="str">
        <x:f>"212817688"</x:f>
        <x:v>212817688</x:v>
      </x:c>
      <x:c r="S163" s="23" t="str">
        <x:v>masculino</x:v>
      </x:c>
      <x:c r="T163" s="22" t="str">
        <x:f>"KWV6J97"</x:f>
        <x:v>KWV6J97</x:v>
      </x:c>
      <x:c r="U163" s="23" t="str">
        <x:v>ALEX SILVA VASCONCELOS</x:v>
      </x:c>
      <x:c r="V163" s="22" t="str">
        <x:f>"117.013.497-10"</x:f>
        <x:v>117.013.497-10</x:v>
      </x:c>
      <x:c r="W163" s="22" t="str">
        <x:f>"11701349710"</x:f>
        <x:v>11701349710</x:v>
      </x:c>
      <x:c r="X163" s="23" t="str">
        <x:v>Vasconcelos.alex17@gmail.com</x:v>
      </x:c>
      <x:c r="Y163" s="22" t="str">
        <x:f>"21982217211"</x:f>
        <x:v>21982217211</x:v>
      </x:c>
      <x:c r="Z163" s="30" t="n">
        <x:v>46332</x:v>
      </x:c>
    </x:row>
    <x:row r="164" ht="18" customHeight="1">
      <x:c r="A164" s="22" t="str">
        <x:f>"bdd7e181-3801-49aa-b839-590c55384570"</x:f>
        <x:v>bdd7e181-3801-49aa-b839-590c55384570</x:v>
      </x:c>
      <x:c r="B164" s="23" t="str">
        <x:v>ALEX SILVA VASCONCELOS</x:v>
      </x:c>
      <x:c r="C164" s="23" t="str">
        <x:v>alex silva vasconcelos</x:v>
      </x:c>
      <x:c r="D164" s="22" t="str">
        <x:f>"63.402.996/0001-81"</x:f>
        <x:v>63.402.996/0001-81</x:v>
      </x:c>
      <x:c r="E164" s="22" t="str">
        <x:f>"63402996000181"</x:f>
        <x:v>63402996000181</x:v>
      </x:c>
      <x:c r="F164" s="22" t="str">
        <x:f>"117.013.497-10"</x:f>
        <x:v>117.013.497-10</x:v>
      </x:c>
      <x:c r="G164" s="22" t="str">
        <x:f>"11701349710"</x:f>
        <x:v>11701349710</x:v>
      </x:c>
      <x:c r="H164" s="23" t="str">
        <x:v>vasconcelos.alex17@gmail.com</x:v>
      </x:c>
      <x:c r="I164" s="22" t="str">
        <x:f>"21982217211"</x:f>
        <x:v>21982217211</x:v>
      </x:c>
      <x:c r="J164" s="23" t="str">
        <x:v>SPOT</x:v>
      </x:c>
      <x:c r="K164" s="23" t="str">
        <x:v>favored_only</x:v>
      </x:c>
      <x:c r="L164" s="24" t="b">
        <x:v>1</x:v>
      </x:c>
      <x:c r="M164" s="23" t="n">
        <x:v>1</x:v>
      </x:c>
      <x:c r="N164" s="28" t="n">
        <x:v>46205.606298784725</x:v>
      </x:c>
      <x:c r="O164" s="28" t="n">
        <x:v>46219.812988715275</x:v>
      </x:c>
      <x:c r="P164" s="23" t="str">
        <x:v>CAMPO GRANDE</x:v>
      </x:c>
      <x:c r="Q164" s="30" t="n">
        <x:v>32410</x:v>
      </x:c>
      <x:c r="R164" s="22" t="str">
        <x:f>"212817688"</x:f>
        <x:v>212817688</x:v>
      </x:c>
      <x:c r="S164" s="23" t="str">
        <x:v>masculino</x:v>
      </x:c>
      <x:c r="T164" s="22" t="str">
        <x:f>"KWV6J97"</x:f>
        <x:v>KWV6J97</x:v>
      </x:c>
      <x:c r="U164" s="23" t="str">
        <x:v>LUIZA FILGUEIRAS FREITAS DOS ANJOS</x:v>
      </x:c>
      <x:c r="V164" s="22" t="str">
        <x:f>"183.167.297-92"</x:f>
        <x:v>183.167.297-92</x:v>
      </x:c>
      <x:c r="W164" s="22" t="str">
        <x:f>"18316729792"</x:f>
        <x:v>18316729792</x:v>
      </x:c>
      <x:c r="X164" s="23" t="str">
        <x:v>luizafilgueirasfreitas16@gmail.com</x:v>
      </x:c>
      <x:c r="Y164" s="22" t="str">
        <x:f>"21979072264"</x:f>
        <x:v>21979072264</x:v>
      </x:c>
      <x:c r="Z164" s="30" t="n">
        <x:v>46332</x:v>
      </x:c>
    </x:row>
    <x:row r="165" ht="18" customHeight="1">
      <x:c r="A165" s="22" t="str">
        <x:f>"f0fc3039-08a6-47f5-8e7c-afd8a00161a7"</x:f>
        <x:v>f0fc3039-08a6-47f5-8e7c-afd8a00161a7</x:v>
      </x:c>
      <x:c r="B165" s="23" t="str">
        <x:v>ALEX SILVA VASCONCELOS</x:v>
      </x:c>
      <x:c r="C165" s="23" t="str">
        <x:v>alex silva vasconcelos</x:v>
      </x:c>
      <x:c r="D165" s="22" t="str">
        <x:f>"63.789.775/0001-08"</x:f>
        <x:v>63.789.775/0001-08</x:v>
      </x:c>
      <x:c r="E165" s="22" t="str">
        <x:f>"63789775000108"</x:f>
        <x:v>63789775000108</x:v>
      </x:c>
      <x:c r="F165" s="22" t="str">
        <x:f>"117.013.497-10"</x:f>
        <x:v>117.013.497-10</x:v>
      </x:c>
      <x:c r="G165" s="22" t="str">
        <x:f>"11701349710"</x:f>
        <x:v>11701349710</x:v>
      </x:c>
      <x:c r="H165" s="23" t="str">
        <x:v>vasconcelos.alex17@gmail.com</x:v>
      </x:c>
      <x:c r="I165" s="22" t="str">
        <x:f>"2198221-7211"</x:f>
        <x:v>2198221-7211</x:v>
      </x:c>
      <x:c r="J165" s="23" t="str">
        <x:v>SPOT</x:v>
      </x:c>
      <x:c r="K165" s="23" t="str">
        <x:v>favored_only</x:v>
      </x:c>
      <x:c r="L165" s="24" t="b">
        <x:v>1</x:v>
      </x:c>
      <x:c r="M165" s="23" t="n">
        <x:v>1</x:v>
      </x:c>
      <x:c r="N165" s="28" t="n">
        <x:v>46205.606259803244</x:v>
      </x:c>
      <x:c r="O165" s="28" t="n">
        <x:v>46219.812988715275</x:v>
      </x:c>
      <x:c r="P165" s="23" t="str">
        <x:v>CAMPO GRANDE</x:v>
      </x:c>
      <x:c r="Q165" s="30" t="n">
        <x:v>32410</x:v>
      </x:c>
      <x:c r="R165" s="22" t="str">
        <x:f>"212817688"</x:f>
        <x:v>212817688</x:v>
      </x:c>
      <x:c r="S165" s="23" t="str">
        <x:v>masculino</x:v>
      </x:c>
      <x:c r="T165" s="22" t="str">
        <x:f>"KWV6J97"</x:f>
        <x:v>KWV6J97</x:v>
      </x:c>
      <x:c r="U165" s="23" t="str">
        <x:v>EURIDES SOUZA SILVA VASCONCELOS</x:v>
      </x:c>
      <x:c r="V165" s="22" t="str">
        <x:f>"403.212.905-34"</x:f>
        <x:v>403.212.905-34</x:v>
      </x:c>
      <x:c r="W165" s="22" t="str">
        <x:f>"40321290534"</x:f>
        <x:v>40321290534</x:v>
      </x:c>
      <x:c r="X165" s="23" t="str">
        <x:v>vasconcelos.alex17@gmail.com</x:v>
      </x:c>
      <x:c r="Y165" s="22" t="str">
        <x:f>"2198221-7211"</x:f>
        <x:v>2198221-7211</x:v>
      </x:c>
      <x:c r="Z165" s="30" t="n">
        <x:v>46332</x:v>
      </x:c>
    </x:row>
    <x:row r="166" ht="18" customHeight="1">
      <x:c r="A166" s="22" t="str">
        <x:f>"3e65da16-10a4-4106-8bf1-7a3ba58c2b00"</x:f>
        <x:v>3e65da16-10a4-4106-8bf1-7a3ba58c2b00</x:v>
      </x:c>
      <x:c r="B166" s="23" t="str">
        <x:v>ALEX VIEIRA DA SILVA</x:v>
      </x:c>
      <x:c r="C166" s="23" t="str">
        <x:v>alex vieira da silva</x:v>
      </x:c>
      <x:c r="D166" s="22" t="str">
        <x:f>"58.939.982/0001-61"</x:f>
        <x:v>58.939.982/0001-61</x:v>
      </x:c>
      <x:c r="E166" s="22" t="str">
        <x:f>"58939982000161"</x:f>
        <x:v>58939982000161</x:v>
      </x:c>
      <x:c r="F166" s="22" t="str">
        <x:f>"018.865.271-05"</x:f>
        <x:v>018.865.271-05</x:v>
      </x:c>
      <x:c r="G166" s="22" t="str">
        <x:f>"01886527105"</x:f>
        <x:v>01886527105</x:v>
      </x:c>
      <x:c r="H166" s="23" t="str">
        <x:v>alexvieirasilva03@gmail.com</x:v>
      </x:c>
      <x:c r="I166" s="22" t="str">
        <x:f>"6599237-7994"</x:f>
        <x:v>6599237-7994</x:v>
      </x:c>
      <x:c r="J166" s="23" t="str">
        <x:v>RENTAL</x:v>
      </x:c>
      <x:c r="K166" s="23" t="str">
        <x:v>rental_company</x:v>
      </x:c>
      <x:c r="L166" s="24" t="b">
        <x:v>1</x:v>
      </x:c>
      <x:c r="M166" s="23" t="n">
        <x:v>1</x:v>
      </x:c>
      <x:c r="N166" s="28" t="n">
        <x:v>46219.812988715275</x:v>
      </x:c>
      <x:c r="O166" s="28" t="n">
        <x:v>46219.812988715275</x:v>
      </x:c>
      <x:c r="P166" s="23" t="str">
        <x:v>CUIABA</x:v>
      </x:c>
      <x:c r="Q166" s="30" t="n">
        <x:v>31778</x:v>
      </x:c>
      <x:c r="R166" s="22" t="str">
        <x:f>"18865277105"</x:f>
        <x:v>18865277105</x:v>
      </x:c>
      <x:c r="S166" s="23" t="str">
        <x:v>masculino</x:v>
      </x:c>
      <x:c r="T166" s="22" t="str"/>
      <x:c r="U166" s="23" t="str">
        <x:v>ALEX VIEIRA DA SILVA</x:v>
      </x:c>
      <x:c r="V166" s="22" t="str">
        <x:f>"018.865.271-05"</x:f>
        <x:v>018.865.271-05</x:v>
      </x:c>
      <x:c r="W166" s="22" t="str">
        <x:f>"01886527105"</x:f>
        <x:v>01886527105</x:v>
      </x:c>
      <x:c r="X166" s="23" t="str">
        <x:v>alexvieirasilva03@gmail.com</x:v>
      </x:c>
      <x:c r="Y166" s="22" t="str">
        <x:f>"6599237-7994"</x:f>
        <x:v>6599237-7994</x:v>
      </x:c>
      <x:c r="Z166" s="30" t="n">
        <x:v>46568</x:v>
      </x:c>
    </x:row>
    <x:row r="167" ht="18" customHeight="1">
      <x:c r="A167" s="22" t="str">
        <x:f>"6b6d320f-14a1-4435-9246-d31e471235eb"</x:f>
        <x:v>6b6d320f-14a1-4435-9246-d31e471235eb</x:v>
      </x:c>
      <x:c r="B167" s="23" t="str">
        <x:v>ALEX VINICIUS SCARPELLI CRISTINO DE MORAES</x:v>
      </x:c>
      <x:c r="C167" s="23" t="str">
        <x:v>alex vinicius scarpelli cristino de moraes</x:v>
      </x:c>
      <x:c r="D167" s="22" t="str">
        <x:f>"65.831.015/0001-47"</x:f>
        <x:v>65.831.015/0001-47</x:v>
      </x:c>
      <x:c r="E167" s="22" t="str">
        <x:f>"65831015000147"</x:f>
        <x:v>65831015000147</x:v>
      </x:c>
      <x:c r="F167" s="22" t="str">
        <x:f>"704.244.916-99"</x:f>
        <x:v>704.244.916-99</x:v>
      </x:c>
      <x:c r="G167" s="22" t="str">
        <x:f>"70424491699"</x:f>
        <x:v>70424491699</x:v>
      </x:c>
      <x:c r="H167" s="23" t="str">
        <x:v>alexvinicius140@gmail.com</x:v>
      </x:c>
      <x:c r="I167" s="22" t="str">
        <x:f>"34991282023"</x:f>
        <x:v>34991282023</x:v>
      </x:c>
      <x:c r="J167" s="23" t="str">
        <x:v>RENTAL</x:v>
      </x:c>
      <x:c r="K167" s="23" t="str">
        <x:v>rental_company</x:v>
      </x:c>
      <x:c r="L167" s="24" t="b">
        <x:v>1</x:v>
      </x:c>
      <x:c r="M167" s="23" t="n">
        <x:v>1</x:v>
      </x:c>
      <x:c r="N167" s="28" t="n">
        <x:v>46219.812988715275</x:v>
      </x:c>
      <x:c r="O167" s="28" t="n">
        <x:v>46219.812988715275</x:v>
      </x:c>
      <x:c r="P167" s="23" t="str">
        <x:v>UBERLANDIA</x:v>
      </x:c>
      <x:c r="Q167" s="30" t="n">
        <x:v>37824</x:v>
      </x:c>
      <x:c r="R167" s="22" t="str">
        <x:f>"22483506"</x:f>
        <x:v>22483506</x:v>
      </x:c>
      <x:c r="S167" s="23" t="str">
        <x:v>masculino</x:v>
      </x:c>
      <x:c r="T167" s="22" t="str"/>
      <x:c r="U167" s="23" t="str">
        <x:v>ALEX VINICIUS SCARPELLI CRISTINO DE MORAES</x:v>
      </x:c>
      <x:c r="V167" s="22" t="str">
        <x:f>"704.244.916-99"</x:f>
        <x:v>704.244.916-99</x:v>
      </x:c>
      <x:c r="W167" s="22" t="str">
        <x:f>"70424491699"</x:f>
        <x:v>70424491699</x:v>
      </x:c>
      <x:c r="X167" s="23" t="str">
        <x:v>alexvinicius140@gmail.com</x:v>
      </x:c>
      <x:c r="Y167" s="22" t="str">
        <x:f>"34991282023"</x:f>
        <x:v>34991282023</x:v>
      </x:c>
      <x:c r="Z167" s="30" t="n">
        <x:v>46491</x:v>
      </x:c>
    </x:row>
    <x:row r="168" ht="18" customHeight="1">
      <x:c r="A168" s="22" t="str">
        <x:f>"b8805903-cf83-45da-8fa2-0a9a0e9bca94"</x:f>
        <x:v>b8805903-cf83-45da-8fa2-0a9a0e9bca94</x:v>
      </x:c>
      <x:c r="B168" s="23" t="str">
        <x:v>ALEX VITORINO BRANDAO</x:v>
      </x:c>
      <x:c r="C168" s="23" t="str">
        <x:v>alex vitorino brandao</x:v>
      </x:c>
      <x:c r="D168" s="22" t="str">
        <x:f>"63.618.703/0001-06"</x:f>
        <x:v>63.618.703/0001-06</x:v>
      </x:c>
      <x:c r="E168" s="22" t="str">
        <x:f>"63618703000106"</x:f>
        <x:v>63618703000106</x:v>
      </x:c>
      <x:c r="F168" s="22" t="str">
        <x:f>"061.446.776-40"</x:f>
        <x:v>061.446.776-40</x:v>
      </x:c>
      <x:c r="G168" s="22" t="str">
        <x:f>"06144677640"</x:f>
        <x:v>06144677640</x:v>
      </x:c>
      <x:c r="H168" s="23" t="str">
        <x:v>alexvitorino03@gmail.com</x:v>
      </x:c>
      <x:c r="I168" s="22" t="str">
        <x:f>"(31)99402-7830"</x:f>
        <x:v>(31)99402-7830</x:v>
      </x:c>
      <x:c r="J168" s="23" t="str">
        <x:v>SPOT</x:v>
      </x:c>
      <x:c r="K168" s="23" t="str">
        <x:v>favored_only</x:v>
      </x:c>
      <x:c r="L168" s="24" t="b">
        <x:v>1</x:v>
      </x:c>
      <x:c r="M168" s="23" t="n">
        <x:v>1</x:v>
      </x:c>
      <x:c r="N168" s="28" t="n">
        <x:v>46205.60622707176</x:v>
      </x:c>
      <x:c r="O168" s="28" t="n">
        <x:v>46219.812988715275</x:v>
      </x:c>
      <x:c r="P168" s="23" t="str">
        <x:v>VESPASIANO</x:v>
      </x:c>
      <x:c r="Q168" s="30" t="n">
        <x:v>30562</x:v>
      </x:c>
      <x:c r="R168" s="22" t="str">
        <x:f>"RG: MG12044718"</x:f>
        <x:v>RG: MG12044718</x:v>
      </x:c>
      <x:c r="S168" s="23" t="str">
        <x:v>masculino</x:v>
      </x:c>
      <x:c r="T168" s="22" t="str">
        <x:f>"QMU6J09"</x:f>
        <x:v>QMU6J09</x:v>
      </x:c>
      <x:c r="U168" s="23" t="str">
        <x:v>BRUNA MONTANARI GONCALVES VITORINO</x:v>
      </x:c>
      <x:c r="V168" s="22" t="str">
        <x:f>"072.911.906-81"</x:f>
        <x:v>072.911.906-81</x:v>
      </x:c>
      <x:c r="W168" s="22" t="str">
        <x:f>"07291190681"</x:f>
        <x:v>07291190681</x:v>
      </x:c>
      <x:c r="X168" s="23" t="str">
        <x:v>montanaribruna@yahoo.com.br</x:v>
      </x:c>
      <x:c r="Y168" s="22" t="str">
        <x:f>"(31)994134011"</x:f>
        <x:v>(31)994134011</x:v>
      </x:c>
      <x:c r="Z168" s="30" t="n">
        <x:v>46350</x:v>
      </x:c>
    </x:row>
    <x:row r="169" ht="18" customHeight="1">
      <x:c r="A169" s="22" t="str">
        <x:f>"76feb1ed-1d37-40fc-a373-71e14e8f2123"</x:f>
        <x:v>76feb1ed-1d37-40fc-a373-71e14e8f2123</x:v>
      </x:c>
      <x:c r="B169" s="23" t="str">
        <x:v>ALFREDO AUGUSTO ROQUE FERREIRA</x:v>
      </x:c>
      <x:c r="C169" s="23" t="str">
        <x:v>alfredo augusto roque ferreira</x:v>
      </x:c>
      <x:c r="D169" s="22" t="str">
        <x:f>"50.195.863/0001-30"</x:f>
        <x:v>50.195.863/0001-30</x:v>
      </x:c>
      <x:c r="E169" s="22" t="str">
        <x:f>"50195863000130"</x:f>
        <x:v>50195863000130</x:v>
      </x:c>
      <x:c r="F169" s="22" t="str">
        <x:f>"148.028.536-61"</x:f>
        <x:v>148.028.536-61</x:v>
      </x:c>
      <x:c r="G169" s="22" t="str">
        <x:f>"14802853661"</x:f>
        <x:v>14802853661</x:v>
      </x:c>
      <x:c r="H169" s="23" t="str">
        <x:v>alfredokz072@gmail.com</x:v>
      </x:c>
      <x:c r="I169" s="22" t="str">
        <x:f>"37 99996-7453"</x:f>
        <x:v>37 99996-7453</x:v>
      </x:c>
      <x:c r="J169" s="23" t="str">
        <x:v>SPOT</x:v>
      </x:c>
      <x:c r="K169" s="23" t="str">
        <x:v>favored_only</x:v>
      </x:c>
      <x:c r="L169" s="24" t="b">
        <x:v>1</x:v>
      </x:c>
      <x:c r="M169" s="23" t="n">
        <x:v>1</x:v>
      </x:c>
      <x:c r="N169" s="28" t="n">
        <x:v>46205.60446673611</x:v>
      </x:c>
      <x:c r="O169" s="28" t="n">
        <x:v>46219.812988715275</x:v>
      </x:c>
      <x:c r="P169" s="23" t="str">
        <x:v>ARAXÁ</x:v>
      </x:c>
      <x:c r="Q169" s="30" t="n">
        <x:v>37323</x:v>
      </x:c>
      <x:c r="R169" s="22" t="str">
        <x:f>"MG21210731"</x:f>
        <x:v>MG21210731</x:v>
      </x:c>
      <x:c r="S169" s="23" t="str">
        <x:v>masculino</x:v>
      </x:c>
      <x:c r="T169" s="22" t="str">
        <x:f>"HOE4457"</x:f>
        <x:v>HOE4457</x:v>
      </x:c>
      <x:c r="U169" s="23" t="str">
        <x:v>LEONARDO BERNARDINO DOS SANTOS JUNIOR</x:v>
      </x:c>
      <x:c r="V169" s="22" t="str">
        <x:f>"142.967.006-18"</x:f>
        <x:v>142.967.006-18</x:v>
      </x:c>
      <x:c r="W169" s="22" t="str">
        <x:f>"14296700618"</x:f>
        <x:v>14296700618</x:v>
      </x:c>
      <x:c r="X169" s="23" t="str">
        <x:v>leozinhobernadinokz@gmail.com</x:v>
      </x:c>
      <x:c r="Y169" s="22" t="str">
        <x:f>"37 9778-6884"</x:f>
        <x:v>37 9778-6884</x:v>
      </x:c>
      <x:c r="Z169" s="30" t="n">
        <x:v>46277</x:v>
      </x:c>
    </x:row>
    <x:row r="170" ht="18" customHeight="1">
      <x:c r="A170" s="22" t="str">
        <x:f>"2094e93f-69fc-455f-b36c-9638aec4f75b"</x:f>
        <x:v>2094e93f-69fc-455f-b36c-9638aec4f75b</x:v>
      </x:c>
      <x:c r="B170" s="23" t="str">
        <x:v>ALFREDO REZK JUNIOR</x:v>
      </x:c>
      <x:c r="C170" s="23" t="str">
        <x:v>alfredo rezk junior</x:v>
      </x:c>
      <x:c r="D170" s="22" t="str">
        <x:f>"63.800.468/0001-80"</x:f>
        <x:v>63.800.468/0001-80</x:v>
      </x:c>
      <x:c r="E170" s="22" t="str">
        <x:f>"63800468000180"</x:f>
        <x:v>63800468000180</x:v>
      </x:c>
      <x:c r="F170" s="22" t="str">
        <x:f>"399.481.258-51"</x:f>
        <x:v>399.481.258-51</x:v>
      </x:c>
      <x:c r="G170" s="22" t="str">
        <x:f>"39948125851"</x:f>
        <x:v>39948125851</x:v>
      </x:c>
      <x:c r="H170" s="23" t="str">
        <x:v>rzk.adm@outlook.com</x:v>
      </x:c>
      <x:c r="I170" s="22" t="str">
        <x:f>"11 97466-6950"</x:f>
        <x:v>11 97466-6950</x:v>
      </x:c>
      <x:c r="J170" s="23" t="str">
        <x:v>RENTAL</x:v>
      </x:c>
      <x:c r="K170" s="23" t="str">
        <x:v>rental_company</x:v>
      </x:c>
      <x:c r="L170" s="24" t="b">
        <x:v>1</x:v>
      </x:c>
      <x:c r="M170" s="23" t="n">
        <x:v>1</x:v>
      </x:c>
      <x:c r="N170" s="28" t="n">
        <x:v>46219.812988715275</x:v>
      </x:c>
      <x:c r="O170" s="28" t="n">
        <x:v>46219.812988715275</x:v>
      </x:c>
      <x:c r="P170" s="23" t="str">
        <x:v>BARUERI</x:v>
      </x:c>
      <x:c r="Q170" s="30" t="n">
        <x:v>33608</x:v>
      </x:c>
      <x:c r="R170" s="22" t="str">
        <x:f>"36.341.818-2"</x:f>
        <x:v>36.341.818-2</x:v>
      </x:c>
      <x:c r="S170" s="23" t="str">
        <x:v>masculino</x:v>
      </x:c>
      <x:c r="T170" s="22" t="str"/>
      <x:c r="U170" s="23" t="str">
        <x:v>ALFREDO REZK JUNIOR</x:v>
      </x:c>
      <x:c r="V170" s="22" t="str">
        <x:f>"399.481.258-51"</x:f>
        <x:v>399.481.258-51</x:v>
      </x:c>
      <x:c r="W170" s="22" t="str">
        <x:f>"39948125851"</x:f>
        <x:v>39948125851</x:v>
      </x:c>
      <x:c r="X170" s="23" t="str">
        <x:v>rzk.adm@outlook.com</x:v>
      </x:c>
      <x:c r="Y170" s="22" t="str">
        <x:f>"11 97466-6950"</x:f>
        <x:v>11 97466-6950</x:v>
      </x:c>
      <x:c r="Z170" s="30" t="n">
        <x:v>46441</x:v>
      </x:c>
    </x:row>
    <x:row r="171" ht="18" customHeight="1">
      <x:c r="A171" s="22" t="str">
        <x:f>"eb8a501d-f784-4602-9fbe-0c31b101d6e8"</x:f>
        <x:v>eb8a501d-f784-4602-9fbe-0c31b101d6e8</x:v>
      </x:c>
      <x:c r="B171" s="23" t="str">
        <x:v>ALICE RODRIGUES DA SILVA</x:v>
      </x:c>
      <x:c r="C171" s="23" t="str">
        <x:v>alice rodrigues da silva</x:v>
      </x:c>
      <x:c r="D171" s="22" t="str">
        <x:f>"62.158.529/0001-95"</x:f>
        <x:v>62.158.529/0001-95</x:v>
      </x:c>
      <x:c r="E171" s="22" t="str">
        <x:f>"62158529000195"</x:f>
        <x:v>62158529000195</x:v>
      </x:c>
      <x:c r="F171" s="22" t="str">
        <x:f>"021.767.636-70"</x:f>
        <x:v>021.767.636-70</x:v>
      </x:c>
      <x:c r="G171" s="22" t="str">
        <x:f>"02176763670"</x:f>
        <x:v>02176763670</x:v>
      </x:c>
      <x:c r="H171" s="23" t="str">
        <x:v>alicerodrigues13051999@gmail.com</x:v>
      </x:c>
      <x:c r="I171" s="22" t="str">
        <x:f>"35999510415"</x:f>
        <x:v>35999510415</x:v>
      </x:c>
      <x:c r="J171" s="23" t="str">
        <x:v>RENTAL</x:v>
      </x:c>
      <x:c r="K171" s="23" t="str">
        <x:v>rental_company</x:v>
      </x:c>
      <x:c r="L171" s="24" t="b">
        <x:v>1</x:v>
      </x:c>
      <x:c r="M171" s="23" t="n">
        <x:v>1</x:v>
      </x:c>
      <x:c r="N171" s="28" t="n">
        <x:v>46203.921852962965</x:v>
      </x:c>
      <x:c r="O171" s="28" t="n">
        <x:v>46219.812988715275</x:v>
      </x:c>
      <x:c r="P171" s="23" t="str">
        <x:v>POUSO ALEGRE</x:v>
      </x:c>
      <x:c r="Q171" s="30" t="n">
        <x:v>36293</x:v>
      </x:c>
      <x:c r="R171" s="22" t="str">
        <x:f>"20464215"</x:f>
        <x:v>20464215</x:v>
      </x:c>
      <x:c r="S171" s="23" t="str">
        <x:v>feminino</x:v>
      </x:c>
      <x:c r="T171" s="22" t="str"/>
      <x:c r="U171" s="23" t="str">
        <x:v>ALICE RODRIGUES DA SILVA</x:v>
      </x:c>
      <x:c r="V171" s="22" t="str">
        <x:f>"021.767.636-70"</x:f>
        <x:v>021.767.636-70</x:v>
      </x:c>
      <x:c r="W171" s="22" t="str">
        <x:f>"02176763670"</x:f>
        <x:v>02176763670</x:v>
      </x:c>
      <x:c r="X171" s="23" t="str">
        <x:v>alicerodrigues13051999@gmail.com</x:v>
      </x:c>
      <x:c r="Y171" s="22" t="str">
        <x:f>"35999510415"</x:f>
        <x:v>35999510415</x:v>
      </x:c>
      <x:c r="Z171" s="30" t="n">
        <x:v>46253</x:v>
      </x:c>
    </x:row>
    <x:row r="172" ht="18" customHeight="1">
      <x:c r="A172" s="22" t="str">
        <x:f>"0e3d677e-1a66-4105-9b67-493b5582b068"</x:f>
        <x:v>0e3d677e-1a66-4105-9b67-493b5582b068</x:v>
      </x:c>
      <x:c r="B172" s="23" t="str">
        <x:v>ALINE DA SILVA RODRIGUES</x:v>
      </x:c>
      <x:c r="C172" s="23" t="str">
        <x:v>aline da silva rodrigues</x:v>
      </x:c>
      <x:c r="D172" s="22" t="str">
        <x:f>"61.719.148/0001-75"</x:f>
        <x:v>61.719.148/0001-75</x:v>
      </x:c>
      <x:c r="E172" s="22" t="str">
        <x:f>"61719148000175"</x:f>
        <x:v>61719148000175</x:v>
      </x:c>
      <x:c r="F172" s="22" t="str">
        <x:f>"528.990.388-77"</x:f>
        <x:v>528.990.388-77</x:v>
      </x:c>
      <x:c r="G172" s="22" t="str">
        <x:f>"52899038877"</x:f>
        <x:v>52899038877</x:v>
      </x:c>
      <x:c r="H172" s="23" t="str">
        <x:v>Alinedasilvaro@gmail.com</x:v>
      </x:c>
      <x:c r="I172" s="22" t="str">
        <x:f>"17992199779"</x:f>
        <x:v>17992199779</x:v>
      </x:c>
      <x:c r="J172" s="23" t="str">
        <x:v>RENTAL</x:v>
      </x:c>
      <x:c r="K172" s="23" t="str">
        <x:v>rental_company</x:v>
      </x:c>
      <x:c r="L172" s="24" t="b">
        <x:v>1</x:v>
      </x:c>
      <x:c r="M172" s="23" t="n">
        <x:v>1</x:v>
      </x:c>
      <x:c r="N172" s="28" t="n">
        <x:v>46203.921840393516</x:v>
      </x:c>
      <x:c r="O172" s="28" t="n">
        <x:v>46205.604880590276</x:v>
      </x:c>
      <x:c r="P172" s="23" t="str">
        <x:v>BARRETOS</x:v>
      </x:c>
      <x:c r="Q172" s="30" t="n">
        <x:v>37415</x:v>
      </x:c>
      <x:c r="R172" s="22" t="str">
        <x:f>"569378916"</x:f>
        <x:v>569378916</x:v>
      </x:c>
      <x:c r="S172" s="23" t="str">
        <x:v>Feminino</x:v>
      </x:c>
      <x:c r="T172" s="22" t="str"/>
      <x:c r="U172" s="23" t="str">
        <x:v>ALINE DA SILVA RODRIGUES</x:v>
      </x:c>
      <x:c r="V172" s="22" t="str">
        <x:f>"528.990.388-77"</x:f>
        <x:v>528.990.388-77</x:v>
      </x:c>
      <x:c r="W172" s="22" t="str">
        <x:f>"52899038877"</x:f>
        <x:v>52899038877</x:v>
      </x:c>
      <x:c r="X172" s="23" t="str">
        <x:v>Alinedasilvaro@gmail.com</x:v>
      </x:c>
      <x:c r="Y172" s="22" t="str">
        <x:f>"17992199779"</x:f>
        <x:v>17992199779</x:v>
      </x:c>
      <x:c r="Z172" s="30" t="n">
        <x:v>46217</x:v>
      </x:c>
    </x:row>
    <x:row r="173" ht="18" customHeight="1">
      <x:c r="A173" s="22" t="str">
        <x:f>"998fc8e8-8744-47e0-8c52-db89063011f9"</x:f>
        <x:v>998fc8e8-8744-47e0-8c52-db89063011f9</x:v>
      </x:c>
      <x:c r="B173" s="23" t="str">
        <x:v>ALINE DE ALBUQUERQUE FAUSTINO</x:v>
      </x:c>
      <x:c r="C173" s="23" t="str">
        <x:v>aline de albuquerque faustino</x:v>
      </x:c>
      <x:c r="D173" s="22" t="str">
        <x:f>"63.953.857/0001-46"</x:f>
        <x:v>63.953.857/0001-46</x:v>
      </x:c>
      <x:c r="E173" s="22" t="str">
        <x:f>"63953857000146"</x:f>
        <x:v>63953857000146</x:v>
      </x:c>
      <x:c r="F173" s="22" t="str">
        <x:f>"099.802.397-35"</x:f>
        <x:v>099.802.397-35</x:v>
      </x:c>
      <x:c r="G173" s="22" t="str">
        <x:f>"09980239735"</x:f>
        <x:v>09980239735</x:v>
      </x:c>
      <x:c r="H173" s="23" t="str">
        <x:v>alinefaustino.gabriel@gmail.com</x:v>
      </x:c>
      <x:c r="I173" s="22" t="str">
        <x:f>"21 990781131"</x:f>
        <x:v>21 990781131</x:v>
      </x:c>
      <x:c r="J173" s="23" t="str">
        <x:v>SPOT</x:v>
      </x:c>
      <x:c r="K173" s="23" t="str">
        <x:v>favored_only</x:v>
      </x:c>
      <x:c r="L173" s="24" t="b">
        <x:v>1</x:v>
      </x:c>
      <x:c r="M173" s="23" t="n">
        <x:v>1</x:v>
      </x:c>
      <x:c r="N173" s="28" t="n">
        <x:v>46219.812988715275</x:v>
      </x:c>
      <x:c r="O173" s="28" t="n">
        <x:v>46219.812988715275</x:v>
      </x:c>
      <x:c r="P173" s="23" t="str">
        <x:v>CORDOVIL</x:v>
      </x:c>
      <x:c r="Q173" s="30" t="n">
        <x:v>30272</x:v>
      </x:c>
      <x:c r="R173" s="22" t="str">
        <x:f>"13.059.485-6"</x:f>
        <x:v>13.059.485-6</x:v>
      </x:c>
      <x:c r="S173" s="23" t="str">
        <x:v>feminino</x:v>
      </x:c>
      <x:c r="T173" s="22" t="str">
        <x:f>"HOD2D40"</x:f>
        <x:v>HOD2D40</x:v>
      </x:c>
      <x:c r="U173" s="23" t="str">
        <x:v>ALINE DE ALBUQUERQUE FAUSTINO</x:v>
      </x:c>
      <x:c r="V173" s="22" t="str">
        <x:f>"099.802.397-35"</x:f>
        <x:v>099.802.397-35</x:v>
      </x:c>
      <x:c r="W173" s="22" t="str">
        <x:f>"09980239735"</x:f>
        <x:v>09980239735</x:v>
      </x:c>
      <x:c r="X173" s="23" t="str">
        <x:v>alinefaustino.gabriel@gmail.com</x:v>
      </x:c>
      <x:c r="Y173" s="22" t="str">
        <x:f>"21 990781131"</x:f>
        <x:v>21 990781131</x:v>
      </x:c>
      <x:c r="Z173" s="30" t="n">
        <x:v>46450</x:v>
      </x:c>
    </x:row>
    <x:row r="174" ht="18" customHeight="1">
      <x:c r="A174" s="22" t="str">
        <x:f>"4c8cd2f2-1f42-466c-be90-612cf4e42db0"</x:f>
        <x:v>4c8cd2f2-1f42-466c-be90-612cf4e42db0</x:v>
      </x:c>
      <x:c r="B174" s="23" t="str">
        <x:v>ALINE DE CASTRO DOS SANTOS</x:v>
      </x:c>
      <x:c r="C174" s="23" t="str">
        <x:v>aline de castro dos santos</x:v>
      </x:c>
      <x:c r="D174" s="22" t="str">
        <x:f>"51.483.727/0001-08"</x:f>
        <x:v>51.483.727/0001-08</x:v>
      </x:c>
      <x:c r="E174" s="22" t="str">
        <x:f>"51483727000108"</x:f>
        <x:v>51483727000108</x:v>
      </x:c>
      <x:c r="F174" s="22" t="str">
        <x:f>"081.323.327-50"</x:f>
        <x:v>081.323.327-50</x:v>
      </x:c>
      <x:c r="G174" s="22" t="str">
        <x:f>"08132332750"</x:f>
        <x:v>08132332750</x:v>
      </x:c>
      <x:c r="H174" s="23" t="str">
        <x:v>alinesofale@gmail.com</x:v>
      </x:c>
      <x:c r="I174" s="22" t="str">
        <x:f>"21973065873"</x:f>
        <x:v>21973065873</x:v>
      </x:c>
      <x:c r="J174" s="23" t="str">
        <x:v>spot</x:v>
      </x:c>
      <x:c r="K174" s="23" t="str">
        <x:v>favored_only</x:v>
      </x:c>
      <x:c r="L174" s="24" t="b">
        <x:v>1</x:v>
      </x:c>
      <x:c r="M174" s="23" t="n">
        <x:v>2</x:v>
      </x:c>
      <x:c r="N174" s="28" t="n">
        <x:v>46219.812988715275</x:v>
      </x:c>
      <x:c r="O174" s="28" t="n">
        <x:v>46219.812988715275</x:v>
      </x:c>
      <x:c r="P174" s="23" t="str">
        <x:v>CORDOVIL</x:v>
      </x:c>
      <x:c r="Q174" s="30" t="n">
        <x:v>28934</x:v>
      </x:c>
      <x:c r="R174" s="22" t="str">
        <x:f>"107699381"</x:f>
        <x:v>107699381</x:v>
      </x:c>
      <x:c r="S174" s="23" t="str">
        <x:v>feminino</x:v>
      </x:c>
      <x:c r="T174" s="22" t="str">
        <x:f>"PMI1F94"</x:f>
        <x:v>PMI1F94</x:v>
      </x:c>
      <x:c r="U174" s="23" t="str">
        <x:v>LUIZ FERNANDO VINCLES DOS SANTOS</x:v>
      </x:c>
      <x:c r="V174" s="22" t="str">
        <x:f>"162.082.277-63"</x:f>
        <x:v>162.082.277-63</x:v>
      </x:c>
      <x:c r="W174" s="22" t="str">
        <x:f>"16208227763"</x:f>
        <x:v>16208227763</x:v>
      </x:c>
      <x:c r="X174" s="23" t="str">
        <x:v>fernandovincles@gmail.com</x:v>
      </x:c>
      <x:c r="Y174" s="22" t="str">
        <x:f>"21964605120"</x:f>
        <x:v>21964605120</x:v>
      </x:c>
      <x:c r="Z174" s="30" t="n">
        <x:v>46553</x:v>
      </x:c>
    </x:row>
    <x:row r="175" ht="18" customHeight="1">
      <x:c r="A175" s="22" t="str">
        <x:f>"29fbf478-9085-49d8-8b45-36ad6185e656"</x:f>
        <x:v>29fbf478-9085-49d8-8b45-36ad6185e656</x:v>
      </x:c>
      <x:c r="B175" s="23" t="str">
        <x:v>ALINE RAFAELA BARBOSA</x:v>
      </x:c>
      <x:c r="C175" s="23" t="str">
        <x:v>aline rafaela barbosa</x:v>
      </x:c>
      <x:c r="D175" s="22" t="str">
        <x:f>"51.473.491/0001-29"</x:f>
        <x:v>51.473.491/0001-29</x:v>
      </x:c>
      <x:c r="E175" s="22" t="str">
        <x:f>"51473491000129"</x:f>
        <x:v>51473491000129</x:v>
      </x:c>
      <x:c r="F175" s="22" t="str">
        <x:f>"096.873.826-51"</x:f>
        <x:v>096.873.826-51</x:v>
      </x:c>
      <x:c r="G175" s="22" t="str">
        <x:f>"09687382651"</x:f>
        <x:v>09687382651</x:v>
      </x:c>
      <x:c r="H175" s="23" t="str">
        <x:v>alinerafaelabh@yahoo.com.br</x:v>
      </x:c>
      <x:c r="I175" s="22" t="str">
        <x:f>"(31)992666770"</x:f>
        <x:v>(31)992666770</x:v>
      </x:c>
      <x:c r="J175" s="23" t="str">
        <x:v>RENTAL</x:v>
      </x:c>
      <x:c r="K175" s="23" t="str">
        <x:v>rental_company</x:v>
      </x:c>
      <x:c r="L175" s="24" t="b">
        <x:v>1</x:v>
      </x:c>
      <x:c r="M175" s="23" t="n">
        <x:v>1</x:v>
      </x:c>
      <x:c r="N175" s="28" t="n">
        <x:v>46219.812988715275</x:v>
      </x:c>
      <x:c r="O175" s="28" t="n">
        <x:v>46219.812988715275</x:v>
      </x:c>
      <x:c r="P175" s="23" t="str">
        <x:v>NOVA LIMA</x:v>
      </x:c>
      <x:c r="Q175" s="30" t="n">
        <x:v>32596</x:v>
      </x:c>
      <x:c r="R175" s="22" t="str">
        <x:f>"16230856"</x:f>
        <x:v>16230856</x:v>
      </x:c>
      <x:c r="S175" s="23" t="str">
        <x:v>masculino</x:v>
      </x:c>
      <x:c r="T175" s="22" t="str"/>
      <x:c r="U175" s="23" t="str">
        <x:v>ALINE RAFAELA BARBOSA</x:v>
      </x:c>
      <x:c r="V175" s="22" t="str">
        <x:f>"096.873.826-51"</x:f>
        <x:v>096.873.826-51</x:v>
      </x:c>
      <x:c r="W175" s="22" t="str">
        <x:f>"09687382651"</x:f>
        <x:v>09687382651</x:v>
      </x:c>
      <x:c r="X175" s="23" t="str">
        <x:v>alinerafaelabh@yahoo.com.br</x:v>
      </x:c>
      <x:c r="Y175" s="22" t="str">
        <x:f>"(31)992666770"</x:f>
        <x:v>(31)992666770</x:v>
      </x:c>
      <x:c r="Z175" s="30" t="n">
        <x:v>46546</x:v>
      </x:c>
    </x:row>
    <x:row r="176" ht="18" customHeight="1">
      <x:c r="A176" s="22" t="str">
        <x:f>"bffce879-4c1e-48a0-8c65-d8ee91677bc9"</x:f>
        <x:v>bffce879-4c1e-48a0-8c65-d8ee91677bc9</x:v>
      </x:c>
      <x:c r="B176" s="23" t="str">
        <x:v>ALINE RUMÃO DA COSTA</x:v>
      </x:c>
      <x:c r="C176" s="23" t="str">
        <x:v>aline rumao da costa</x:v>
      </x:c>
      <x:c r="D176" s="22" t="str">
        <x:f>"61.874.826/0001-74"</x:f>
        <x:v>61.874.826/0001-74</x:v>
      </x:c>
      <x:c r="E176" s="22" t="str">
        <x:f>"61874826000174"</x:f>
        <x:v>61874826000174</x:v>
      </x:c>
      <x:c r="F176" s="22" t="str">
        <x:f>"062.526.391.09"</x:f>
        <x:v>062.526.391.09</x:v>
      </x:c>
      <x:c r="G176" s="22" t="str">
        <x:f>"06252639109"</x:f>
        <x:v>06252639109</x:v>
      </x:c>
      <x:c r="H176" s="23" t="str">
        <x:v>alinerumaodacostaarruda@gmail.com</x:v>
      </x:c>
      <x:c r="I176" s="22" t="str">
        <x:f>"65 9265-4834"</x:f>
        <x:v>65 9265-4834</x:v>
      </x:c>
      <x:c r="J176" s="23" t="str">
        <x:v>SPOT</x:v>
      </x:c>
      <x:c r="K176" s="23" t="str">
        <x:v>favored_only</x:v>
      </x:c>
      <x:c r="L176" s="24" t="b">
        <x:v>1</x:v>
      </x:c>
      <x:c r="M176" s="23" t="n">
        <x:v>1</x:v>
      </x:c>
      <x:c r="N176" s="28" t="n">
        <x:v>46203.921852962965</x:v>
      </x:c>
      <x:c r="O176" s="28" t="n">
        <x:v>46203.921852962965</x:v>
      </x:c>
      <x:c r="P176" s="23" t="str"/>
      <x:c r="Q176" s="30" t="str"/>
      <x:c r="R176" s="22" t="str"/>
      <x:c r="S176" s="23" t="str"/>
      <x:c r="T176" s="22" t="str"/>
      <x:c r="U176" s="23" t="str">
        <x:v>ALINE RUMÃO DA COSTA</x:v>
      </x:c>
      <x:c r="V176" s="22" t="str">
        <x:f>"062.526.391.09"</x:f>
        <x:v>062.526.391.09</x:v>
      </x:c>
      <x:c r="W176" s="22" t="str">
        <x:f>"06252639109"</x:f>
        <x:v>06252639109</x:v>
      </x:c>
      <x:c r="X176" s="23" t="str">
        <x:v>alinerumaodacostaarruda@gmail.com</x:v>
      </x:c>
      <x:c r="Y176" s="22" t="str">
        <x:f>"65 9265-4834"</x:f>
        <x:v>65 9265-4834</x:v>
      </x:c>
      <x:c r="Z176" s="30" t="str"/>
    </x:row>
    <x:row r="177" ht="18" customHeight="1">
      <x:c r="A177" s="22" t="str">
        <x:f>"6b1bed13-6668-4587-a2f2-0a89f81a3b2f"</x:f>
        <x:v>6b1bed13-6668-4587-a2f2-0a89f81a3b2f</x:v>
      </x:c>
      <x:c r="B177" s="23" t="str">
        <x:v>ALINE SIMONI DE MENDONCA SILVA</x:v>
      </x:c>
      <x:c r="C177" s="23" t="str">
        <x:v>aline simoni de mendonca silva</x:v>
      </x:c>
      <x:c r="D177" s="22" t="str">
        <x:f>"52.487.829/0001-64"</x:f>
        <x:v>52.487.829/0001-64</x:v>
      </x:c>
      <x:c r="E177" s="22" t="str">
        <x:f>"52487829000164"</x:f>
        <x:v>52487829000164</x:v>
      </x:c>
      <x:c r="F177" s="22" t="str">
        <x:f>"354.102.758-45"</x:f>
        <x:v>354.102.758-45</x:v>
      </x:c>
      <x:c r="G177" s="22" t="str">
        <x:f>"35410275845"</x:f>
        <x:v>35410275845</x:v>
      </x:c>
      <x:c r="H177" s="23" t="str">
        <x:v>alinesilva49808@gmail.com</x:v>
      </x:c>
      <x:c r="I177" s="22" t="str">
        <x:f>"18 991229095"</x:f>
        <x:v>18 991229095</x:v>
      </x:c>
      <x:c r="J177" s="23" t="str">
        <x:v>RENTAL</x:v>
      </x:c>
      <x:c r="K177" s="23" t="str">
        <x:v>rental_company</x:v>
      </x:c>
      <x:c r="L177" s="24" t="b">
        <x:v>1</x:v>
      </x:c>
      <x:c r="M177" s="23" t="n">
        <x:v>1</x:v>
      </x:c>
      <x:c r="N177" s="28" t="n">
        <x:v>46219.812988715275</x:v>
      </x:c>
      <x:c r="O177" s="28" t="n">
        <x:v>46219.812988715275</x:v>
      </x:c>
      <x:c r="P177" s="23" t="str">
        <x:v>PRESIDENTE PRUDENTE</x:v>
      </x:c>
      <x:c r="Q177" s="30" t="n">
        <x:v>30760</x:v>
      </x:c>
      <x:c r="R177" s="22" t="str">
        <x:f>"41717329-5"</x:f>
        <x:v>41717329-5</x:v>
      </x:c>
      <x:c r="S177" s="23" t="str">
        <x:v>masculino</x:v>
      </x:c>
      <x:c r="T177" s="22" t="str"/>
      <x:c r="U177" s="23" t="str">
        <x:v>ALINE SIMONI DE MENDONCA SILVA</x:v>
      </x:c>
      <x:c r="V177" s="22" t="str">
        <x:f>"354.102.758-45"</x:f>
        <x:v>354.102.758-45</x:v>
      </x:c>
      <x:c r="W177" s="22" t="str">
        <x:f>"35410275845"</x:f>
        <x:v>35410275845</x:v>
      </x:c>
      <x:c r="X177" s="23" t="str">
        <x:v>alinesilva49808@gmail.com</x:v>
      </x:c>
      <x:c r="Y177" s="22" t="str">
        <x:f>"18 991229095"</x:f>
        <x:v>18 991229095</x:v>
      </x:c>
      <x:c r="Z177" s="30" t="n">
        <x:v>46465</x:v>
      </x:c>
    </x:row>
    <x:row r="178" ht="18" customHeight="1">
      <x:c r="A178" s="22" t="str">
        <x:f>"25d30c17-4ac8-421c-8296-3e8e3fa68115"</x:f>
        <x:v>25d30c17-4ac8-421c-8296-3e8e3fa68115</x:v>
      </x:c>
      <x:c r="B178" s="23" t="str">
        <x:v>Aline Vasconcellos Peixoto Fortuna</x:v>
      </x:c>
      <x:c r="C178" s="23" t="str">
        <x:v>aline vasconcellos peixoto fortuna</x:v>
      </x:c>
      <x:c r="D178" s="22" t="str">
        <x:f>"63.548.401/0001-09"</x:f>
        <x:v>63.548.401/0001-09</x:v>
      </x:c>
      <x:c r="E178" s="22" t="str">
        <x:f>"63548401000109"</x:f>
        <x:v>63548401000109</x:v>
      </x:c>
      <x:c r="F178" s="22" t="str">
        <x:f>"09878596797"</x:f>
        <x:v>09878596797</x:v>
      </x:c>
      <x:c r="G178" s="22" t="str">
        <x:f>"09878596797"</x:f>
        <x:v>09878596797</x:v>
      </x:c>
      <x:c r="H178" s="23" t="str">
        <x:v>alinepfortuna@yahoo.com.br</x:v>
      </x:c>
      <x:c r="I178" s="22" t="str">
        <x:f>"21993335193"</x:f>
        <x:v>21993335193</x:v>
      </x:c>
      <x:c r="J178" s="23" t="str">
        <x:v>SPOT</x:v>
      </x:c>
      <x:c r="K178" s="23" t="str">
        <x:v>favored_only</x:v>
      </x:c>
      <x:c r="L178" s="24" t="b">
        <x:v>1</x:v>
      </x:c>
      <x:c r="M178" s="23" t="n">
        <x:v>1</x:v>
      </x:c>
      <x:c r="N178" s="28" t="n">
        <x:v>46203.921904421295</x:v>
      </x:c>
      <x:c r="O178" s="28" t="n">
        <x:v>46203.921904421295</x:v>
      </x:c>
      <x:c r="P178" s="23" t="str"/>
      <x:c r="Q178" s="30" t="str"/>
      <x:c r="R178" s="22" t="str"/>
      <x:c r="S178" s="23" t="str"/>
      <x:c r="T178" s="22" t="str"/>
      <x:c r="U178" s="23" t="str">
        <x:v>Aline Vasconcellos Peixoto Fortuna</x:v>
      </x:c>
      <x:c r="V178" s="22" t="str">
        <x:f>"09878596797"</x:f>
        <x:v>09878596797</x:v>
      </x:c>
      <x:c r="W178" s="22" t="str">
        <x:f>"09878596797"</x:f>
        <x:v>09878596797</x:v>
      </x:c>
      <x:c r="X178" s="23" t="str">
        <x:v>alinepfortuna@yahoo.com.br</x:v>
      </x:c>
      <x:c r="Y178" s="22" t="str">
        <x:f>"21993335193"</x:f>
        <x:v>21993335193</x:v>
      </x:c>
      <x:c r="Z178" s="30" t="str"/>
    </x:row>
    <x:row r="179" ht="18" customHeight="1">
      <x:c r="A179" s="22" t="str">
        <x:f>"c466fa13-86c3-4798-af9f-526bd2826de6"</x:f>
        <x:v>c466fa13-86c3-4798-af9f-526bd2826de6</x:v>
      </x:c>
      <x:c r="B179" s="23" t="str">
        <x:v>ALISON FERREIRA DA SILVA</x:v>
      </x:c>
      <x:c r="C179" s="23" t="str">
        <x:v>alison ferreira da silva</x:v>
      </x:c>
      <x:c r="D179" s="22" t="str">
        <x:f>"15804121000163"</x:f>
        <x:v>15804121000163</x:v>
      </x:c>
      <x:c r="E179" s="22" t="str">
        <x:f>"15804121000163"</x:f>
        <x:v>15804121000163</x:v>
      </x:c>
      <x:c r="F179" s="22" t="str">
        <x:f>"060.479.376-67"</x:f>
        <x:v>060.479.376-67</x:v>
      </x:c>
      <x:c r="G179" s="22" t="str">
        <x:f>"06047937667"</x:f>
        <x:v>06047937667</x:v>
      </x:c>
      <x:c r="H179" s="23" t="str">
        <x:v>alison.galo@gmail.com</x:v>
      </x:c>
      <x:c r="I179" s="22" t="str">
        <x:f>"33988164077"</x:f>
        <x:v>33988164077</x:v>
      </x:c>
      <x:c r="J179" s="23" t="str">
        <x:v>SPOT</x:v>
      </x:c>
      <x:c r="K179" s="23" t="str">
        <x:v>favored_only</x:v>
      </x:c>
      <x:c r="L179" s="24" t="b">
        <x:v>1</x:v>
      </x:c>
      <x:c r="M179" s="23" t="n">
        <x:v>2</x:v>
      </x:c>
      <x:c r="N179" s="28" t="n">
        <x:v>46203.92189349537</x:v>
      </x:c>
      <x:c r="O179" s="28" t="n">
        <x:v>46203.92189349537</x:v>
      </x:c>
      <x:c r="P179" s="23" t="str"/>
      <x:c r="Q179" s="30" t="str"/>
      <x:c r="R179" s="22" t="str"/>
      <x:c r="S179" s="23" t="str"/>
      <x:c r="T179" s="22" t="str"/>
      <x:c r="U179" s="23" t="str">
        <x:v>ALISON FERREIRA DA SILVA</x:v>
      </x:c>
      <x:c r="V179" s="22" t="str">
        <x:f>"060.479.376-67"</x:f>
        <x:v>060.479.376-67</x:v>
      </x:c>
      <x:c r="W179" s="22" t="str">
        <x:f>"06047937667"</x:f>
        <x:v>06047937667</x:v>
      </x:c>
      <x:c r="X179" s="23" t="str">
        <x:v>alison.galo@gmail.com</x:v>
      </x:c>
      <x:c r="Y179" s="22" t="str">
        <x:f>"33988164077"</x:f>
        <x:v>33988164077</x:v>
      </x:c>
      <x:c r="Z179" s="30" t="str"/>
    </x:row>
    <x:row r="180" ht="18" customHeight="1">
      <x:c r="A180" s="22" t="str">
        <x:f>"449bd7b4-0319-4f6f-85dc-0ad3bd4f96dd"</x:f>
        <x:v>449bd7b4-0319-4f6f-85dc-0ad3bd4f96dd</x:v>
      </x:c>
      <x:c r="B180" s="23" t="str">
        <x:v>ALISON SILVA GONCALVES CRUZ</x:v>
      </x:c>
      <x:c r="C180" s="23" t="str">
        <x:v>alison silva goncalves cruz</x:v>
      </x:c>
      <x:c r="D180" s="22" t="str">
        <x:f>"49.111.978/0001-10"</x:f>
        <x:v>49.111.978/0001-10</x:v>
      </x:c>
      <x:c r="E180" s="22" t="str">
        <x:f>"49111978000110"</x:f>
        <x:v>49111978000110</x:v>
      </x:c>
      <x:c r="F180" s="22" t="str">
        <x:f>"057.787.091-29"</x:f>
        <x:v>057.787.091-29</x:v>
      </x:c>
      <x:c r="G180" s="22" t="str">
        <x:f>"05778709129"</x:f>
        <x:v>05778709129</x:v>
      </x:c>
      <x:c r="H180" s="23" t="str">
        <x:v>alisonsilva290518@gmail.com</x:v>
      </x:c>
      <x:c r="I180" s="22" t="str">
        <x:f>"65998165941"</x:f>
        <x:v>65998165941</x:v>
      </x:c>
      <x:c r="J180" s="23" t="str">
        <x:v>SPOT</x:v>
      </x:c>
      <x:c r="K180" s="23" t="str">
        <x:v>favored_only</x:v>
      </x:c>
      <x:c r="L180" s="24" t="b">
        <x:v>1</x:v>
      </x:c>
      <x:c r="M180" s="23" t="n">
        <x:v>1</x:v>
      </x:c>
      <x:c r="N180" s="28" t="n">
        <x:v>46219.812988715275</x:v>
      </x:c>
      <x:c r="O180" s="28" t="n">
        <x:v>46219.812988715275</x:v>
      </x:c>
      <x:c r="P180" s="23" t="str">
        <x:v>PONTES E LACERDA</x:v>
      </x:c>
      <x:c r="Q180" s="30" t="n">
        <x:v>35061</x:v>
      </x:c>
      <x:c r="R180" s="22" t="str">
        <x:f>"26598728"</x:f>
        <x:v>26598728</x:v>
      </x:c>
      <x:c r="S180" s="23" t="str">
        <x:v>masculino</x:v>
      </x:c>
      <x:c r="T180" s="22" t="str">
        <x:f>"RFO4J42"</x:f>
        <x:v>RFO4J42</x:v>
      </x:c>
      <x:c r="U180" s="23" t="str">
        <x:v>WAGNER DE OLIVEIRA SURUBI</x:v>
      </x:c>
      <x:c r="V180" s="22" t="str">
        <x:f>"039.985.191-73"</x:f>
        <x:v>039.985.191-73</x:v>
      </x:c>
      <x:c r="W180" s="22" t="str">
        <x:f>"03998519173"</x:f>
        <x:v>03998519173</x:v>
      </x:c>
      <x:c r="X180" s="23" t="str">
        <x:v>wagnerdeoliveirasurubi@gmai.com</x:v>
      </x:c>
      <x:c r="Y180" s="22" t="str">
        <x:f>"65981112018"</x:f>
        <x:v>65981112018</x:v>
      </x:c>
      <x:c r="Z180" s="30" t="n">
        <x:v>46442</x:v>
      </x:c>
    </x:row>
    <x:row r="181" ht="18" customHeight="1">
      <x:c r="A181" s="22" t="str">
        <x:f>"18574234-9419-4dfb-9cfb-068b25d24ffb"</x:f>
        <x:v>18574234-9419-4dfb-9cfb-068b25d24ffb</x:v>
      </x:c>
      <x:c r="B181" s="23" t="str">
        <x:v>ALISON SOUZA OLIVEIRA</x:v>
      </x:c>
      <x:c r="C181" s="23" t="str">
        <x:v>alison souza oliveira</x:v>
      </x:c>
      <x:c r="D181" s="22" t="str">
        <x:f>"65.431.407/0001-19"</x:f>
        <x:v>65.431.407/0001-19</x:v>
      </x:c>
      <x:c r="E181" s="22" t="str">
        <x:f>"65431407000119"</x:f>
        <x:v>65431407000119</x:v>
      </x:c>
      <x:c r="F181" s="22" t="str">
        <x:f>"487.682.568-84"</x:f>
        <x:v>487.682.568-84</x:v>
      </x:c>
      <x:c r="G181" s="22" t="str">
        <x:f>"48768256884"</x:f>
        <x:v>48768256884</x:v>
      </x:c>
      <x:c r="H181" s="23" t="str">
        <x:v>ewersonbruno60@gmail.com</x:v>
      </x:c>
      <x:c r="I181" s="22" t="str">
        <x:f>"17997927148"</x:f>
        <x:v>17997927148</x:v>
      </x:c>
      <x:c r="J181" s="23" t="str">
        <x:v>SPOT</x:v>
      </x:c>
      <x:c r="K181" s="23" t="str">
        <x:v>favored_only</x:v>
      </x:c>
      <x:c r="L181" s="24" t="b">
        <x:v>1</x:v>
      </x:c>
      <x:c r="M181" s="23" t="n">
        <x:v>1</x:v>
      </x:c>
      <x:c r="N181" s="28" t="n">
        <x:v>46219.812988715275</x:v>
      </x:c>
      <x:c r="O181" s="28" t="n">
        <x:v>46219.812988715275</x:v>
      </x:c>
      <x:c r="P181" s="23" t="str">
        <x:v>JALES</x:v>
      </x:c>
      <x:c r="Q181" s="30" t="n">
        <x:v>38801</x:v>
      </x:c>
      <x:c r="R181" s="22" t="str">
        <x:f>"589973162"</x:f>
        <x:v>589973162</x:v>
      </x:c>
      <x:c r="S181" s="23" t="str">
        <x:v>masculino</x:v>
      </x:c>
      <x:c r="T181" s="22" t="str">
        <x:f>"EBR9924"</x:f>
        <x:v>EBR9924</x:v>
      </x:c>
      <x:c r="U181" s="23" t="str">
        <x:v>ALISON SOUZA OLIVEIRA</x:v>
      </x:c>
      <x:c r="V181" s="22" t="str">
        <x:f>"487.682.568-84"</x:f>
        <x:v>487.682.568-84</x:v>
      </x:c>
      <x:c r="W181" s="22" t="str">
        <x:f>"48768256884"</x:f>
        <x:v>48768256884</x:v>
      </x:c>
      <x:c r="X181" s="23" t="str">
        <x:v>ewersonbruno60@gmail.com</x:v>
      </x:c>
      <x:c r="Y181" s="22" t="str">
        <x:f>"17997927148"</x:f>
        <x:v>17997927148</x:v>
      </x:c>
      <x:c r="Z181" s="30" t="n">
        <x:v>46460</x:v>
      </x:c>
    </x:row>
    <x:row r="182" ht="18" customHeight="1">
      <x:c r="A182" s="22" t="str">
        <x:f>"abd550d4-c632-4eab-9758-128db817743f"</x:f>
        <x:v>abd550d4-c632-4eab-9758-128db817743f</x:v>
      </x:c>
      <x:c r="B182" s="23" t="str">
        <x:v>ALISSON BARROZO ALVES</x:v>
      </x:c>
      <x:c r="C182" s="23" t="str">
        <x:v>alisson barrozo alves</x:v>
      </x:c>
      <x:c r="D182" s="22" t="str">
        <x:f>"64.801.898/0001-80"</x:f>
        <x:v>64.801.898/0001-80</x:v>
      </x:c>
      <x:c r="E182" s="22" t="str">
        <x:f>"64801898000180"</x:f>
        <x:v>64801898000180</x:v>
      </x:c>
      <x:c r="F182" s="22" t="str">
        <x:f>"412.717.038-74"</x:f>
        <x:v>412.717.038-74</x:v>
      </x:c>
      <x:c r="G182" s="22" t="str">
        <x:f>"41271703874"</x:f>
        <x:v>41271703874</x:v>
      </x:c>
      <x:c r="H182" s="23" t="str">
        <x:v>allysson.ballves96@gmail.com</x:v>
      </x:c>
      <x:c r="I182" s="22" t="str">
        <x:f>"18998141996"</x:f>
        <x:v>18998141996</x:v>
      </x:c>
      <x:c r="J182" s="23" t="str">
        <x:v>RENTALS</x:v>
      </x:c>
      <x:c r="K182" s="23" t="str">
        <x:v>rental_company</x:v>
      </x:c>
      <x:c r="L182" s="24" t="b">
        <x:v>1</x:v>
      </x:c>
      <x:c r="M182" s="23" t="n">
        <x:v>1</x:v>
      </x:c>
      <x:c r="N182" s="28" t="n">
        <x:v>46219.812988715275</x:v>
      </x:c>
      <x:c r="O182" s="28" t="n">
        <x:v>46219.812988715275</x:v>
      </x:c>
      <x:c r="P182" s="23" t="str">
        <x:v>PRESIDENTE PRUDENTE</x:v>
      </x:c>
      <x:c r="Q182" s="30" t="n">
        <x:v>35074</x:v>
      </x:c>
      <x:c r="R182" s="22" t="str">
        <x:f>"459686579"</x:f>
        <x:v>459686579</x:v>
      </x:c>
      <x:c r="S182" s="23" t="str">
        <x:v>masculino</x:v>
      </x:c>
      <x:c r="T182" s="22" t="str"/>
      <x:c r="U182" s="23" t="str">
        <x:v>ALISSON BARROZO ALVES</x:v>
      </x:c>
      <x:c r="V182" s="22" t="str">
        <x:f>"412.717.038-74"</x:f>
        <x:v>412.717.038-74</x:v>
      </x:c>
      <x:c r="W182" s="22" t="str">
        <x:f>"41271703874"</x:f>
        <x:v>41271703874</x:v>
      </x:c>
      <x:c r="X182" s="23" t="str">
        <x:v>allysson.ballves96@gmail.com</x:v>
      </x:c>
      <x:c r="Y182" s="22" t="str">
        <x:f>"18998141996"</x:f>
        <x:v>18998141996</x:v>
      </x:c>
      <x:c r="Z182" s="30" t="n">
        <x:v>46417</x:v>
      </x:c>
    </x:row>
    <x:row r="183" ht="18" customHeight="1">
      <x:c r="A183" s="22" t="str">
        <x:f>"ed7f5a22-dbd8-420d-8e06-7d6d642a93c2"</x:f>
        <x:v>ed7f5a22-dbd8-420d-8e06-7d6d642a93c2</x:v>
      </x:c>
      <x:c r="B183" s="23" t="str">
        <x:v>ALISSON CARLOS DE LIMA ROSA</x:v>
      </x:c>
      <x:c r="C183" s="23" t="str">
        <x:v>alisson carlos de lima rosa</x:v>
      </x:c>
      <x:c r="D183" s="22" t="str">
        <x:f>"65.246.909/0001-70"</x:f>
        <x:v>65.246.909/0001-70</x:v>
      </x:c>
      <x:c r="E183" s="22" t="str">
        <x:f>"65246909000170"</x:f>
        <x:v>65246909000170</x:v>
      </x:c>
      <x:c r="F183" s="22" t="str">
        <x:f>"129.638.236-22"</x:f>
        <x:v>129.638.236-22</x:v>
      </x:c>
      <x:c r="G183" s="22" t="str">
        <x:f>"12963823622"</x:f>
        <x:v>12963823622</x:v>
      </x:c>
      <x:c r="H183" s="23" t="str">
        <x:v>grilloparaiso@gmail.com</x:v>
      </x:c>
      <x:c r="I183" s="22" t="str">
        <x:f>"35984314679"</x:f>
        <x:v>35984314679</x:v>
      </x:c>
      <x:c r="J183" s="23" t="str">
        <x:v>RENTAL</x:v>
      </x:c>
      <x:c r="K183" s="23" t="str">
        <x:v>rental_company</x:v>
      </x:c>
      <x:c r="L183" s="24" t="b">
        <x:v>1</x:v>
      </x:c>
      <x:c r="M183" s="23" t="n">
        <x:v>1</x:v>
      </x:c>
      <x:c r="N183" s="28" t="n">
        <x:v>46219.812988715275</x:v>
      </x:c>
      <x:c r="O183" s="28" t="n">
        <x:v>46219.812988715275</x:v>
      </x:c>
      <x:c r="P183" s="23" t="str">
        <x:v>POUSO ALEGRE</x:v>
      </x:c>
      <x:c r="Q183" s="30" t="n">
        <x:v>37776</x:v>
      </x:c>
      <x:c r="R183" s="22" t="str">
        <x:f>"19220836"</x:f>
        <x:v>19220836</x:v>
      </x:c>
      <x:c r="S183" s="23" t="str">
        <x:v>masculino</x:v>
      </x:c>
      <x:c r="T183" s="22" t="str"/>
      <x:c r="U183" s="23" t="str">
        <x:v>ALISSON CARLOS DE LIMA ROSA</x:v>
      </x:c>
      <x:c r="V183" s="22" t="str">
        <x:f>"129.638.236-22"</x:f>
        <x:v>129.638.236-22</x:v>
      </x:c>
      <x:c r="W183" s="22" t="str">
        <x:f>"12963823622"</x:f>
        <x:v>12963823622</x:v>
      </x:c>
      <x:c r="X183" s="23" t="str">
        <x:v>grilloparaiso@gmail.com</x:v>
      </x:c>
      <x:c r="Y183" s="22" t="str">
        <x:f>"35984314679"</x:f>
        <x:v>35984314679</x:v>
      </x:c>
      <x:c r="Z183" s="30" t="n">
        <x:v>46464</x:v>
      </x:c>
    </x:row>
    <x:row r="184" ht="18" customHeight="1">
      <x:c r="A184" s="22" t="str">
        <x:f>"90c6f5f9-2bdd-4b34-aae7-a5d91b7e3abf"</x:f>
        <x:v>90c6f5f9-2bdd-4b34-aae7-a5d91b7e3abf</x:v>
      </x:c>
      <x:c r="B184" s="23" t="str">
        <x:v>ALISSON GALDINO GUERRA</x:v>
      </x:c>
      <x:c r="C184" s="23" t="str">
        <x:v>alisson galdino guerra</x:v>
      </x:c>
      <x:c r="D184" s="22" t="str">
        <x:f>"62.296.149/0001-17"</x:f>
        <x:v>62.296.149/0001-17</x:v>
      </x:c>
      <x:c r="E184" s="22" t="str">
        <x:f>"62296149000117"</x:f>
        <x:v>62296149000117</x:v>
      </x:c>
      <x:c r="F184" s="22" t="str">
        <x:f>"393.874.788-90"</x:f>
        <x:v>393.874.788-90</x:v>
      </x:c>
      <x:c r="G184" s="22" t="str">
        <x:f>"39387478890"</x:f>
        <x:v>39387478890</x:v>
      </x:c>
      <x:c r="H184" s="23" t="str">
        <x:v>Alisson.galdino.guerra@gmail.com</x:v>
      </x:c>
      <x:c r="I184" s="22" t="str">
        <x:f>"(11)999422925"</x:f>
        <x:v>(11)999422925</x:v>
      </x:c>
      <x:c r="J184" s="23" t="str">
        <x:v>RENTAL</x:v>
      </x:c>
      <x:c r="K184" s="23" t="str">
        <x:v>rental_company</x:v>
      </x:c>
      <x:c r="L184" s="24" t="b">
        <x:v>1</x:v>
      </x:c>
      <x:c r="M184" s="23" t="n">
        <x:v>1</x:v>
      </x:c>
      <x:c r="N184" s="28" t="n">
        <x:v>46203.921852962965</x:v>
      </x:c>
      <x:c r="O184" s="28" t="n">
        <x:v>46219.812988715275</x:v>
      </x:c>
      <x:c r="P184" s="23" t="str">
        <x:v>BARUERI</x:v>
      </x:c>
      <x:c r="Q184" s="30" t="n">
        <x:v>34610</x:v>
      </x:c>
      <x:c r="R184" s="22" t="str">
        <x:f>"46600090"</x:f>
        <x:v>46600090</x:v>
      </x:c>
      <x:c r="S184" s="23" t="str">
        <x:v>masculino</x:v>
      </x:c>
      <x:c r="T184" s="22" t="str"/>
      <x:c r="U184" s="23" t="str">
        <x:v>ALISSON GALDINO GUERRA</x:v>
      </x:c>
      <x:c r="V184" s="22" t="str">
        <x:f>"393.874.788-90"</x:f>
        <x:v>393.874.788-90</x:v>
      </x:c>
      <x:c r="W184" s="22" t="str">
        <x:f>"39387478890"</x:f>
        <x:v>39387478890</x:v>
      </x:c>
      <x:c r="X184" s="23" t="str">
        <x:v>Alisson.galdino.guerra@gmail.com</x:v>
      </x:c>
      <x:c r="Y184" s="22" t="str">
        <x:f>"(11)999422925"</x:f>
        <x:v>(11)999422925</x:v>
      </x:c>
      <x:c r="Z184" s="30" t="n">
        <x:v>46253</x:v>
      </x:c>
    </x:row>
    <x:row r="185" ht="18" customHeight="1">
      <x:c r="A185" s="22" t="str">
        <x:f>"98ac366f-ff3b-4999-88ad-8f405ca71868"</x:f>
        <x:v>98ac366f-ff3b-4999-88ad-8f405ca71868</x:v>
      </x:c>
      <x:c r="B185" s="23" t="str">
        <x:v>ALISSON PEREIRA DA SILVA</x:v>
      </x:c>
      <x:c r="C185" s="23" t="str">
        <x:v>alisson pereira da silva</x:v>
      </x:c>
      <x:c r="D185" s="22" t="str">
        <x:f>"63.293.326/0001-74"</x:f>
        <x:v>63.293.326/0001-74</x:v>
      </x:c>
      <x:c r="E185" s="22" t="str">
        <x:f>"63293326000174"</x:f>
        <x:v>63293326000174</x:v>
      </x:c>
      <x:c r="F185" s="22" t="str">
        <x:f>"050.554.791-08"</x:f>
        <x:v>050.554.791-08</x:v>
      </x:c>
      <x:c r="G185" s="22" t="str">
        <x:f>"05055479108"</x:f>
        <x:v>05055479108</x:v>
      </x:c>
      <x:c r="H185" s="23" t="str">
        <x:v>pereiraalison105@gmail.com</x:v>
      </x:c>
      <x:c r="I185" s="22" t="str">
        <x:f>"65 984050346"</x:f>
        <x:v>65 984050346</x:v>
      </x:c>
      <x:c r="J185" s="23" t="str">
        <x:v>SPOT</x:v>
      </x:c>
      <x:c r="K185" s="23" t="str">
        <x:v>favored_only</x:v>
      </x:c>
      <x:c r="L185" s="24" t="b">
        <x:v>1</x:v>
      </x:c>
      <x:c r="M185" s="23" t="n">
        <x:v>1</x:v>
      </x:c>
      <x:c r="N185" s="28" t="n">
        <x:v>46205.60613723379</x:v>
      </x:c>
      <x:c r="O185" s="28" t="n">
        <x:v>46219.812988715275</x:v>
      </x:c>
      <x:c r="P185" s="23" t="str">
        <x:v>ARAPUTANGA</x:v>
      </x:c>
      <x:c r="Q185" s="30" t="n">
        <x:v>33827</x:v>
      </x:c>
      <x:c r="R185" s="22" t="str">
        <x:f>"16601 MTE MT"</x:f>
        <x:v>16601 MTE MT</x:v>
      </x:c>
      <x:c r="S185" s="23" t="str">
        <x:v>masculino</x:v>
      </x:c>
      <x:c r="T185" s="22" t="str">
        <x:f>"OBN7E46"</x:f>
        <x:v>OBN7E46</x:v>
      </x:c>
      <x:c r="U185" s="23" t="str">
        <x:v>LUCIMAR GOMES HARTHCOPF</x:v>
      </x:c>
      <x:c r="V185" s="22" t="str">
        <x:f>"050.840.511-45"</x:f>
        <x:v>050.840.511-45</x:v>
      </x:c>
      <x:c r="W185" s="22" t="str">
        <x:f>"05084051145"</x:f>
        <x:v>05084051145</x:v>
      </x:c>
      <x:c r="X185" s="23" t="str">
        <x:v>lucimar_harthcopf@hotmail.com</x:v>
      </x:c>
      <x:c r="Y185" s="22" t="str">
        <x:f>"65 984050346"</x:f>
        <x:v>65 984050346</x:v>
      </x:c>
      <x:c r="Z185" s="30" t="n">
        <x:v>46344</x:v>
      </x:c>
    </x:row>
    <x:row r="186" ht="18" customHeight="1">
      <x:c r="A186" s="22" t="str">
        <x:f>"c7e16cbf-e8c6-4a91-86fb-7a32039142d8"</x:f>
        <x:v>c7e16cbf-e8c6-4a91-86fb-7a32039142d8</x:v>
      </x:c>
      <x:c r="B186" s="23" t="str">
        <x:v>ALISSON SANTOS ROCHA</x:v>
      </x:c>
      <x:c r="C186" s="23" t="str">
        <x:v>alisson santos rocha</x:v>
      </x:c>
      <x:c r="D186" s="22" t="str">
        <x:f>"45.384.316/0001-62"</x:f>
        <x:v>45.384.316/0001-62</x:v>
      </x:c>
      <x:c r="E186" s="22" t="str">
        <x:f>"45384316000162"</x:f>
        <x:v>45384316000162</x:v>
      </x:c>
      <x:c r="F186" s="22" t="str">
        <x:f>"115.106.756-39"</x:f>
        <x:v>115.106.756-39</x:v>
      </x:c>
      <x:c r="G186" s="22" t="str">
        <x:f>"11510675639"</x:f>
        <x:v>11510675639</x:v>
      </x:c>
      <x:c r="H186" s="23" t="str">
        <x:v>alissonsrocha2015@gmail.com</x:v>
      </x:c>
      <x:c r="I186" s="22" t="str">
        <x:f>"3398842-7723"</x:f>
        <x:v>3398842-7723</x:v>
      </x:c>
      <x:c r="J186" s="23" t="str">
        <x:v>SPOT</x:v>
      </x:c>
      <x:c r="K186" s="23" t="str">
        <x:v>favored_only</x:v>
      </x:c>
      <x:c r="L186" s="24" t="b">
        <x:v>1</x:v>
      </x:c>
      <x:c r="M186" s="23" t="n">
        <x:v>1</x:v>
      </x:c>
      <x:c r="N186" s="28" t="n">
        <x:v>46219.812988715275</x:v>
      </x:c>
      <x:c r="O186" s="28" t="n">
        <x:v>46219.812988715275</x:v>
      </x:c>
      <x:c r="P186" s="23" t="str">
        <x:v>GUANHAES</x:v>
      </x:c>
      <x:c r="Q186" s="30" t="n">
        <x:v>33171</x:v>
      </x:c>
      <x:c r="R186" s="22" t="str">
        <x:f>"16990707"</x:f>
        <x:v>16990707</x:v>
      </x:c>
      <x:c r="S186" s="23" t="str">
        <x:v>masculino</x:v>
      </x:c>
      <x:c r="T186" s="22" t="str">
        <x:f>"hoh9b73"</x:f>
        <x:v>hoh9b73</x:v>
      </x:c>
      <x:c r="U186" s="23" t="str">
        <x:v>ALISSON SANTOS ROCHA</x:v>
      </x:c>
      <x:c r="V186" s="22" t="str">
        <x:f>"115.106.756-39"</x:f>
        <x:v>115.106.756-39</x:v>
      </x:c>
      <x:c r="W186" s="22" t="str">
        <x:f>"11510675639"</x:f>
        <x:v>11510675639</x:v>
      </x:c>
      <x:c r="X186" s="23" t="str">
        <x:v>alissonsrocha2015@gmail.com</x:v>
      </x:c>
      <x:c r="Y186" s="22" t="str">
        <x:f>"3398842-7723"</x:f>
        <x:v>3398842-7723</x:v>
      </x:c>
      <x:c r="Z186" s="30" t="n">
        <x:v>46534</x:v>
      </x:c>
    </x:row>
    <x:row r="187" ht="18" customHeight="1">
      <x:c r="A187" s="22" t="str">
        <x:f>"4eff5981-b9eb-4622-a3e0-bc3a00d04094"</x:f>
        <x:v>4eff5981-b9eb-4622-a3e0-bc3a00d04094</x:v>
      </x:c>
      <x:c r="B187" s="23" t="str">
        <x:v>ALLAN CRISTIAN PEREIRA COELHO</x:v>
      </x:c>
      <x:c r="C187" s="23" t="str">
        <x:v>allan cristian pereira coelho</x:v>
      </x:c>
      <x:c r="D187" s="22" t="str">
        <x:f>"67.670.908/0001-83"</x:f>
        <x:v>67.670.908/0001-83</x:v>
      </x:c>
      <x:c r="E187" s="22" t="str">
        <x:f>"67670908000183"</x:f>
        <x:v>67670908000183</x:v>
      </x:c>
      <x:c r="F187" s="22" t="str">
        <x:f>"115.675.396-10"</x:f>
        <x:v>115.675.396-10</x:v>
      </x:c>
      <x:c r="G187" s="22" t="str">
        <x:f>"11567539610"</x:f>
        <x:v>11567539610</x:v>
      </x:c>
      <x:c r="H187" s="23" t="str">
        <x:v>cristianzena013@gmail.com</x:v>
      </x:c>
      <x:c r="I187" s="22" t="str">
        <x:f>"(35) 99886-5338"</x:f>
        <x:v>(35) 99886-5338</x:v>
      </x:c>
      <x:c r="J187" s="23" t="str">
        <x:v>rental</x:v>
      </x:c>
      <x:c r="K187" s="23" t="str">
        <x:v>rental_company</x:v>
      </x:c>
      <x:c r="L187" s="24" t="b">
        <x:v>1</x:v>
      </x:c>
      <x:c r="M187" s="23" t="n">
        <x:v>1</x:v>
      </x:c>
      <x:c r="N187" s="28" t="n">
        <x:v>46219.812988715275</x:v>
      </x:c>
      <x:c r="O187" s="28" t="n">
        <x:v>46219.812988715275</x:v>
      </x:c>
      <x:c r="P187" s="23" t="str">
        <x:v>POUSO ALEGRE</x:v>
      </x:c>
      <x:c r="Q187" s="30" t="n">
        <x:v>34220</x:v>
      </x:c>
      <x:c r="R187" s="22" t="str">
        <x:f>"CT717430140 MT MG"</x:f>
        <x:v>CT717430140 MT MG</x:v>
      </x:c>
      <x:c r="S187" s="23" t="str">
        <x:v>masculino</x:v>
      </x:c>
      <x:c r="T187" s="22" t="str"/>
      <x:c r="U187" s="23" t="str">
        <x:v>ALLAN CRISTIAN PEREIRA COELHO</x:v>
      </x:c>
      <x:c r="V187" s="22" t="str">
        <x:f>"115.675.396-10"</x:f>
        <x:v>115.675.396-10</x:v>
      </x:c>
      <x:c r="W187" s="22" t="str">
        <x:f>"11567539610"</x:f>
        <x:v>11567539610</x:v>
      </x:c>
      <x:c r="X187" s="23" t="str">
        <x:v>cristianzena013@gmail.com</x:v>
      </x:c>
      <x:c r="Y187" s="22" t="str">
        <x:f>"(35) 99886-5338"</x:f>
        <x:v>(35) 99886-5338</x:v>
      </x:c>
      <x:c r="Z187" s="30" t="n">
        <x:v>46563</x:v>
      </x:c>
    </x:row>
    <x:row r="188" ht="18" customHeight="1">
      <x:c r="A188" s="22" t="str">
        <x:f>"9e96bfdc-5600-45ea-92f5-d72586219e9e"</x:f>
        <x:v>9e96bfdc-5600-45ea-92f5-d72586219e9e</x:v>
      </x:c>
      <x:c r="B188" s="23" t="str">
        <x:v>ALLAN DOS SANTOS DELGADO</x:v>
      </x:c>
      <x:c r="C188" s="23" t="str">
        <x:v>allan dos santos delgado</x:v>
      </x:c>
      <x:c r="D188" s="22" t="str">
        <x:f>"57.569.838/0001-18"</x:f>
        <x:v>57.569.838/0001-18</x:v>
      </x:c>
      <x:c r="E188" s="22" t="str">
        <x:f>"57569838000118"</x:f>
        <x:v>57569838000118</x:v>
      </x:c>
      <x:c r="F188" s="22" t="str">
        <x:f>"109.812.777-30"</x:f>
        <x:v>109.812.777-30</x:v>
      </x:c>
      <x:c r="G188" s="22" t="str">
        <x:f>"10981277730"</x:f>
        <x:v>10981277730</x:v>
      </x:c>
      <x:c r="H188" s="23" t="str">
        <x:v>allandelgado43499@gmail.com</x:v>
      </x:c>
      <x:c r="I188" s="22" t="str">
        <x:f>"2199227-6356"</x:f>
        <x:v>2199227-6356</x:v>
      </x:c>
      <x:c r="J188" s="23" t="str">
        <x:v>SPOT</x:v>
      </x:c>
      <x:c r="K188" s="23" t="str">
        <x:v>favored_only</x:v>
      </x:c>
      <x:c r="L188" s="24" t="b">
        <x:v>1</x:v>
      </x:c>
      <x:c r="M188" s="23" t="n">
        <x:v>1</x:v>
      </x:c>
      <x:c r="N188" s="28" t="n">
        <x:v>46219.812988715275</x:v>
      </x:c>
      <x:c r="O188" s="28" t="n">
        <x:v>46219.812988715275</x:v>
      </x:c>
      <x:c r="P188" s="23" t="str">
        <x:v>CORDOVIL</x:v>
      </x:c>
      <x:c r="Q188" s="30" t="n">
        <x:v>31536</x:v>
      </x:c>
      <x:c r="R188" s="22" t="str">
        <x:f>"209172279"</x:f>
        <x:v>209172279</x:v>
      </x:c>
      <x:c r="S188" s="23" t="str">
        <x:v>masculino</x:v>
      </x:c>
      <x:c r="T188" s="22" t="str">
        <x:f>"KPI3074"</x:f>
        <x:v>KPI3074</x:v>
      </x:c>
      <x:c r="U188" s="23" t="str">
        <x:v>FERNANDO HENRIQUE RAMOS DA SILVA</x:v>
      </x:c>
      <x:c r="V188" s="22" t="str">
        <x:f>"109.812.777-30"</x:f>
        <x:v>109.812.777-30</x:v>
      </x:c>
      <x:c r="W188" s="22" t="str">
        <x:f>"10981277730"</x:f>
        <x:v>10981277730</x:v>
      </x:c>
      <x:c r="X188" s="23" t="str">
        <x:v>fh752440@gmail.com</x:v>
      </x:c>
      <x:c r="Y188" s="22" t="str">
        <x:f>"21964335763"</x:f>
        <x:v>21964335763</x:v>
      </x:c>
      <x:c r="Z188" s="30" t="n">
        <x:v>46550</x:v>
      </x:c>
    </x:row>
    <x:row r="189" ht="18" customHeight="1">
      <x:c r="A189" s="22" t="str">
        <x:f>"19047dc8-c714-4268-a1a7-93717b57fa37"</x:f>
        <x:v>19047dc8-c714-4268-a1a7-93717b57fa37</x:v>
      </x:c>
      <x:c r="B189" s="23" t="str">
        <x:v>ALLAN GUSTAVO LIBERATO</x:v>
      </x:c>
      <x:c r="C189" s="23" t="str">
        <x:v>allan gustavo liberato</x:v>
      </x:c>
      <x:c r="D189" s="22" t="str">
        <x:f>"63.333.977/0001-40"</x:f>
        <x:v>63.333.977/0001-40</x:v>
      </x:c>
      <x:c r="E189" s="22" t="str">
        <x:f>"63333977000140"</x:f>
        <x:v>63333977000140</x:v>
      </x:c>
      <x:c r="F189" s="22" t="str">
        <x:f>"408.135.838-96"</x:f>
        <x:v>408.135.838-96</x:v>
      </x:c>
      <x:c r="G189" s="22" t="str">
        <x:f>"40813583896"</x:f>
        <x:v>40813583896</x:v>
      </x:c>
      <x:c r="H189" s="23" t="str">
        <x:v>Allangu96@gmail.com</x:v>
      </x:c>
      <x:c r="I189" s="22" t="str">
        <x:f>"11 91319-8612"</x:f>
        <x:v>11 91319-8612</x:v>
      </x:c>
      <x:c r="J189" s="23" t="str">
        <x:v>RENTAL</x:v>
      </x:c>
      <x:c r="K189" s="23" t="str">
        <x:v>rental_company</x:v>
      </x:c>
      <x:c r="L189" s="24" t="b">
        <x:v>1</x:v>
      </x:c>
      <x:c r="M189" s="23" t="n">
        <x:v>2</x:v>
      </x:c>
      <x:c r="N189" s="28" t="n">
        <x:v>46203.92188238426</x:v>
      </x:c>
      <x:c r="O189" s="28" t="n">
        <x:v>46219.812988715275</x:v>
      </x:c>
      <x:c r="P189" s="23" t="str">
        <x:v>BARUERI</x:v>
      </x:c>
      <x:c r="Q189" s="30" t="n">
        <x:v>35302</x:v>
      </x:c>
      <x:c r="R189" s="22" t="str">
        <x:f>"528223318"</x:f>
        <x:v>528223318</x:v>
      </x:c>
      <x:c r="S189" s="23" t="str">
        <x:v>masculino</x:v>
      </x:c>
      <x:c r="T189" s="22" t="str">
        <x:f>"EPG4386"</x:f>
        <x:v>EPG4386</x:v>
      </x:c>
      <x:c r="U189" s="23" t="str">
        <x:v>ALLAN GUSTAVO LIBERATO</x:v>
      </x:c>
      <x:c r="V189" s="22" t="str">
        <x:f>"408.135.838-96"</x:f>
        <x:v>408.135.838-96</x:v>
      </x:c>
      <x:c r="W189" s="22" t="str">
        <x:f>"40813583896"</x:f>
        <x:v>40813583896</x:v>
      </x:c>
      <x:c r="X189" s="23" t="str">
        <x:v>Allangu96@gmail.com</x:v>
      </x:c>
      <x:c r="Y189" s="22" t="str">
        <x:f>"11 91319-8612"</x:f>
        <x:v>11 91319-8612</x:v>
      </x:c>
      <x:c r="Z189" s="30" t="n">
        <x:v>46330</x:v>
      </x:c>
    </x:row>
    <x:row r="190" ht="18" customHeight="1">
      <x:c r="A190" s="22" t="str">
        <x:f>"95d9bb80-81dc-4ebe-bf06-f405b91ecf5c"</x:f>
        <x:v>95d9bb80-81dc-4ebe-bf06-f405b91ecf5c</x:v>
      </x:c>
      <x:c r="B190" s="23" t="str">
        <x:v>ALLAN RODRIGUES DOS SANTOS</x:v>
      </x:c>
      <x:c r="C190" s="23" t="str">
        <x:v>allan rodrigues dos santos</x:v>
      </x:c>
      <x:c r="D190" s="22" t="str">
        <x:f>"57.513.456/0001-72"</x:f>
        <x:v>57.513.456/0001-72</x:v>
      </x:c>
      <x:c r="E190" s="22" t="str">
        <x:f>"57513456000172"</x:f>
        <x:v>57513456000172</x:v>
      </x:c>
      <x:c r="F190" s="22" t="str">
        <x:f>"130.893.486-67"</x:f>
        <x:v>130.893.486-67</x:v>
      </x:c>
      <x:c r="G190" s="22" t="str">
        <x:f>"13089348667"</x:f>
        <x:v>13089348667</x:v>
      </x:c>
      <x:c r="H190" s="23" t="str">
        <x:v>Allanrodrigues262@gmail.com</x:v>
      </x:c>
      <x:c r="I190" s="22" t="str">
        <x:f>"31982838043"</x:f>
        <x:v>31982838043</x:v>
      </x:c>
      <x:c r="J190" s="23" t="str">
        <x:v>RENTAL</x:v>
      </x:c>
      <x:c r="K190" s="23" t="str">
        <x:v>rental_company</x:v>
      </x:c>
      <x:c r="L190" s="24" t="b">
        <x:v>1</x:v>
      </x:c>
      <x:c r="M190" s="23" t="n">
        <x:v>1</x:v>
      </x:c>
      <x:c r="N190" s="28" t="n">
        <x:v>46219.812988715275</x:v>
      </x:c>
      <x:c r="O190" s="28" t="n">
        <x:v>46219.812988715275</x:v>
      </x:c>
      <x:c r="P190" s="23" t="str">
        <x:v>CONTAGEM</x:v>
      </x:c>
      <x:c r="Q190" s="30" t="n">
        <x:v>34675</x:v>
      </x:c>
      <x:c r="R190" s="22" t="str">
        <x:f>"19328304"</x:f>
        <x:v>19328304</x:v>
      </x:c>
      <x:c r="S190" s="23" t="str">
        <x:v>masculino</x:v>
      </x:c>
      <x:c r="T190" s="22" t="str"/>
      <x:c r="U190" s="23" t="str">
        <x:v>ALLAN RODRIGUES DOS SANTOS</x:v>
      </x:c>
      <x:c r="V190" s="22" t="str">
        <x:f>"130.893.486-67"</x:f>
        <x:v>130.893.486-67</x:v>
      </x:c>
      <x:c r="W190" s="22" t="str">
        <x:f>"13089348667"</x:f>
        <x:v>13089348667</x:v>
      </x:c>
      <x:c r="X190" s="23" t="str">
        <x:v>Allanrodrigues262@gmail.com</x:v>
      </x:c>
      <x:c r="Y190" s="22" t="str">
        <x:f>"31982838043"</x:f>
        <x:v>31982838043</x:v>
      </x:c>
      <x:c r="Z190" s="30" t="n">
        <x:v>46466</x:v>
      </x:c>
    </x:row>
    <x:row r="191" ht="18" customHeight="1">
      <x:c r="A191" s="22" t="str">
        <x:f>"c814b0a6-a6aa-4c94-b4a6-ae0bfde30f62"</x:f>
        <x:v>c814b0a6-a6aa-4c94-b4a6-ae0bfde30f62</x:v>
      </x:c>
      <x:c r="B191" s="23" t="str">
        <x:v>ALLEX ALVES ANGELO</x:v>
      </x:c>
      <x:c r="C191" s="23" t="str">
        <x:v>allex alves angelo</x:v>
      </x:c>
      <x:c r="D191" s="22" t="str">
        <x:f>"62.005.231/0001-45"</x:f>
        <x:v>62.005.231/0001-45</x:v>
      </x:c>
      <x:c r="E191" s="22" t="str">
        <x:f>"62005231000145"</x:f>
        <x:v>62005231000145</x:v>
      </x:c>
      <x:c r="F191" s="22" t="str">
        <x:f>"501.669.168-11"</x:f>
        <x:v>501.669.168-11</x:v>
      </x:c>
      <x:c r="G191" s="22" t="str">
        <x:f>"50166916811"</x:f>
        <x:v>50166916811</x:v>
      </x:c>
      <x:c r="H191" s="23" t="str">
        <x:v>yr8948697@gmail.com</x:v>
      </x:c>
      <x:c r="I191" s="22" t="str">
        <x:f>"11 - 962394130"</x:f>
        <x:v>11 - 962394130</x:v>
      </x:c>
      <x:c r="J191" s="23" t="str">
        <x:v>SPOT</x:v>
      </x:c>
      <x:c r="K191" s="23" t="str">
        <x:v>favored_only</x:v>
      </x:c>
      <x:c r="L191" s="24" t="b">
        <x:v>1</x:v>
      </x:c>
      <x:c r="M191" s="23" t="n">
        <x:v>1</x:v>
      </x:c>
      <x:c r="N191" s="28" t="n">
        <x:v>46203.92186462963</x:v>
      </x:c>
      <x:c r="O191" s="28" t="n">
        <x:v>46219.812988715275</x:v>
      </x:c>
      <x:c r="P191" s="23" t="str">
        <x:v>RIBEIRAO PRETO</x:v>
      </x:c>
      <x:c r="Q191" s="30" t="n">
        <x:v>37600</x:v>
      </x:c>
      <x:c r="R191" s="22" t="str">
        <x:f>"589976667"</x:f>
        <x:v>589976667</x:v>
      </x:c>
      <x:c r="S191" s="23" t="str">
        <x:v>masculino</x:v>
      </x:c>
      <x:c r="T191" s="22" t="str">
        <x:f>"GHF6G36"</x:f>
        <x:v>GHF6G36</x:v>
      </x:c>
      <x:c r="U191" s="23" t="str">
        <x:v>ALLEX ALVES ANGELO</x:v>
      </x:c>
      <x:c r="V191" s="22" t="str">
        <x:f>"501.669.168-11"</x:f>
        <x:v>501.669.168-11</x:v>
      </x:c>
      <x:c r="W191" s="22" t="str">
        <x:f>"50166916811"</x:f>
        <x:v>50166916811</x:v>
      </x:c>
      <x:c r="X191" s="23" t="str">
        <x:v>yr8948697@gmail.com</x:v>
      </x:c>
      <x:c r="Y191" s="22" t="str">
        <x:f>"11 - 962394130"</x:f>
        <x:v>11 - 962394130</x:v>
      </x:c>
      <x:c r="Z191" s="30" t="n">
        <x:v>46280</x:v>
      </x:c>
    </x:row>
    <x:row r="192" ht="18" customHeight="1">
      <x:c r="A192" s="22" t="str">
        <x:f>"7c616fc0-5003-4f78-8041-82d48795bb7a"</x:f>
        <x:v>7c616fc0-5003-4f78-8041-82d48795bb7a</x:v>
      </x:c>
      <x:c r="B192" s="23" t="str">
        <x:v>ALLEX WAYNER NOGUEIRA TEIXEIRA</x:v>
      </x:c>
      <x:c r="C192" s="23" t="str">
        <x:v>allex wayner nogueira teixeira</x:v>
      </x:c>
      <x:c r="D192" s="22" t="str">
        <x:f>"64.735.823/0001-48"</x:f>
        <x:v>64.735.823/0001-48</x:v>
      </x:c>
      <x:c r="E192" s="22" t="str">
        <x:f>"64735823000148"</x:f>
        <x:v>64735823000148</x:v>
      </x:c>
      <x:c r="F192" s="22" t="str">
        <x:f>"145.800.196-28"</x:f>
        <x:v>145.800.196-28</x:v>
      </x:c>
      <x:c r="G192" s="22" t="str">
        <x:f>"14580019628"</x:f>
        <x:v>14580019628</x:v>
      </x:c>
      <x:c r="H192" s="23" t="str">
        <x:v>allexdoidokz@hotmail.com</x:v>
      </x:c>
      <x:c r="I192" s="22" t="str">
        <x:f>"(37) 99803-9499"</x:f>
        <x:v>(37) 99803-9499</x:v>
      </x:c>
      <x:c r="J192" s="23" t="str">
        <x:v>SPOT</x:v>
      </x:c>
      <x:c r="K192" s="23" t="str">
        <x:v>favored_only</x:v>
      </x:c>
      <x:c r="L192" s="24" t="b">
        <x:v>1</x:v>
      </x:c>
      <x:c r="M192" s="23" t="n">
        <x:v>1</x:v>
      </x:c>
      <x:c r="N192" s="28" t="n">
        <x:v>46219.812988715275</x:v>
      </x:c>
      <x:c r="O192" s="28" t="n">
        <x:v>46219.812988715275</x:v>
      </x:c>
      <x:c r="P192" s="23" t="str">
        <x:v>ARAXÁ</x:v>
      </x:c>
      <x:c r="Q192" s="30" t="n">
        <x:v>37246</x:v>
      </x:c>
      <x:c r="R192" s="22" t="str">
        <x:f>"MG23005664"</x:f>
        <x:v>MG23005664</x:v>
      </x:c>
      <x:c r="S192" s="23" t="str">
        <x:v>masculino</x:v>
      </x:c>
      <x:c r="T192" s="22" t="str">
        <x:f>"RKM3J38"</x:f>
        <x:v>RKM3J38</x:v>
      </x:c>
      <x:c r="U192" s="23" t="str">
        <x:v>ALLEX WAYNER NOGUEIRA TEIXEIRA</x:v>
      </x:c>
      <x:c r="V192" s="22" t="str">
        <x:f>"145.800.196-28"</x:f>
        <x:v>145.800.196-28</x:v>
      </x:c>
      <x:c r="W192" s="22" t="str">
        <x:f>"14580019628"</x:f>
        <x:v>14580019628</x:v>
      </x:c>
      <x:c r="X192" s="23" t="str">
        <x:v>allexdoidokz@hotmail.com</x:v>
      </x:c>
      <x:c r="Y192" s="22" t="str">
        <x:f>"(37) 99803-9499"</x:f>
        <x:v>(37) 99803-9499</x:v>
      </x:c>
      <x:c r="Z192" s="30" t="n">
        <x:v>46415</x:v>
      </x:c>
    </x:row>
    <x:row r="193" ht="18" customHeight="1">
      <x:c r="A193" s="22" t="str">
        <x:f>"ef414147-89b4-426c-9d05-848611868ae9"</x:f>
        <x:v>ef414147-89b4-426c-9d05-848611868ae9</x:v>
      </x:c>
      <x:c r="B193" s="23" t="str">
        <x:v>ALLISON DE OLIVEIRA SILVA</x:v>
      </x:c>
      <x:c r="C193" s="23" t="str">
        <x:v>allison de oliveira silva</x:v>
      </x:c>
      <x:c r="D193" s="22" t="str">
        <x:f>"31.095.678/0001-29"</x:f>
        <x:v>31.095.678/0001-29</x:v>
      </x:c>
      <x:c r="E193" s="22" t="str">
        <x:f>"31095678000129"</x:f>
        <x:v>31095678000129</x:v>
      </x:c>
      <x:c r="F193" s="22" t="str">
        <x:f>"610.929.313-09"</x:f>
        <x:v>610.929.313-09</x:v>
      </x:c>
      <x:c r="G193" s="22" t="str">
        <x:f>"61092931309"</x:f>
        <x:v>61092931309</x:v>
      </x:c>
      <x:c r="H193" s="23" t="str">
        <x:v>ALLISONDEOLIVEIRASILVA342@OUTLOOK.COM</x:v>
      </x:c>
      <x:c r="I193" s="22" t="str">
        <x:f>"34997219540"</x:f>
        <x:v>34997219540</x:v>
      </x:c>
      <x:c r="J193" s="23" t="str">
        <x:v>SPOT</x:v>
      </x:c>
      <x:c r="K193" s="23" t="str">
        <x:v>favored_only</x:v>
      </x:c>
      <x:c r="L193" s="24" t="b">
        <x:v>1</x:v>
      </x:c>
      <x:c r="M193" s="23" t="n">
        <x:v>1</x:v>
      </x:c>
      <x:c r="N193" s="28" t="n">
        <x:v>46205.604368217595</x:v>
      </x:c>
      <x:c r="O193" s="28" t="n">
        <x:v>46219.812988715275</x:v>
      </x:c>
      <x:c r="P193" s="23" t="str">
        <x:v>ARAXÁ</x:v>
      </x:c>
      <x:c r="Q193" s="30" t="n">
        <x:v>34359</x:v>
      </x:c>
      <x:c r="R193" s="22" t="str">
        <x:f>"22731663"</x:f>
        <x:v>22731663</x:v>
      </x:c>
      <x:c r="S193" s="23" t="str">
        <x:v>masculino</x:v>
      </x:c>
      <x:c r="T193" s="22" t="str">
        <x:f>"DKI1F47"</x:f>
        <x:v>DKI1F47</x:v>
      </x:c>
      <x:c r="U193" s="23" t="str">
        <x:v>NATHALIA CAROLINE GOMES DA SILVA</x:v>
      </x:c>
      <x:c r="V193" s="22" t="str">
        <x:f>"103.851.366-92"</x:f>
        <x:v>103.851.366-92</x:v>
      </x:c>
      <x:c r="W193" s="22" t="str">
        <x:f>"10385136692"</x:f>
        <x:v>10385136692</x:v>
      </x:c>
      <x:c r="X193" s="23" t="str">
        <x:v>Nathaliasilvaclara13@outlook.com</x:v>
      </x:c>
      <x:c r="Y193" s="22" t="str">
        <x:f>"34988633933"</x:f>
        <x:v>34988633933</x:v>
      </x:c>
      <x:c r="Z193" s="30" t="n">
        <x:v>46270</x:v>
      </x:c>
    </x:row>
    <x:row r="194" ht="18" customHeight="1">
      <x:c r="A194" s="22" t="str">
        <x:f>"a8a34506-0731-4d24-9b6c-72f78327ee1d"</x:f>
        <x:v>a8a34506-0731-4d24-9b6c-72f78327ee1d</x:v>
      </x:c>
      <x:c r="B194" s="23" t="str">
        <x:v>ALLYSON CLEMENTINO MOTA</x:v>
      </x:c>
      <x:c r="C194" s="23" t="str">
        <x:v>allyson clementino mota</x:v>
      </x:c>
      <x:c r="D194" s="22" t="str">
        <x:f>"65.568.944/0001-05"</x:f>
        <x:v>65.568.944/0001-05</x:v>
      </x:c>
      <x:c r="E194" s="22" t="str">
        <x:f>"65568944000105"</x:f>
        <x:v>65568944000105</x:v>
      </x:c>
      <x:c r="F194" s="22" t="str">
        <x:f>"091.510.096-76"</x:f>
        <x:v>091.510.096-76</x:v>
      </x:c>
      <x:c r="G194" s="22" t="str">
        <x:f>"09151009676"</x:f>
        <x:v>09151009676</x:v>
      </x:c>
      <x:c r="H194" s="23" t="str">
        <x:v>clementinoallyson@gmail.com</x:v>
      </x:c>
      <x:c r="I194" s="22" t="str">
        <x:f>"(35)99941-5903"</x:f>
        <x:v>(35)99941-5903</x:v>
      </x:c>
      <x:c r="J194" s="23" t="str">
        <x:v>RENTAL</x:v>
      </x:c>
      <x:c r="K194" s="23" t="str">
        <x:v>rental_company</x:v>
      </x:c>
      <x:c r="L194" s="24" t="b">
        <x:v>1</x:v>
      </x:c>
      <x:c r="M194" s="23" t="n">
        <x:v>1</x:v>
      </x:c>
      <x:c r="N194" s="28" t="n">
        <x:v>46219.812988715275</x:v>
      </x:c>
      <x:c r="O194" s="28" t="n">
        <x:v>46219.812988715275</x:v>
      </x:c>
      <x:c r="P194" s="23" t="str">
        <x:v>POUSO ALEGRE</x:v>
      </x:c>
      <x:c r="Q194" s="30" t="n">
        <x:v>33758</x:v>
      </x:c>
      <x:c r="R194" s="22" t="str">
        <x:f>"MG15886102 SSP MG"</x:f>
        <x:v>MG15886102 SSP MG</x:v>
      </x:c>
      <x:c r="S194" s="23" t="str">
        <x:v>masculino</x:v>
      </x:c>
      <x:c r="T194" s="22" t="str"/>
      <x:c r="U194" s="23" t="str">
        <x:v>ALLYSON CLEMENTINO MOTA</x:v>
      </x:c>
      <x:c r="V194" s="22" t="str">
        <x:f>"091.510.096-76"</x:f>
        <x:v>091.510.096-76</x:v>
      </x:c>
      <x:c r="W194" s="22" t="str">
        <x:f>"09151009676"</x:f>
        <x:v>09151009676</x:v>
      </x:c>
      <x:c r="X194" s="23" t="str">
        <x:v>clementinoallyson@gmail.com</x:v>
      </x:c>
      <x:c r="Y194" s="22" t="str">
        <x:f>"(35)99941-5903"</x:f>
        <x:v>(35)99941-5903</x:v>
      </x:c>
      <x:c r="Z194" s="30" t="n">
        <x:v>46569</x:v>
      </x:c>
    </x:row>
    <x:row r="195" ht="18" customHeight="1">
      <x:c r="A195" s="22" t="str">
        <x:f>"8981f4a2-487e-4674-943e-0d18a8263711"</x:f>
        <x:v>8981f4a2-487e-4674-943e-0d18a8263711</x:v>
      </x:c>
      <x:c r="B195" s="23" t="str">
        <x:v>ALLYSSON FARNEZI</x:v>
      </x:c>
      <x:c r="C195" s="23" t="str">
        <x:v>allysson farnezi</x:v>
      </x:c>
      <x:c r="D195" s="22" t="str">
        <x:f>"58.601.283/0001-07"</x:f>
        <x:v>58.601.283/0001-07</x:v>
      </x:c>
      <x:c r="E195" s="22" t="str">
        <x:f>"58601283000107"</x:f>
        <x:v>58601283000107</x:v>
      </x:c>
      <x:c r="F195" s="22" t="str">
        <x:f>"112.539.806-08"</x:f>
        <x:v>112.539.806-08</x:v>
      </x:c>
      <x:c r="G195" s="22" t="str">
        <x:f>"11253980608"</x:f>
        <x:v>11253980608</x:v>
      </x:c>
      <x:c r="H195" s="23" t="str">
        <x:v>allyssonfarnezi@hotmail.com</x:v>
      </x:c>
      <x:c r="I195" s="22" t="str">
        <x:f>"(34) 99250-3071"</x:f>
        <x:v>(34) 99250-3071</x:v>
      </x:c>
      <x:c r="J195" s="23" t="str">
        <x:v>RENTAL</x:v>
      </x:c>
      <x:c r="K195" s="23" t="str">
        <x:v>rental_company</x:v>
      </x:c>
      <x:c r="L195" s="24" t="b">
        <x:v>1</x:v>
      </x:c>
      <x:c r="M195" s="23" t="n">
        <x:v>1</x:v>
      </x:c>
      <x:c r="N195" s="28" t="n">
        <x:v>46203.921824756944</x:v>
      </x:c>
      <x:c r="O195" s="28" t="n">
        <x:v>46219.812988715275</x:v>
      </x:c>
      <x:c r="P195" s="23" t="str">
        <x:v>UBERABA</x:v>
      </x:c>
      <x:c r="Q195" s="30" t="n">
        <x:v>33617</x:v>
      </x:c>
      <x:c r="R195" s="22" t="str">
        <x:f>"15635437"</x:f>
        <x:v>15635437</x:v>
      </x:c>
      <x:c r="S195" s="23" t="str">
        <x:v>masculino</x:v>
      </x:c>
      <x:c r="T195" s="22" t="str"/>
      <x:c r="U195" s="23" t="str">
        <x:v>ALLYSSON FARNEZI</x:v>
      </x:c>
      <x:c r="V195" s="22" t="str">
        <x:f>"112.539.806-08"</x:f>
        <x:v>112.539.806-08</x:v>
      </x:c>
      <x:c r="W195" s="22" t="str">
        <x:f>"11253980608"</x:f>
        <x:v>11253980608</x:v>
      </x:c>
      <x:c r="X195" s="23" t="str">
        <x:v>allyssonfarnezi@hotmail.com</x:v>
      </x:c>
      <x:c r="Y195" s="22" t="str">
        <x:f>"(34) 99250-3071"</x:f>
        <x:v>(34) 99250-3071</x:v>
      </x:c>
      <x:c r="Z195" s="30" t="n">
        <x:v>46345</x:v>
      </x:c>
    </x:row>
    <x:row r="196" ht="18" customHeight="1">
      <x:c r="A196" s="22" t="str">
        <x:f>"4dd7e82a-5d08-4f76-b09f-5da7dfe5bf2d"</x:f>
        <x:v>4dd7e82a-5d08-4f76-b09f-5da7dfe5bf2d</x:v>
      </x:c>
      <x:c r="B196" s="23" t="str">
        <x:v>ALLYSSON LAURENCO TORRES</x:v>
      </x:c>
      <x:c r="C196" s="23" t="str">
        <x:v>allysson laurenco torres</x:v>
      </x:c>
      <x:c r="D196" s="22" t="str">
        <x:f>"67.663.991/0001-63"</x:f>
        <x:v>67.663.991/0001-63</x:v>
      </x:c>
      <x:c r="E196" s="22" t="str">
        <x:f>"67663991000163"</x:f>
        <x:v>67663991000163</x:v>
      </x:c>
      <x:c r="F196" s="22" t="str">
        <x:f>"105.038.531-43"</x:f>
        <x:v>105.038.531-43</x:v>
      </x:c>
      <x:c r="G196" s="22" t="str">
        <x:f>"10503853143"</x:f>
        <x:v>10503853143</x:v>
      </x:c>
      <x:c r="H196" s="23" t="str">
        <x:v>Allyssonnubank007@gmail.com</x:v>
      </x:c>
      <x:c r="I196" s="22" t="str">
        <x:f>"62992112542"</x:f>
        <x:v>62992112542</x:v>
      </x:c>
      <x:c r="J196" s="23" t="str">
        <x:v>RENTAL</x:v>
      </x:c>
      <x:c r="K196" s="23" t="str">
        <x:v>rental_company</x:v>
      </x:c>
      <x:c r="L196" s="24" t="b">
        <x:v>1</x:v>
      </x:c>
      <x:c r="M196" s="23" t="n">
        <x:v>1</x:v>
      </x:c>
      <x:c r="N196" s="28" t="n">
        <x:v>46219.812988715275</x:v>
      </x:c>
      <x:c r="O196" s="28" t="n">
        <x:v>46219.812988715275</x:v>
      </x:c>
      <x:c r="P196" s="23" t="str">
        <x:v>GOIANIA</x:v>
      </x:c>
      <x:c r="Q196" s="30" t="n">
        <x:v>38036</x:v>
      </x:c>
      <x:c r="R196" s="22" t="str">
        <x:f>"7390442"</x:f>
        <x:v>7390442</x:v>
      </x:c>
      <x:c r="S196" s="23" t="str">
        <x:v>masculino</x:v>
      </x:c>
      <x:c r="T196" s="22" t="str"/>
      <x:c r="U196" s="23" t="str">
        <x:v>ALLYSSON LAURENCO TORRES</x:v>
      </x:c>
      <x:c r="V196" s="22" t="str">
        <x:f>"105.038.531-43"</x:f>
        <x:v>105.038.531-43</x:v>
      </x:c>
      <x:c r="W196" s="22" t="str">
        <x:f>"10503853143"</x:f>
        <x:v>10503853143</x:v>
      </x:c>
      <x:c r="X196" s="23" t="str">
        <x:v>Allyssonnubank007@gmail.com</x:v>
      </x:c>
      <x:c r="Y196" s="22" t="str">
        <x:f>"62992112542"</x:f>
        <x:v>62992112542</x:v>
      </x:c>
      <x:c r="Z196" s="30" t="n">
        <x:v>46562</x:v>
      </x:c>
    </x:row>
    <x:row r="197" ht="18" customHeight="1">
      <x:c r="A197" s="22" t="str">
        <x:f>"4f003169-e666-43e7-a050-f0ee6f45b5a1"</x:f>
        <x:v>4f003169-e666-43e7-a050-f0ee6f45b5a1</x:v>
      </x:c>
      <x:c r="B197" s="23" t="str">
        <x:v>ALTAIR FELIPE DE AGUIAR</x:v>
      </x:c>
      <x:c r="C197" s="23" t="str">
        <x:v>altair felipe de aguiar</x:v>
      </x:c>
      <x:c r="D197" s="22" t="str">
        <x:f>"63.084.499/0001-82"</x:f>
        <x:v>63.084.499/0001-82</x:v>
      </x:c>
      <x:c r="E197" s="22" t="str">
        <x:f>"63084499000182"</x:f>
        <x:v>63084499000182</x:v>
      </x:c>
      <x:c r="F197" s="22" t="str">
        <x:f>"498.374.058-99"</x:f>
        <x:v>498.374.058-99</x:v>
      </x:c>
      <x:c r="G197" s="22" t="str">
        <x:f>"49837405899"</x:f>
        <x:v>49837405899</x:v>
      </x:c>
      <x:c r="H197" s="23" t="str">
        <x:v>Altairfelipe34@gmail.com</x:v>
      </x:c>
      <x:c r="I197" s="22" t="str">
        <x:f>"17997572917"</x:f>
        <x:v>17997572917</x:v>
      </x:c>
      <x:c r="J197" s="23" t="str">
        <x:v>RENTAL</x:v>
      </x:c>
      <x:c r="K197" s="23" t="str">
        <x:v>rental_company</x:v>
      </x:c>
      <x:c r="L197" s="24" t="b">
        <x:v>1</x:v>
      </x:c>
      <x:c r="M197" s="23" t="n">
        <x:v>1</x:v>
      </x:c>
      <x:c r="N197" s="28" t="n">
        <x:v>46203.92186888889</x:v>
      </x:c>
      <x:c r="O197" s="28" t="n">
        <x:v>46219.812988715275</x:v>
      </x:c>
      <x:c r="P197" s="23" t="str">
        <x:v>JALES</x:v>
      </x:c>
      <x:c r="Q197" s="30" t="n">
        <x:v>38145</x:v>
      </x:c>
      <x:c r="R197" s="22" t="str">
        <x:f>"599845582"</x:f>
        <x:v>599845582</x:v>
      </x:c>
      <x:c r="S197" s="23" t="str">
        <x:v>masculino</x:v>
      </x:c>
      <x:c r="T197" s="22" t="str"/>
      <x:c r="U197" s="23" t="str">
        <x:v>ALTAIR FELIPE DE AGUIAR</x:v>
      </x:c>
      <x:c r="V197" s="22" t="str">
        <x:f>"498.374.058-99"</x:f>
        <x:v>498.374.058-99</x:v>
      </x:c>
      <x:c r="W197" s="22" t="str">
        <x:f>"49837405899"</x:f>
        <x:v>49837405899</x:v>
      </x:c>
      <x:c r="X197" s="23" t="str">
        <x:v>Altairfelipe34@gmail.com</x:v>
      </x:c>
      <x:c r="Y197" s="22" t="str">
        <x:f>"17997572917"</x:f>
        <x:v>17997572917</x:v>
      </x:c>
      <x:c r="Z197" s="30" t="n">
        <x:v>46303</x:v>
      </x:c>
    </x:row>
    <x:row r="198" ht="18" customHeight="1">
      <x:c r="A198" s="22" t="str">
        <x:f>"21d5e245-1a1a-430f-b1e4-2677c1d6c3a3"</x:f>
        <x:v>21d5e245-1a1a-430f-b1e4-2677c1d6c3a3</x:v>
      </x:c>
      <x:c r="B198" s="23" t="str">
        <x:v>ALTIER DA SILVA NASCIMENTO FILHO</x:v>
      </x:c>
      <x:c r="C198" s="23" t="str">
        <x:v>altier da silva nascimento filho</x:v>
      </x:c>
      <x:c r="D198" s="22" t="str">
        <x:f>"63.588.665/0001-88"</x:f>
        <x:v>63.588.665/0001-88</x:v>
      </x:c>
      <x:c r="E198" s="22" t="str">
        <x:f>"63588665000188"</x:f>
        <x:v>63588665000188</x:v>
      </x:c>
      <x:c r="F198" s="22" t="str">
        <x:f>"064.236.491-54"</x:f>
        <x:v>064.236.491-54</x:v>
      </x:c>
      <x:c r="G198" s="22" t="str">
        <x:f>"06423649154"</x:f>
        <x:v>06423649154</x:v>
      </x:c>
      <x:c r="H198" s="23" t="str">
        <x:v>altierfilho898@gmail.com</x:v>
      </x:c>
      <x:c r="I198" s="22" t="str">
        <x:f>"65996965012"</x:f>
        <x:v>65996965012</x:v>
      </x:c>
      <x:c r="J198" s="23" t="str">
        <x:v>SPOT</x:v>
      </x:c>
      <x:c r="K198" s="23" t="str">
        <x:v>favored_only</x:v>
      </x:c>
      <x:c r="L198" s="24" t="b">
        <x:v>1</x:v>
      </x:c>
      <x:c r="M198" s="23" t="n">
        <x:v>1</x:v>
      </x:c>
      <x:c r="N198" s="28" t="n">
        <x:v>46219.812988715275</x:v>
      </x:c>
      <x:c r="O198" s="28" t="n">
        <x:v>46219.812988715275</x:v>
      </x:c>
      <x:c r="P198" s="23" t="str">
        <x:v>CUIABA</x:v>
      </x:c>
      <x:c r="Q198" s="30" t="n">
        <x:v>36576</x:v>
      </x:c>
      <x:c r="R198" s="22" t="str">
        <x:f>"49655"</x:f>
        <x:v>49655</x:v>
      </x:c>
      <x:c r="S198" s="23" t="str">
        <x:v>masculino</x:v>
      </x:c>
      <x:c r="T198" s="22" t="str">
        <x:f>"SHS2I37"</x:f>
        <x:v>SHS2I37</x:v>
      </x:c>
      <x:c r="U198" s="23" t="str">
        <x:v>LTIER DA SILVA NASCIMENTO FILHO</x:v>
      </x:c>
      <x:c r="V198" s="22" t="str">
        <x:f>"064.236.491-54"</x:f>
        <x:v>064.236.491-54</x:v>
      </x:c>
      <x:c r="W198" s="22" t="str">
        <x:f>"06423649154"</x:f>
        <x:v>06423649154</x:v>
      </x:c>
      <x:c r="X198" s="23" t="str">
        <x:v>altierfilho898@gmail.com</x:v>
      </x:c>
      <x:c r="Y198" s="22" t="str">
        <x:f>"65996965012"</x:f>
        <x:v>65996965012</x:v>
      </x:c>
      <x:c r="Z198" s="30" t="n">
        <x:v>46442</x:v>
      </x:c>
    </x:row>
    <x:row r="199" ht="18" customHeight="1">
      <x:c r="A199" s="22" t="str">
        <x:f>"7ab1f6a4-5f22-4a82-8300-74ee07c96bf8"</x:f>
        <x:v>7ab1f6a4-5f22-4a82-8300-74ee07c96bf8</x:v>
      </x:c>
      <x:c r="B199" s="23" t="str">
        <x:v>ALUISIO SILVA DE MOURA</x:v>
      </x:c>
      <x:c r="C199" s="23" t="str">
        <x:v>aluisio silva de moura</x:v>
      </x:c>
      <x:c r="D199" s="22" t="str">
        <x:f>"26.017.825/0001-02"</x:f>
        <x:v>26.017.825/0001-02</x:v>
      </x:c>
      <x:c r="E199" s="22" t="str">
        <x:f>"26017825000102"</x:f>
        <x:v>26017825000102</x:v>
      </x:c>
      <x:c r="F199" s="22" t="str">
        <x:f>"094.922.987-32"</x:f>
        <x:v>094.922.987-32</x:v>
      </x:c>
      <x:c r="G199" s="22" t="str">
        <x:f>"09492298732"</x:f>
        <x:v>09492298732</x:v>
      </x:c>
      <x:c r="H199" s="23" t="str">
        <x:v>aluisiomoura@hotmail.com</x:v>
      </x:c>
      <x:c r="I199" s="22" t="str">
        <x:f>"21 96418-8249"</x:f>
        <x:v>21 96418-8249</x:v>
      </x:c>
      <x:c r="J199" s="23" t="str">
        <x:v>SPOT</x:v>
      </x:c>
      <x:c r="K199" s="23" t="str">
        <x:v>favored_only</x:v>
      </x:c>
      <x:c r="L199" s="24" t="b">
        <x:v>1</x:v>
      </x:c>
      <x:c r="M199" s="23" t="n">
        <x:v>1</x:v>
      </x:c>
      <x:c r="N199" s="28" t="n">
        <x:v>46203.92189349537</x:v>
      </x:c>
      <x:c r="O199" s="28" t="n">
        <x:v>46219.812988715275</x:v>
      </x:c>
      <x:c r="P199" s="23" t="str">
        <x:v>QUEIMADOS</x:v>
      </x:c>
      <x:c r="Q199" s="30" t="n">
        <x:v>30349</x:v>
      </x:c>
      <x:c r="R199" s="22" t="str">
        <x:f>"203735394"</x:f>
        <x:v>203735394</x:v>
      </x:c>
      <x:c r="S199" s="23" t="str">
        <x:v>masculino</x:v>
      </x:c>
      <x:c r="T199" s="22" t="str">
        <x:f>"KZG2H30"</x:f>
        <x:v>KZG2H30</x:v>
      </x:c>
      <x:c r="U199" s="23" t="str">
        <x:v>ALUISIO SILVA DE MOURA</x:v>
      </x:c>
      <x:c r="V199" s="22" t="str">
        <x:f>"094.922.987-32"</x:f>
        <x:v>094.922.987-32</x:v>
      </x:c>
      <x:c r="W199" s="22" t="str">
        <x:f>"09492298732"</x:f>
        <x:v>09492298732</x:v>
      </x:c>
      <x:c r="X199" s="23" t="str">
        <x:v>aluisiomoura@hotmail.com</x:v>
      </x:c>
      <x:c r="Y199" s="22" t="str">
        <x:f>"21 96418-8249"</x:f>
        <x:v>21 96418-8249</x:v>
      </x:c>
      <x:c r="Z199" s="30" t="n">
        <x:v>46336</x:v>
      </x:c>
    </x:row>
    <x:row r="200" ht="18" customHeight="1">
      <x:c r="A200" s="22" t="str">
        <x:f>"55e08d24-a158-4deb-920a-4b932f31760e"</x:f>
        <x:v>55e08d24-a158-4deb-920a-4b932f31760e</x:v>
      </x:c>
      <x:c r="B200" s="23" t="str">
        <x:v>ALVARO GUIMARAES SAMPAIO</x:v>
      </x:c>
      <x:c r="C200" s="23" t="str">
        <x:v>alvaro guimaraes sampaio</x:v>
      </x:c>
      <x:c r="D200" s="22" t="str">
        <x:f>"54.570.038/0001-29"</x:f>
        <x:v>54.570.038/0001-29</x:v>
      </x:c>
      <x:c r="E200" s="22" t="str">
        <x:f>"54570038000129"</x:f>
        <x:v>54570038000129</x:v>
      </x:c>
      <x:c r="F200" s="22" t="str">
        <x:f>"702.275.421-77"</x:f>
        <x:v>702.275.421-77</x:v>
      </x:c>
      <x:c r="G200" s="22" t="str">
        <x:f>"70227542177"</x:f>
        <x:v>70227542177</x:v>
      </x:c>
      <x:c r="H200" s="23" t="str">
        <x:v>alvarotraderr@gmail.com</x:v>
      </x:c>
      <x:c r="I200" s="22" t="str">
        <x:f>"64992788810"</x:f>
        <x:v>64992788810</x:v>
      </x:c>
      <x:c r="J200" s="23" t="str">
        <x:v>SPOT</x:v>
      </x:c>
      <x:c r="K200" s="23" t="str">
        <x:v>favored_only</x:v>
      </x:c>
      <x:c r="L200" s="24" t="b">
        <x:v>1</x:v>
      </x:c>
      <x:c r="M200" s="23" t="n">
        <x:v>1</x:v>
      </x:c>
      <x:c r="N200" s="28" t="n">
        <x:v>46219.812988715275</x:v>
      </x:c>
      <x:c r="O200" s="28" t="n">
        <x:v>46219.812988715275</x:v>
      </x:c>
      <x:c r="P200" s="23" t="str">
        <x:v>RIO VERDE</x:v>
      </x:c>
      <x:c r="Q200" s="30" t="n">
        <x:v>35677</x:v>
      </x:c>
      <x:c r="R200" s="22" t="str">
        <x:f>"5215813"</x:f>
        <x:v>5215813</x:v>
      </x:c>
      <x:c r="S200" s="23" t="str">
        <x:v>masculino</x:v>
      </x:c>
      <x:c r="T200" s="22" t="str">
        <x:f>"QAA3I88"</x:f>
        <x:v>QAA3I88</x:v>
      </x:c>
      <x:c r="U200" s="23" t="str">
        <x:v>ALVARO GUIMARAES SAMPAIO</x:v>
      </x:c>
      <x:c r="V200" s="22" t="str">
        <x:f>"702.275.421-77"</x:f>
        <x:v>702.275.421-77</x:v>
      </x:c>
      <x:c r="W200" s="22" t="str">
        <x:f>"70227542177"</x:f>
        <x:v>70227542177</x:v>
      </x:c>
      <x:c r="X200" s="23" t="str">
        <x:v>alvarotraderr@gmail.com</x:v>
      </x:c>
      <x:c r="Y200" s="22" t="str">
        <x:f>"64992788810"</x:f>
        <x:v>64992788810</x:v>
      </x:c>
      <x:c r="Z200" s="30" t="n">
        <x:v>46428</x:v>
      </x:c>
    </x:row>
    <x:row r="201" ht="18" customHeight="1">
      <x:c r="A201" s="22" t="str">
        <x:f>"bd6f9c25-8c03-45b0-886d-78e6c112aae4"</x:f>
        <x:v>bd6f9c25-8c03-45b0-886d-78e6c112aae4</x:v>
      </x:c>
      <x:c r="B201" s="23" t="str">
        <x:v>ALVARO JAMES VIERAM DUARTE</x:v>
      </x:c>
      <x:c r="C201" s="23" t="str">
        <x:v>alvaro james vieram duarte</x:v>
      </x:c>
      <x:c r="D201" s="22" t="str">
        <x:f>"44.784.341/0001-70"</x:f>
        <x:v>44.784.341/0001-70</x:v>
      </x:c>
      <x:c r="E201" s="22" t="str">
        <x:f>"44784341000170"</x:f>
        <x:v>44784341000170</x:v>
      </x:c>
      <x:c r="F201" s="22" t="str">
        <x:f>"091.495.824-02"</x:f>
        <x:v>091.495.824-02</x:v>
      </x:c>
      <x:c r="G201" s="22" t="str">
        <x:f>"09149582402"</x:f>
        <x:v>09149582402</x:v>
      </x:c>
      <x:c r="H201" s="23" t="str">
        <x:v>duarterp1@gmail.com</x:v>
      </x:c>
      <x:c r="I201" s="22" t="str">
        <x:f>"17996035575"</x:f>
        <x:v>17996035575</x:v>
      </x:c>
      <x:c r="J201" s="23" t="str">
        <x:v>SPOT</x:v>
      </x:c>
      <x:c r="K201" s="23" t="str">
        <x:v>favored_only</x:v>
      </x:c>
      <x:c r="L201" s="24" t="b">
        <x:v>1</x:v>
      </x:c>
      <x:c r="M201" s="23" t="n">
        <x:v>1</x:v>
      </x:c>
      <x:c r="N201" s="28" t="n">
        <x:v>46203.921858726855</x:v>
      </x:c>
      <x:c r="O201" s="28" t="n">
        <x:v>46219.812988715275</x:v>
      </x:c>
      <x:c r="P201" s="23" t="str">
        <x:v>SÃO JOSE DO RIO PRETO</x:v>
      </x:c>
      <x:c r="Q201" s="30" t="n">
        <x:v>33936</x:v>
      </x:c>
      <x:c r="R201" s="22" t="str">
        <x:f>"3450905"</x:f>
        <x:v>3450905</x:v>
      </x:c>
      <x:c r="S201" s="23" t="str">
        <x:v>masculino</x:v>
      </x:c>
      <x:c r="T201" s="22" t="str">
        <x:f>"EZL3D34"</x:f>
        <x:v>EZL3D34</x:v>
      </x:c>
      <x:c r="U201" s="23" t="str">
        <x:v>ALVARO JAMES VIERAM DUARTE</x:v>
      </x:c>
      <x:c r="V201" s="22" t="str">
        <x:f>"091.495.824-02"</x:f>
        <x:v>091.495.824-02</x:v>
      </x:c>
      <x:c r="W201" s="22" t="str">
        <x:f>"09149582402"</x:f>
        <x:v>09149582402</x:v>
      </x:c>
      <x:c r="X201" s="23" t="str">
        <x:v>duarterp1@gmail.com</x:v>
      </x:c>
      <x:c r="Y201" s="22" t="str">
        <x:f>"17996035575"</x:f>
        <x:v>17996035575</x:v>
      </x:c>
      <x:c r="Z201" s="30" t="n">
        <x:v>46256</x:v>
      </x:c>
    </x:row>
    <x:row r="202" ht="18" customHeight="1">
      <x:c r="A202" s="22" t="str">
        <x:f>"684a6062-b651-48c3-91b5-8810689a3449"</x:f>
        <x:v>684a6062-b651-48c3-91b5-8810689a3449</x:v>
      </x:c>
      <x:c r="B202" s="23" t="str">
        <x:v>ALVARO OLIVEIRA DA SILVA</x:v>
      </x:c>
      <x:c r="C202" s="23" t="str">
        <x:v>alvaro oliveira da silva</x:v>
      </x:c>
      <x:c r="D202" s="22" t="str">
        <x:f>"54.026.270/0001-09"</x:f>
        <x:v>54.026.270/0001-09</x:v>
      </x:c>
      <x:c r="E202" s="22" t="str">
        <x:f>"54026270000109"</x:f>
        <x:v>54026270000109</x:v>
      </x:c>
      <x:c r="F202" s="22" t="str">
        <x:f>"528.121.768-22"</x:f>
        <x:v>528.121.768-22</x:v>
      </x:c>
      <x:c r="G202" s="22" t="str">
        <x:f>"52812176822"</x:f>
        <x:v>52812176822</x:v>
      </x:c>
      <x:c r="H202" s="23" t="str">
        <x:v>alvarosilvaoliveira322@gmail.com</x:v>
      </x:c>
      <x:c r="I202" s="22" t="str">
        <x:f>"11 932856102"</x:f>
        <x:v>11 932856102</x:v>
      </x:c>
      <x:c r="J202" s="23" t="str">
        <x:v>SPOT</x:v>
      </x:c>
      <x:c r="K202" s="23" t="str">
        <x:v>favored_only</x:v>
      </x:c>
      <x:c r="L202" s="24" t="b">
        <x:v>1</x:v>
      </x:c>
      <x:c r="M202" s="23" t="n">
        <x:v>1</x:v>
      </x:c>
      <x:c r="N202" s="28" t="n">
        <x:v>46205.60420740741</x:v>
      </x:c>
      <x:c r="O202" s="28" t="n">
        <x:v>46219.812988715275</x:v>
      </x:c>
      <x:c r="P202" s="23" t="str">
        <x:v>BARUERI</x:v>
      </x:c>
      <x:c r="Q202" s="30" t="n">
        <x:v>37721</x:v>
      </x:c>
      <x:c r="R202" s="22" t="str">
        <x:f>"501077224"</x:f>
        <x:v>501077224</x:v>
      </x:c>
      <x:c r="S202" s="23" t="str">
        <x:v>masculino</x:v>
      </x:c>
      <x:c r="T202" s="22" t="str">
        <x:f>"EIF4612"</x:f>
        <x:v>EIF4612</x:v>
      </x:c>
      <x:c r="U202" s="23" t="str">
        <x:v>ROSIRENE BANDEIRA DE OLIVEIRA</x:v>
      </x:c>
      <x:c r="V202" s="22" t="str">
        <x:f>"300.372.098-84"</x:f>
        <x:v>300.372.098-84</x:v>
      </x:c>
      <x:c r="W202" s="22" t="str">
        <x:f>"30037209884"</x:f>
        <x:v>30037209884</x:v>
      </x:c>
      <x:c r="X202" s="23" t="str">
        <x:v>rosireneo61@gmail.com</x:v>
      </x:c>
      <x:c r="Y202" s="22" t="str">
        <x:f>"1196267143"</x:f>
        <x:v>1196267143</x:v>
      </x:c>
      <x:c r="Z202" s="30" t="n">
        <x:v>46262</x:v>
      </x:c>
    </x:row>
    <x:row r="203" ht="18" customHeight="1">
      <x:c r="A203" s="22" t="str">
        <x:f>"85500556-514e-4849-8f35-0cb2fb1e421c"</x:f>
        <x:v>85500556-514e-4849-8f35-0cb2fb1e421c</x:v>
      </x:c>
      <x:c r="B203" s="23" t="str">
        <x:v>ALVARO ROMERA CORA</x:v>
      </x:c>
      <x:c r="C203" s="23" t="str">
        <x:v>alvaro romera cora</x:v>
      </x:c>
      <x:c r="D203" s="22" t="str">
        <x:f>"26.137.751/0001-48"</x:f>
        <x:v>26.137.751/0001-48</x:v>
      </x:c>
      <x:c r="E203" s="22" t="str">
        <x:f>"26137751000148"</x:f>
        <x:v>26137751000148</x:v>
      </x:c>
      <x:c r="F203" s="22" t="str">
        <x:f>"089.163.807-58"</x:f>
        <x:v>089.163.807-58</x:v>
      </x:c>
      <x:c r="G203" s="22" t="str">
        <x:f>"08916380758"</x:f>
        <x:v>08916380758</x:v>
      </x:c>
      <x:c r="H203" s="23" t="str">
        <x:v>alvinhocora18@gmail.com</x:v>
      </x:c>
      <x:c r="I203" s="22" t="str">
        <x:f>"21 996428392"</x:f>
        <x:v>21 996428392</x:v>
      </x:c>
      <x:c r="J203" s="23" t="str">
        <x:v>SPOT</x:v>
      </x:c>
      <x:c r="K203" s="23" t="str">
        <x:v>favored_only</x:v>
      </x:c>
      <x:c r="L203" s="24" t="b">
        <x:v>1</x:v>
      </x:c>
      <x:c r="M203" s="23" t="n">
        <x:v>1</x:v>
      </x:c>
      <x:c r="N203" s="28" t="n">
        <x:v>46203.9218771875</x:v>
      </x:c>
      <x:c r="O203" s="28" t="n">
        <x:v>46219.812988715275</x:v>
      </x:c>
      <x:c r="P203" s="23" t="str">
        <x:v>QUEIMADOS</x:v>
      </x:c>
      <x:c r="Q203" s="30" t="n">
        <x:v>28787</x:v>
      </x:c>
      <x:c r="R203" s="22" t="str">
        <x:f>"113110290"</x:f>
        <x:v>113110290</x:v>
      </x:c>
      <x:c r="S203" s="23" t="str">
        <x:v>masculino</x:v>
      </x:c>
      <x:c r="T203" s="22" t="str">
        <x:f>"LMA9F80"</x:f>
        <x:v>LMA9F80</x:v>
      </x:c>
      <x:c r="U203" s="23" t="str">
        <x:v>ALVARO ROMERA CORA</x:v>
      </x:c>
      <x:c r="V203" s="22" t="str">
        <x:f>"089.163.807-58"</x:f>
        <x:v>089.163.807-58</x:v>
      </x:c>
      <x:c r="W203" s="22" t="str">
        <x:f>"08916380758"</x:f>
        <x:v>08916380758</x:v>
      </x:c>
      <x:c r="X203" s="23" t="str">
        <x:v>alvinhocora18@gmail.com</x:v>
      </x:c>
      <x:c r="Y203" s="22" t="str">
        <x:f>"21 996428392"</x:f>
        <x:v>21 996428392</x:v>
      </x:c>
      <x:c r="Z203" s="30" t="n">
        <x:v>46315</x:v>
      </x:c>
    </x:row>
    <x:row r="204" ht="18" customHeight="1">
      <x:c r="A204" s="22" t="str">
        <x:f>"be72df70-0682-43aa-8d6c-75374a0746d7"</x:f>
        <x:v>be72df70-0682-43aa-8d6c-75374a0746d7</x:v>
      </x:c>
      <x:c r="B204" s="23" t="str">
        <x:v>ALYSON CORDEIRO RODRIGUES</x:v>
      </x:c>
      <x:c r="C204" s="23" t="str">
        <x:v>alyson cordeiro rodrigues</x:v>
      </x:c>
      <x:c r="D204" s="22" t="str">
        <x:f>"67.915.756/0001-31"</x:f>
        <x:v>67.915.756/0001-31</x:v>
      </x:c>
      <x:c r="E204" s="22" t="str">
        <x:f>"67915756000131"</x:f>
        <x:v>67915756000131</x:v>
      </x:c>
      <x:c r="F204" s="22" t="str">
        <x:f>"550.771.288-39"</x:f>
        <x:v>550.771.288-39</x:v>
      </x:c>
      <x:c r="G204" s="22" t="str">
        <x:f>"55077128839"</x:f>
        <x:v>55077128839</x:v>
      </x:c>
      <x:c r="H204" s="23" t="str">
        <x:v>alysonr5432@gmail.com</x:v>
      </x:c>
      <x:c r="I204" s="22" t="str">
        <x:f>"1699276-1048"</x:f>
        <x:v>1699276-1048</x:v>
      </x:c>
      <x:c r="J204" s="23" t="str">
        <x:v>RENTAL</x:v>
      </x:c>
      <x:c r="K204" s="23" t="str">
        <x:v>rental_company</x:v>
      </x:c>
      <x:c r="L204" s="24" t="b">
        <x:v>1</x:v>
      </x:c>
      <x:c r="M204" s="23" t="n">
        <x:v>1</x:v>
      </x:c>
      <x:c r="N204" s="28" t="n">
        <x:v>46219.812988715275</x:v>
      </x:c>
      <x:c r="O204" s="28" t="n">
        <x:v>46219.812988715275</x:v>
      </x:c>
      <x:c r="P204" s="23" t="str">
        <x:v>SÃO CARLOS</x:v>
      </x:c>
      <x:c r="Q204" s="30" t="n">
        <x:v>38077</x:v>
      </x:c>
      <x:c r="R204" s="22" t="str">
        <x:f>"57.942.040-1"</x:f>
        <x:v>57.942.040-1</x:v>
      </x:c>
      <x:c r="S204" s="23" t="str">
        <x:v>masculino</x:v>
      </x:c>
      <x:c r="T204" s="22" t="str"/>
      <x:c r="U204" s="23" t="str">
        <x:v>ALYSON CORDEIRO RODRIGUES</x:v>
      </x:c>
      <x:c r="V204" s="22" t="str">
        <x:f>"550.771.288-39"</x:f>
        <x:v>550.771.288-39</x:v>
      </x:c>
      <x:c r="W204" s="22" t="str">
        <x:f>"55077128839"</x:f>
        <x:v>55077128839</x:v>
      </x:c>
      <x:c r="X204" s="23" t="str">
        <x:v>alysonr5432@gmail.com</x:v>
      </x:c>
      <x:c r="Y204" s="22" t="str">
        <x:f>"1699276-1048"</x:f>
        <x:v>1699276-1048</x:v>
      </x:c>
      <x:c r="Z204" s="30" t="n">
        <x:v>46576</x:v>
      </x:c>
    </x:row>
    <x:row r="205" ht="18" customHeight="1">
      <x:c r="A205" s="22" t="str">
        <x:f>"b99195ad-55ab-446e-9e60-4f6fbf482d0a"</x:f>
        <x:v>b99195ad-55ab-446e-9e60-4f6fbf482d0a</x:v>
      </x:c>
      <x:c r="B205" s="23" t="str">
        <x:v>ALYSON MAGALHAES DA SILVA</x:v>
      </x:c>
      <x:c r="C205" s="23" t="str">
        <x:v>alyson magalhaes da silva</x:v>
      </x:c>
      <x:c r="D205" s="22" t="str">
        <x:f>"62.993.325/0001-70"</x:f>
        <x:v>62.993.325/0001-70</x:v>
      </x:c>
      <x:c r="E205" s="22" t="str">
        <x:f>"62993325000170"</x:f>
        <x:v>62993325000170</x:v>
      </x:c>
      <x:c r="F205" s="22" t="str">
        <x:f>"631.793.083-03"</x:f>
        <x:v>631.793.083-03</x:v>
      </x:c>
      <x:c r="G205" s="22" t="str">
        <x:f>"63179308303"</x:f>
        <x:v>63179308303</x:v>
      </x:c>
      <x:c r="H205" s="23" t="str">
        <x:v>alysonmglhs@gmail.com</x:v>
      </x:c>
      <x:c r="I205" s="22" t="str">
        <x:f>"18988054710"</x:f>
        <x:v>18988054710</x:v>
      </x:c>
      <x:c r="J205" s="23" t="str">
        <x:v>RENTAL</x:v>
      </x:c>
      <x:c r="K205" s="23" t="str">
        <x:v>rental_company</x:v>
      </x:c>
      <x:c r="L205" s="24" t="b">
        <x:v>1</x:v>
      </x:c>
      <x:c r="M205" s="23" t="n">
        <x:v>1</x:v>
      </x:c>
      <x:c r="N205" s="28" t="n">
        <x:v>46203.921904421295</x:v>
      </x:c>
      <x:c r="O205" s="28" t="n">
        <x:v>46219.812988715275</x:v>
      </x:c>
      <x:c r="P205" s="23" t="str">
        <x:v>PRESIDENTE PRUDENTE</x:v>
      </x:c>
      <x:c r="Q205" s="30" t="n">
        <x:v>38823</x:v>
      </x:c>
      <x:c r="R205" s="22" t="str">
        <x:f>"700954673"</x:f>
        <x:v>700954673</x:v>
      </x:c>
      <x:c r="S205" s="23" t="str">
        <x:v>masculino</x:v>
      </x:c>
      <x:c r="T205" s="22" t="str"/>
      <x:c r="U205" s="23" t="str">
        <x:v>ALYSON MAGALHAES DA SILVA</x:v>
      </x:c>
      <x:c r="V205" s="22" t="str">
        <x:f>"631.793.083-03"</x:f>
        <x:v>631.793.083-03</x:v>
      </x:c>
      <x:c r="W205" s="22" t="str">
        <x:f>"63179308303"</x:f>
        <x:v>63179308303</x:v>
      </x:c>
      <x:c r="X205" s="23" t="str">
        <x:v>alysonmglhs@gmail.com</x:v>
      </x:c>
      <x:c r="Y205" s="22" t="str">
        <x:f>"18988054710"</x:f>
        <x:v>18988054710</x:v>
      </x:c>
      <x:c r="Z205" s="30" t="n">
        <x:v>46371</x:v>
      </x:c>
    </x:row>
    <x:row r="206" ht="18" customHeight="1">
      <x:c r="A206" s="22" t="str">
        <x:f>"93dc88ca-f77a-4321-a88f-46be284d756b"</x:f>
        <x:v>93dc88ca-f77a-4321-a88f-46be284d756b</x:v>
      </x:c>
      <x:c r="B206" s="23" t="str">
        <x:v>ALYSSON MARQUES PADUA</x:v>
      </x:c>
      <x:c r="C206" s="23" t="str">
        <x:v>alysson marques padua</x:v>
      </x:c>
      <x:c r="D206" s="22" t="str">
        <x:f>"43.333.098/0001-01"</x:f>
        <x:v>43.333.098/0001-01</x:v>
      </x:c>
      <x:c r="E206" s="22" t="str">
        <x:f>"43333098000101"</x:f>
        <x:v>43333098000101</x:v>
      </x:c>
      <x:c r="F206" s="22" t="str">
        <x:f>"126.004.816-05"</x:f>
        <x:v>126.004.816-05</x:v>
      </x:c>
      <x:c r="G206" s="22" t="str">
        <x:f>"12600481605"</x:f>
        <x:v>12600481605</x:v>
      </x:c>
      <x:c r="H206" s="23" t="str">
        <x:v>Alyssonpoder96@icloud.com</x:v>
      </x:c>
      <x:c r="I206" s="22" t="str">
        <x:f>"35991542837"</x:f>
        <x:v>35991542837</x:v>
      </x:c>
      <x:c r="J206" s="23" t="str">
        <x:v>SPOT</x:v>
      </x:c>
      <x:c r="K206" s="23" t="str">
        <x:v>favored_only</x:v>
      </x:c>
      <x:c r="L206" s="24" t="b">
        <x:v>1</x:v>
      </x:c>
      <x:c r="M206" s="23" t="n">
        <x:v>1</x:v>
      </x:c>
      <x:c r="N206" s="28" t="n">
        <x:v>46205.60423253472</x:v>
      </x:c>
      <x:c r="O206" s="28" t="n">
        <x:v>46219.812988715275</x:v>
      </x:c>
      <x:c r="P206" s="23" t="str">
        <x:v>GUAXUPE</x:v>
      </x:c>
      <x:c r="Q206" s="30" t="n">
        <x:v>35233</x:v>
      </x:c>
      <x:c r="R206" s="22" t="str">
        <x:f>"18901018"</x:f>
        <x:v>18901018</x:v>
      </x:c>
      <x:c r="S206" s="23" t="str">
        <x:v>masculino</x:v>
      </x:c>
      <x:c r="T206" s="22" t="str">
        <x:f>"FZW8A11"</x:f>
        <x:v>FZW8A11</x:v>
      </x:c>
      <x:c r="U206" s="23" t="str">
        <x:v>FIDELIS MARQUES DA PADUA JUNIOR</x:v>
      </x:c>
      <x:c r="V206" s="22" t="str">
        <x:f>"124.277.236-73"</x:f>
        <x:v>124.277.236-73</x:v>
      </x:c>
      <x:c r="W206" s="22" t="str">
        <x:f>"12427723673"</x:f>
        <x:v>12427723673</x:v>
      </x:c>
      <x:c r="X206" s="23" t="str">
        <x:v>fidelispaduajr@gmail.com</x:v>
      </x:c>
      <x:c r="Y206" s="22" t="str">
        <x:f>"35 9211-8940"</x:f>
        <x:v>35 9211-8940</x:v>
      </x:c>
      <x:c r="Z206" s="30" t="n">
        <x:v>46262</x:v>
      </x:c>
    </x:row>
    <x:row r="207" ht="18" customHeight="1">
      <x:c r="A207" s="22" t="str">
        <x:f>"af6b6092-3aed-474f-a9d9-61b430df6632"</x:f>
        <x:v>af6b6092-3aed-474f-a9d9-61b430df6632</x:v>
      </x:c>
      <x:c r="B207" s="23" t="str">
        <x:v>ALYSSON SILVA AMORIM</x:v>
      </x:c>
      <x:c r="C207" s="23" t="str">
        <x:v>alysson silva amorim</x:v>
      </x:c>
      <x:c r="D207" s="22" t="str">
        <x:f>"59.525.080/0001-41"</x:f>
        <x:v>59.525.080/0001-41</x:v>
      </x:c>
      <x:c r="E207" s="22" t="str">
        <x:f>"59525080000141"</x:f>
        <x:v>59525080000141</x:v>
      </x:c>
      <x:c r="F207" s="22" t="str">
        <x:f>"067.694.376-43"</x:f>
        <x:v>067.694.376-43</x:v>
      </x:c>
      <x:c r="G207" s="22" t="str">
        <x:f>"06769437643"</x:f>
        <x:v>06769437643</x:v>
      </x:c>
      <x:c r="H207" s="23" t="str">
        <x:v>alyssonamorimgol09@gmail.com</x:v>
      </x:c>
      <x:c r="I207" s="22" t="str">
        <x:f>"3198279-2991"</x:f>
        <x:v>3198279-2991</x:v>
      </x:c>
      <x:c r="J207" s="23" t="str">
        <x:v>SPOT</x:v>
      </x:c>
      <x:c r="K207" s="23" t="str">
        <x:v>favored_only</x:v>
      </x:c>
      <x:c r="L207" s="24" t="b">
        <x:v>1</x:v>
      </x:c>
      <x:c r="M207" s="23" t="n">
        <x:v>1</x:v>
      </x:c>
      <x:c r="N207" s="28" t="n">
        <x:v>46203.92189965278</x:v>
      </x:c>
      <x:c r="O207" s="28" t="n">
        <x:v>46219.812988715275</x:v>
      </x:c>
      <x:c r="P207" s="23" t="str">
        <x:v>NOVA LIMA</x:v>
      </x:c>
      <x:c r="Q207" s="30" t="n">
        <x:v>31124</x:v>
      </x:c>
      <x:c r="R207" s="22" t="str">
        <x:f>"13415937"</x:f>
        <x:v>13415937</x:v>
      </x:c>
      <x:c r="S207" s="23" t="str">
        <x:v>masculino</x:v>
      </x:c>
      <x:c r="T207" s="22" t="str"/>
      <x:c r="U207" s="23" t="str">
        <x:v>ALYSSON SILVA AMORIM</x:v>
      </x:c>
      <x:c r="V207" s="22" t="str">
        <x:f>"067.694.376-43"</x:f>
        <x:v>067.694.376-43</x:v>
      </x:c>
      <x:c r="W207" s="22" t="str">
        <x:f>"06769437643"</x:f>
        <x:v>06769437643</x:v>
      </x:c>
      <x:c r="X207" s="23" t="str">
        <x:v>alyssonamorimgol09@gmail.com</x:v>
      </x:c>
      <x:c r="Y207" s="22" t="str">
        <x:f>"3198279-2991"</x:f>
        <x:v>3198279-2991</x:v>
      </x:c>
      <x:c r="Z207" s="30" t="n">
        <x:v>46353</x:v>
      </x:c>
    </x:row>
    <x:row r="208" ht="18" customHeight="1">
      <x:c r="A208" s="22" t="str">
        <x:f>"9c0a1593-8d08-4747-b899-e3921aa6ae57"</x:f>
        <x:v>9c0a1593-8d08-4747-b899-e3921aa6ae57</x:v>
      </x:c>
      <x:c r="B208" s="23" t="str">
        <x:v>ALZEMAR FREIRE CAMPOS</x:v>
      </x:c>
      <x:c r="C208" s="23" t="str">
        <x:v>alzemar freire campos</x:v>
      </x:c>
      <x:c r="D208" s="22" t="str">
        <x:f>"37.823.997/0001-90"</x:f>
        <x:v>37.823.997/0001-90</x:v>
      </x:c>
      <x:c r="E208" s="22" t="str">
        <x:f>"37823997000190"</x:f>
        <x:v>37823997000190</x:v>
      </x:c>
      <x:c r="F208" s="22" t="str">
        <x:f>"574.037.322-00"</x:f>
        <x:v>574.037.322-00</x:v>
      </x:c>
      <x:c r="G208" s="22" t="str">
        <x:f>"57403732200"</x:f>
        <x:v>57403732200</x:v>
      </x:c>
      <x:c r="H208" s="23" t="str">
        <x:v>alzemarcampos4@gmail.com</x:v>
      </x:c>
      <x:c r="I208" s="22" t="str">
        <x:f>"61 98400 3090"</x:f>
        <x:v>61 98400 3090</x:v>
      </x:c>
      <x:c r="J208" s="23" t="str">
        <x:v>SPOT</x:v>
      </x:c>
      <x:c r="K208" s="23" t="str">
        <x:v>favored_only</x:v>
      </x:c>
      <x:c r="L208" s="24" t="b">
        <x:v>1</x:v>
      </x:c>
      <x:c r="M208" s="23" t="n">
        <x:v>1</x:v>
      </x:c>
      <x:c r="N208" s="28" t="n">
        <x:v>46205.60195484954</x:v>
      </x:c>
      <x:c r="O208" s="28" t="n">
        <x:v>46219.812988715275</x:v>
      </x:c>
      <x:c r="P208" s="23" t="str">
        <x:v>GOIANIA</x:v>
      </x:c>
      <x:c r="Q208" s="30" t="n">
        <x:v>27859</x:v>
      </x:c>
      <x:c r="R208" s="22" t="str">
        <x:f>"2366562"</x:f>
        <x:v>2366562</x:v>
      </x:c>
      <x:c r="S208" s="23" t="str">
        <x:v>masculino</x:v>
      </x:c>
      <x:c r="T208" s="22" t="str">
        <x:f>"OOB1B26"</x:f>
        <x:v>OOB1B26</x:v>
      </x:c>
      <x:c r="U208" s="23" t="str">
        <x:v>DANILLO BACIEL ALMEIDA</x:v>
      </x:c>
      <x:c r="V208" s="22" t="str">
        <x:f>"962.005.291-91"</x:f>
        <x:v>962.005.291-91</x:v>
      </x:c>
      <x:c r="W208" s="22" t="str">
        <x:f>"96200529191"</x:f>
        <x:v>96200529191</x:v>
      </x:c>
      <x:c r="X208" s="23" t="str">
        <x:v>rpt.cargas@gmail.com</x:v>
      </x:c>
      <x:c r="Y208" s="22" t="str">
        <x:f>"62 996610607"</x:f>
        <x:v>62 996610607</x:v>
      </x:c>
      <x:c r="Z208" s="30" t="n">
        <x:v>46358</x:v>
      </x:c>
    </x:row>
    <x:row r="209" ht="18" customHeight="1">
      <x:c r="A209" s="22" t="str">
        <x:f>"221b73e9-572f-4720-bf90-a8e46e23060c"</x:f>
        <x:v>221b73e9-572f-4720-bf90-a8e46e23060c</x:v>
      </x:c>
      <x:c r="B209" s="23" t="str">
        <x:v>AMANDA ADRIANA ROCHA MANOEL</x:v>
      </x:c>
      <x:c r="C209" s="23" t="str">
        <x:v>amanda adriana rocha manoel</x:v>
      </x:c>
      <x:c r="D209" s="22" t="str">
        <x:f>"52.667.845/0001-39"</x:f>
        <x:v>52.667.845/0001-39</x:v>
      </x:c>
      <x:c r="E209" s="22" t="str">
        <x:f>"52667845000139"</x:f>
        <x:v>52667845000139</x:v>
      </x:c>
      <x:c r="F209" s="22" t="str">
        <x:f>"143.081.916-29"</x:f>
        <x:v>143.081.916-29</x:v>
      </x:c>
      <x:c r="G209" s="22" t="str">
        <x:f>"14308191629"</x:f>
        <x:v>14308191629</x:v>
      </x:c>
      <x:c r="H209" s="23" t="str">
        <x:v>amandaadrm@gmail.com</x:v>
      </x:c>
      <x:c r="I209" s="22" t="str">
        <x:f>"34998422312"</x:f>
        <x:v>34998422312</x:v>
      </x:c>
      <x:c r="J209" s="23" t="str">
        <x:v>SPOT</x:v>
      </x:c>
      <x:c r="K209" s="23" t="str">
        <x:v>favored_only</x:v>
      </x:c>
      <x:c r="L209" s="24" t="b">
        <x:v>1</x:v>
      </x:c>
      <x:c r="M209" s="23" t="n">
        <x:v>1</x:v>
      </x:c>
      <x:c r="N209" s="28" t="n">
        <x:v>46203.921824756944</x:v>
      </x:c>
      <x:c r="O209" s="28" t="n">
        <x:v>46219.812988715275</x:v>
      </x:c>
      <x:c r="P209" s="23" t="str">
        <x:v>ARAXÁ</x:v>
      </x:c>
      <x:c r="Q209" s="30" t="n">
        <x:v>35678</x:v>
      </x:c>
      <x:c r="R209" s="22" t="str">
        <x:f>"19634563"</x:f>
        <x:v>19634563</x:v>
      </x:c>
      <x:c r="S209" s="23" t="str">
        <x:v>feminino</x:v>
      </x:c>
      <x:c r="T209" s="22" t="str">
        <x:f>"OPF8B39"</x:f>
        <x:v>OPF8B39</x:v>
      </x:c>
      <x:c r="U209" s="23" t="str">
        <x:v>AMANDA ADRIANA ROCHA MANOEL</x:v>
      </x:c>
      <x:c r="V209" s="22" t="str">
        <x:f>"143.081.916-29"</x:f>
        <x:v>143.081.916-29</x:v>
      </x:c>
      <x:c r="W209" s="22" t="str">
        <x:f>"14308191629"</x:f>
        <x:v>14308191629</x:v>
      </x:c>
      <x:c r="X209" s="23" t="str">
        <x:v>amandaadrm@gmail.com</x:v>
      </x:c>
      <x:c r="Y209" s="22" t="str">
        <x:f>"34998422312"</x:f>
        <x:v>34998422312</x:v>
      </x:c>
      <x:c r="Z209" s="30" t="n">
        <x:v>46424</x:v>
      </x:c>
    </x:row>
    <x:row r="210" ht="18" customHeight="1">
      <x:c r="A210" s="22" t="str">
        <x:f>"2227922c-52b8-448d-8fc4-fde5ff947301"</x:f>
        <x:v>2227922c-52b8-448d-8fc4-fde5ff947301</x:v>
      </x:c>
      <x:c r="B210" s="23" t="str">
        <x:v>AMANDA CELITA CARNEIRO</x:v>
      </x:c>
      <x:c r="C210" s="23" t="str">
        <x:v>amanda celita carneiro</x:v>
      </x:c>
      <x:c r="D210" s="22" t="str">
        <x:f>"57.344.904/0001-51"</x:f>
        <x:v>57.344.904/0001-51</x:v>
      </x:c>
      <x:c r="E210" s="22" t="str">
        <x:f>"57344904000151"</x:f>
        <x:v>57344904000151</x:v>
      </x:c>
      <x:c r="F210" s="22" t="str">
        <x:f>"333.655.008-47"</x:f>
        <x:v>333.655.008-47</x:v>
      </x:c>
      <x:c r="G210" s="22" t="str">
        <x:f>"33365500847"</x:f>
        <x:v>33365500847</x:v>
      </x:c>
      <x:c r="H210" s="23" t="str">
        <x:v>amandacarneiro164@gmail.com</x:v>
      </x:c>
      <x:c r="I210" s="22" t="str">
        <x:f>"16 99962-2729"</x:f>
        <x:v>16 99962-2729</x:v>
      </x:c>
      <x:c r="J210" s="23" t="str">
        <x:v>RENTAL</x:v>
      </x:c>
      <x:c r="K210" s="23" t="str">
        <x:v>rental_company</x:v>
      </x:c>
      <x:c r="L210" s="24" t="b">
        <x:v>1</x:v>
      </x:c>
      <x:c r="M210" s="23" t="n">
        <x:v>1</x:v>
      </x:c>
      <x:c r="N210" s="28" t="n">
        <x:v>46203.92183017361</x:v>
      </x:c>
      <x:c r="O210" s="28" t="n">
        <x:v>46219.812988715275</x:v>
      </x:c>
      <x:c r="P210" s="23" t="str">
        <x:v>SÃO CARLOS</x:v>
      </x:c>
      <x:c r="Q210" s="30" t="n">
        <x:v>30784</x:v>
      </x:c>
      <x:c r="R210" s="22" t="str">
        <x:f>"420326959"</x:f>
        <x:v>420326959</x:v>
      </x:c>
      <x:c r="S210" s="23" t="str">
        <x:v>feminino</x:v>
      </x:c>
      <x:c r="T210" s="22" t="str"/>
      <x:c r="U210" s="23" t="str">
        <x:v>AMANDA CELITA CARNEIRO</x:v>
      </x:c>
      <x:c r="V210" s="22" t="str">
        <x:f>"333.655.008-47"</x:f>
        <x:v>333.655.008-47</x:v>
      </x:c>
      <x:c r="W210" s="22" t="str">
        <x:f>"33365500847"</x:f>
        <x:v>33365500847</x:v>
      </x:c>
      <x:c r="X210" s="23" t="str">
        <x:v>amandacarneiro164@gmail.com</x:v>
      </x:c>
      <x:c r="Y210" s="22" t="str">
        <x:f>"16 99962-2729"</x:f>
        <x:v>16 99962-2729</x:v>
      </x:c>
      <x:c r="Z210" s="30" t="n">
        <x:v>46252</x:v>
      </x:c>
    </x:row>
    <x:row r="211" ht="18" customHeight="1">
      <x:c r="A211" s="22" t="str">
        <x:f>"5a54e96a-60d5-49d4-9256-fd890bf0d6bf"</x:f>
        <x:v>5a54e96a-60d5-49d4-9256-fd890bf0d6bf</x:v>
      </x:c>
      <x:c r="B211" s="23" t="str">
        <x:v>AMANDA ESTEFANI GOMES PEIXOTO</x:v>
      </x:c>
      <x:c r="C211" s="23" t="str">
        <x:v>amanda estefani gomes peixoto</x:v>
      </x:c>
      <x:c r="D211" s="22" t="str">
        <x:f>"57.259.701/0001-67"</x:f>
        <x:v>57.259.701/0001-67</x:v>
      </x:c>
      <x:c r="E211" s="22" t="str">
        <x:f>"57259701000167"</x:f>
        <x:v>57259701000167</x:v>
      </x:c>
      <x:c r="F211" s="22" t="str">
        <x:f>"116.939.857-05"</x:f>
        <x:v>116.939.857-05</x:v>
      </x:c>
      <x:c r="G211" s="22" t="str">
        <x:f>"11693985705"</x:f>
        <x:v>11693985705</x:v>
      </x:c>
      <x:c r="H211" s="23" t="str">
        <x:v>Amandaegpeixoto@gmail.com</x:v>
      </x:c>
      <x:c r="I211" s="22" t="str">
        <x:f>"22998827695"</x:f>
        <x:v>22998827695</x:v>
      </x:c>
      <x:c r="J211" s="23" t="str">
        <x:v>SPOT</x:v>
      </x:c>
      <x:c r="K211" s="23" t="str">
        <x:v>favored_only</x:v>
      </x:c>
      <x:c r="L211" s="24" t="b">
        <x:v>1</x:v>
      </x:c>
      <x:c r="M211" s="23" t="n">
        <x:v>1</x:v>
      </x:c>
      <x:c r="N211" s="28" t="n">
        <x:v>46205.60581763889</x:v>
      </x:c>
      <x:c r="O211" s="28" t="n">
        <x:v>46219.812988715275</x:v>
      </x:c>
      <x:c r="P211" s="23" t="str">
        <x:v>CAMPOS DOS GOYTACAZES</x:v>
      </x:c>
      <x:c r="Q211" s="30" t="n">
        <x:v>34417</x:v>
      </x:c>
      <x:c r="R211" s="22" t="str">
        <x:f>"217711852"</x:f>
        <x:v>217711852</x:v>
      </x:c>
      <x:c r="S211" s="23" t="str">
        <x:v>feminino</x:v>
      </x:c>
      <x:c r="T211" s="22" t="str">
        <x:f>"OOZ7H27"</x:f>
        <x:v>OOZ7H27</x:v>
      </x:c>
      <x:c r="U211" s="23" t="str">
        <x:v>LUDMILA DE SALES ABREU FRANCA</x:v>
      </x:c>
      <x:c r="V211" s="22" t="str">
        <x:f>"091.725.747-20"</x:f>
        <x:v>091.725.747-20</x:v>
      </x:c>
      <x:c r="W211" s="22" t="str">
        <x:f>"09172574720"</x:f>
        <x:v>09172574720</x:v>
      </x:c>
      <x:c r="X211" s="23" t="str">
        <x:v>Leofranca100@gmail.com</x:v>
      </x:c>
      <x:c r="Y211" s="22" t="str">
        <x:f>"22996101064"</x:f>
        <x:v>22996101064</x:v>
      </x:c>
      <x:c r="Z211" s="30" t="n">
        <x:v>46336</x:v>
      </x:c>
    </x:row>
    <x:row r="212" ht="18" customHeight="1">
      <x:c r="A212" s="22" t="str">
        <x:f>"556e6751-cfed-46b8-82d3-32966a4a74b1"</x:f>
        <x:v>556e6751-cfed-46b8-82d3-32966a4a74b1</x:v>
      </x:c>
      <x:c r="B212" s="23" t="str">
        <x:v>AMANDA RIMOLI LOURENCO</x:v>
      </x:c>
      <x:c r="C212" s="23" t="str">
        <x:v>amanda rimoli lourenco</x:v>
      </x:c>
      <x:c r="D212" s="22" t="str">
        <x:f>"56.015.018/0001-11"</x:f>
        <x:v>56.015.018/0001-11</x:v>
      </x:c>
      <x:c r="E212" s="22" t="str">
        <x:f>"56015018000111"</x:f>
        <x:v>56015018000111</x:v>
      </x:c>
      <x:c r="F212" s="22" t="str">
        <x:f>"102.902.106-66"</x:f>
        <x:v>102.902.106-66</x:v>
      </x:c>
      <x:c r="G212" s="22" t="str">
        <x:f>"10290210666"</x:f>
        <x:v>10290210666</x:v>
      </x:c>
      <x:c r="H212" s="23" t="str">
        <x:v>amanda_rimoli@icloud.com</x:v>
      </x:c>
      <x:c r="I212" s="22" t="str">
        <x:f>"(35) 99831-9551"</x:f>
        <x:v>(35) 99831-9551</x:v>
      </x:c>
      <x:c r="J212" s="23" t="str">
        <x:v>RENTAL</x:v>
      </x:c>
      <x:c r="K212" s="23" t="str">
        <x:v>rental_company</x:v>
      </x:c>
      <x:c r="L212" s="24" t="b">
        <x:v>1</x:v>
      </x:c>
      <x:c r="M212" s="23" t="n">
        <x:v>1</x:v>
      </x:c>
      <x:c r="N212" s="28" t="n">
        <x:v>46203.92183017361</x:v>
      </x:c>
      <x:c r="O212" s="28" t="n">
        <x:v>46219.812988715275</x:v>
      </x:c>
      <x:c r="P212" s="23" t="str">
        <x:v>POUSO ALEGRE</x:v>
      </x:c>
      <x:c r="Q212" s="30" t="n">
        <x:v>32568</x:v>
      </x:c>
      <x:c r="R212" s="22" t="str">
        <x:f>"447886721 SSP SP"</x:f>
        <x:v>447886721 SSP SP</x:v>
      </x:c>
      <x:c r="S212" s="23" t="str">
        <x:v>feminino</x:v>
      </x:c>
      <x:c r="T212" s="22" t="str"/>
      <x:c r="U212" s="23" t="str">
        <x:v>AMANDA RIMOLI LOURENCO</x:v>
      </x:c>
      <x:c r="V212" s="22" t="str">
        <x:f>"102.902.106-66"</x:f>
        <x:v>102.902.106-66</x:v>
      </x:c>
      <x:c r="W212" s="22" t="str">
        <x:f>"10290210666"</x:f>
        <x:v>10290210666</x:v>
      </x:c>
      <x:c r="X212" s="23" t="str">
        <x:v>amanda_rimoli@icloud.com</x:v>
      </x:c>
      <x:c r="Y212" s="22" t="str">
        <x:f>"(35) 99831-9551"</x:f>
        <x:v>(35) 99831-9551</x:v>
      </x:c>
      <x:c r="Z212" s="30" t="n">
        <x:v>46527</x:v>
      </x:c>
    </x:row>
    <x:row r="213" ht="18" customHeight="1">
      <x:c r="A213" s="22" t="str">
        <x:f>"0f4243e6-812a-4dda-bc7f-697ba5abec3e"</x:f>
        <x:v>0f4243e6-812a-4dda-bc7f-697ba5abec3e</x:v>
      </x:c>
      <x:c r="B213" s="23" t="str">
        <x:v>AMARILDO GOMES DE SOUZA JUNIOR</x:v>
      </x:c>
      <x:c r="C213" s="23" t="str">
        <x:v>amarildo gomes de souza junior</x:v>
      </x:c>
      <x:c r="D213" s="22" t="str">
        <x:f>"63.038.634/0001-53"</x:f>
        <x:v>63.038.634/0001-53</x:v>
      </x:c>
      <x:c r="E213" s="22" t="str">
        <x:f>"63038634000153"</x:f>
        <x:v>63038634000153</x:v>
      </x:c>
      <x:c r="F213" s="22" t="str">
        <x:f>"102.754.896-20"</x:f>
        <x:v>102.754.896-20</x:v>
      </x:c>
      <x:c r="G213" s="22" t="str">
        <x:f>"10275489620"</x:f>
        <x:v>10275489620</x:v>
      </x:c>
      <x:c r="H213" s="23" t="str">
        <x:v>juninsouza42@gmail.com</x:v>
      </x:c>
      <x:c r="I213" s="22" t="str">
        <x:f>"98849-8267"</x:f>
        <x:v>98849-8267</x:v>
      </x:c>
      <x:c r="J213" s="23" t="str">
        <x:v>RENTAL</x:v>
      </x:c>
      <x:c r="K213" s="23" t="str">
        <x:v>rental_company</x:v>
      </x:c>
      <x:c r="L213" s="24" t="b">
        <x:v>1</x:v>
      </x:c>
      <x:c r="M213" s="23" t="n">
        <x:v>1</x:v>
      </x:c>
      <x:c r="N213" s="28" t="n">
        <x:v>46203.92186888889</x:v>
      </x:c>
      <x:c r="O213" s="28" t="n">
        <x:v>46219.812988715275</x:v>
      </x:c>
      <x:c r="P213" s="23" t="str">
        <x:v>ARAXÁ</x:v>
      </x:c>
      <x:c r="Q213" s="30" t="n">
        <x:v>32180</x:v>
      </x:c>
      <x:c r="R213" s="22" t="str">
        <x:f>"15019825PCEMG"</x:f>
        <x:v>15019825PCEMG</x:v>
      </x:c>
      <x:c r="S213" s="23" t="str">
        <x:v>masculino</x:v>
      </x:c>
      <x:c r="T213" s="22" t="str"/>
      <x:c r="U213" s="23" t="str">
        <x:v>AMARILDO GOMES DE SOUZA JUNIOR</x:v>
      </x:c>
      <x:c r="V213" s="22" t="str">
        <x:f>"102.754.896-20"</x:f>
        <x:v>102.754.896-20</x:v>
      </x:c>
      <x:c r="W213" s="22" t="str">
        <x:f>"10275489620"</x:f>
        <x:v>10275489620</x:v>
      </x:c>
      <x:c r="X213" s="23" t="str">
        <x:v>juninsouza42@gmail.com</x:v>
      </x:c>
      <x:c r="Y213" s="22" t="str">
        <x:f>"98849-8267"</x:f>
        <x:v>98849-8267</x:v>
      </x:c>
      <x:c r="Z213" s="30" t="n">
        <x:v>46298</x:v>
      </x:c>
    </x:row>
    <x:row r="214" ht="18" customHeight="1">
      <x:c r="A214" s="22" t="str">
        <x:f>"c1f1ed3e-ba32-4e85-92f2-5b581082f43a"</x:f>
        <x:v>c1f1ed3e-ba32-4e85-92f2-5b581082f43a</x:v>
      </x:c>
      <x:c r="B214" s="23" t="str">
        <x:v>AMARO PEREIRA GOMES JUNIOR</x:v>
      </x:c>
      <x:c r="C214" s="23" t="str">
        <x:v>amaro pereira gomes junior</x:v>
      </x:c>
      <x:c r="D214" s="22" t="str">
        <x:f>"52.653.996/0001-38"</x:f>
        <x:v>52.653.996/0001-38</x:v>
      </x:c>
      <x:c r="E214" s="22" t="str">
        <x:f>"52653996000138"</x:f>
        <x:v>52653996000138</x:v>
      </x:c>
      <x:c r="F214" s="22" t="str">
        <x:f>"039.363.077-33"</x:f>
        <x:v>039.363.077-33</x:v>
      </x:c>
      <x:c r="G214" s="22" t="str">
        <x:f>"03936307733"</x:f>
        <x:v>03936307733</x:v>
      </x:c>
      <x:c r="H214" s="23" t="str">
        <x:v>amarojunior438@gmail.com</x:v>
      </x:c>
      <x:c r="I214" s="22" t="str">
        <x:f>"22 998888808"</x:f>
        <x:v>22 998888808</x:v>
      </x:c>
      <x:c r="J214" s="23" t="str">
        <x:v>RENTAL</x:v>
      </x:c>
      <x:c r="K214" s="23" t="str">
        <x:v>rental_company</x:v>
      </x:c>
      <x:c r="L214" s="24" t="b">
        <x:v>1</x:v>
      </x:c>
      <x:c r="M214" s="23" t="n">
        <x:v>1</x:v>
      </x:c>
      <x:c r="N214" s="28" t="n">
        <x:v>46219.812988715275</x:v>
      </x:c>
      <x:c r="O214" s="28" t="n">
        <x:v>46219.812988715275</x:v>
      </x:c>
      <x:c r="P214" s="23" t="str">
        <x:v>CAMPOS DOS GOYTACAZES</x:v>
      </x:c>
      <x:c r="Q214" s="30" t="n">
        <x:v>26857</x:v>
      </x:c>
      <x:c r="R214" s="22" t="str">
        <x:f>"101466340"</x:f>
        <x:v>101466340</x:v>
      </x:c>
      <x:c r="S214" s="23" t="str">
        <x:v>masculino</x:v>
      </x:c>
      <x:c r="T214" s="22" t="str"/>
      <x:c r="U214" s="23" t="str">
        <x:v>AMARO PEREIRA GOMES JUNIOR</x:v>
      </x:c>
      <x:c r="V214" s="22" t="str">
        <x:f>"039.363.077-33"</x:f>
        <x:v>039.363.077-33</x:v>
      </x:c>
      <x:c r="W214" s="22" t="str">
        <x:f>"03936307733"</x:f>
        <x:v>03936307733</x:v>
      </x:c>
      <x:c r="X214" s="23" t="str">
        <x:v>amarojunior438@gmail.com</x:v>
      </x:c>
      <x:c r="Y214" s="22" t="str">
        <x:f>"22 998888808"</x:f>
        <x:v>22 998888808</x:v>
      </x:c>
      <x:c r="Z214" s="30" t="n">
        <x:v>46480</x:v>
      </x:c>
    </x:row>
    <x:row r="215" ht="18" customHeight="1">
      <x:c r="A215" s="22" t="str">
        <x:f>"c77e6f08-3bb2-452e-b43e-d23e91cb42f7"</x:f>
        <x:v>c77e6f08-3bb2-452e-b43e-d23e91cb42f7</x:v>
      </x:c>
      <x:c r="B215" s="23" t="str">
        <x:v>AMERICO REIS SILVA</x:v>
      </x:c>
      <x:c r="C215" s="23" t="str">
        <x:v>americo reis silva</x:v>
      </x:c>
      <x:c r="D215" s="22" t="str">
        <x:f>"42.340.702/0001-64"</x:f>
        <x:v>42.340.702/0001-64</x:v>
      </x:c>
      <x:c r="E215" s="22" t="str">
        <x:f>"42340702000164"</x:f>
        <x:v>42340702000164</x:v>
      </x:c>
      <x:c r="F215" s="22" t="str">
        <x:f>"378.166.618-27"</x:f>
        <x:v>378.166.618-27</x:v>
      </x:c>
      <x:c r="G215" s="22" t="str">
        <x:f>"37816661827"</x:f>
        <x:v>37816661827</x:v>
      </x:c>
      <x:c r="H215" s="23" t="str">
        <x:v>americoreis21016@gmail.com</x:v>
      </x:c>
      <x:c r="I215" s="22" t="str">
        <x:f>"11912797035"</x:f>
        <x:v>11912797035</x:v>
      </x:c>
      <x:c r="J215" s="23" t="str">
        <x:v>RENTAL</x:v>
      </x:c>
      <x:c r="K215" s="23" t="str">
        <x:v>rental_company</x:v>
      </x:c>
      <x:c r="L215" s="24" t="b">
        <x:v>1</x:v>
      </x:c>
      <x:c r="M215" s="23" t="n">
        <x:v>1</x:v>
      </x:c>
      <x:c r="N215" s="28" t="n">
        <x:v>46203.92184908565</x:v>
      </x:c>
      <x:c r="O215" s="28" t="n">
        <x:v>46219.812988715275</x:v>
      </x:c>
      <x:c r="P215" s="23" t="str">
        <x:v>BARUERI</x:v>
      </x:c>
      <x:c r="Q215" s="30" t="n">
        <x:v>32099</x:v>
      </x:c>
      <x:c r="R215" s="22" t="str">
        <x:f>"41235183"</x:f>
        <x:v>41235183</x:v>
      </x:c>
      <x:c r="S215" s="23" t="str">
        <x:v>masculino</x:v>
      </x:c>
      <x:c r="T215" s="22" t="str"/>
      <x:c r="U215" s="23" t="str">
        <x:v>AMERICO REIS SILVA</x:v>
      </x:c>
      <x:c r="V215" s="22" t="str">
        <x:f>"378.166.618-27"</x:f>
        <x:v>378.166.618-27</x:v>
      </x:c>
      <x:c r="W215" s="22" t="str">
        <x:f>"37816661827"</x:f>
        <x:v>37816661827</x:v>
      </x:c>
      <x:c r="X215" s="23" t="str">
        <x:v>americoreis21016@gmail.com</x:v>
      </x:c>
      <x:c r="Y215" s="22" t="str">
        <x:f>"11912797035"</x:f>
        <x:v>11912797035</x:v>
      </x:c>
      <x:c r="Z215" s="30" t="n">
        <x:v>46238</x:v>
      </x:c>
    </x:row>
    <x:row r="216" ht="18" customHeight="1">
      <x:c r="A216" s="22" t="str">
        <x:f>"7558b617-f5c0-424c-af9e-4dbfaa7f1511"</x:f>
        <x:v>7558b617-f5c0-424c-af9e-4dbfaa7f1511</x:v>
      </x:c>
      <x:c r="B216" s="23" t="str">
        <x:v>ANA CAROLINA DE LIMA</x:v>
      </x:c>
      <x:c r="C216" s="23" t="str">
        <x:v>ana carolina de lima</x:v>
      </x:c>
      <x:c r="D216" s="22" t="str">
        <x:f>"63.017.975/0001-42"</x:f>
        <x:v>63.017.975/0001-42</x:v>
      </x:c>
      <x:c r="E216" s="22" t="str">
        <x:f>"63017975000142"</x:f>
        <x:v>63017975000142</x:v>
      </x:c>
      <x:c r="F216" s="22" t="str">
        <x:f>"001.222.656-11"</x:f>
        <x:v>001.222.656-11</x:v>
      </x:c>
      <x:c r="G216" s="22" t="str">
        <x:f>"00122265611"</x:f>
        <x:v>00122265611</x:v>
      </x:c>
      <x:c r="H216" s="23" t="str">
        <x:v>ana.lima@estudante.iftm.edu.br</x:v>
      </x:c>
      <x:c r="I216" s="22" t="str">
        <x:f>"(34) 99958-5859"</x:f>
        <x:v>(34) 99958-5859</x:v>
      </x:c>
      <x:c r="J216" s="23" t="str">
        <x:v>SPOT</x:v>
      </x:c>
      <x:c r="K216" s="23" t="str">
        <x:v>favored_only</x:v>
      </x:c>
      <x:c r="L216" s="24" t="b">
        <x:v>1</x:v>
      </x:c>
      <x:c r="M216" s="23" t="n">
        <x:v>1</x:v>
      </x:c>
      <x:c r="N216" s="28" t="n">
        <x:v>46203.9219084375</x:v>
      </x:c>
      <x:c r="O216" s="28" t="n">
        <x:v>46219.812988715275</x:v>
      </x:c>
      <x:c r="P216" s="23" t="str">
        <x:v>ARAXÁ</x:v>
      </x:c>
      <x:c r="Q216" s="30" t="n">
        <x:v>35023</x:v>
      </x:c>
      <x:c r="R216" s="22" t="str">
        <x:f>"MG16922545"</x:f>
        <x:v>MG16922545</x:v>
      </x:c>
      <x:c r="S216" s="23" t="str">
        <x:v>feminino</x:v>
      </x:c>
      <x:c r="T216" s="22" t="str">
        <x:f>"OXK6I64"</x:f>
        <x:v>OXK6I64</x:v>
      </x:c>
      <x:c r="U216" s="23" t="str">
        <x:v>ANA CAROLINA DE LIMA</x:v>
      </x:c>
      <x:c r="V216" s="22" t="str">
        <x:f>"001.222.656-11"</x:f>
        <x:v>001.222.656-11</x:v>
      </x:c>
      <x:c r="W216" s="22" t="str">
        <x:f>"00122265611"</x:f>
        <x:v>00122265611</x:v>
      </x:c>
      <x:c r="X216" s="23" t="str">
        <x:v>ana.lima@estudante.iftm.edu.br</x:v>
      </x:c>
      <x:c r="Y216" s="22" t="str">
        <x:f>"(34) 99958-5859"</x:f>
        <x:v>(34) 99958-5859</x:v>
      </x:c>
      <x:c r="Z216" s="30" t="n">
        <x:v>46386</x:v>
      </x:c>
    </x:row>
    <x:row r="217" ht="18" customHeight="1">
      <x:c r="A217" s="22" t="str">
        <x:f>"a96844a9-1792-4227-817e-54f8c8ccb403"</x:f>
        <x:v>a96844a9-1792-4227-817e-54f8c8ccb403</x:v>
      </x:c>
      <x:c r="B217" s="23" t="str">
        <x:v>ANA CAROLINE CARDOSO SALES SILVA</x:v>
      </x:c>
      <x:c r="C217" s="23" t="str">
        <x:v>ana caroline cardoso sales silva</x:v>
      </x:c>
      <x:c r="D217" s="22" t="str">
        <x:f>"65.981.165/0001-37"</x:f>
        <x:v>65.981.165/0001-37</x:v>
      </x:c>
      <x:c r="E217" s="22" t="str">
        <x:f>"65981165000137"</x:f>
        <x:v>65981165000137</x:v>
      </x:c>
      <x:c r="F217" s="22" t="str">
        <x:f>"022.192.791-38"</x:f>
        <x:v>022.192.791-38</x:v>
      </x:c>
      <x:c r="G217" s="22" t="str">
        <x:f>"02219279138"</x:f>
        <x:v>02219279138</x:v>
      </x:c>
      <x:c r="H217" s="23" t="str">
        <x:v>salesana591@gmail.com</x:v>
      </x:c>
      <x:c r="I217" s="22" t="str">
        <x:f>"62-99269-5512"</x:f>
        <x:v>62-99269-5512</x:v>
      </x:c>
      <x:c r="J217" s="23" t="str">
        <x:v>RENTAL</x:v>
      </x:c>
      <x:c r="K217" s="23" t="str">
        <x:v>rental_company</x:v>
      </x:c>
      <x:c r="L217" s="24" t="b">
        <x:v>1</x:v>
      </x:c>
      <x:c r="M217" s="23" t="n">
        <x:v>1</x:v>
      </x:c>
      <x:c r="N217" s="28" t="n">
        <x:v>46219.812988715275</x:v>
      </x:c>
      <x:c r="O217" s="28" t="n">
        <x:v>46219.812988715275</x:v>
      </x:c>
      <x:c r="P217" s="23" t="str">
        <x:v>GOIANIA</x:v>
      </x:c>
      <x:c r="Q217" s="30" t="n">
        <x:v>31812</x:v>
      </x:c>
      <x:c r="R217" s="22" t="str">
        <x:f>"4932614"</x:f>
        <x:v>4932614</x:v>
      </x:c>
      <x:c r="S217" s="23" t="str">
        <x:v>feminino</x:v>
      </x:c>
      <x:c r="T217" s="22" t="str"/>
      <x:c r="U217" s="23" t="str">
        <x:v>ANA CAROLINE CARDOSO SALES SILVA</x:v>
      </x:c>
      <x:c r="V217" s="22" t="str">
        <x:f>"022.192.791-38"</x:f>
        <x:v>022.192.791-38</x:v>
      </x:c>
      <x:c r="W217" s="22" t="str">
        <x:f>"02219279138"</x:f>
        <x:v>02219279138</x:v>
      </x:c>
      <x:c r="X217" s="23" t="str">
        <x:v>salesana591@gmail.com</x:v>
      </x:c>
      <x:c r="Y217" s="22" t="str">
        <x:f>"62-99269-5512"</x:f>
        <x:v>62-99269-5512</x:v>
      </x:c>
      <x:c r="Z217" s="30" t="n">
        <x:v>46474</x:v>
      </x:c>
    </x:row>
    <x:row r="218" ht="18" customHeight="1">
      <x:c r="A218" s="22" t="str">
        <x:f>"def3fd10-79a5-41ff-b0ff-f7a8632621ae"</x:f>
        <x:v>def3fd10-79a5-41ff-b0ff-f7a8632621ae</x:v>
      </x:c>
      <x:c r="B218" s="23" t="str">
        <x:v>ANA CAROLINE RIBEIRO NEVES CRUZ</x:v>
      </x:c>
      <x:c r="C218" s="23" t="str">
        <x:v>ana caroline ribeiro neves cruz</x:v>
      </x:c>
      <x:c r="D218" s="22" t="str">
        <x:f>"61.155.813/0001-45"</x:f>
        <x:v>61.155.813/0001-45</x:v>
      </x:c>
      <x:c r="E218" s="22" t="str">
        <x:f>"61155813000145"</x:f>
        <x:v>61155813000145</x:v>
      </x:c>
      <x:c r="F218" s="22" t="str">
        <x:f>"028.260.591-65"</x:f>
        <x:v>028.260.591-65</x:v>
      </x:c>
      <x:c r="G218" s="22" t="str">
        <x:f>"02826059165"</x:f>
        <x:v>02826059165</x:v>
      </x:c>
      <x:c r="H218" s="23" t="str">
        <x:v>carolbribeironevez@icloud.com</x:v>
      </x:c>
      <x:c r="I218" s="22" t="str">
        <x:f>"65999929158"</x:f>
        <x:v>65999929158</x:v>
      </x:c>
      <x:c r="J218" s="23" t="str">
        <x:v>SPOT</x:v>
      </x:c>
      <x:c r="K218" s="23" t="str">
        <x:v>favored_only</x:v>
      </x:c>
      <x:c r="L218" s="24" t="b">
        <x:v>1</x:v>
      </x:c>
      <x:c r="M218" s="23" t="n">
        <x:v>1</x:v>
      </x:c>
      <x:c r="N218" s="28" t="n">
        <x:v>46219.812988715275</x:v>
      </x:c>
      <x:c r="O218" s="28" t="n">
        <x:v>46219.812988715275</x:v>
      </x:c>
      <x:c r="P218" s="23" t="str">
        <x:v>CÁCERES</x:v>
      </x:c>
      <x:c r="Q218" s="30" t="n">
        <x:v>36597</x:v>
      </x:c>
      <x:c r="R218" s="22" t="str">
        <x:f>"696481820"</x:f>
        <x:v>696481820</x:v>
      </x:c>
      <x:c r="S218" s="23" t="str">
        <x:v>feminino</x:v>
      </x:c>
      <x:c r="T218" s="22" t="str">
        <x:f>"SQI0G07"</x:f>
        <x:v>SQI0G07</x:v>
      </x:c>
      <x:c r="U218" s="23" t="str">
        <x:v>ANA CAROLINE RIBEIRO NEVES CRUZ</x:v>
      </x:c>
      <x:c r="V218" s="22" t="str">
        <x:f>"028.260.591-65"</x:f>
        <x:v>028.260.591-65</x:v>
      </x:c>
      <x:c r="W218" s="22" t="str">
        <x:f>"02826059165"</x:f>
        <x:v>02826059165</x:v>
      </x:c>
      <x:c r="X218" s="23" t="str">
        <x:v>carolbribeironevez@icloud.com</x:v>
      </x:c>
      <x:c r="Y218" s="22" t="str">
        <x:f>"65999929158"</x:f>
        <x:v>65999929158</x:v>
      </x:c>
      <x:c r="Z218" s="30" t="n">
        <x:v>46556</x:v>
      </x:c>
    </x:row>
    <x:row r="219" ht="18" customHeight="1">
      <x:c r="A219" s="22" t="str">
        <x:f>"b4d867e2-b9b8-408c-897e-17a064616a2f"</x:f>
        <x:v>b4d867e2-b9b8-408c-897e-17a064616a2f</x:v>
      </x:c>
      <x:c r="B219" s="23" t="str">
        <x:v>ANA CAROLINNY OLIVEIRA DE FREITAS</x:v>
      </x:c>
      <x:c r="C219" s="23" t="str">
        <x:v>ana carolinny oliveira de freitas</x:v>
      </x:c>
      <x:c r="D219" s="22" t="str">
        <x:f>"60.621.116/0001-70"</x:f>
        <x:v>60.621.116/0001-70</x:v>
      </x:c>
      <x:c r="E219" s="22" t="str">
        <x:f>"60621116000170"</x:f>
        <x:v>60621116000170</x:v>
      </x:c>
      <x:c r="F219" s="22" t="str">
        <x:f>"174.927.147-85"</x:f>
        <x:v>174.927.147-85</x:v>
      </x:c>
      <x:c r="G219" s="22" t="str">
        <x:f>"17492714785"</x:f>
        <x:v>17492714785</x:v>
      </x:c>
      <x:c r="H219" s="23" t="str">
        <x:v>carolinnyoliveira64@gmail.com</x:v>
      </x:c>
      <x:c r="I219" s="22" t="str">
        <x:f>"21964674325"</x:f>
        <x:v>21964674325</x:v>
      </x:c>
      <x:c r="J219" s="23" t="str">
        <x:v>SPOT</x:v>
      </x:c>
      <x:c r="K219" s="23" t="str">
        <x:v>favored_only</x:v>
      </x:c>
      <x:c r="L219" s="24" t="b">
        <x:v>1</x:v>
      </x:c>
      <x:c r="M219" s="23" t="n">
        <x:v>1</x:v>
      </x:c>
      <x:c r="N219" s="28" t="n">
        <x:v>46203.921840393516</x:v>
      </x:c>
      <x:c r="O219" s="28" t="n">
        <x:v>46205.60483016204</x:v>
      </x:c>
      <x:c r="P219" s="23" t="str">
        <x:v>QUEIMADOS</x:v>
      </x:c>
      <x:c r="Q219" s="30" t="n">
        <x:v>38070</x:v>
      </x:c>
      <x:c r="R219" s="22" t="str">
        <x:f>"303712814"</x:f>
        <x:v>303712814</x:v>
      </x:c>
      <x:c r="S219" s="23" t="str">
        <x:v>Feminino</x:v>
      </x:c>
      <x:c r="T219" s="22" t="str">
        <x:f>"RJU0I87"</x:f>
        <x:v>RJU0I87</x:v>
      </x:c>
      <x:c r="U219" s="23" t="str">
        <x:v>ANA CAROLINNY OLIVEIRA DE FREITAS</x:v>
      </x:c>
      <x:c r="V219" s="22" t="str">
        <x:f>"17492714785"</x:f>
        <x:v>17492714785</x:v>
      </x:c>
      <x:c r="W219" s="22" t="str">
        <x:f>"17492714785"</x:f>
        <x:v>17492714785</x:v>
      </x:c>
      <x:c r="X219" s="23" t="str">
        <x:v>carolinnyoliveira64@gmail.com</x:v>
      </x:c>
      <x:c r="Y219" s="22" t="str">
        <x:f>"ANA CAROLINNY OLIVEIRA DE FREITAS"</x:f>
        <x:v>ANA CAROLINNY OLIVEIRA DE FREITAS</x:v>
      </x:c>
      <x:c r="Z219" s="30" t="n">
        <x:v>46213</x:v>
      </x:c>
    </x:row>
    <x:row r="220" ht="18" customHeight="1">
      <x:c r="A220" s="22" t="str">
        <x:f>"841abc5a-5e42-4757-acdd-58f937561ee5"</x:f>
        <x:v>841abc5a-5e42-4757-acdd-58f937561ee5</x:v>
      </x:c>
      <x:c r="B220" s="23" t="str">
        <x:v>ANA CLARA MARCARI</x:v>
      </x:c>
      <x:c r="C220" s="23" t="str">
        <x:v>ana clara marcari</x:v>
      </x:c>
      <x:c r="D220" s="22" t="str">
        <x:f>"61.712.797/0001-44"</x:f>
        <x:v>61.712.797/0001-44</x:v>
      </x:c>
      <x:c r="E220" s="22" t="str">
        <x:f>"61712797000144"</x:f>
        <x:v>61712797000144</x:v>
      </x:c>
      <x:c r="F220" s="22" t="str">
        <x:f>"241.942.148-54"</x:f>
        <x:v>241.942.148-54</x:v>
      </x:c>
      <x:c r="G220" s="22" t="str">
        <x:f>"24194214854"</x:f>
        <x:v>24194214854</x:v>
      </x:c>
      <x:c r="H220" s="23" t="str">
        <x:v>anaclaramarcari7@gmail.com</x:v>
      </x:c>
      <x:c r="I220" s="22" t="str">
        <x:f>"16994487352"</x:f>
        <x:v>16994487352</x:v>
      </x:c>
      <x:c r="J220" s="23" t="str">
        <x:v>SPOT</x:v>
      </x:c>
      <x:c r="K220" s="23" t="str">
        <x:v>favored_only</x:v>
      </x:c>
      <x:c r="L220" s="24" t="b">
        <x:v>1</x:v>
      </x:c>
      <x:c r="M220" s="23" t="n">
        <x:v>1</x:v>
      </x:c>
      <x:c r="N220" s="28" t="n">
        <x:v>46203.9218771875</x:v>
      </x:c>
      <x:c r="O220" s="28" t="n">
        <x:v>46219.812988715275</x:v>
      </x:c>
      <x:c r="P220" s="23" t="str">
        <x:v>RIBEIRAO PRETO</x:v>
      </x:c>
      <x:c r="Q220" s="30" t="n">
        <x:v>37985</x:v>
      </x:c>
      <x:c r="R220" s="22" t="str">
        <x:f>"634633648"</x:f>
        <x:v>634633648</x:v>
      </x:c>
      <x:c r="S220" s="23" t="str">
        <x:v>feminino</x:v>
      </x:c>
      <x:c r="T220" s="22" t="str">
        <x:f>"EMS4F77"</x:f>
        <x:v>EMS4F77</x:v>
      </x:c>
      <x:c r="U220" s="23" t="str">
        <x:v>ANA CLARA MARCARI</x:v>
      </x:c>
      <x:c r="V220" s="22" t="str">
        <x:f>"241.942.148-54"</x:f>
        <x:v>241.942.148-54</x:v>
      </x:c>
      <x:c r="W220" s="22" t="str">
        <x:f>"24194214854"</x:f>
        <x:v>24194214854</x:v>
      </x:c>
      <x:c r="X220" s="23" t="str">
        <x:v>anaclaramarcari7@gmail.com</x:v>
      </x:c>
      <x:c r="Y220" s="22" t="str">
        <x:f>"16994487352"</x:f>
        <x:v>16994487352</x:v>
      </x:c>
      <x:c r="Z220" s="30" t="n">
        <x:v>46308</x:v>
      </x:c>
    </x:row>
    <x:row r="221" ht="18" customHeight="1">
      <x:c r="A221" s="22" t="str">
        <x:f>"31b49387-fddd-4d58-816a-3a392ef58f27"</x:f>
        <x:v>31b49387-fddd-4d58-816a-3a392ef58f27</x:v>
      </x:c>
      <x:c r="B221" s="23" t="str">
        <x:v>ANA CLAUDIA DE MOURA BARCELOS</x:v>
      </x:c>
      <x:c r="C221" s="23" t="str">
        <x:v>ana claudia de moura barcelos</x:v>
      </x:c>
      <x:c r="D221" s="22" t="str">
        <x:f>"52.828.780/0001-66"</x:f>
        <x:v>52.828.780/0001-66</x:v>
      </x:c>
      <x:c r="E221" s="22" t="str">
        <x:f>"52828780000166"</x:f>
        <x:v>52828780000166</x:v>
      </x:c>
      <x:c r="F221" s="22" t="str">
        <x:f>"949.835.692-00"</x:f>
        <x:v>949.835.692-00</x:v>
      </x:c>
      <x:c r="G221" s="22" t="str">
        <x:f>"94983569200"</x:f>
        <x:v>94983569200</x:v>
      </x:c>
      <x:c r="H221" s="23" t="str">
        <x:v>Adm.anjoscuiaba@gmail.com</x:v>
      </x:c>
      <x:c r="I221" s="22" t="str">
        <x:f>"65 8469-0805"</x:f>
        <x:v>65 8469-0805</x:v>
      </x:c>
      <x:c r="J221" s="23" t="str">
        <x:v>SPOT</x:v>
      </x:c>
      <x:c r="K221" s="23" t="str">
        <x:v>favored_only</x:v>
      </x:c>
      <x:c r="L221" s="24" t="b">
        <x:v>1</x:v>
      </x:c>
      <x:c r="M221" s="23" t="n">
        <x:v>1</x:v>
      </x:c>
      <x:c r="N221" s="28" t="n">
        <x:v>46219.812988715275</x:v>
      </x:c>
      <x:c r="O221" s="28" t="n">
        <x:v>46219.812988715275</x:v>
      </x:c>
      <x:c r="P221" s="23" t="str">
        <x:v>CUIABA</x:v>
      </x:c>
      <x:c r="Q221" s="30" t="n">
        <x:v>32379</x:v>
      </x:c>
      <x:c r="R221" s="22" t="str">
        <x:f>"984504"</x:f>
        <x:v>984504</x:v>
      </x:c>
      <x:c r="S221" s="23" t="str">
        <x:v>feminino</x:v>
      </x:c>
      <x:c r="T221" s="22" t="str">
        <x:f>"QUE1A94"</x:f>
        <x:v>QUE1A94</x:v>
      </x:c>
      <x:c r="U221" s="23" t="str">
        <x:v>C. P. BARCELOS LTDA</x:v>
      </x:c>
      <x:c r="V221" s="22" t="str">
        <x:f>"445.947.806-44"</x:f>
        <x:v>445.947.806-44</x:v>
      </x:c>
      <x:c r="W221" s="22" t="str">
        <x:f>"44594780644"</x:f>
        <x:v>44594780644</x:v>
      </x:c>
      <x:c r="X221" s="23" t="str">
        <x:v>Adm.anjoscuiaba@gmail.com</x:v>
      </x:c>
      <x:c r="Y221" s="22" t="str">
        <x:f>"65 8469-0805"</x:f>
        <x:v>65 8469-0805</x:v>
      </x:c>
      <x:c r="Z221" s="30" t="n">
        <x:v>46543</x:v>
      </x:c>
    </x:row>
    <x:row r="222" ht="18" customHeight="1">
      <x:c r="A222" s="22" t="str">
        <x:f>"377ec1ea-5673-4618-8983-e4b06edbdaa5"</x:f>
        <x:v>377ec1ea-5673-4618-8983-e4b06edbdaa5</x:v>
      </x:c>
      <x:c r="B222" s="23" t="str">
        <x:v>ANA CLAUDIA DE MOURA BARCELOS</x:v>
      </x:c>
      <x:c r="C222" s="23" t="str">
        <x:v>ana claudia de moura barcelos</x:v>
      </x:c>
      <x:c r="D222" s="22" t="str">
        <x:f>"59.067.276/0001-30"</x:f>
        <x:v>59.067.276/0001-30</x:v>
      </x:c>
      <x:c r="E222" s="22" t="str">
        <x:f>"59067276000130"</x:f>
        <x:v>59067276000130</x:v>
      </x:c>
      <x:c r="F222" s="22" t="str">
        <x:f>"949.835.692-00"</x:f>
        <x:v>949.835.692-00</x:v>
      </x:c>
      <x:c r="G222" s="22" t="str">
        <x:f>"94983569200"</x:f>
        <x:v>94983569200</x:v>
      </x:c>
      <x:c r="H222" s="23" t="str">
        <x:v>adm.anjoscuiaba@gmail.com</x:v>
      </x:c>
      <x:c r="I222" s="22" t="str">
        <x:f>"(65)98469-0805"</x:f>
        <x:v>(65)98469-0805</x:v>
      </x:c>
      <x:c r="J222" s="23" t="str">
        <x:v>SPOT</x:v>
      </x:c>
      <x:c r="K222" s="23" t="str">
        <x:v>favored_only</x:v>
      </x:c>
      <x:c r="L222" s="24" t="b">
        <x:v>1</x:v>
      </x:c>
      <x:c r="M222" s="23" t="n">
        <x:v>1</x:v>
      </x:c>
      <x:c r="N222" s="28" t="n">
        <x:v>46219.812988715275</x:v>
      </x:c>
      <x:c r="O222" s="28" t="n">
        <x:v>46219.812988715275</x:v>
      </x:c>
      <x:c r="P222" s="23" t="str">
        <x:v>CUIABA</x:v>
      </x:c>
      <x:c r="Q222" s="30" t="n">
        <x:v>32379</x:v>
      </x:c>
      <x:c r="R222" s="22" t="str">
        <x:f>"984504"</x:f>
        <x:v>984504</x:v>
      </x:c>
      <x:c r="S222" s="23" t="str">
        <x:v>feminino</x:v>
      </x:c>
      <x:c r="T222" s="22" t="str">
        <x:f>"QUE1A94"</x:f>
        <x:v>QUE1A94</x:v>
      </x:c>
      <x:c r="U222" s="23" t="str">
        <x:v>ANTTONY CALL PEDROSO DE SOUZA</x:v>
      </x:c>
      <x:c r="V222" s="22" t="str">
        <x:f>"058.526.941-69"</x:f>
        <x:v>058.526.941-69</x:v>
      </x:c>
      <x:c r="W222" s="22" t="str">
        <x:f>"05852694169"</x:f>
        <x:v>05852694169</x:v>
      </x:c>
      <x:c r="X222" s="23" t="str">
        <x:v>adm.anjoscuiaba@gmail.com</x:v>
      </x:c>
      <x:c r="Y222" s="22" t="str">
        <x:f>"65984690805"</x:f>
        <x:v>65984690805</x:v>
      </x:c>
      <x:c r="Z222" s="30" t="n">
        <x:v>46569</x:v>
      </x:c>
    </x:row>
    <x:row r="223" ht="18" customHeight="1">
      <x:c r="A223" s="22" t="str">
        <x:f>"6f98f5dc-46b5-4fa4-953d-06fd3f94b7b0"</x:f>
        <x:v>6f98f5dc-46b5-4fa4-953d-06fd3f94b7b0</x:v>
      </x:c>
      <x:c r="B223" s="23" t="str">
        <x:v>ANA CRISTINA DE AZEREDO SILVA COUTINHO</x:v>
      </x:c>
      <x:c r="C223" s="23" t="str">
        <x:v>ana cristina de azeredo silva coutinho</x:v>
      </x:c>
      <x:c r="D223" s="22" t="str">
        <x:f>"61.818.630/0001-62"</x:f>
        <x:v>61.818.630/0001-62</x:v>
      </x:c>
      <x:c r="E223" s="22" t="str">
        <x:f>"61818630000162"</x:f>
        <x:v>61818630000162</x:v>
      </x:c>
      <x:c r="F223" s="22" t="str">
        <x:f>"121.889.457-19"</x:f>
        <x:v>121.889.457-19</x:v>
      </x:c>
      <x:c r="G223" s="22" t="str">
        <x:f>"12188945719"</x:f>
        <x:v>12188945719</x:v>
      </x:c>
      <x:c r="H223" s="23" t="str">
        <x:v>acoutinho2002@yahoo.com.br</x:v>
      </x:c>
      <x:c r="I223" s="22" t="str">
        <x:f>"22998577674"</x:f>
        <x:v>22998577674</x:v>
      </x:c>
      <x:c r="J223" s="23" t="str">
        <x:v>SPOT</x:v>
      </x:c>
      <x:c r="K223" s="23" t="str">
        <x:v>favored_only</x:v>
      </x:c>
      <x:c r="L223" s="24" t="b">
        <x:v>1</x:v>
      </x:c>
      <x:c r="M223" s="23" t="n">
        <x:v>1</x:v>
      </x:c>
      <x:c r="N223" s="28" t="n">
        <x:v>46203.92186462963</x:v>
      </x:c>
      <x:c r="O223" s="28" t="n">
        <x:v>46219.812988715275</x:v>
      </x:c>
      <x:c r="P223" s="23" t="str">
        <x:v>CAMPOS DOS GOYTACAZES</x:v>
      </x:c>
      <x:c r="Q223" s="30" t="n">
        <x:v>33983</x:v>
      </x:c>
      <x:c r="R223" s="22" t="str">
        <x:f>"273884213"</x:f>
        <x:v>273884213</x:v>
      </x:c>
      <x:c r="S223" s="23" t="str">
        <x:v>feminino</x:v>
      </x:c>
      <x:c r="T223" s="22" t="str">
        <x:f>"KQT9G53"</x:f>
        <x:v>KQT9G53</x:v>
      </x:c>
      <x:c r="U223" s="23" t="str">
        <x:v>ANA CRISTINA DE AZEREDO SILVA COUTINHO</x:v>
      </x:c>
      <x:c r="V223" s="22" t="str">
        <x:f>"121.889.457-19"</x:f>
        <x:v>121.889.457-19</x:v>
      </x:c>
      <x:c r="W223" s="22" t="str">
        <x:f>"12188945719"</x:f>
        <x:v>12188945719</x:v>
      </x:c>
      <x:c r="X223" s="23" t="str">
        <x:v>acoutinho2002@yahoo.com.br</x:v>
      </x:c>
      <x:c r="Y223" s="22" t="str">
        <x:f>"22998577674"</x:f>
        <x:v>22998577674</x:v>
      </x:c>
      <x:c r="Z223" s="30" t="n">
        <x:v>46284</x:v>
      </x:c>
    </x:row>
    <x:row r="224" ht="18" customHeight="1">
      <x:c r="A224" s="22" t="str">
        <x:f>"2a8b133c-2aa7-48cf-b47f-46832583d09f"</x:f>
        <x:v>2a8b133c-2aa7-48cf-b47f-46832583d09f</x:v>
      </x:c>
      <x:c r="B224" s="23" t="str">
        <x:v>ANA FLAVIA RODRIGUES GARCIA</x:v>
      </x:c>
      <x:c r="C224" s="23" t="str">
        <x:v>ana flavia rodrigues garcia</x:v>
      </x:c>
      <x:c r="D224" s="22" t="str">
        <x:f>"65.308.368/0001-67"</x:f>
        <x:v>65.308.368/0001-67</x:v>
      </x:c>
      <x:c r="E224" s="22" t="str">
        <x:f>"65308368000167"</x:f>
        <x:v>65308368000167</x:v>
      </x:c>
      <x:c r="F224" s="22" t="str">
        <x:f>"107.660.296-70"</x:f>
        <x:v>107.660.296-70</x:v>
      </x:c>
      <x:c r="G224" s="22" t="str">
        <x:f>"10766029670"</x:f>
        <x:v>10766029670</x:v>
      </x:c>
      <x:c r="H224" s="23" t="str">
        <x:v>anaflaviarg6@gmail.com</x:v>
      </x:c>
      <x:c r="I224" s="22" t="str">
        <x:f>"34998988986"</x:f>
        <x:v>34998988986</x:v>
      </x:c>
      <x:c r="J224" s="23" t="str">
        <x:v>RENTAL</x:v>
      </x:c>
      <x:c r="K224" s="23" t="str">
        <x:v>rental_company</x:v>
      </x:c>
      <x:c r="L224" s="24" t="b">
        <x:v>1</x:v>
      </x:c>
      <x:c r="M224" s="23" t="n">
        <x:v>1</x:v>
      </x:c>
      <x:c r="N224" s="28" t="n">
        <x:v>46219.812988715275</x:v>
      </x:c>
      <x:c r="O224" s="28" t="n">
        <x:v>46219.812988715275</x:v>
      </x:c>
      <x:c r="P224" s="23" t="str">
        <x:v>UBERABA</x:v>
      </x:c>
      <x:c r="Q224" s="30" t="n">
        <x:v>34705</x:v>
      </x:c>
      <x:c r="R224" s="22" t="str">
        <x:f>"17861513"</x:f>
        <x:v>17861513</x:v>
      </x:c>
      <x:c r="S224" s="23" t="str">
        <x:v>feminino</x:v>
      </x:c>
      <x:c r="T224" s="22" t="str"/>
      <x:c r="U224" s="23" t="str">
        <x:v>ANA FLAVIA RODRIGUES GARCIA</x:v>
      </x:c>
      <x:c r="V224" s="22" t="str">
        <x:f>"107.660.296-70"</x:f>
        <x:v>107.660.296-70</x:v>
      </x:c>
      <x:c r="W224" s="22" t="str">
        <x:f>"10766029670"</x:f>
        <x:v>10766029670</x:v>
      </x:c>
      <x:c r="X224" s="23" t="str">
        <x:v>anaflaviarg6@gmail.com</x:v>
      </x:c>
      <x:c r="Y224" s="22" t="str">
        <x:f>"34998988986"</x:f>
        <x:v>34998988986</x:v>
      </x:c>
      <x:c r="Z224" s="30" t="n">
        <x:v>46502</x:v>
      </x:c>
    </x:row>
    <x:row r="225" ht="18" customHeight="1">
      <x:c r="A225" s="22" t="str">
        <x:f>"cf540976-a955-47f2-a801-92f22b3cc20f"</x:f>
        <x:v>cf540976-a955-47f2-a801-92f22b3cc20f</x:v>
      </x:c>
      <x:c r="B225" s="23" t="str">
        <x:v>ANAIS MARIEN DOS SANTOS STANGE</x:v>
      </x:c>
      <x:c r="C225" s="23" t="str">
        <x:v>anais marien dos santos stange</x:v>
      </x:c>
      <x:c r="D225" s="22" t="str">
        <x:f>"63.046.790/0001-66"</x:f>
        <x:v>63.046.790/0001-66</x:v>
      </x:c>
      <x:c r="E225" s="22" t="str">
        <x:f>"63046790000166"</x:f>
        <x:v>63046790000166</x:v>
      </x:c>
      <x:c r="F225" s="22" t="str">
        <x:f>"089.619.539-23"</x:f>
        <x:v>089.619.539-23</x:v>
      </x:c>
      <x:c r="G225" s="22" t="str">
        <x:f>"08961953923"</x:f>
        <x:v>08961953923</x:v>
      </x:c>
      <x:c r="H225" s="23" t="str">
        <x:v>na.marien0110@gmail.com</x:v>
      </x:c>
      <x:c r="I225" s="22" t="str">
        <x:f>"41 9632-3050"</x:f>
        <x:v>41 9632-3050</x:v>
      </x:c>
      <x:c r="J225" s="23" t="str">
        <x:v>SPOT</x:v>
      </x:c>
      <x:c r="K225" s="23" t="str">
        <x:v>favored_only</x:v>
      </x:c>
      <x:c r="L225" s="24" t="b">
        <x:v>1</x:v>
      </x:c>
      <x:c r="M225" s="23" t="n">
        <x:v>1</x:v>
      </x:c>
      <x:c r="N225" s="28" t="n">
        <x:v>46203.921887453704</x:v>
      </x:c>
      <x:c r="O225" s="28" t="n">
        <x:v>46219.812988715275</x:v>
      </x:c>
      <x:c r="P225" s="23" t="str">
        <x:v>CHAPADÃO DO SUL</x:v>
      </x:c>
      <x:c r="Q225" s="30" t="n">
        <x:v>34243</x:v>
      </x:c>
      <x:c r="R225" s="22" t="str">
        <x:f>"12.736.622-5"</x:f>
        <x:v>12.736.622-5</x:v>
      </x:c>
      <x:c r="S225" s="23" t="str">
        <x:v>feminino</x:v>
      </x:c>
      <x:c r="T225" s="22" t="str">
        <x:f>"NVW0996"</x:f>
        <x:v>NVW0996</x:v>
      </x:c>
      <x:c r="U225" s="23" t="str">
        <x:v>ANAIS MARIEN DOS SANTOS STANGE</x:v>
      </x:c>
      <x:c r="V225" s="22" t="str">
        <x:f>"089.619.539-23"</x:f>
        <x:v>089.619.539-23</x:v>
      </x:c>
      <x:c r="W225" s="22" t="str">
        <x:f>"08961953923"</x:f>
        <x:v>08961953923</x:v>
      </x:c>
      <x:c r="X225" s="23" t="str">
        <x:v>na.marien0110@gmail.com</x:v>
      </x:c>
      <x:c r="Y225" s="22" t="str">
        <x:f>"41 9632-3050"</x:f>
        <x:v>41 9632-3050</x:v>
      </x:c>
      <x:c r="Z225" s="30" t="n">
        <x:v>46330</x:v>
      </x:c>
    </x:row>
    <x:row r="226" ht="18" customHeight="1">
      <x:c r="A226" s="22" t="str">
        <x:f>"c374829a-3c2e-4af0-b0d7-026abbfb8d10"</x:f>
        <x:v>c374829a-3c2e-4af0-b0d7-026abbfb8d10</x:v>
      </x:c>
      <x:c r="B226" s="23" t="str">
        <x:v>ANA LETICIA GONCALVES DE BRITO</x:v>
      </x:c>
      <x:c r="C226" s="23" t="str">
        <x:v>ana leticia goncalves de brito</x:v>
      </x:c>
      <x:c r="D226" s="22" t="str">
        <x:f>"63.073.243/0001-70"</x:f>
        <x:v>63.073.243/0001-70</x:v>
      </x:c>
      <x:c r="E226" s="22" t="str">
        <x:f>"63073243000170"</x:f>
        <x:v>63073243000170</x:v>
      </x:c>
      <x:c r="F226" s="22" t="str">
        <x:f>"131.588.016-47"</x:f>
        <x:v>131.588.016-47</x:v>
      </x:c>
      <x:c r="G226" s="22" t="str">
        <x:f>"13158801647"</x:f>
        <x:v>13158801647</x:v>
      </x:c>
      <x:c r="H226" s="23" t="str">
        <x:v>analeticia31111@gmail.com</x:v>
      </x:c>
      <x:c r="I226" s="22" t="str">
        <x:f>"31975301523"</x:f>
        <x:v>31975301523</x:v>
      </x:c>
      <x:c r="J226" s="23" t="str">
        <x:v>SPOT</x:v>
      </x:c>
      <x:c r="K226" s="23" t="str">
        <x:v>favored_only</x:v>
      </x:c>
      <x:c r="L226" s="24" t="b">
        <x:v>1</x:v>
      </x:c>
      <x:c r="M226" s="23" t="n">
        <x:v>2</x:v>
      </x:c>
      <x:c r="N226" s="28" t="n">
        <x:v>46219.812988715275</x:v>
      </x:c>
      <x:c r="O226" s="28" t="n">
        <x:v>46219.812988715275</x:v>
      </x:c>
      <x:c r="P226" s="23" t="str">
        <x:v>VESPASIANO</x:v>
      </x:c>
      <x:c r="Q226" s="30" t="n">
        <x:v>35140</x:v>
      </x:c>
      <x:c r="R226" s="22" t="str">
        <x:f>"mg16736384"</x:f>
        <x:v>mg16736384</x:v>
      </x:c>
      <x:c r="S226" s="23" t="str">
        <x:v>feminino</x:v>
      </x:c>
      <x:c r="T226" s="22" t="str">
        <x:f>"PZV7I47"</x:f>
        <x:v>PZV7I47</x:v>
      </x:c>
      <x:c r="U226" s="23" t="str">
        <x:v>ANA LETICIA GONCALVES DE BRITO</x:v>
      </x:c>
      <x:c r="V226" s="22" t="str">
        <x:f>"131.588.016-47"</x:f>
        <x:v>131.588.016-47</x:v>
      </x:c>
      <x:c r="W226" s="22" t="str">
        <x:f>"13158801647"</x:f>
        <x:v>13158801647</x:v>
      </x:c>
      <x:c r="X226" s="23" t="str">
        <x:v>analeticia31111@gmail.com</x:v>
      </x:c>
      <x:c r="Y226" s="22" t="str">
        <x:f>"31975301523"</x:f>
        <x:v>31975301523</x:v>
      </x:c>
      <x:c r="Z226" s="30" t="n">
        <x:v>46479</x:v>
      </x:c>
    </x:row>
    <x:row r="227" ht="18" customHeight="1">
      <x:c r="A227" s="22" t="str">
        <x:f>"97be039d-2c50-4554-9758-2214fba6f6a2"</x:f>
        <x:v>97be039d-2c50-4554-9758-2214fba6f6a2</x:v>
      </x:c>
      <x:c r="B227" s="23" t="str">
        <x:v>ANA LIVIA DE OLIVEIRA PEREIRA DO NASCIMENTO</x:v>
      </x:c>
      <x:c r="C227" s="23" t="str">
        <x:v>ana livia de oliveira pereira do nascimento</x:v>
      </x:c>
      <x:c r="D227" s="22" t="str">
        <x:f>"55.783.923/0001-59"</x:f>
        <x:v>55.783.923/0001-59</x:v>
      </x:c>
      <x:c r="E227" s="22" t="str">
        <x:f>"55783923000159"</x:f>
        <x:v>55783923000159</x:v>
      </x:c>
      <x:c r="F227" s="22" t="str">
        <x:f>"059.988.251-44"</x:f>
        <x:v>059.988.251-44</x:v>
      </x:c>
      <x:c r="G227" s="22" t="str">
        <x:f>"05998825144"</x:f>
        <x:v>05998825144</x:v>
      </x:c>
      <x:c r="H227" s="23" t="str">
        <x:v>analiviaoliveirapn@gmail.com</x:v>
      </x:c>
      <x:c r="I227" s="22" t="str">
        <x:f>"65996493464"</x:f>
        <x:v>65996493464</x:v>
      </x:c>
      <x:c r="J227" s="23" t="str">
        <x:v>SPOT</x:v>
      </x:c>
      <x:c r="K227" s="23" t="str">
        <x:v>favored_only</x:v>
      </x:c>
      <x:c r="L227" s="24" t="b">
        <x:v>1</x:v>
      </x:c>
      <x:c r="M227" s="23" t="n">
        <x:v>1</x:v>
      </x:c>
      <x:c r="N227" s="28" t="n">
        <x:v>46205.6065033912</x:v>
      </x:c>
      <x:c r="O227" s="28" t="n">
        <x:v>46219.812988715275</x:v>
      </x:c>
      <x:c r="P227" s="23" t="str">
        <x:v>CÁCERES</x:v>
      </x:c>
      <x:c r="Q227" s="30" t="n">
        <x:v>37108</x:v>
      </x:c>
      <x:c r="R227" s="22" t="str">
        <x:f>"28763688"</x:f>
        <x:v>28763688</x:v>
      </x:c>
      <x:c r="S227" s="23" t="str">
        <x:v>feminino</x:v>
      </x:c>
      <x:c r="T227" s="22" t="str">
        <x:f>"AXR7H38"</x:f>
        <x:v>AXR7H38</x:v>
      </x:c>
      <x:c r="U227" s="23" t="str">
        <x:v>CAIQUE HENRIQUE DA CRUZ</x:v>
      </x:c>
      <x:c r="V227" s="22" t="str">
        <x:f>"058.062.901-58"</x:f>
        <x:v>058.062.901-58</x:v>
      </x:c>
      <x:c r="W227" s="22" t="str">
        <x:f>"05806290158"</x:f>
        <x:v>05806290158</x:v>
      </x:c>
      <x:c r="X227" s="23" t="str">
        <x:v>caiquehenrique112@gmail.com</x:v>
      </x:c>
      <x:c r="Y227" s="22" t="str">
        <x:f>"65981695365"</x:f>
        <x:v>65981695365</x:v>
      </x:c>
      <x:c r="Z227" s="30" t="n">
        <x:v>46361</x:v>
      </x:c>
    </x:row>
    <x:row r="228" ht="18" customHeight="1">
      <x:c r="A228" s="22" t="str">
        <x:f>"68001535-f7e5-444b-8934-81ddeef7c0ad"</x:f>
        <x:v>68001535-f7e5-444b-8934-81ddeef7c0ad</x:v>
      </x:c>
      <x:c r="B228" s="23" t="str">
        <x:v>ANA LUIZA RODRIGUES MARTINS</x:v>
      </x:c>
      <x:c r="C228" s="23" t="str">
        <x:v>ana luiza rodrigues martins</x:v>
      </x:c>
      <x:c r="D228" s="22" t="str">
        <x:f>"57.856.006/0001-82"</x:f>
        <x:v>57.856.006/0001-82</x:v>
      </x:c>
      <x:c r="E228" s="22" t="str">
        <x:f>"57856006000182"</x:f>
        <x:v>57856006000182</x:v>
      </x:c>
      <x:c r="F228" s="22" t="str">
        <x:f>"142.088.456-51"</x:f>
        <x:v>142.088.456-51</x:v>
      </x:c>
      <x:c r="G228" s="22" t="str">
        <x:f>"14208845651"</x:f>
        <x:v>14208845651</x:v>
      </x:c>
      <x:c r="H228" s="23" t="str">
        <x:v>analuiza2002.rm@gmail.com</x:v>
      </x:c>
      <x:c r="I228" s="22" t="str">
        <x:f>"997795607"</x:f>
        <x:v>997795607</x:v>
      </x:c>
      <x:c r="J228" s="23" t="str">
        <x:v>SPOT</x:v>
      </x:c>
      <x:c r="K228" s="23" t="str">
        <x:v>favored_only</x:v>
      </x:c>
      <x:c r="L228" s="24" t="b">
        <x:v>1</x:v>
      </x:c>
      <x:c r="M228" s="23" t="n">
        <x:v>2</x:v>
      </x:c>
      <x:c r="N228" s="28" t="n">
        <x:v>46203.92184908565</x:v>
      </x:c>
      <x:c r="O228" s="28" t="n">
        <x:v>46219.812988715275</x:v>
      </x:c>
      <x:c r="P228" s="23" t="str">
        <x:v>CONTAGEM</x:v>
      </x:c>
      <x:c r="Q228" s="30" t="n">
        <x:v>37348</x:v>
      </x:c>
      <x:c r="R228" s="22" t="str">
        <x:f>"20647902"</x:f>
        <x:v>20647902</x:v>
      </x:c>
      <x:c r="S228" s="23" t="str">
        <x:v>feminino</x:v>
      </x:c>
      <x:c r="T228" s="22" t="str">
        <x:f>"QUN7G76"</x:f>
        <x:v>QUN7G76</x:v>
      </x:c>
      <x:c r="U228" s="23" t="str">
        <x:v>ANA LUIZA RODRIGUES MARTINS</x:v>
      </x:c>
      <x:c r="V228" s="22" t="str">
        <x:f>"142.088.456-51"</x:f>
        <x:v>142.088.456-51</x:v>
      </x:c>
      <x:c r="W228" s="22" t="str">
        <x:f>"14208845651"</x:f>
        <x:v>14208845651</x:v>
      </x:c>
      <x:c r="X228" s="23" t="str">
        <x:v>analuiza2002.rm@gmail.com</x:v>
      </x:c>
      <x:c r="Y228" s="22" t="str">
        <x:f>"997795607"</x:f>
        <x:v>997795607</x:v>
      </x:c>
      <x:c r="Z228" s="30" t="n">
        <x:v>46526</x:v>
      </x:c>
    </x:row>
    <x:row r="229" ht="18" customHeight="1">
      <x:c r="A229" s="22" t="str">
        <x:f>"49a590a4-1098-4c7f-9477-d887f4a5885c"</x:f>
        <x:v>49a590a4-1098-4c7f-9477-d887f4a5885c</x:v>
      </x:c>
      <x:c r="B229" s="23" t="str">
        <x:v>ANA MARIA FONTES</x:v>
      </x:c>
      <x:c r="C229" s="23" t="str">
        <x:v>ana maria fontes</x:v>
      </x:c>
      <x:c r="D229" s="22" t="str">
        <x:f>"24.238.510/0001-60"</x:f>
        <x:v>24.238.510/0001-60</x:v>
      </x:c>
      <x:c r="E229" s="22" t="str">
        <x:f>"24238510000160"</x:f>
        <x:v>24238510000160</x:v>
      </x:c>
      <x:c r="F229" s="22" t="str">
        <x:f>"219.297.248-29"</x:f>
        <x:v>219.297.248-29</x:v>
      </x:c>
      <x:c r="G229" s="22" t="str">
        <x:f>"21929724829"</x:f>
        <x:v>21929724829</x:v>
      </x:c>
      <x:c r="H229" s="23" t="str">
        <x:v>licitacaoanafontes@gmail.com</x:v>
      </x:c>
      <x:c r="I229" s="22" t="str">
        <x:f>"11 95973-8796"</x:f>
        <x:v>11 95973-8796</x:v>
      </x:c>
      <x:c r="J229" s="23" t="str">
        <x:v>RENTAL</x:v>
      </x:c>
      <x:c r="K229" s="23" t="str">
        <x:v>rental_company</x:v>
      </x:c>
      <x:c r="L229" s="24" t="b">
        <x:v>1</x:v>
      </x:c>
      <x:c r="M229" s="23" t="n">
        <x:v>1</x:v>
      </x:c>
      <x:c r="N229" s="28" t="n">
        <x:v>46219.812988715275</x:v>
      </x:c>
      <x:c r="O229" s="28" t="n">
        <x:v>46219.812988715275</x:v>
      </x:c>
      <x:c r="P229" s="23" t="str">
        <x:v>BARUERI</x:v>
      </x:c>
      <x:c r="Q229" s="30" t="n">
        <x:v>29650</x:v>
      </x:c>
      <x:c r="R229" s="22" t="str">
        <x:f>"27367639"</x:f>
        <x:v>27367639</x:v>
      </x:c>
      <x:c r="S229" s="23" t="str">
        <x:v>feminino</x:v>
      </x:c>
      <x:c r="T229" s="22" t="str"/>
      <x:c r="U229" s="23" t="str">
        <x:v>ANA MARIA FONTES</x:v>
      </x:c>
      <x:c r="V229" s="22" t="str">
        <x:f>"219.297.248-29"</x:f>
        <x:v>219.297.248-29</x:v>
      </x:c>
      <x:c r="W229" s="22" t="str">
        <x:f>"21929724829"</x:f>
        <x:v>21929724829</x:v>
      </x:c>
      <x:c r="X229" s="23" t="str">
        <x:v>licitacaoanafontes@gmail.com</x:v>
      </x:c>
      <x:c r="Y229" s="22" t="str">
        <x:f>"11 95973-8796"</x:f>
        <x:v>11 95973-8796</x:v>
      </x:c>
      <x:c r="Z229" s="30" t="n">
        <x:v>46409</x:v>
      </x:c>
    </x:row>
    <x:row r="230" ht="18" customHeight="1">
      <x:c r="A230" s="22" t="str">
        <x:f>"e8233cfd-e196-469b-be5b-7f694fabd05c"</x:f>
        <x:v>e8233cfd-e196-469b-be5b-7f694fabd05c</x:v>
      </x:c>
      <x:c r="B230" s="23" t="str">
        <x:v>ANA MARIA MARQUES DA SILVA</x:v>
      </x:c>
      <x:c r="C230" s="23" t="str">
        <x:v>ana maria marques da silva</x:v>
      </x:c>
      <x:c r="D230" s="22" t="str">
        <x:f>"52.664.355/0001-89"</x:f>
        <x:v>52.664.355/0001-89</x:v>
      </x:c>
      <x:c r="E230" s="22" t="str">
        <x:f>"52664355000189"</x:f>
        <x:v>52664355000189</x:v>
      </x:c>
      <x:c r="F230" s="22" t="str">
        <x:f>"163.720.096-09"</x:f>
        <x:v>163.720.096-09</x:v>
      </x:c>
      <x:c r="G230" s="22" t="str">
        <x:f>"16372009609"</x:f>
        <x:v>16372009609</x:v>
      </x:c>
      <x:c r="H230" s="23" t="str">
        <x:v>anaegustavo17@gmail.com</x:v>
      </x:c>
      <x:c r="I230" s="22" t="str">
        <x:f>"34 9247-2640"</x:f>
        <x:v>34 9247-2640</x:v>
      </x:c>
      <x:c r="J230" s="23" t="str">
        <x:v>SPOT</x:v>
      </x:c>
      <x:c r="K230" s="23" t="str">
        <x:v>favored_only</x:v>
      </x:c>
      <x:c r="L230" s="24" t="b">
        <x:v>1</x:v>
      </x:c>
      <x:c r="M230" s="23" t="n">
        <x:v>1</x:v>
      </x:c>
      <x:c r="N230" s="28" t="n">
        <x:v>46219.812988715275</x:v>
      </x:c>
      <x:c r="O230" s="28" t="n">
        <x:v>46219.812988715275</x:v>
      </x:c>
      <x:c r="P230" s="23" t="str">
        <x:v>ARAXÁ</x:v>
      </x:c>
      <x:c r="Q230" s="30" t="n">
        <x:v>37085</x:v>
      </x:c>
      <x:c r="R230" s="22" t="str">
        <x:f>"MG21104775"</x:f>
        <x:v>MG21104775</x:v>
      </x:c>
      <x:c r="S230" s="23" t="str">
        <x:v>feminino</x:v>
      </x:c>
      <x:c r="T230" s="22" t="str">
        <x:f>"ORC3309"</x:f>
        <x:v>ORC3309</x:v>
      </x:c>
      <x:c r="U230" s="23" t="str">
        <x:v>GIVAGOAUGUSTOREZENDESILVA</x:v>
      </x:c>
      <x:c r="V230" s="22" t="str">
        <x:f>"101.346.146-07"</x:f>
        <x:v>101.346.146-07</x:v>
      </x:c>
      <x:c r="W230" s="22" t="str">
        <x:f>"10134614607"</x:f>
        <x:v>10134614607</x:v>
      </x:c>
      <x:c r="X230" s="23" t="str">
        <x:v>GIVAGOAUGUSTO28@HOTMAIL.COM</x:v>
      </x:c>
      <x:c r="Y230" s="22" t="str">
        <x:f>"34 9247-2640"</x:f>
        <x:v>34 9247-2640</x:v>
      </x:c>
      <x:c r="Z230" s="30" t="n">
        <x:v>46551</x:v>
      </x:c>
    </x:row>
    <x:row r="231" ht="18" customHeight="1">
      <x:c r="A231" s="22" t="str">
        <x:f>"c81d6acc-2e7f-42af-a6a7-d48116a18b21"</x:f>
        <x:v>c81d6acc-2e7f-42af-a6a7-d48116a18b21</x:v>
      </x:c>
      <x:c r="B231" s="23" t="str">
        <x:v>ANA MARIA REZENDE DE ALENCAR SILVA</x:v>
      </x:c>
      <x:c r="C231" s="23" t="str">
        <x:v>ana maria rezende de alencar silva</x:v>
      </x:c>
      <x:c r="D231" s="22" t="str">
        <x:f>"52.664.355/0001-89"</x:f>
        <x:v>52.664.355/0001-89</x:v>
      </x:c>
      <x:c r="E231" s="22" t="str">
        <x:f>"52664355000189"</x:f>
        <x:v>52664355000189</x:v>
      </x:c>
      <x:c r="F231" s="22" t="str">
        <x:f>"661.234.026-68"</x:f>
        <x:v>661.234.026-68</x:v>
      </x:c>
      <x:c r="G231" s="22" t="str">
        <x:f>"66123402668"</x:f>
        <x:v>66123402668</x:v>
      </x:c>
      <x:c r="H231" s="23" t="str">
        <x:v>rezendeanamaria1@gmail.com</x:v>
      </x:c>
      <x:c r="I231" s="22" t="str">
        <x:f>"34997274196"</x:f>
        <x:v>34997274196</x:v>
      </x:c>
      <x:c r="J231" s="23" t="str">
        <x:v>SPOT</x:v>
      </x:c>
      <x:c r="K231" s="23" t="str">
        <x:v>favored_only</x:v>
      </x:c>
      <x:c r="L231" s="24" t="b">
        <x:v>1</x:v>
      </x:c>
      <x:c r="M231" s="23" t="n">
        <x:v>1</x:v>
      </x:c>
      <x:c r="N231" s="28" t="n">
        <x:v>46205.606579189815</x:v>
      </x:c>
      <x:c r="O231" s="28" t="n">
        <x:v>46219.812988715275</x:v>
      </x:c>
      <x:c r="P231" s="23" t="str">
        <x:v>ARAXÁ</x:v>
      </x:c>
      <x:c r="Q231" s="30" t="n">
        <x:v>25149</x:v>
      </x:c>
      <x:c r="R231" s="22" t="str">
        <x:f>"4494728"</x:f>
        <x:v>4494728</x:v>
      </x:c>
      <x:c r="S231" s="23" t="str">
        <x:v>feminino</x:v>
      </x:c>
      <x:c r="T231" s="22" t="str">
        <x:f>"RMR1E90"</x:f>
        <x:v>RMR1E90</x:v>
      </x:c>
      <x:c r="U231" s="23" t="str">
        <x:v>GIVAGO AUGUSTO REZENDE SILVA</x:v>
      </x:c>
      <x:c r="V231" s="22" t="str">
        <x:f>"101.346.146-07"</x:f>
        <x:v>101.346.146-07</x:v>
      </x:c>
      <x:c r="W231" s="22" t="str">
        <x:f>"10134614607"</x:f>
        <x:v>10134614607</x:v>
      </x:c>
      <x:c r="X231" s="23" t="str">
        <x:v>givagoaugusto28@hotmail.com</x:v>
      </x:c>
      <x:c r="Y231" s="22" t="str">
        <x:f>"34992472640"</x:f>
        <x:v>34992472640</x:v>
      </x:c>
      <x:c r="Z231" s="30" t="n">
        <x:v>46366</x:v>
      </x:c>
    </x:row>
    <x:row r="232" ht="18" customHeight="1">
      <x:c r="A232" s="22" t="str">
        <x:f>"e3e37488-47c4-4ce3-a08a-a342d26de2bf"</x:f>
        <x:v>e3e37488-47c4-4ce3-a08a-a342d26de2bf</x:v>
      </x:c>
      <x:c r="B232" s="23" t="str">
        <x:v>ANANIAS BARBOZA MACEDO</x:v>
      </x:c>
      <x:c r="C232" s="23" t="str">
        <x:v>ananias barboza macedo</x:v>
      </x:c>
      <x:c r="D232" s="22" t="str">
        <x:f>"63.463.933/0001-35"</x:f>
        <x:v>63.463.933/0001-35</x:v>
      </x:c>
      <x:c r="E232" s="22" t="str">
        <x:f>"63463933000135"</x:f>
        <x:v>63463933000135</x:v>
      </x:c>
      <x:c r="F232" s="22" t="str">
        <x:f>"009.649.851-01"</x:f>
        <x:v>009.649.851-01</x:v>
      </x:c>
      <x:c r="G232" s="22" t="str">
        <x:f>"00964985101"</x:f>
        <x:v>00964985101</x:v>
      </x:c>
      <x:c r="H232" s="23" t="str">
        <x:v>macedo-rv@hotmail.com</x:v>
      </x:c>
      <x:c r="I232" s="22" t="str">
        <x:f>"64992139039"</x:f>
        <x:v>64992139039</x:v>
      </x:c>
      <x:c r="J232" s="23" t="str">
        <x:v>RENTAL</x:v>
      </x:c>
      <x:c r="K232" s="23" t="str">
        <x:v>rental_company</x:v>
      </x:c>
      <x:c r="L232" s="24" t="b">
        <x:v>1</x:v>
      </x:c>
      <x:c r="M232" s="23" t="n">
        <x:v>1</x:v>
      </x:c>
      <x:c r="N232" s="28" t="n">
        <x:v>46203.921887453704</x:v>
      </x:c>
      <x:c r="O232" s="28" t="n">
        <x:v>46219.812988715275</x:v>
      </x:c>
      <x:c r="P232" s="23" t="str">
        <x:v>RIO VERDE</x:v>
      </x:c>
      <x:c r="Q232" s="30" t="n">
        <x:v>30596</x:v>
      </x:c>
      <x:c r="R232" s="22" t="str">
        <x:f>"4541089"</x:f>
        <x:v>4541089</x:v>
      </x:c>
      <x:c r="S232" s="23" t="str">
        <x:v>masculino</x:v>
      </x:c>
      <x:c r="T232" s="22" t="str"/>
      <x:c r="U232" s="23" t="str">
        <x:v>ANANIAS BARBOZA MACEDO</x:v>
      </x:c>
      <x:c r="V232" s="22" t="str">
        <x:f>"009.649.851-01"</x:f>
        <x:v>009.649.851-01</x:v>
      </x:c>
      <x:c r="W232" s="22" t="str">
        <x:f>"00964985101"</x:f>
        <x:v>00964985101</x:v>
      </x:c>
      <x:c r="X232" s="23" t="str">
        <x:v>macedo-rv@hotmail.com</x:v>
      </x:c>
      <x:c r="Y232" s="22" t="str">
        <x:f>"64992139039"</x:f>
        <x:v>64992139039</x:v>
      </x:c>
      <x:c r="Z232" s="30" t="n">
        <x:v>46329</x:v>
      </x:c>
    </x:row>
    <x:row r="233" ht="18" customHeight="1">
      <x:c r="A233" s="22" t="str">
        <x:f>"a7233757-b2e8-45f7-b3b1-ad0d2f2e39ea"</x:f>
        <x:v>a7233757-b2e8-45f7-b3b1-ad0d2f2e39ea</x:v>
      </x:c>
      <x:c r="B233" s="23" t="str">
        <x:v>ANA PAULA ANDRADE QUEIROZ ALVES</x:v>
      </x:c>
      <x:c r="C233" s="23" t="str">
        <x:v>ana paula andrade queiroz alves</x:v>
      </x:c>
      <x:c r="D233" s="22" t="str">
        <x:f>"54.015.282/0001-20"</x:f>
        <x:v>54.015.282/0001-20</x:v>
      </x:c>
      <x:c r="E233" s="22" t="str">
        <x:f>"54015282000120"</x:f>
        <x:v>54015282000120</x:v>
      </x:c>
      <x:c r="F233" s="22" t="str">
        <x:f>"100.214.846-43"</x:f>
        <x:v>100.214.846-43</x:v>
      </x:c>
      <x:c r="G233" s="22" t="str">
        <x:f>"10021484643"</x:f>
        <x:v>10021484643</x:v>
      </x:c>
      <x:c r="H233" s="23" t="str">
        <x:v>anapaulaandradequeirozalves26@outlook.com</x:v>
      </x:c>
      <x:c r="I233" s="22" t="str">
        <x:f>"34992185495"</x:f>
        <x:v>34992185495</x:v>
      </x:c>
      <x:c r="J233" s="23" t="str">
        <x:v>RENTAL</x:v>
      </x:c>
      <x:c r="K233" s="23" t="str">
        <x:v>rental_company</x:v>
      </x:c>
      <x:c r="L233" s="24" t="b">
        <x:v>1</x:v>
      </x:c>
      <x:c r="M233" s="23" t="n">
        <x:v>1</x:v>
      </x:c>
      <x:c r="N233" s="28" t="n">
        <x:v>46219.812988715275</x:v>
      </x:c>
      <x:c r="O233" s="28" t="n">
        <x:v>46219.812988715275</x:v>
      </x:c>
      <x:c r="P233" s="23" t="str">
        <x:v>UBERABA</x:v>
      </x:c>
      <x:c r="Q233" s="30" t="n">
        <x:v>34817</x:v>
      </x:c>
      <x:c r="R233" s="22" t="str">
        <x:f>"20538180"</x:f>
        <x:v>20538180</x:v>
      </x:c>
      <x:c r="S233" s="23" t="str">
        <x:v>feminino</x:v>
      </x:c>
      <x:c r="T233" s="22" t="str"/>
      <x:c r="U233" s="23" t="str">
        <x:v>ANA PAULA ANDRADE QUEIROZ ALVES</x:v>
      </x:c>
      <x:c r="V233" s="22" t="str">
        <x:f>"100.214.846-43"</x:f>
        <x:v>100.214.846-43</x:v>
      </x:c>
      <x:c r="W233" s="22" t="str">
        <x:f>"10021484643"</x:f>
        <x:v>10021484643</x:v>
      </x:c>
      <x:c r="X233" s="23" t="str">
        <x:v>anapaulaandradequeirozalves26@outlook.com</x:v>
      </x:c>
      <x:c r="Y233" s="22" t="str">
        <x:f>"34992185495"</x:f>
        <x:v>34992185495</x:v>
      </x:c>
      <x:c r="Z233" s="30" t="n">
        <x:v>46500</x:v>
      </x:c>
    </x:row>
    <x:row r="234" ht="18" customHeight="1">
      <x:c r="A234" s="22" t="str">
        <x:f>"8290a470-d292-43ec-a49c-2fa215b951a9"</x:f>
        <x:v>8290a470-d292-43ec-a49c-2fa215b951a9</x:v>
      </x:c>
      <x:c r="B234" s="23" t="str">
        <x:v>ANA PAULA FELICIANO DE ARAUJO</x:v>
      </x:c>
      <x:c r="C234" s="23" t="str">
        <x:v>ana paula feliciano de araujo</x:v>
      </x:c>
      <x:c r="D234" s="22" t="str">
        <x:f>"54.351.486/0001-31"</x:f>
        <x:v>54.351.486/0001-31</x:v>
      </x:c>
      <x:c r="E234" s="22" t="str">
        <x:f>"54351486000131"</x:f>
        <x:v>54351486000131</x:v>
      </x:c>
      <x:c r="F234" s="22" t="str">
        <x:f>"017.137.371-59"</x:f>
        <x:v>017.137.371-59</x:v>
      </x:c>
      <x:c r="G234" s="22" t="str">
        <x:f>"01713737159"</x:f>
        <x:v>01713737159</x:v>
      </x:c>
      <x:c r="H234" s="23" t="str">
        <x:v>felicianodearaujoa@gmail.com</x:v>
      </x:c>
      <x:c r="I234" s="22" t="str">
        <x:f>"64 98112-0336"</x:f>
        <x:v>64 98112-0336</x:v>
      </x:c>
      <x:c r="J234" s="23" t="str">
        <x:v>RENTAL</x:v>
      </x:c>
      <x:c r="K234" s="23" t="str">
        <x:v>rental_company</x:v>
      </x:c>
      <x:c r="L234" s="24" t="b">
        <x:v>1</x:v>
      </x:c>
      <x:c r="M234" s="23" t="n">
        <x:v>1</x:v>
      </x:c>
      <x:c r="N234" s="28" t="n">
        <x:v>46203.92183017361</x:v>
      </x:c>
      <x:c r="O234" s="28" t="n">
        <x:v>46219.812988715275</x:v>
      </x:c>
      <x:c r="P234" s="23" t="str">
        <x:v>RIO VERDE</x:v>
      </x:c>
      <x:c r="Q234" s="30" t="n">
        <x:v>32814</x:v>
      </x:c>
      <x:c r="R234" s="22" t="str">
        <x:f>"65538"</x:f>
        <x:v>65538</x:v>
      </x:c>
      <x:c r="S234" s="23" t="str">
        <x:v>feminino</x:v>
      </x:c>
      <x:c r="T234" s="22" t="str"/>
      <x:c r="U234" s="23" t="str">
        <x:v>ANA PAULA FELICIANO DE ARAUJO</x:v>
      </x:c>
      <x:c r="V234" s="22" t="str">
        <x:f>"017.137.371-59"</x:f>
        <x:v>017.137.371-59</x:v>
      </x:c>
      <x:c r="W234" s="22" t="str">
        <x:f>"01713737159"</x:f>
        <x:v>01713737159</x:v>
      </x:c>
      <x:c r="X234" s="23" t="str">
        <x:v>felicianodearaujoa@gmail.com</x:v>
      </x:c>
      <x:c r="Y234" s="22" t="str">
        <x:f>"64 98112-0336"</x:f>
        <x:v>64 98112-0336</x:v>
      </x:c>
      <x:c r="Z234" s="30" t="n">
        <x:v>46527</x:v>
      </x:c>
    </x:row>
    <x:row r="235" ht="18" customHeight="1">
      <x:c r="A235" s="22" t="str">
        <x:f>"cd8a595a-0689-4cf9-af19-1f3ab38f248f"</x:f>
        <x:v>cd8a595a-0689-4cf9-af19-1f3ab38f248f</x:v>
      </x:c>
      <x:c r="B235" s="23" t="str">
        <x:v>ANA PAULA MACEDO SILVA</x:v>
      </x:c>
      <x:c r="C235" s="23" t="str">
        <x:v>ana paula macedo silva</x:v>
      </x:c>
      <x:c r="D235" s="22" t="str">
        <x:f>"66.130.652/0001-59"</x:f>
        <x:v>66.130.652/0001-59</x:v>
      </x:c>
      <x:c r="E235" s="22" t="str">
        <x:f>"66130652000159"</x:f>
        <x:v>66130652000159</x:v>
      </x:c>
      <x:c r="F235" s="22" t="str">
        <x:f>"074.171.966-59"</x:f>
        <x:v>074.171.966-59</x:v>
      </x:c>
      <x:c r="G235" s="22" t="str">
        <x:f>"07417196659"</x:f>
        <x:v>07417196659</x:v>
      </x:c>
      <x:c r="H235" s="23" t="str">
        <x:v>anapaula97680856@gmail.com</x:v>
      </x:c>
      <x:c r="I235" s="22" t="str">
        <x:f>"34998799540"</x:f>
        <x:v>34998799540</x:v>
      </x:c>
      <x:c r="J235" s="23" t="str">
        <x:v>RENTAL</x:v>
      </x:c>
      <x:c r="K235" s="23" t="str">
        <x:v>rental_company</x:v>
      </x:c>
      <x:c r="L235" s="24" t="b">
        <x:v>1</x:v>
      </x:c>
      <x:c r="M235" s="23" t="n">
        <x:v>1</x:v>
      </x:c>
      <x:c r="N235" s="28" t="n">
        <x:v>46219.812988715275</x:v>
      </x:c>
      <x:c r="O235" s="28" t="n">
        <x:v>46219.812988715275</x:v>
      </x:c>
      <x:c r="P235" s="23" t="str">
        <x:v>UBERABA</x:v>
      </x:c>
      <x:c r="Q235" s="30" t="n">
        <x:v>31409</x:v>
      </x:c>
      <x:c r="R235" s="22" t="str">
        <x:f>"146224936"</x:f>
        <x:v>146224936</x:v>
      </x:c>
      <x:c r="S235" s="23" t="str">
        <x:v>feminino</x:v>
      </x:c>
      <x:c r="T235" s="22" t="str"/>
      <x:c r="U235" s="23" t="str">
        <x:v>ANA PAULA MACEDO SILVA</x:v>
      </x:c>
      <x:c r="V235" s="22" t="str">
        <x:f>"074.171.966-59"</x:f>
        <x:v>074.171.966-59</x:v>
      </x:c>
      <x:c r="W235" s="22" t="str">
        <x:f>"07417196659"</x:f>
        <x:v>07417196659</x:v>
      </x:c>
      <x:c r="X235" s="23" t="str">
        <x:v>anapaula97680856@gmail.com</x:v>
      </x:c>
      <x:c r="Y235" s="22" t="str">
        <x:f>"34998799540"</x:f>
        <x:v>34998799540</x:v>
      </x:c>
      <x:c r="Z235" s="30" t="n">
        <x:v>46564</x:v>
      </x:c>
    </x:row>
    <x:row r="236" ht="18" customHeight="1">
      <x:c r="A236" s="22" t="str">
        <x:f>"28f9ff1f-cf9b-43c5-b156-b1314001979b"</x:f>
        <x:v>28f9ff1f-cf9b-43c5-b156-b1314001979b</x:v>
      </x:c>
      <x:c r="B236" s="23" t="str">
        <x:v>ANA PAULA MARTINS BORGES</x:v>
      </x:c>
      <x:c r="C236" s="23" t="str">
        <x:v>ana paula martins borges</x:v>
      </x:c>
      <x:c r="D236" s="22" t="str">
        <x:f>"62.413.369/0001-83"</x:f>
        <x:v>62.413.369/0001-83</x:v>
      </x:c>
      <x:c r="E236" s="22" t="str">
        <x:f>"62413369000183"</x:f>
        <x:v>62413369000183</x:v>
      </x:c>
      <x:c r="F236" s="22" t="str">
        <x:f>"075.299.666-50"</x:f>
        <x:v>075.299.666-50</x:v>
      </x:c>
      <x:c r="G236" s="22" t="str">
        <x:f>"07529966650"</x:f>
        <x:v>07529966650</x:v>
      </x:c>
      <x:c r="H236" s="23" t="str">
        <x:v>anapaulasatos33borges@gmail.com</x:v>
      </x:c>
      <x:c r="I236" s="22" t="str">
        <x:f>"31975956715"</x:f>
        <x:v>31975956715</x:v>
      </x:c>
      <x:c r="J236" s="23" t="str">
        <x:v>SPOT</x:v>
      </x:c>
      <x:c r="K236" s="23" t="str">
        <x:v>favored_only</x:v>
      </x:c>
      <x:c r="L236" s="24" t="b">
        <x:v>1</x:v>
      </x:c>
      <x:c r="M236" s="23" t="n">
        <x:v>1</x:v>
      </x:c>
      <x:c r="N236" s="28" t="n">
        <x:v>46203.92186888889</x:v>
      </x:c>
      <x:c r="O236" s="28" t="n">
        <x:v>46219.812988715275</x:v>
      </x:c>
      <x:c r="P236" s="23" t="str">
        <x:v>CONTAGEM</x:v>
      </x:c>
      <x:c r="Q236" s="30" t="n">
        <x:v>31738</x:v>
      </x:c>
      <x:c r="R236" s="22" t="str">
        <x:f>"14534697"</x:f>
        <x:v>14534697</x:v>
      </x:c>
      <x:c r="S236" s="23" t="str">
        <x:v>feminino</x:v>
      </x:c>
      <x:c r="T236" s="22" t="str">
        <x:f>"RAI4B68"</x:f>
        <x:v>RAI4B68</x:v>
      </x:c>
      <x:c r="U236" s="23" t="str">
        <x:v>ANA PAULA MARTINS BORGES</x:v>
      </x:c>
      <x:c r="V236" s="22" t="str">
        <x:f>"075.299.666-50"</x:f>
        <x:v>075.299.666-50</x:v>
      </x:c>
      <x:c r="W236" s="22" t="str">
        <x:f>"07529966650"</x:f>
        <x:v>07529966650</x:v>
      </x:c>
      <x:c r="X236" s="23" t="str">
        <x:v>anapaulasatos33borges@gmail.com</x:v>
      </x:c>
      <x:c r="Y236" s="22" t="str">
        <x:f>"31975956715"</x:f>
        <x:v>31975956715</x:v>
      </x:c>
      <x:c r="Z236" s="30" t="n">
        <x:v>46290</x:v>
      </x:c>
    </x:row>
    <x:row r="237" ht="18" customHeight="1">
      <x:c r="A237" s="22" t="str">
        <x:f>"9e39bc1d-0fdf-4f13-bc82-b14ebd872dd3"</x:f>
        <x:v>9e39bc1d-0fdf-4f13-bc82-b14ebd872dd3</x:v>
      </x:c>
      <x:c r="B237" s="23" t="str">
        <x:v>ANA PAULA REIS BATISTA</x:v>
      </x:c>
      <x:c r="C237" s="23" t="str">
        <x:v>ana paula reis batista</x:v>
      </x:c>
      <x:c r="D237" s="22" t="str">
        <x:f>"40.439.409/0001-23"</x:f>
        <x:v>40.439.409/0001-23</x:v>
      </x:c>
      <x:c r="E237" s="22" t="str">
        <x:f>"40439409000123"</x:f>
        <x:v>40439409000123</x:v>
      </x:c>
      <x:c r="F237" s="22" t="str">
        <x:f>"093.573.486-46"</x:f>
        <x:v>093.573.486-46</x:v>
      </x:c>
      <x:c r="G237" s="22" t="str">
        <x:f>"09357348646"</x:f>
        <x:v>09357348646</x:v>
      </x:c>
      <x:c r="H237" s="23" t="str">
        <x:v>paulahelenofelipe@gmail.com</x:v>
      </x:c>
      <x:c r="I237" s="22" t="str">
        <x:f>"35 998058067"</x:f>
        <x:v>35 998058067</x:v>
      </x:c>
      <x:c r="J237" s="23" t="str">
        <x:v>SPOT</x:v>
      </x:c>
      <x:c r="K237" s="23" t="str">
        <x:v>favored_only</x:v>
      </x:c>
      <x:c r="L237" s="24" t="b">
        <x:v>1</x:v>
      </x:c>
      <x:c r="M237" s="23" t="n">
        <x:v>1</x:v>
      </x:c>
      <x:c r="N237" s="28" t="n">
        <x:v>46205.606003946756</x:v>
      </x:c>
      <x:c r="O237" s="28" t="n">
        <x:v>46219.812988715275</x:v>
      </x:c>
      <x:c r="P237" s="23" t="str">
        <x:v>GUAXUPE</x:v>
      </x:c>
      <x:c r="Q237" s="30" t="n">
        <x:v>33600</x:v>
      </x:c>
      <x:c r="R237" s="22" t="str">
        <x:f>"16077721"</x:f>
        <x:v>16077721</x:v>
      </x:c>
      <x:c r="S237" s="23" t="str">
        <x:v>feminino</x:v>
      </x:c>
      <x:c r="T237" s="22" t="str">
        <x:f>"NYA4I52"</x:f>
        <x:v>NYA4I52</x:v>
      </x:c>
      <x:c r="U237" s="23" t="str">
        <x:v>JOSE ADRIANO DE SOUSA</x:v>
      </x:c>
      <x:c r="V237" s="22" t="str">
        <x:f>"048.068.786-26"</x:f>
        <x:v>048.068.786-26</x:v>
      </x:c>
      <x:c r="W237" s="22" t="str">
        <x:f>"04806878626"</x:f>
        <x:v>04806878626</x:v>
      </x:c>
      <x:c r="X237" s="23" t="str">
        <x:v>adrianomljose@gmail.com</x:v>
      </x:c>
      <x:c r="Y237" s="22" t="str">
        <x:f>"35991931364"</x:f>
        <x:v>35991931364</x:v>
      </x:c>
      <x:c r="Z237" s="30" t="n">
        <x:v>46339</x:v>
      </x:c>
    </x:row>
    <x:row r="238" ht="18" customHeight="1">
      <x:c r="A238" s="22" t="str">
        <x:f>"093be676-7fe3-403e-9b0e-8da3dfb32909"</x:f>
        <x:v>093be676-7fe3-403e-9b0e-8da3dfb32909</x:v>
      </x:c>
      <x:c r="B238" s="23" t="str">
        <x:v>ANDERSEN FRANCA JUNIOR</x:v>
      </x:c>
      <x:c r="C238" s="23" t="str">
        <x:v>andersen franca junior</x:v>
      </x:c>
      <x:c r="D238" s="22" t="str">
        <x:f>"50.239.321/0001-11"</x:f>
        <x:v>50.239.321/0001-11</x:v>
      </x:c>
      <x:c r="E238" s="22" t="str">
        <x:f>"50239321000111"</x:f>
        <x:v>50239321000111</x:v>
      </x:c>
      <x:c r="F238" s="22" t="str">
        <x:f>"042.806.887-10"</x:f>
        <x:v>042.806.887-10</x:v>
      </x:c>
      <x:c r="G238" s="22" t="str">
        <x:f>"04280688710"</x:f>
        <x:v>04280688710</x:v>
      </x:c>
      <x:c r="H238" s="23" t="str">
        <x:v>junior_rj2012@yahoo.com.br</x:v>
      </x:c>
      <x:c r="I238" s="22" t="str">
        <x:f>"21998480328"</x:f>
        <x:v>21998480328</x:v>
      </x:c>
      <x:c r="J238" s="23" t="str">
        <x:v>SPOT</x:v>
      </x:c>
      <x:c r="K238" s="23" t="str">
        <x:v>favored_only</x:v>
      </x:c>
      <x:c r="L238" s="24" t="b">
        <x:v>1</x:v>
      </x:c>
      <x:c r="M238" s="23" t="n">
        <x:v>1</x:v>
      </x:c>
      <x:c r="N238" s="28" t="n">
        <x:v>46203.9219084375</x:v>
      </x:c>
      <x:c r="O238" s="28" t="n">
        <x:v>46219.812988715275</x:v>
      </x:c>
      <x:c r="P238" s="23" t="str">
        <x:v>CAMPO GRANDE</x:v>
      </x:c>
      <x:c r="Q238" s="30" t="n">
        <x:v>27419</x:v>
      </x:c>
      <x:c r="R238" s="22" t="str">
        <x:f>"494756252"</x:f>
        <x:v>494756252</x:v>
      </x:c>
      <x:c r="S238" s="23" t="str">
        <x:v>masculino</x:v>
      </x:c>
      <x:c r="T238" s="22" t="str">
        <x:f>"LLF6815"</x:f>
        <x:v>LLF6815</x:v>
      </x:c>
      <x:c r="U238" s="23" t="str">
        <x:v>ANDERSEN FRANCA JUNIOR</x:v>
      </x:c>
      <x:c r="V238" s="22" t="str">
        <x:f>"042.806.887-10"</x:f>
        <x:v>042.806.887-10</x:v>
      </x:c>
      <x:c r="W238" s="22" t="str">
        <x:f>"04280688710"</x:f>
        <x:v>04280688710</x:v>
      </x:c>
      <x:c r="X238" s="23" t="str">
        <x:v>junior_rj2012@yahoo.com.br</x:v>
      </x:c>
      <x:c r="Y238" s="22" t="str">
        <x:f>"21998480328"</x:f>
        <x:v>21998480328</x:v>
      </x:c>
      <x:c r="Z238" s="30" t="n">
        <x:v>46393</x:v>
      </x:c>
    </x:row>
    <x:row r="239" ht="18" customHeight="1">
      <x:c r="A239" s="22" t="str">
        <x:f>"bb742ed3-fc2c-4491-9cfb-cc0a36d8c6e8"</x:f>
        <x:v>bb742ed3-fc2c-4491-9cfb-cc0a36d8c6e8</x:v>
      </x:c>
      <x:c r="B239" s="23" t="str">
        <x:v>ANDERSON BRITO FLORES</x:v>
      </x:c>
      <x:c r="C239" s="23" t="str">
        <x:v>anderson brito flores</x:v>
      </x:c>
      <x:c r="D239" s="22" t="str">
        <x:f>"53.264.533/0001-47"</x:f>
        <x:v>53.264.533/0001-47</x:v>
      </x:c>
      <x:c r="E239" s="22" t="str">
        <x:f>"53264533000147"</x:f>
        <x:v>53264533000147</x:v>
      </x:c>
      <x:c r="F239" s="22" t="str">
        <x:f>"060.603.461-70"</x:f>
        <x:v>060.603.461-70</x:v>
      </x:c>
      <x:c r="G239" s="22" t="str">
        <x:f>"06060346170"</x:f>
        <x:v>06060346170</x:v>
      </x:c>
      <x:c r="H239" s="23" t="str">
        <x:v>hardwellentregas@gmail.com</x:v>
      </x:c>
      <x:c r="I239" s="22" t="str">
        <x:f>"65 9344-7782"</x:f>
        <x:v>65 9344-7782</x:v>
      </x:c>
      <x:c r="J239" s="23" t="str">
        <x:v>SPOT</x:v>
      </x:c>
      <x:c r="K239" s="23" t="str">
        <x:v>favored_only</x:v>
      </x:c>
      <x:c r="L239" s="24" t="b">
        <x:v>1</x:v>
      </x:c>
      <x:c r="M239" s="23" t="n">
        <x:v>1</x:v>
      </x:c>
      <x:c r="N239" s="28" t="n">
        <x:v>46219.812988715275</x:v>
      </x:c>
      <x:c r="O239" s="28" t="n">
        <x:v>46219.812988715275</x:v>
      </x:c>
      <x:c r="P239" s="23" t="str">
        <x:v>CUIABA</x:v>
      </x:c>
      <x:c r="Q239" s="30" t="n">
        <x:v>36347</x:v>
      </x:c>
      <x:c r="R239" s="22" t="str">
        <x:f>"25666916"</x:f>
        <x:v>25666916</x:v>
      </x:c>
      <x:c r="S239" s="23" t="str">
        <x:v>masculino</x:v>
      </x:c>
      <x:c r="T239" s="22" t="str">
        <x:f>"SPT1G21"</x:f>
        <x:v>SPT1G21</x:v>
      </x:c>
      <x:c r="U239" s="23" t="str">
        <x:v>LEONIDAS DE PINHO E SILVA</x:v>
      </x:c>
      <x:c r="V239" s="22" t="str">
        <x:f>"692.451.851-68"</x:f>
        <x:v>692.451.851-68</x:v>
      </x:c>
      <x:c r="W239" s="22" t="str">
        <x:f>"69245185168"</x:f>
        <x:v>69245185168</x:v>
      </x:c>
      <x:c r="X239" s="23" t="str">
        <x:v>veloxlogisticamt@gmail.com</x:v>
      </x:c>
      <x:c r="Y239" s="22" t="str">
        <x:f>"(65) 99632-1030"</x:f>
        <x:v>(65) 99632-1030</x:v>
      </x:c>
      <x:c r="Z239" s="30" t="n">
        <x:v>46416</x:v>
      </x:c>
    </x:row>
    <x:row r="240" ht="18" customHeight="1">
      <x:c r="A240" s="22" t="str">
        <x:f>"e785fdf0-ea6f-40fd-b843-4e157109f8db"</x:f>
        <x:v>e785fdf0-ea6f-40fd-b843-4e157109f8db</x:v>
      </x:c>
      <x:c r="B240" s="23" t="str">
        <x:v>ANDERSON CARLOS DUTRA BARROS</x:v>
      </x:c>
      <x:c r="C240" s="23" t="str">
        <x:v>anderson carlos dutra barros</x:v>
      </x:c>
      <x:c r="D240" s="22" t="str">
        <x:f>"63.149.529/0001-91"</x:f>
        <x:v>63.149.529/0001-91</x:v>
      </x:c>
      <x:c r="E240" s="22" t="str">
        <x:f>"63149529000191"</x:f>
        <x:v>63149529000191</x:v>
      </x:c>
      <x:c r="F240" s="22" t="str">
        <x:f>"006.476.159-24"</x:f>
        <x:v>006.476.159-24</x:v>
      </x:c>
      <x:c r="G240" s="22" t="str">
        <x:f>"00647615924"</x:f>
        <x:v>00647615924</x:v>
      </x:c>
      <x:c r="H240" s="23" t="str">
        <x:v>andersondutrabarros2021@gmail.com</x:v>
      </x:c>
      <x:c r="I240" s="22" t="str">
        <x:f>"62 9130-5143"</x:f>
        <x:v>62 9130-5143</x:v>
      </x:c>
      <x:c r="J240" s="23" t="str">
        <x:v>RENTAL</x:v>
      </x:c>
      <x:c r="K240" s="23" t="str">
        <x:v>rental_company</x:v>
      </x:c>
      <x:c r="L240" s="24" t="b">
        <x:v>1</x:v>
      </x:c>
      <x:c r="M240" s="23" t="n">
        <x:v>1</x:v>
      </x:c>
      <x:c r="N240" s="28" t="n">
        <x:v>46203.9218771875</x:v>
      </x:c>
      <x:c r="O240" s="28" t="n">
        <x:v>46219.812988715275</x:v>
      </x:c>
      <x:c r="P240" s="23" t="str">
        <x:v>GOIANIA</x:v>
      </x:c>
      <x:c r="Q240" s="30" t="n">
        <x:v>28079</x:v>
      </x:c>
      <x:c r="R240" s="22" t="str">
        <x:f>"19822251"</x:f>
        <x:v>19822251</x:v>
      </x:c>
      <x:c r="S240" s="23" t="str">
        <x:v>masculino</x:v>
      </x:c>
      <x:c r="T240" s="22" t="str"/>
      <x:c r="U240" s="23" t="str">
        <x:v>ANDERSON CARLOS DUTRA BARROS</x:v>
      </x:c>
      <x:c r="V240" s="22" t="str">
        <x:f>"006.476.159-24"</x:f>
        <x:v>006.476.159-24</x:v>
      </x:c>
      <x:c r="W240" s="22" t="str">
        <x:f>"00647615924"</x:f>
        <x:v>00647615924</x:v>
      </x:c>
      <x:c r="X240" s="23" t="str">
        <x:v>andersondutrabarros2021@gmail.com</x:v>
      </x:c>
      <x:c r="Y240" s="22" t="str">
        <x:f>"62 9130-5143"</x:f>
        <x:v>62 9130-5143</x:v>
      </x:c>
      <x:c r="Z240" s="30" t="n">
        <x:v>46308</x:v>
      </x:c>
    </x:row>
    <x:row r="241" ht="18" customHeight="1">
      <x:c r="A241" s="22" t="str">
        <x:f>"900776a3-190b-424e-82b8-4e6bb5528d21"</x:f>
        <x:v>900776a3-190b-424e-82b8-4e6bb5528d21</x:v>
      </x:c>
      <x:c r="B241" s="23" t="str">
        <x:v>ANDERSON CLAUDINEI DA SILVA LIMA</x:v>
      </x:c>
      <x:c r="C241" s="23" t="str">
        <x:v>anderson claudinei da silva lima</x:v>
      </x:c>
      <x:c r="D241" s="22" t="str">
        <x:f>"55.347.663/0001-79"</x:f>
        <x:v>55.347.663/0001-79</x:v>
      </x:c>
      <x:c r="E241" s="22" t="str">
        <x:f>"55347663000179"</x:f>
        <x:v>55347663000179</x:v>
      </x:c>
      <x:c r="F241" s="22" t="str">
        <x:f>"021.868.271-90"</x:f>
        <x:v>021.868.271-90</x:v>
      </x:c>
      <x:c r="G241" s="22" t="str">
        <x:f>"02186827190"</x:f>
        <x:v>02186827190</x:v>
      </x:c>
      <x:c r="H241" s="23" t="str">
        <x:v>andersonclaudinei9@gmail.com</x:v>
      </x:c>
      <x:c r="I241" s="22" t="str">
        <x:f>"66999557761"</x:f>
        <x:v>66999557761</x:v>
      </x:c>
      <x:c r="J241" s="23" t="str">
        <x:v>SPOT</x:v>
      </x:c>
      <x:c r="K241" s="23" t="str">
        <x:v>favored_only</x:v>
      </x:c>
      <x:c r="L241" s="24" t="b">
        <x:v>1</x:v>
      </x:c>
      <x:c r="M241" s="23" t="n">
        <x:v>2</x:v>
      </x:c>
      <x:c r="N241" s="28" t="n">
        <x:v>46203.92188238426</x:v>
      </x:c>
      <x:c r="O241" s="28" t="n">
        <x:v>46219.812988715275</x:v>
      </x:c>
      <x:c r="P241" s="23" t="str">
        <x:v>CUIABA</x:v>
      </x:c>
      <x:c r="Q241" s="30" t="n">
        <x:v>32706</x:v>
      </x:c>
      <x:c r="R241" s="22" t="str">
        <x:f>"16800125"</x:f>
        <x:v>16800125</x:v>
      </x:c>
      <x:c r="S241" s="23" t="str">
        <x:v>masculino</x:v>
      </x:c>
      <x:c r="T241" s="22" t="str">
        <x:f>"QCU2E33"</x:f>
        <x:v>QCU2E33</x:v>
      </x:c>
      <x:c r="U241" s="23" t="str">
        <x:v>ANDERSON CLAUDINEI DA SILVA LIMA</x:v>
      </x:c>
      <x:c r="V241" s="22" t="str">
        <x:f>"021.868.271-90"</x:f>
        <x:v>021.868.271-90</x:v>
      </x:c>
      <x:c r="W241" s="22" t="str">
        <x:f>"02186827190"</x:f>
        <x:v>02186827190</x:v>
      </x:c>
      <x:c r="X241" s="23" t="str">
        <x:v>andersonclaudinei9@gmail.com</x:v>
      </x:c>
      <x:c r="Y241" s="22" t="str">
        <x:f>"66999557761"</x:f>
        <x:v>66999557761</x:v>
      </x:c>
      <x:c r="Z241" s="30" t="n">
        <x:v>46458</x:v>
      </x:c>
    </x:row>
    <x:row r="242" ht="18" customHeight="1">
      <x:c r="A242" s="22" t="str">
        <x:f>"96822234-908f-4cc9-833d-41154b53cb81"</x:f>
        <x:v>96822234-908f-4cc9-833d-41154b53cb81</x:v>
      </x:c>
      <x:c r="B242" s="23" t="str">
        <x:v>ANDERSON CLAYTON EUSTAQUIO DE MELO</x:v>
      </x:c>
      <x:c r="C242" s="23" t="str">
        <x:v>anderson clayton eustaquio de melo</x:v>
      </x:c>
      <x:c r="D242" s="22" t="str">
        <x:f>"59.968.013/0001-00"</x:f>
        <x:v>59.968.013/0001-00</x:v>
      </x:c>
      <x:c r="E242" s="22" t="str">
        <x:f>"59968013000100"</x:f>
        <x:v>59968013000100</x:v>
      </x:c>
      <x:c r="F242" s="22" t="str">
        <x:f>"063.258.346-07"</x:f>
        <x:v>063.258.346-07</x:v>
      </x:c>
      <x:c r="G242" s="22" t="str">
        <x:f>"06325834607"</x:f>
        <x:v>06325834607</x:v>
      </x:c>
      <x:c r="H242" s="23" t="str">
        <x:v>aclayton185@gmail.com</x:v>
      </x:c>
      <x:c r="I242" s="22" t="str">
        <x:f>"3198523-2055"</x:f>
        <x:v>3198523-2055</x:v>
      </x:c>
      <x:c r="J242" s="23" t="str">
        <x:v>SPOT</x:v>
      </x:c>
      <x:c r="K242" s="23" t="str">
        <x:v>favored_only</x:v>
      </x:c>
      <x:c r="L242" s="24" t="b">
        <x:v>1</x:v>
      </x:c>
      <x:c r="M242" s="23" t="n">
        <x:v>1</x:v>
      </x:c>
      <x:c r="N242" s="28" t="n">
        <x:v>46203.921887453704</x:v>
      </x:c>
      <x:c r="O242" s="28" t="n">
        <x:v>46219.812988715275</x:v>
      </x:c>
      <x:c r="P242" s="23" t="str">
        <x:v>VESPASIANO</x:v>
      </x:c>
      <x:c r="Q242" s="30" t="n">
        <x:v>35488</x:v>
      </x:c>
      <x:c r="R242" s="22" t="str">
        <x:f>"16215722"</x:f>
        <x:v>16215722</x:v>
      </x:c>
      <x:c r="S242" s="23" t="str">
        <x:v>masculino</x:v>
      </x:c>
      <x:c r="T242" s="22" t="str">
        <x:f>"GVE0H73"</x:f>
        <x:v>GVE0H73</x:v>
      </x:c>
      <x:c r="U242" s="23" t="str">
        <x:v>ANDERSON CLAYTON EUSTAQUIO DE MELO</x:v>
      </x:c>
      <x:c r="V242" s="22" t="str">
        <x:f>"063.258.346-07"</x:f>
        <x:v>063.258.346-07</x:v>
      </x:c>
      <x:c r="W242" s="22" t="str">
        <x:f>"06325834607"</x:f>
        <x:v>06325834607</x:v>
      </x:c>
      <x:c r="X242" s="23" t="str">
        <x:v>aclayton185@gmail.com</x:v>
      </x:c>
      <x:c r="Y242" s="22" t="str">
        <x:f>"3198523-2055"</x:f>
        <x:v>3198523-2055</x:v>
      </x:c>
      <x:c r="Z242" s="30" t="n">
        <x:v>46302</x:v>
      </x:c>
    </x:row>
    <x:row r="243" ht="18" customHeight="1">
      <x:c r="A243" s="22" t="str">
        <x:f>"d599a009-6076-444c-b6ba-b3a77f99a1db"</x:f>
        <x:v>d599a009-6076-444c-b6ba-b3a77f99a1db</x:v>
      </x:c>
      <x:c r="B243" s="23" t="str">
        <x:v>ANDERSON CLEITON DE OLIVEIRA ARCHANGELO</x:v>
      </x:c>
      <x:c r="C243" s="23" t="str">
        <x:v>anderson cleiton de oliveira archangelo</x:v>
      </x:c>
      <x:c r="D243" s="22" t="str">
        <x:f>"63.922.825/0001-83"</x:f>
        <x:v>63.922.825/0001-83</x:v>
      </x:c>
      <x:c r="E243" s="22" t="str">
        <x:f>"63922825000183"</x:f>
        <x:v>63922825000183</x:v>
      </x:c>
      <x:c r="F243" s="22" t="str">
        <x:f>"513.801.148-02"</x:f>
        <x:v>513.801.148-02</x:v>
      </x:c>
      <x:c r="G243" s="22" t="str">
        <x:f>"51380114802"</x:f>
        <x:v>51380114802</x:v>
      </x:c>
      <x:c r="H243" s="23" t="str">
        <x:v>ac623856@gmail.com</x:v>
      </x:c>
      <x:c r="I243" s="22" t="str">
        <x:f>"6 99197-5199"</x:f>
        <x:v>6 99197-5199</x:v>
      </x:c>
      <x:c r="J243" s="23" t="str">
        <x:v>RENTAL</x:v>
      </x:c>
      <x:c r="K243" s="23" t="str">
        <x:v>rental_company</x:v>
      </x:c>
      <x:c r="L243" s="24" t="b">
        <x:v>1</x:v>
      </x:c>
      <x:c r="M243" s="23" t="n">
        <x:v>1</x:v>
      </x:c>
      <x:c r="N243" s="28" t="n">
        <x:v>46203.921904421295</x:v>
      </x:c>
      <x:c r="O243" s="28" t="n">
        <x:v>46219.812988715275</x:v>
      </x:c>
      <x:c r="P243" s="23" t="str">
        <x:v>RIBEIRAO PRETO</x:v>
      </x:c>
      <x:c r="Q243" s="30" t="n">
        <x:v>37442</x:v>
      </x:c>
      <x:c r="R243" s="22" t="str">
        <x:f>"623056033"</x:f>
        <x:v>623056033</x:v>
      </x:c>
      <x:c r="S243" s="23" t="str">
        <x:v>masculino</x:v>
      </x:c>
      <x:c r="T243" s="22" t="str"/>
      <x:c r="U243" s="23" t="str">
        <x:v>ANDERSON CLEITON DE OLIVEIRA ARCHANGELO</x:v>
      </x:c>
      <x:c r="V243" s="22" t="str">
        <x:f>"513.801.148-02"</x:f>
        <x:v>513.801.148-02</x:v>
      </x:c>
      <x:c r="W243" s="22" t="str">
        <x:f>"51380114802"</x:f>
        <x:v>51380114802</x:v>
      </x:c>
      <x:c r="X243" s="23" t="str">
        <x:v>ac623856@gmail.com</x:v>
      </x:c>
      <x:c r="Y243" s="22" t="str">
        <x:f>"6 99197-5199"</x:f>
        <x:v>6 99197-5199</x:v>
      </x:c>
      <x:c r="Z243" s="30" t="n">
        <x:v>46375</x:v>
      </x:c>
    </x:row>
    <x:row r="244" ht="18" customHeight="1">
      <x:c r="A244" s="22" t="str">
        <x:f>"1193087e-247e-4e74-9cb1-5113bbf96d40"</x:f>
        <x:v>1193087e-247e-4e74-9cb1-5113bbf96d40</x:v>
      </x:c>
      <x:c r="B244" s="23" t="str">
        <x:v>ANDERSON DA SILVA BRAGA</x:v>
      </x:c>
      <x:c r="C244" s="23" t="str">
        <x:v>anderson da silva braga</x:v>
      </x:c>
      <x:c r="D244" s="22" t="str">
        <x:f>"21.679.227/0001-85"</x:f>
        <x:v>21.679.227/0001-85</x:v>
      </x:c>
      <x:c r="E244" s="22" t="str">
        <x:f>"21679227000185"</x:f>
        <x:v>21679227000185</x:v>
      </x:c>
      <x:c r="F244" s="22" t="str">
        <x:f>"391.382.618-12"</x:f>
        <x:v>391.382.618-12</x:v>
      </x:c>
      <x:c r="G244" s="22" t="str">
        <x:f>"39138261812"</x:f>
        <x:v>39138261812</x:v>
      </x:c>
      <x:c r="H244" s="23" t="str">
        <x:v>andersonbraga274@gmail.com</x:v>
      </x:c>
      <x:c r="I244" s="22" t="str">
        <x:f>"17996487837"</x:f>
        <x:v>17996487837</x:v>
      </x:c>
      <x:c r="J244" s="23" t="str">
        <x:v>RENTAL</x:v>
      </x:c>
      <x:c r="K244" s="23" t="str">
        <x:v>rental_company</x:v>
      </x:c>
      <x:c r="L244" s="24" t="b">
        <x:v>1</x:v>
      </x:c>
      <x:c r="M244" s="23" t="n">
        <x:v>1</x:v>
      </x:c>
      <x:c r="N244" s="28" t="n">
        <x:v>46219.812988715275</x:v>
      </x:c>
      <x:c r="O244" s="28" t="n">
        <x:v>46219.812988715275</x:v>
      </x:c>
      <x:c r="P244" s="23" t="str">
        <x:v>BARRETOS</x:v>
      </x:c>
      <x:c r="Q244" s="30" t="n">
        <x:v>33964</x:v>
      </x:c>
      <x:c r="R244" s="22" t="str">
        <x:f>"48534535"</x:f>
        <x:v>48534535</x:v>
      </x:c>
      <x:c r="S244" s="23" t="str">
        <x:v>masculino</x:v>
      </x:c>
      <x:c r="T244" s="22" t="str"/>
      <x:c r="U244" s="23" t="str">
        <x:v>ANDERSON DA SILVA BRAGA</x:v>
      </x:c>
      <x:c r="V244" s="22" t="str">
        <x:f>"391.382.618-12"</x:f>
        <x:v>391.382.618-12</x:v>
      </x:c>
      <x:c r="W244" s="22" t="str">
        <x:f>"39138261812"</x:f>
        <x:v>39138261812</x:v>
      </x:c>
      <x:c r="X244" s="23" t="str">
        <x:v>andersonbraga274@gmail.com</x:v>
      </x:c>
      <x:c r="Y244" s="22" t="str">
        <x:f>"17996487837"</x:f>
        <x:v>17996487837</x:v>
      </x:c>
      <x:c r="Z244" s="30" t="n">
        <x:v>46533</x:v>
      </x:c>
    </x:row>
    <x:row r="245" ht="18" customHeight="1">
      <x:c r="A245" s="22" t="str">
        <x:f>"001b8ada-a478-4f80-b28b-17c0de9fe7b4"</x:f>
        <x:v>001b8ada-a478-4f80-b28b-17c0de9fe7b4</x:v>
      </x:c>
      <x:c r="B245" s="23" t="str">
        <x:v>ANDERSON DELGADO DA SILVA</x:v>
      </x:c>
      <x:c r="C245" s="23" t="str">
        <x:v>anderson delgado da silva</x:v>
      </x:c>
      <x:c r="D245" s="22" t="str">
        <x:f>"37.823.997/0001-90"</x:f>
        <x:v>37.823.997/0001-90</x:v>
      </x:c>
      <x:c r="E245" s="22" t="str">
        <x:f>"37823997000190"</x:f>
        <x:v>37823997000190</x:v>
      </x:c>
      <x:c r="F245" s="22" t="str">
        <x:f>"967.626.161-00"</x:f>
        <x:v>967.626.161-00</x:v>
      </x:c>
      <x:c r="G245" s="22" t="str">
        <x:f>"96762616100"</x:f>
        <x:v>96762616100</x:v>
      </x:c>
      <x:c r="H245" s="23" t="str">
        <x:v>andersondelgado6751@gmail.com</x:v>
      </x:c>
      <x:c r="I245" s="22" t="str">
        <x:f>"65992152349"</x:f>
        <x:v>65992152349</x:v>
      </x:c>
      <x:c r="J245" s="23" t="str">
        <x:v>SPOT</x:v>
      </x:c>
      <x:c r="K245" s="23" t="str">
        <x:v>favored_only</x:v>
      </x:c>
      <x:c r="L245" s="24" t="b">
        <x:v>1</x:v>
      </x:c>
      <x:c r="M245" s="23" t="n">
        <x:v>1</x:v>
      </x:c>
      <x:c r="N245" s="28" t="n">
        <x:v>46219.812988715275</x:v>
      </x:c>
      <x:c r="O245" s="28" t="n">
        <x:v>46219.812988715275</x:v>
      </x:c>
      <x:c r="P245" s="23" t="str">
        <x:v>CÁCERES</x:v>
      </x:c>
      <x:c r="Q245" s="30" t="n">
        <x:v>30180</x:v>
      </x:c>
      <x:c r="R245" s="22" t="str">
        <x:f>"65634"</x:f>
        <x:v>65634</x:v>
      </x:c>
      <x:c r="S245" s="23" t="str">
        <x:v>masculino</x:v>
      </x:c>
      <x:c r="T245" s="22" t="str">
        <x:f>"EGK8E24"</x:f>
        <x:v>EGK8E24</x:v>
      </x:c>
      <x:c r="U245" s="23" t="str">
        <x:v>RODOPRIME TRANSPORTES E CARGAS LTDA</x:v>
      </x:c>
      <x:c r="V245" s="22" t="str">
        <x:f>"038.768.901-01"</x:f>
        <x:v>038.768.901-01</x:v>
      </x:c>
      <x:c r="W245" s="22" t="str">
        <x:f>"03876890101"</x:f>
        <x:v>03876890101</x:v>
      </x:c>
      <x:c r="X245" s="23" t="str">
        <x:v>rtp.cargas@gmail.com</x:v>
      </x:c>
      <x:c r="Y245" s="22" t="str">
        <x:f>"62991277279"</x:f>
        <x:v>62991277279</x:v>
      </x:c>
      <x:c r="Z245" s="30" t="n">
        <x:v>46452</x:v>
      </x:c>
    </x:row>
    <x:row r="246" ht="18" customHeight="1">
      <x:c r="A246" s="22" t="str">
        <x:f>"9cfb5c07-2693-4bd2-be8e-a8fafd34623b"</x:f>
        <x:v>9cfb5c07-2693-4bd2-be8e-a8fafd34623b</x:v>
      </x:c>
      <x:c r="B246" s="23" t="str">
        <x:v>ANDERSON DUARTE CRUZ</x:v>
      </x:c>
      <x:c r="C246" s="23" t="str">
        <x:v>anderson duarte cruz</x:v>
      </x:c>
      <x:c r="D246" s="22" t="str">
        <x:f>"64.550.610/0001-41"</x:f>
        <x:v>64.550.610/0001-41</x:v>
      </x:c>
      <x:c r="E246" s="22" t="str">
        <x:f>"64550610000141"</x:f>
        <x:v>64550610000141</x:v>
      </x:c>
      <x:c r="F246" s="22" t="str">
        <x:f>"052.247.091-21"</x:f>
        <x:v>052.247.091-21</x:v>
      </x:c>
      <x:c r="G246" s="22" t="str">
        <x:f>"05224709121"</x:f>
        <x:v>05224709121</x:v>
      </x:c>
      <x:c r="H246" s="23" t="str">
        <x:v>anderson02duarte1995@icloud.com</x:v>
      </x:c>
      <x:c r="I246" s="22" t="str">
        <x:f>"65 992484638"</x:f>
        <x:v>65 992484638</x:v>
      </x:c>
      <x:c r="J246" s="23" t="str">
        <x:v>SPOT</x:v>
      </x:c>
      <x:c r="K246" s="23" t="str">
        <x:v>favored_only</x:v>
      </x:c>
      <x:c r="L246" s="24" t="b">
        <x:v>1</x:v>
      </x:c>
      <x:c r="M246" s="23" t="n">
        <x:v>1</x:v>
      </x:c>
      <x:c r="N246" s="28" t="n">
        <x:v>46219.812988715275</x:v>
      </x:c>
      <x:c r="O246" s="28" t="n">
        <x:v>46219.812988715275</x:v>
      </x:c>
      <x:c r="P246" s="23" t="str">
        <x:v>CUIABA</x:v>
      </x:c>
      <x:c r="Q246" s="30" t="n">
        <x:v>34742</x:v>
      </x:c>
      <x:c r="R246" s="22" t="str">
        <x:f>"20412495"</x:f>
        <x:v>20412495</x:v>
      </x:c>
      <x:c r="S246" s="23" t="str">
        <x:v>masculino</x:v>
      </x:c>
      <x:c r="T246" s="22" t="str">
        <x:f>"DBQ4D56"</x:f>
        <x:v>DBQ4D56</x:v>
      </x:c>
      <x:c r="U246" s="23" t="str">
        <x:v>ANDERSON. DUARTE CRUZ</x:v>
      </x:c>
      <x:c r="V246" s="22" t="str">
        <x:f>"052.247.091-21"</x:f>
        <x:v>052.247.091-21</x:v>
      </x:c>
      <x:c r="W246" s="22" t="str">
        <x:f>"05224709121"</x:f>
        <x:v>05224709121</x:v>
      </x:c>
      <x:c r="X246" s="23" t="str">
        <x:v>anderson02duarte1995@icloud.com</x:v>
      </x:c>
      <x:c r="Y246" s="22" t="str">
        <x:f>"65 992484638"</x:f>
        <x:v>65 992484638</x:v>
      </x:c>
      <x:c r="Z246" s="30" t="n">
        <x:v>46436</x:v>
      </x:c>
    </x:row>
    <x:row r="247" ht="18" customHeight="1">
      <x:c r="A247" s="22" t="str">
        <x:f>"9dcfd7c0-246d-4514-886a-0e1f295b8496"</x:f>
        <x:v>9dcfd7c0-246d-4514-886a-0e1f295b8496</x:v>
      </x:c>
      <x:c r="B247" s="23" t="str">
        <x:v>ANDERSON FELIX FERREIRA SILVA</x:v>
      </x:c>
      <x:c r="C247" s="23" t="str">
        <x:v>anderson felix ferreira silva</x:v>
      </x:c>
      <x:c r="D247" s="22" t="str">
        <x:f>"43.221.745/0001-93"</x:f>
        <x:v>43.221.745/0001-93</x:v>
      </x:c>
      <x:c r="E247" s="22" t="str">
        <x:f>"43221745000193"</x:f>
        <x:v>43221745000193</x:v>
      </x:c>
      <x:c r="F247" s="22" t="str">
        <x:f>"072.423.994-40"</x:f>
        <x:v>072.423.994-40</x:v>
      </x:c>
      <x:c r="G247" s="22" t="str">
        <x:f>"07242399440"</x:f>
        <x:v>07242399440</x:v>
      </x:c>
      <x:c r="H247" s="23" t="str">
        <x:v>felixanderson521@gmail.com</x:v>
      </x:c>
      <x:c r="I247" s="22" t="str">
        <x:f>"(82) 98132-4959"</x:f>
        <x:v>(82) 98132-4959</x:v>
      </x:c>
      <x:c r="J247" s="23" t="str">
        <x:v>rental</x:v>
      </x:c>
      <x:c r="K247" s="23" t="str">
        <x:v>rental_company</x:v>
      </x:c>
      <x:c r="L247" s="24" t="b">
        <x:v>1</x:v>
      </x:c>
      <x:c r="M247" s="23" t="n">
        <x:v>1</x:v>
      </x:c>
      <x:c r="N247" s="28" t="n">
        <x:v>46219.812988715275</x:v>
      </x:c>
      <x:c r="O247" s="28" t="n">
        <x:v>46219.812988715275</x:v>
      </x:c>
      <x:c r="P247" s="23" t="str">
        <x:v>POUSO ALEGRE</x:v>
      </x:c>
      <x:c r="Q247" s="30" t="n">
        <x:v>32008</x:v>
      </x:c>
      <x:c r="R247" s="22" t="str">
        <x:f>"30042690 SJDS AL"</x:f>
        <x:v>30042690 SJDS AL</x:v>
      </x:c>
      <x:c r="S247" s="23" t="str">
        <x:v>masculino</x:v>
      </x:c>
      <x:c r="T247" s="22" t="str"/>
      <x:c r="U247" s="23" t="str">
        <x:v>ANDERSON FELIX FERREIRA SILVA</x:v>
      </x:c>
      <x:c r="V247" s="22" t="str">
        <x:f>"072.423.994-40"</x:f>
        <x:v>072.423.994-40</x:v>
      </x:c>
      <x:c r="W247" s="22" t="str">
        <x:f>"07242399440"</x:f>
        <x:v>07242399440</x:v>
      </x:c>
      <x:c r="X247" s="23" t="str">
        <x:v>felixanderson521@gmail.com</x:v>
      </x:c>
      <x:c r="Y247" s="22" t="str">
        <x:f>"(82) 98132-4959"</x:f>
        <x:v>(82) 98132-4959</x:v>
      </x:c>
      <x:c r="Z247" s="30" t="n">
        <x:v>46540</x:v>
      </x:c>
    </x:row>
    <x:row r="248" ht="18" customHeight="1">
      <x:c r="A248" s="22" t="str">
        <x:f>"3690fd5f-ba49-48fb-863a-1417a0643a8c"</x:f>
        <x:v>3690fd5f-ba49-48fb-863a-1417a0643a8c</x:v>
      </x:c>
      <x:c r="B248" s="23" t="str">
        <x:v>ANDERSON FERNANDO DE SOUZA ARAUJO</x:v>
      </x:c>
      <x:c r="C248" s="23" t="str">
        <x:v>anderson fernando de souza araujo</x:v>
      </x:c>
      <x:c r="D248" s="22" t="str">
        <x:f>"54.330.957/0001-25"</x:f>
        <x:v>54.330.957/0001-25</x:v>
      </x:c>
      <x:c r="E248" s="22" t="str">
        <x:f>"54330957000125"</x:f>
        <x:v>54330957000125</x:v>
      </x:c>
      <x:c r="F248" s="22" t="str">
        <x:f>"410.749.728-30"</x:f>
        <x:v>410.749.728-30</x:v>
      </x:c>
      <x:c r="G248" s="22" t="str">
        <x:f>"41074972830"</x:f>
        <x:v>41074972830</x:v>
      </x:c>
      <x:c r="H248" s="23" t="str">
        <x:v>andersonmercadopago9926@gmail.com</x:v>
      </x:c>
      <x:c r="I248" s="22" t="str">
        <x:f>"(18) 99156-0298"</x:f>
        <x:v>(18) 99156-0298</x:v>
      </x:c>
      <x:c r="J248" s="23" t="str">
        <x:v>RENTAL</x:v>
      </x:c>
      <x:c r="K248" s="23" t="str">
        <x:v>rental_company</x:v>
      </x:c>
      <x:c r="L248" s="24" t="b">
        <x:v>1</x:v>
      </x:c>
      <x:c r="M248" s="23" t="n">
        <x:v>1</x:v>
      </x:c>
      <x:c r="N248" s="28" t="n">
        <x:v>46203.92188238426</x:v>
      </x:c>
      <x:c r="O248" s="28" t="n">
        <x:v>46219.812988715275</x:v>
      </x:c>
      <x:c r="P248" s="23" t="str">
        <x:v>ARAÇATUBA</x:v>
      </x:c>
      <x:c r="Q248" s="30" t="n">
        <x:v>35363</x:v>
      </x:c>
      <x:c r="R248" s="22" t="str">
        <x:f>"455835238"</x:f>
        <x:v>455835238</x:v>
      </x:c>
      <x:c r="S248" s="23" t="str">
        <x:v>masculino</x:v>
      </x:c>
      <x:c r="T248" s="22" t="str"/>
      <x:c r="U248" s="23" t="str">
        <x:v>ANDERSON FERNANDO DE SOUZA ARAUJO</x:v>
      </x:c>
      <x:c r="V248" s="22" t="str">
        <x:f>"410.749.728-30"</x:f>
        <x:v>410.749.728-30</x:v>
      </x:c>
      <x:c r="W248" s="22" t="str">
        <x:f>"41074972830"</x:f>
        <x:v>41074972830</x:v>
      </x:c>
      <x:c r="X248" s="23" t="str">
        <x:v>andersonmercadopago9926@gmail.com</x:v>
      </x:c>
      <x:c r="Y248" s="22" t="str">
        <x:f>"(18) 99156-0298"</x:f>
        <x:v>(18) 99156-0298</x:v>
      </x:c>
      <x:c r="Z248" s="30" t="n">
        <x:v>46319</x:v>
      </x:c>
    </x:row>
    <x:row r="249" ht="18" customHeight="1">
      <x:c r="A249" s="22" t="str">
        <x:f>"c14c4cc7-d3d7-4ef8-bca9-6618d26f5ee2"</x:f>
        <x:v>c14c4cc7-d3d7-4ef8-bca9-6618d26f5ee2</x:v>
      </x:c>
      <x:c r="B249" s="23" t="str">
        <x:v>ANDERSON GUIMARAES DE MELLO</x:v>
      </x:c>
      <x:c r="C249" s="23" t="str">
        <x:v>anderson guimaraes de mello</x:v>
      </x:c>
      <x:c r="D249" s="22" t="str">
        <x:f>"61.349.290/0001-78"</x:f>
        <x:v>61.349.290/0001-78</x:v>
      </x:c>
      <x:c r="E249" s="22" t="str">
        <x:f>"61349290000178"</x:f>
        <x:v>61349290000178</x:v>
      </x:c>
      <x:c r="F249" s="22" t="str">
        <x:f>"096.459.667-95"</x:f>
        <x:v>096.459.667-95</x:v>
      </x:c>
      <x:c r="G249" s="22" t="str">
        <x:f>"09645966795"</x:f>
        <x:v>09645966795</x:v>
      </x:c>
      <x:c r="H249" s="23" t="str">
        <x:v>nenemtaxi@gmail.com</x:v>
      </x:c>
      <x:c r="I249" s="22" t="str">
        <x:f>"21970033429"</x:f>
        <x:v>21970033429</x:v>
      </x:c>
      <x:c r="J249" s="23" t="str">
        <x:v>SPOT</x:v>
      </x:c>
      <x:c r="K249" s="23" t="str">
        <x:v>favored_only</x:v>
      </x:c>
      <x:c r="L249" s="24" t="b">
        <x:v>1</x:v>
      </x:c>
      <x:c r="M249" s="23" t="n">
        <x:v>1</x:v>
      </x:c>
      <x:c r="N249" s="28" t="n">
        <x:v>46203.92188238426</x:v>
      </x:c>
      <x:c r="O249" s="28" t="n">
        <x:v>46219.812988715275</x:v>
      </x:c>
      <x:c r="P249" s="23" t="str">
        <x:v>QUEIMADOS</x:v>
      </x:c>
      <x:c r="Q249" s="30" t="n">
        <x:v>30034</x:v>
      </x:c>
      <x:c r="R249" s="22" t="str">
        <x:f>"205076508"</x:f>
        <x:v>205076508</x:v>
      </x:c>
      <x:c r="S249" s="23" t="str">
        <x:v>masculino</x:v>
      </x:c>
      <x:c r="T249" s="22" t="str">
        <x:f>"QPO4E09"</x:f>
        <x:v>QPO4E09</x:v>
      </x:c>
      <x:c r="U249" s="23" t="str">
        <x:v>ANDERSON GUIMARAES DE MELLO</x:v>
      </x:c>
      <x:c r="V249" s="22" t="str">
        <x:f>"096.459.667-95"</x:f>
        <x:v>096.459.667-95</x:v>
      </x:c>
      <x:c r="W249" s="22" t="str">
        <x:f>"09645966795"</x:f>
        <x:v>09645966795</x:v>
      </x:c>
      <x:c r="X249" s="23" t="str">
        <x:v>nenemtaxi@gmail.com</x:v>
      </x:c>
      <x:c r="Y249" s="22" t="str">
        <x:f>"21970033429"</x:f>
        <x:v>21970033429</x:v>
      </x:c>
      <x:c r="Z249" s="30" t="n">
        <x:v>46316</x:v>
      </x:c>
    </x:row>
    <x:row r="250" ht="18" customHeight="1">
      <x:c r="A250" s="22" t="str">
        <x:f>"948615f1-bc72-41e7-a517-e9fbc1bad1bc"</x:f>
        <x:v>948615f1-bc72-41e7-a517-e9fbc1bad1bc</x:v>
      </x:c>
      <x:c r="B250" s="23" t="str">
        <x:v>ANDERSON LUIZ BARCELLOS</x:v>
      </x:c>
      <x:c r="C250" s="23" t="str">
        <x:v>anderson luiz barcellos</x:v>
      </x:c>
      <x:c r="D250" s="22" t="str">
        <x:f>"63.469.827/0001-69"</x:f>
        <x:v>63.469.827/0001-69</x:v>
      </x:c>
      <x:c r="E250" s="22" t="str">
        <x:f>"63469827000169"</x:f>
        <x:v>63469827000169</x:v>
      </x:c>
      <x:c r="F250" s="22" t="str">
        <x:f>"118.253.457-08"</x:f>
        <x:v>118.253.457-08</x:v>
      </x:c>
      <x:c r="G250" s="22" t="str">
        <x:f>"11825345708"</x:f>
        <x:v>11825345708</x:v>
      </x:c>
      <x:c r="H250" s="23" t="str">
        <x:v>anderson.28.barcellos@gmail.com</x:v>
      </x:c>
      <x:c r="I250" s="22" t="str">
        <x:f>"21 98258-1957"</x:f>
        <x:v>21 98258-1957</x:v>
      </x:c>
      <x:c r="J250" s="23" t="str">
        <x:v>SPOT</x:v>
      </x:c>
      <x:c r="K250" s="23" t="str">
        <x:v>favored_only</x:v>
      </x:c>
      <x:c r="L250" s="24" t="b">
        <x:v>1</x:v>
      </x:c>
      <x:c r="M250" s="23" t="n">
        <x:v>1</x:v>
      </x:c>
      <x:c r="N250" s="28" t="n">
        <x:v>46203.92189349537</x:v>
      </x:c>
      <x:c r="O250" s="28" t="n">
        <x:v>46219.812988715275</x:v>
      </x:c>
      <x:c r="P250" s="23" t="str">
        <x:v>QUEIMADOS</x:v>
      </x:c>
      <x:c r="Q250" s="30" t="n">
        <x:v>45068</x:v>
      </x:c>
      <x:c r="R250" s="22" t="str">
        <x:f>"224496174"</x:f>
        <x:v>224496174</x:v>
      </x:c>
      <x:c r="S250" s="23" t="str">
        <x:v>masculino</x:v>
      </x:c>
      <x:c r="T250" s="22" t="str">
        <x:f>"RFQ3D45"</x:f>
        <x:v>RFQ3D45</x:v>
      </x:c>
      <x:c r="U250" s="23" t="str">
        <x:v>ANDERSON LUIZ BARCELLOS</x:v>
      </x:c>
      <x:c r="V250" s="22" t="str">
        <x:f>"118.253.457-08"</x:f>
        <x:v>118.253.457-08</x:v>
      </x:c>
      <x:c r="W250" s="22" t="str">
        <x:f>"11825345708"</x:f>
        <x:v>11825345708</x:v>
      </x:c>
      <x:c r="X250" s="23" t="str">
        <x:v>anderson.28.barcellos@gmail.com</x:v>
      </x:c>
      <x:c r="Y250" s="22" t="str">
        <x:f>"21 98258-1957"</x:f>
        <x:v>21 98258-1957</x:v>
      </x:c>
      <x:c r="Z250" s="30" t="n">
        <x:v>46344</x:v>
      </x:c>
    </x:row>
    <x:row r="251" ht="18" customHeight="1">
      <x:c r="A251" s="22" t="str">
        <x:f>"b4611183-fd09-4217-8fbd-2c5dd7c141d2"</x:f>
        <x:v>b4611183-fd09-4217-8fbd-2c5dd7c141d2</x:v>
      </x:c>
      <x:c r="B251" s="23" t="str">
        <x:v>ANDERSON LUIZ GOMES DA SILVA</x:v>
      </x:c>
      <x:c r="C251" s="23" t="str">
        <x:v>anderson luiz gomes da silva</x:v>
      </x:c>
      <x:c r="D251" s="22" t="str">
        <x:f>"55.783.923/0001-59"</x:f>
        <x:v>55.783.923/0001-59</x:v>
      </x:c>
      <x:c r="E251" s="22" t="str">
        <x:f>"55783923000159"</x:f>
        <x:v>55783923000159</x:v>
      </x:c>
      <x:c r="F251" s="22" t="str">
        <x:f>"032.025.721-56"</x:f>
        <x:v>032.025.721-56</x:v>
      </x:c>
      <x:c r="G251" s="22" t="str">
        <x:f>"03202572156"</x:f>
        <x:v>03202572156</x:v>
      </x:c>
      <x:c r="H251" s="23" t="str">
        <x:v>anderson_4marcos@hotmail.com</x:v>
      </x:c>
      <x:c r="I251" s="22" t="str">
        <x:f>"65999412555"</x:f>
        <x:v>65999412555</x:v>
      </x:c>
      <x:c r="J251" s="23" t="str">
        <x:v>SPOT</x:v>
      </x:c>
      <x:c r="K251" s="23" t="str">
        <x:v>favored_only</x:v>
      </x:c>
      <x:c r="L251" s="24" t="b">
        <x:v>1</x:v>
      </x:c>
      <x:c r="M251" s="23" t="n">
        <x:v>1</x:v>
      </x:c>
      <x:c r="N251" s="28" t="n">
        <x:v>46205.605778703706</x:v>
      </x:c>
      <x:c r="O251" s="28" t="n">
        <x:v>46219.812988715275</x:v>
      </x:c>
      <x:c r="P251" s="23" t="str">
        <x:v>CÁCERES</x:v>
      </x:c>
      <x:c r="Q251" s="30" t="n">
        <x:v>32846</x:v>
      </x:c>
      <x:c r="R251" s="22" t="str">
        <x:f>"18874339"</x:f>
        <x:v>18874339</x:v>
      </x:c>
      <x:c r="S251" s="23" t="str">
        <x:v>masculino</x:v>
      </x:c>
      <x:c r="T251" s="22" t="str">
        <x:f>"RAV5C56"</x:f>
        <x:v>RAV5C56</x:v>
      </x:c>
      <x:c r="U251" s="23" t="str">
        <x:v>CAIQUE HENRIQUE DA CRUZ</x:v>
      </x:c>
      <x:c r="V251" s="22" t="str">
        <x:f>"058.062.901-58"</x:f>
        <x:v>058.062.901-58</x:v>
      </x:c>
      <x:c r="W251" s="22" t="str">
        <x:f>"05806290158"</x:f>
        <x:v>05806290158</x:v>
      </x:c>
      <x:c r="X251" s="23" t="str">
        <x:v>caiquehenrique112@gmail.com</x:v>
      </x:c>
      <x:c r="Y251" s="22" t="str">
        <x:f>"65981695365"</x:f>
        <x:v>65981695365</x:v>
      </x:c>
      <x:c r="Z251" s="30" t="n">
        <x:v>46333</x:v>
      </x:c>
    </x:row>
    <x:row r="252" ht="18" customHeight="1">
      <x:c r="A252" s="22" t="str">
        <x:f>"75c583f8-3086-425c-8eb9-77d49e7736a2"</x:f>
        <x:v>75c583f8-3086-425c-8eb9-77d49e7736a2</x:v>
      </x:c>
      <x:c r="B252" s="23" t="str">
        <x:v>ANDERSON MANSUR</x:v>
      </x:c>
      <x:c r="C252" s="23" t="str">
        <x:v>anderson mansur</x:v>
      </x:c>
      <x:c r="D252" s="22" t="str">
        <x:f>"26.954.051/0001-46"</x:f>
        <x:v>26.954.051/0001-46</x:v>
      </x:c>
      <x:c r="E252" s="22" t="str">
        <x:f>"26954051000146"</x:f>
        <x:v>26954051000146</x:v>
      </x:c>
      <x:c r="F252" s="22" t="str">
        <x:f>"078.974.526-70"</x:f>
        <x:v>078.974.526-70</x:v>
      </x:c>
      <x:c r="G252" s="22" t="str">
        <x:f>"07897452670"</x:f>
        <x:v>07897452670</x:v>
      </x:c>
      <x:c r="H252" s="23" t="str">
        <x:v>anderson.mansur39@gmail.com</x:v>
      </x:c>
      <x:c r="I252" s="22" t="str">
        <x:f>"31-91910903"</x:f>
        <x:v>31-91910903</x:v>
      </x:c>
      <x:c r="J252" s="23" t="str">
        <x:v>SPOT</x:v>
      </x:c>
      <x:c r="K252" s="23" t="str">
        <x:v>favored_only</x:v>
      </x:c>
      <x:c r="L252" s="24" t="b">
        <x:v>1</x:v>
      </x:c>
      <x:c r="M252" s="23" t="n">
        <x:v>1</x:v>
      </x:c>
      <x:c r="N252" s="28" t="n">
        <x:v>46203.921824756944</x:v>
      </x:c>
      <x:c r="O252" s="28" t="n">
        <x:v>46219.812988715275</x:v>
      </x:c>
      <x:c r="P252" s="23" t="str">
        <x:v>CONTAGEM</x:v>
      </x:c>
      <x:c r="Q252" s="30" t="n">
        <x:v>30731</x:v>
      </x:c>
      <x:c r="R252" s="22" t="str">
        <x:f>"13217268"</x:f>
        <x:v>13217268</x:v>
      </x:c>
      <x:c r="S252" s="23" t="str">
        <x:v>masculino</x:v>
      </x:c>
      <x:c r="T252" s="22" t="str">
        <x:f>"pvf9i05"</x:f>
        <x:v>pvf9i05</x:v>
      </x:c>
      <x:c r="U252" s="23" t="str">
        <x:v>ANDERSON MANSUR</x:v>
      </x:c>
      <x:c r="V252" s="22" t="str">
        <x:f>"078.974.526-70"</x:f>
        <x:v>078.974.526-70</x:v>
      </x:c>
      <x:c r="W252" s="22" t="str">
        <x:f>"07897452670"</x:f>
        <x:v>07897452670</x:v>
      </x:c>
      <x:c r="X252" s="23" t="str">
        <x:v>anderson.mansur39@gmail.com</x:v>
      </x:c>
      <x:c r="Y252" s="22" t="str">
        <x:f>"31-91910903"</x:f>
        <x:v>31-91910903</x:v>
      </x:c>
      <x:c r="Z252" s="30" t="n">
        <x:v>46420</x:v>
      </x:c>
    </x:row>
    <x:row r="253" ht="18" customHeight="1">
      <x:c r="A253" s="22" t="str">
        <x:f>"0ecd436f-f921-4c13-b019-bc0abc438202"</x:f>
        <x:v>0ecd436f-f921-4c13-b019-bc0abc438202</x:v>
      </x:c>
      <x:c r="B253" s="23" t="str">
        <x:v>ANDERSON NABUCO RODRIGUES</x:v>
      </x:c>
      <x:c r="C253" s="23" t="str">
        <x:v>anderson nabuco rodrigues</x:v>
      </x:c>
      <x:c r="D253" s="22" t="str">
        <x:f>"49.079.497/0001-74"</x:f>
        <x:v>49.079.497/0001-74</x:v>
      </x:c>
      <x:c r="E253" s="22" t="str">
        <x:f>"49079497000174"</x:f>
        <x:v>49079497000174</x:v>
      </x:c>
      <x:c r="F253" s="22" t="str">
        <x:f>"114.911.457-65"</x:f>
        <x:v>114.911.457-65</x:v>
      </x:c>
      <x:c r="G253" s="22" t="str">
        <x:f>"11491145765"</x:f>
        <x:v>11491145765</x:v>
      </x:c>
      <x:c r="H253" s="23" t="str">
        <x:v>skil.anderson@gmail.com</x:v>
      </x:c>
      <x:c r="I253" s="22" t="str">
        <x:f>"21976924240"</x:f>
        <x:v>21976924240</x:v>
      </x:c>
      <x:c r="J253" s="23" t="str">
        <x:v>SPOT</x:v>
      </x:c>
      <x:c r="K253" s="23" t="str">
        <x:v>favored_only</x:v>
      </x:c>
      <x:c r="L253" s="24" t="b">
        <x:v>1</x:v>
      </x:c>
      <x:c r="M253" s="23" t="n">
        <x:v>1</x:v>
      </x:c>
      <x:c r="N253" s="28" t="n">
        <x:v>46219.812988715275</x:v>
      </x:c>
      <x:c r="O253" s="28" t="n">
        <x:v>46219.812988715275</x:v>
      </x:c>
      <x:c r="P253" s="23" t="str">
        <x:v>CAMPO GRANDE</x:v>
      </x:c>
      <x:c r="Q253" s="30" t="n">
        <x:v>32050</x:v>
      </x:c>
      <x:c r="R253" s="22" t="str">
        <x:f>"212107379"</x:f>
        <x:v>212107379</x:v>
      </x:c>
      <x:c r="S253" s="23" t="str">
        <x:v>masculino</x:v>
      </x:c>
      <x:c r="T253" s="22" t="str">
        <x:f>"KQV7D85"</x:f>
        <x:v>KQV7D85</x:v>
      </x:c>
      <x:c r="U253" s="23" t="str">
        <x:v>CARLOS AUGUST CAMPELO FARIA</x:v>
      </x:c>
      <x:c r="V253" s="22" t="str">
        <x:f>"072.853.357-03"</x:f>
        <x:v>072.853.357-03</x:v>
      </x:c>
      <x:c r="W253" s="22" t="str">
        <x:f>"07285335703"</x:f>
        <x:v>07285335703</x:v>
      </x:c>
      <x:c r="X253" s="23" t="str">
        <x:v>skil.anderson@gmail.com</x:v>
      </x:c>
      <x:c r="Y253" s="22" t="str">
        <x:f>"21976924240"</x:f>
        <x:v>21976924240</x:v>
      </x:c>
      <x:c r="Z253" s="30" t="n">
        <x:v>46554</x:v>
      </x:c>
    </x:row>
    <x:row r="254" ht="18" customHeight="1">
      <x:c r="A254" s="22" t="str">
        <x:f>"fa716ce6-4d69-487d-8fbd-1adaebb4814a"</x:f>
        <x:v>fa716ce6-4d69-487d-8fbd-1adaebb4814a</x:v>
      </x:c>
      <x:c r="B254" s="23" t="str">
        <x:v>ANDERSON RIBEIRO DE ALMEIDA</x:v>
      </x:c>
      <x:c r="C254" s="23" t="str">
        <x:v>anderson ribeiro de almeida</x:v>
      </x:c>
      <x:c r="D254" s="22" t="str">
        <x:f>"59.696.194/0001-54"</x:f>
        <x:v>59.696.194/0001-54</x:v>
      </x:c>
      <x:c r="E254" s="22" t="str">
        <x:f>"59696194000154"</x:f>
        <x:v>59696194000154</x:v>
      </x:c>
      <x:c r="F254" s="22" t="str">
        <x:f>"145.438.627-40"</x:f>
        <x:v>145.438.627-40</x:v>
      </x:c>
      <x:c r="G254" s="22" t="str">
        <x:f>"14543862740"</x:f>
        <x:v>14543862740</x:v>
      </x:c>
      <x:c r="H254" s="23" t="str">
        <x:v>anderson93kauan@gmail.com</x:v>
      </x:c>
      <x:c r="I254" s="22" t="str">
        <x:f>"22998608903"</x:f>
        <x:v>22998608903</x:v>
      </x:c>
      <x:c r="J254" s="23" t="str">
        <x:v>SPOT</x:v>
      </x:c>
      <x:c r="K254" s="23" t="str">
        <x:v>favored_only</x:v>
      </x:c>
      <x:c r="L254" s="24" t="b">
        <x:v>1</x:v>
      </x:c>
      <x:c r="M254" s="23" t="n">
        <x:v>1</x:v>
      </x:c>
      <x:c r="N254" s="28" t="n">
        <x:v>46219.812988715275</x:v>
      </x:c>
      <x:c r="O254" s="28" t="n">
        <x:v>46219.812988715275</x:v>
      </x:c>
      <x:c r="P254" s="23" t="str">
        <x:v>CAMPOS DOS GOYTACAZES</x:v>
      </x:c>
      <x:c r="Q254" s="30" t="n">
        <x:v>34006</x:v>
      </x:c>
      <x:c r="R254" s="22" t="str">
        <x:f>"280669490"</x:f>
        <x:v>280669490</x:v>
      </x:c>
      <x:c r="S254" s="23" t="str">
        <x:v>masculino</x:v>
      </x:c>
      <x:c r="T254" s="22" t="str">
        <x:f>"FCM7D32"</x:f>
        <x:v>FCM7D32</x:v>
      </x:c>
      <x:c r="U254" s="23" t="str">
        <x:v>JOSENIR HENRIQUES DA PAIXAO</x:v>
      </x:c>
      <x:c r="V254" s="22" t="str">
        <x:f>"059.581.007-18"</x:f>
        <x:v>059.581.007-18</x:v>
      </x:c>
      <x:c r="W254" s="22" t="str">
        <x:f>"05958100718"</x:f>
        <x:v>05958100718</x:v>
      </x:c>
      <x:c r="X254" s="23" t="str">
        <x:v>JOSENIRH@YAHOO.COM</x:v>
      </x:c>
      <x:c r="Y254" s="22" t="str">
        <x:f>"22 999313108"</x:f>
        <x:v>22 999313108</x:v>
      </x:c>
      <x:c r="Z254" s="30" t="n">
        <x:v>46421</x:v>
      </x:c>
    </x:row>
    <x:row r="255" ht="18" customHeight="1">
      <x:c r="A255" s="22" t="str">
        <x:f>"fef48dc5-8c23-47f1-9b98-09c63941b4a8"</x:f>
        <x:v>fef48dc5-8c23-47f1-9b98-09c63941b4a8</x:v>
      </x:c>
      <x:c r="B255" s="23" t="str">
        <x:v>ANDERSON RICARDO ANANIAS</x:v>
      </x:c>
      <x:c r="C255" s="23" t="str">
        <x:v>anderson ricardo ananias</x:v>
      </x:c>
      <x:c r="D255" s="22" t="str">
        <x:f>"63.468.627/0001-91"</x:f>
        <x:v>63.468.627/0001-91</x:v>
      </x:c>
      <x:c r="E255" s="22" t="str">
        <x:f>"63468627000191"</x:f>
        <x:v>63468627000191</x:v>
      </x:c>
      <x:c r="F255" s="22" t="str">
        <x:f>"031.306.346-06"</x:f>
        <x:v>031.306.346-06</x:v>
      </x:c>
      <x:c r="G255" s="22" t="str">
        <x:f>"03130634606"</x:f>
        <x:v>03130634606</x:v>
      </x:c>
      <x:c r="H255" s="23" t="str">
        <x:v>andersonricardop5p@gmail.com</x:v>
      </x:c>
      <x:c r="I255" s="22" t="str">
        <x:f>"34988617956"</x:f>
        <x:v>34988617956</x:v>
      </x:c>
      <x:c r="J255" s="23" t="str">
        <x:v>SPOT</x:v>
      </x:c>
      <x:c r="K255" s="23" t="str">
        <x:v>favored_only</x:v>
      </x:c>
      <x:c r="L255" s="24" t="b">
        <x:v>1</x:v>
      </x:c>
      <x:c r="M255" s="23" t="n">
        <x:v>1</x:v>
      </x:c>
      <x:c r="N255" s="28" t="n">
        <x:v>46203.921904421295</x:v>
      </x:c>
      <x:c r="O255" s="28" t="n">
        <x:v>46219.812988715275</x:v>
      </x:c>
      <x:c r="P255" s="23" t="str">
        <x:v>ARAXÁ</x:v>
      </x:c>
      <x:c r="Q255" s="30" t="n">
        <x:v>27470</x:v>
      </x:c>
      <x:c r="R255" s="22" t="str">
        <x:f>"8439578"</x:f>
        <x:v>8439578</x:v>
      </x:c>
      <x:c r="S255" s="23" t="str">
        <x:v>masculino</x:v>
      </x:c>
      <x:c r="T255" s="22" t="str">
        <x:f>"PUN9D76"</x:f>
        <x:v>PUN9D76</x:v>
      </x:c>
      <x:c r="U255" s="23" t="str">
        <x:v>ANDERSON RICARDO ANANIAS</x:v>
      </x:c>
      <x:c r="V255" s="22" t="str">
        <x:f>"031.306.346-06"</x:f>
        <x:v>031.306.346-06</x:v>
      </x:c>
      <x:c r="W255" s="22" t="str">
        <x:f>"03130634606"</x:f>
        <x:v>03130634606</x:v>
      </x:c>
      <x:c r="X255" s="23" t="str">
        <x:v>andersonricardop5p@gmail.com</x:v>
      </x:c>
      <x:c r="Y255" s="22" t="str">
        <x:f>"34988617956"</x:f>
        <x:v>34988617956</x:v>
      </x:c>
      <x:c r="Z255" s="30" t="n">
        <x:v>46372</x:v>
      </x:c>
    </x:row>
    <x:row r="256" ht="18" customHeight="1">
      <x:c r="A256" s="22" t="str">
        <x:f>"36e120cc-0241-45fa-b0a8-2b78d1f335c8"</x:f>
        <x:v>36e120cc-0241-45fa-b0a8-2b78d1f335c8</x:v>
      </x:c>
      <x:c r="B256" s="23" t="str">
        <x:v>ANDERSON RODRIGO DE CARVALHO VIANA</x:v>
      </x:c>
      <x:c r="C256" s="23" t="str">
        <x:v>anderson rodrigo de carvalho viana</x:v>
      </x:c>
      <x:c r="D256" s="22" t="str">
        <x:f>"43.806.480/0001-95"</x:f>
        <x:v>43.806.480/0001-95</x:v>
      </x:c>
      <x:c r="E256" s="22" t="str">
        <x:f>"43806480000195"</x:f>
        <x:v>43806480000195</x:v>
      </x:c>
      <x:c r="F256" s="22" t="str">
        <x:f>"129.439.337-59"</x:f>
        <x:v>129.439.337-59</x:v>
      </x:c>
      <x:c r="G256" s="22" t="str">
        <x:f>"12943933759"</x:f>
        <x:v>12943933759</x:v>
      </x:c>
      <x:c r="H256" s="23" t="str">
        <x:v>rodrigocviana37@gmail.com</x:v>
      </x:c>
      <x:c r="I256" s="22" t="str">
        <x:f>"22998294113"</x:f>
        <x:v>22998294113</x:v>
      </x:c>
      <x:c r="J256" s="23" t="str">
        <x:v>SPOT</x:v>
      </x:c>
      <x:c r="K256" s="23" t="str">
        <x:v>favored_only</x:v>
      </x:c>
      <x:c r="L256" s="24" t="b">
        <x:v>1</x:v>
      </x:c>
      <x:c r="M256" s="23" t="n">
        <x:v>1</x:v>
      </x:c>
      <x:c r="N256" s="28" t="n">
        <x:v>46205.604736608795</x:v>
      </x:c>
      <x:c r="O256" s="28" t="n">
        <x:v>46219.812988715275</x:v>
      </x:c>
      <x:c r="P256" s="23" t="str">
        <x:v>CAMPOS DOS GOYTACAZES</x:v>
      </x:c>
      <x:c r="Q256" s="30" t="n">
        <x:v>28651</x:v>
      </x:c>
      <x:c r="R256" s="22" t="str">
        <x:f>"117780122"</x:f>
        <x:v>117780122</x:v>
      </x:c>
      <x:c r="S256" s="23" t="str">
        <x:v>masculino</x:v>
      </x:c>
      <x:c r="T256" s="22" t="str">
        <x:f>"KWN8B39"</x:f>
        <x:v>KWN8B39</x:v>
      </x:c>
      <x:c r="U256" s="23" t="str">
        <x:v>LAHIS OLIVEIRA DE SOUZA VIANA</x:v>
      </x:c>
      <x:c r="V256" s="22" t="str">
        <x:f>"129.439.337-59"</x:f>
        <x:v>129.439.337-59</x:v>
      </x:c>
      <x:c r="W256" s="22" t="str">
        <x:f>"12943933759"</x:f>
        <x:v>12943933759</x:v>
      </x:c>
      <x:c r="X256" s="23" t="str">
        <x:v>lahisviana29@gmail.com</x:v>
      </x:c>
      <x:c r="Y256" s="22" t="str">
        <x:f>"22998567822"</x:f>
        <x:v>22998567822</x:v>
      </x:c>
      <x:c r="Z256" s="30" t="n">
        <x:v>46294</x:v>
      </x:c>
    </x:row>
    <x:row r="257" ht="18" customHeight="1">
      <x:c r="A257" s="22" t="str">
        <x:f>"ebd53966-bab2-460a-b250-4327595019d0"</x:f>
        <x:v>ebd53966-bab2-460a-b250-4327595019d0</x:v>
      </x:c>
      <x:c r="B257" s="23" t="str">
        <x:v>ANDERSON TETER DA SILVA</x:v>
      </x:c>
      <x:c r="C257" s="23" t="str">
        <x:v>anderson teter da silva</x:v>
      </x:c>
      <x:c r="D257" s="22" t="str">
        <x:f>"60.951.893/0001-82"</x:f>
        <x:v>60.951.893/0001-82</x:v>
      </x:c>
      <x:c r="E257" s="22" t="str">
        <x:f>"60951893000182"</x:f>
        <x:v>60951893000182</x:v>
      </x:c>
      <x:c r="F257" s="22" t="str">
        <x:f>"983.833.101-53"</x:f>
        <x:v>983.833.101-53</x:v>
      </x:c>
      <x:c r="G257" s="22" t="str">
        <x:f>"98383310153"</x:f>
        <x:v>98383310153</x:v>
      </x:c>
      <x:c r="H257" s="23" t="str">
        <x:v>toco.costa2009@hotmail.com</x:v>
      </x:c>
      <x:c r="I257" s="22" t="str">
        <x:f>"55 67 8164-6191"</x:f>
        <x:v>55 67 8164-6191</x:v>
      </x:c>
      <x:c r="J257" s="23" t="str">
        <x:v>SPOT</x:v>
      </x:c>
      <x:c r="K257" s="23" t="str">
        <x:v>favored_only</x:v>
      </x:c>
      <x:c r="L257" s="24" t="b">
        <x:v>1</x:v>
      </x:c>
      <x:c r="M257" s="23" t="n">
        <x:v>1</x:v>
      </x:c>
      <x:c r="N257" s="28" t="n">
        <x:v>46203.92183332176</x:v>
      </x:c>
      <x:c r="O257" s="28" t="n">
        <x:v>46219.812988715275</x:v>
      </x:c>
      <x:c r="P257" s="23" t="str">
        <x:v>CHAPADÃO DO SUL</x:v>
      </x:c>
      <x:c r="Q257" s="30" t="n">
        <x:v>29729</x:v>
      </x:c>
      <x:c r="R257" s="22" t="str">
        <x:f>"1290014"</x:f>
        <x:v>1290014</x:v>
      </x:c>
      <x:c r="S257" s="23" t="str">
        <x:v>masculino</x:v>
      </x:c>
      <x:c r="T257" s="22" t="str">
        <x:f>"qah2h95"</x:f>
        <x:v>qah2h95</x:v>
      </x:c>
      <x:c r="U257" s="23" t="str">
        <x:v>ANDERSON TETER DA SILVA</x:v>
      </x:c>
      <x:c r="V257" s="22" t="str">
        <x:f>"983.833.101-53"</x:f>
        <x:v>983.833.101-53</x:v>
      </x:c>
      <x:c r="W257" s="22" t="str">
        <x:f>"98383310153"</x:f>
        <x:v>98383310153</x:v>
      </x:c>
      <x:c r="X257" s="23" t="str">
        <x:v>toco.costa2009@hotmail.com</x:v>
      </x:c>
      <x:c r="Y257" s="22" t="str">
        <x:f>"55 67 8164-6191"</x:f>
        <x:v>55 67 8164-6191</x:v>
      </x:c>
      <x:c r="Z257" s="30" t="n">
        <x:v>46562</x:v>
      </x:c>
    </x:row>
    <x:row r="258" ht="18" customHeight="1">
      <x:c r="A258" s="22" t="str">
        <x:f>"74c84cf3-d60d-4781-9fad-83474f9d90bb"</x:f>
        <x:v>74c84cf3-d60d-4781-9fad-83474f9d90bb</x:v>
      </x:c>
      <x:c r="B258" s="23" t="str">
        <x:v>ANDERSON TIAGO NUNES SOARES</x:v>
      </x:c>
      <x:c r="C258" s="23" t="str">
        <x:v>anderson tiago nunes soares</x:v>
      </x:c>
      <x:c r="D258" s="22" t="str">
        <x:f>"44.181.646/0001-98"</x:f>
        <x:v>44.181.646/0001-98</x:v>
      </x:c>
      <x:c r="E258" s="22" t="str">
        <x:f>"44181646000198"</x:f>
        <x:v>44181646000198</x:v>
      </x:c>
      <x:c r="F258" s="22" t="str">
        <x:f>"077.778.261-82"</x:f>
        <x:v>077.778.261-82</x:v>
      </x:c>
      <x:c r="G258" s="22" t="str">
        <x:f>"07777826182"</x:f>
        <x:v>07777826182</x:v>
      </x:c>
      <x:c r="H258" s="23" t="str">
        <x:v>andersontiago310@gmail.com</x:v>
      </x:c>
      <x:c r="I258" s="22" t="str">
        <x:f>"65992373810"</x:f>
        <x:v>65992373810</x:v>
      </x:c>
      <x:c r="J258" s="23" t="str">
        <x:v>RENTAL</x:v>
      </x:c>
      <x:c r="K258" s="23" t="str">
        <x:v>rental_company</x:v>
      </x:c>
      <x:c r="L258" s="24" t="b">
        <x:v>1</x:v>
      </x:c>
      <x:c r="M258" s="23" t="n">
        <x:v>1</x:v>
      </x:c>
      <x:c r="N258" s="28" t="n">
        <x:v>46203.92189965278</x:v>
      </x:c>
      <x:c r="O258" s="28" t="n">
        <x:v>46219.812988715275</x:v>
      </x:c>
      <x:c r="P258" s="23" t="str">
        <x:v>CUIABA</x:v>
      </x:c>
      <x:c r="Q258" s="30" t="n">
        <x:v>36261</x:v>
      </x:c>
      <x:c r="R258" s="22" t="str">
        <x:f>"2945549-9"</x:f>
        <x:v>2945549-9</x:v>
      </x:c>
      <x:c r="S258" s="23" t="str">
        <x:v>masculino</x:v>
      </x:c>
      <x:c r="T258" s="22" t="str"/>
      <x:c r="U258" s="23" t="str">
        <x:v>ANDERSON TIAGO NUNES SOARES</x:v>
      </x:c>
      <x:c r="V258" s="22" t="str">
        <x:f>"077.778.261-82"</x:f>
        <x:v>077.778.261-82</x:v>
      </x:c>
      <x:c r="W258" s="22" t="str">
        <x:f>"07777826182"</x:f>
        <x:v>07777826182</x:v>
      </x:c>
      <x:c r="X258" s="23" t="str">
        <x:v>andersontiago310@gmail.com</x:v>
      </x:c>
      <x:c r="Y258" s="22" t="str">
        <x:f>"65992373810"</x:f>
        <x:v>65992373810</x:v>
      </x:c>
      <x:c r="Z258" s="30" t="n">
        <x:v>46297</x:v>
      </x:c>
    </x:row>
    <x:row r="259" ht="18" customHeight="1">
      <x:c r="A259" s="22" t="str">
        <x:f>"84e95f00-7025-42ad-96f4-e11da103a47d"</x:f>
        <x:v>84e95f00-7025-42ad-96f4-e11da103a47d</x:v>
      </x:c>
      <x:c r="B259" s="23" t="str">
        <x:v>Anderson Vitor Queiroz melo</x:v>
      </x:c>
      <x:c r="C259" s="23" t="str">
        <x:v>anderson vitor queiroz melo</x:v>
      </x:c>
      <x:c r="D259" s="22" t="str">
        <x:f>"45179617880"</x:f>
        <x:v>45179617880</x:v>
      </x:c>
      <x:c r="E259" s="22" t="str">
        <x:f>"45179617880"</x:f>
        <x:v>45179617880</x:v>
      </x:c>
      <x:c r="F259" s="22" t="str">
        <x:f>"451.796.178-80"</x:f>
        <x:v>451.796.178-80</x:v>
      </x:c>
      <x:c r="G259" s="22" t="str">
        <x:f>"45179617880"</x:f>
        <x:v>45179617880</x:v>
      </x:c>
      <x:c r="H259" s="23" t="str">
        <x:v>av65117@gmail.com</x:v>
      </x:c>
      <x:c r="I259" s="22" t="str">
        <x:f>"11966427385"</x:f>
        <x:v>11966427385</x:v>
      </x:c>
      <x:c r="J259" s="23" t="str">
        <x:v>SPOT</x:v>
      </x:c>
      <x:c r="K259" s="23" t="str">
        <x:v>favored_only</x:v>
      </x:c>
      <x:c r="L259" s="24" t="b">
        <x:v>1</x:v>
      </x:c>
      <x:c r="M259" s="23" t="n">
        <x:v>1</x:v>
      </x:c>
      <x:c r="N259" s="28" t="n">
        <x:v>46203.921840393516</x:v>
      </x:c>
      <x:c r="O259" s="28" t="n">
        <x:v>46205.60507612269</x:v>
      </x:c>
      <x:c r="P259" s="23" t="str">
        <x:v>BARUERI</x:v>
      </x:c>
      <x:c r="Q259" s="30" t="n">
        <x:v>34700</x:v>
      </x:c>
      <x:c r="R259" s="22" t="str">
        <x:f>"498345816"</x:f>
        <x:v>498345816</x:v>
      </x:c>
      <x:c r="S259" s="23" t="str">
        <x:v>Masculino</x:v>
      </x:c>
      <x:c r="T259" s="22" t="str">
        <x:f>"DRO9F83"</x:f>
        <x:v>DRO9F83</x:v>
      </x:c>
      <x:c r="U259" s="23" t="str">
        <x:v>Anderson Vitor Queiroz melo</x:v>
      </x:c>
      <x:c r="V259" s="22" t="str">
        <x:f>"45179617880"</x:f>
        <x:v>45179617880</x:v>
      </x:c>
      <x:c r="W259" s="22" t="str">
        <x:f>"45179617880"</x:f>
        <x:v>45179617880</x:v>
      </x:c>
      <x:c r="X259" s="23" t="str">
        <x:v>av65117@gmail.com</x:v>
      </x:c>
      <x:c r="Y259" s="22" t="str">
        <x:f>"11966427385"</x:f>
        <x:v>11966427385</x:v>
      </x:c>
      <x:c r="Z259" s="30" t="n">
        <x:v>46226</x:v>
      </x:c>
    </x:row>
    <x:row r="260" ht="18" customHeight="1">
      <x:c r="A260" s="22" t="str">
        <x:f>"9a5bf694-9ecc-4d19-be0a-92ffdb430b87"</x:f>
        <x:v>9a5bf694-9ecc-4d19-be0a-92ffdb430b87</x:v>
      </x:c>
      <x:c r="B260" s="23" t="str">
        <x:v>ANDRE ALTURRIA</x:v>
      </x:c>
      <x:c r="C260" s="23" t="str">
        <x:v>andre alturria</x:v>
      </x:c>
      <x:c r="D260" s="22" t="str">
        <x:f>"64.004.303/0001-65"</x:f>
        <x:v>64.004.303/0001-65</x:v>
      </x:c>
      <x:c r="E260" s="22" t="str">
        <x:f>"64004303000165"</x:f>
        <x:v>64004303000165</x:v>
      </x:c>
      <x:c r="F260" s="22" t="str">
        <x:f>"213.947.128-80"</x:f>
        <x:v>213.947.128-80</x:v>
      </x:c>
      <x:c r="G260" s="22" t="str">
        <x:f>"21394712880"</x:f>
        <x:v>21394712880</x:v>
      </x:c>
      <x:c r="H260" s="23" t="str">
        <x:v>andregallovolvo@hotmail.com</x:v>
      </x:c>
      <x:c r="I260" s="22" t="str">
        <x:f>"14 98824-6586"</x:f>
        <x:v>14 98824-6586</x:v>
      </x:c>
      <x:c r="J260" s="23" t="str">
        <x:v>RENTAL</x:v>
      </x:c>
      <x:c r="K260" s="23" t="str">
        <x:v>rental_company</x:v>
      </x:c>
      <x:c r="L260" s="24" t="b">
        <x:v>1</x:v>
      </x:c>
      <x:c r="M260" s="23" t="n">
        <x:v>1</x:v>
      </x:c>
      <x:c r="N260" s="28" t="n">
        <x:v>46203.921904421295</x:v>
      </x:c>
      <x:c r="O260" s="28" t="n">
        <x:v>46219.812988715275</x:v>
      </x:c>
      <x:c r="P260" s="23" t="str">
        <x:v>BAURU</x:v>
      </x:c>
      <x:c r="Q260" s="30" t="n">
        <x:v>29254</x:v>
      </x:c>
      <x:c r="R260" s="22" t="str">
        <x:f>"30504248"</x:f>
        <x:v>30504248</x:v>
      </x:c>
      <x:c r="S260" s="23" t="str">
        <x:v>masculino</x:v>
      </x:c>
      <x:c r="T260" s="22" t="str"/>
      <x:c r="U260" s="23" t="str">
        <x:v>ANDRE ALTURRIA</x:v>
      </x:c>
      <x:c r="V260" s="22" t="str">
        <x:f>"213.947.128-80"</x:f>
        <x:v>213.947.128-80</x:v>
      </x:c>
      <x:c r="W260" s="22" t="str">
        <x:f>"21394712880"</x:f>
        <x:v>21394712880</x:v>
      </x:c>
      <x:c r="X260" s="23" t="str">
        <x:v>andregallovolvo@hotmail.com</x:v>
      </x:c>
      <x:c r="Y260" s="22" t="str">
        <x:f>"14 98824-6586"</x:f>
        <x:v>14 98824-6586</x:v>
      </x:c>
      <x:c r="Z260" s="30" t="n">
        <x:v>46368</x:v>
      </x:c>
    </x:row>
    <x:row r="261" ht="18" customHeight="1">
      <x:c r="A261" s="22" t="str">
        <x:f>"df2253bd-edb8-4ec9-8147-fad21d090fa9"</x:f>
        <x:v>df2253bd-edb8-4ec9-8147-fad21d090fa9</x:v>
      </x:c>
      <x:c r="B261" s="23" t="str">
        <x:v>ANDRE APARECIDO FERNANDES</x:v>
      </x:c>
      <x:c r="C261" s="23" t="str">
        <x:v>andre aparecido fernandes</x:v>
      </x:c>
      <x:c r="D261" s="22" t="str">
        <x:f>"59.617.503/0001-53"</x:f>
        <x:v>59.617.503/0001-53</x:v>
      </x:c>
      <x:c r="E261" s="22" t="str">
        <x:f>"59617503000153"</x:f>
        <x:v>59617503000153</x:v>
      </x:c>
      <x:c r="F261" s="22" t="str">
        <x:f>"098.628.436-08"</x:f>
        <x:v>098.628.436-08</x:v>
      </x:c>
      <x:c r="G261" s="22" t="str">
        <x:f>"09862843608"</x:f>
        <x:v>09862843608</x:v>
      </x:c>
      <x:c r="H261" s="23" t="str">
        <x:v>andry.Fernandes@hotmail.com</x:v>
      </x:c>
      <x:c r="I261" s="22" t="str">
        <x:f>"31988327191"</x:f>
        <x:v>31988327191</x:v>
      </x:c>
      <x:c r="J261" s="23" t="str">
        <x:v>SPOT</x:v>
      </x:c>
      <x:c r="K261" s="23" t="str">
        <x:v>favored_only</x:v>
      </x:c>
      <x:c r="L261" s="24" t="b">
        <x:v>1</x:v>
      </x:c>
      <x:c r="M261" s="23" t="n">
        <x:v>1</x:v>
      </x:c>
      <x:c r="N261" s="28" t="n">
        <x:v>46205.60373645833</x:v>
      </x:c>
      <x:c r="O261" s="28" t="n">
        <x:v>46219.812988715275</x:v>
      </x:c>
      <x:c r="P261" s="23" t="str">
        <x:v>VESPASIANO</x:v>
      </x:c>
      <x:c r="Q261" s="30" t="n">
        <x:v>32764</x:v>
      </x:c>
      <x:c r="R261" s="22" t="str">
        <x:f>"mg15890529"</x:f>
        <x:v>mg15890529</x:v>
      </x:c>
      <x:c r="S261" s="23" t="str">
        <x:v>masculino</x:v>
      </x:c>
      <x:c r="T261" s="22" t="str">
        <x:f>"HFC4596"</x:f>
        <x:v>HFC4596</x:v>
      </x:c>
      <x:c r="U261" s="23" t="str">
        <x:v>ADNRE APARECIDO FERNANDES</x:v>
      </x:c>
      <x:c r="V261" s="22" t="str">
        <x:f>"098.628.436-08"</x:f>
        <x:v>098.628.436-08</x:v>
      </x:c>
      <x:c r="W261" s="22" t="str">
        <x:f>"09862843608"</x:f>
        <x:v>09862843608</x:v>
      </x:c>
      <x:c r="X261" s="23" t="str">
        <x:v>andry.Fernandes@hotmail.com</x:v>
      </x:c>
      <x:c r="Y261" s="22" t="str">
        <x:f>"31988327191"</x:f>
        <x:v>31988327191</x:v>
      </x:c>
      <x:c r="Z261" s="30" t="n">
        <x:v>46238</x:v>
      </x:c>
    </x:row>
    <x:row r="262" ht="18" customHeight="1">
      <x:c r="A262" s="22" t="str">
        <x:f>"e7fe5809-c544-4ceb-9b85-025b53a70c51"</x:f>
        <x:v>e7fe5809-c544-4ceb-9b85-025b53a70c51</x:v>
      </x:c>
      <x:c r="B262" s="23" t="str">
        <x:v>Andrea Silva nunes Pereira</x:v>
      </x:c>
      <x:c r="C262" s="23" t="str">
        <x:v>andrea silva nunes pereira</x:v>
      </x:c>
      <x:c r="D262" s="22" t="str">
        <x:f>"60991897/0001-94"</x:f>
        <x:v>60991897/0001-94</x:v>
      </x:c>
      <x:c r="E262" s="22" t="str">
        <x:f>"60991897000194"</x:f>
        <x:v>60991897000194</x:v>
      </x:c>
      <x:c r="F262" s="22" t="str">
        <x:f>"02372780735"</x:f>
        <x:v>02372780735</x:v>
      </x:c>
      <x:c r="G262" s="22" t="str">
        <x:f>"02372780735"</x:f>
        <x:v>02372780735</x:v>
      </x:c>
      <x:c r="H262" s="23" t="str">
        <x:v>juan.nunes2016@hotmail.com</x:v>
      </x:c>
      <x:c r="I262" s="22" t="str">
        <x:f>"21970280103"</x:f>
        <x:v>21970280103</x:v>
      </x:c>
      <x:c r="J262" s="23" t="str">
        <x:v>SPOT</x:v>
      </x:c>
      <x:c r="K262" s="23" t="str">
        <x:v>favored_only</x:v>
      </x:c>
      <x:c r="L262" s="24" t="b">
        <x:v>1</x:v>
      </x:c>
      <x:c r="M262" s="23" t="n">
        <x:v>1</x:v>
      </x:c>
      <x:c r="N262" s="28" t="n">
        <x:v>46203.92189349537</x:v>
      </x:c>
      <x:c r="O262" s="28" t="n">
        <x:v>46203.92189349537</x:v>
      </x:c>
      <x:c r="P262" s="23" t="str"/>
      <x:c r="Q262" s="30" t="str"/>
      <x:c r="R262" s="22" t="str"/>
      <x:c r="S262" s="23" t="str"/>
      <x:c r="T262" s="22" t="str"/>
      <x:c r="U262" s="23" t="str">
        <x:v>Andrea Silva nunes Pereira</x:v>
      </x:c>
      <x:c r="V262" s="22" t="str">
        <x:f>"02372780735"</x:f>
        <x:v>02372780735</x:v>
      </x:c>
      <x:c r="W262" s="22" t="str">
        <x:f>"02372780735"</x:f>
        <x:v>02372780735</x:v>
      </x:c>
      <x:c r="X262" s="23" t="str">
        <x:v>juan.nunes2016@hotmail.com</x:v>
      </x:c>
      <x:c r="Y262" s="22" t="str">
        <x:f>"21970280103"</x:f>
        <x:v>21970280103</x:v>
      </x:c>
      <x:c r="Z262" s="30" t="str"/>
    </x:row>
    <x:row r="263" ht="18" customHeight="1">
      <x:c r="A263" s="22" t="str">
        <x:f>"d974d1f5-6e2d-4ccc-afe0-65b68b58333c"</x:f>
        <x:v>d974d1f5-6e2d-4ccc-afe0-65b68b58333c</x:v>
      </x:c>
      <x:c r="B263" s="23" t="str">
        <x:v>ANDRE DE ARAUJO SANTOS</x:v>
      </x:c>
      <x:c r="C263" s="23" t="str">
        <x:v>andre de araujo santos</x:v>
      </x:c>
      <x:c r="D263" s="22" t="str">
        <x:f>"54.068.046/0001-71"</x:f>
        <x:v>54.068.046/0001-71</x:v>
      </x:c>
      <x:c r="E263" s="22" t="str">
        <x:f>"54068046000171"</x:f>
        <x:v>54068046000171</x:v>
      </x:c>
      <x:c r="F263" s="22" t="str">
        <x:f>"095.409.267-85"</x:f>
        <x:v>095.409.267-85</x:v>
      </x:c>
      <x:c r="G263" s="22" t="str">
        <x:f>"09540926785"</x:f>
        <x:v>09540926785</x:v>
      </x:c>
      <x:c r="H263" s="23" t="str">
        <x:v>andremengao287@gmail.com</x:v>
      </x:c>
      <x:c r="I263" s="22" t="str">
        <x:f>"21970397132"</x:f>
        <x:v>21970397132</x:v>
      </x:c>
      <x:c r="J263" s="23" t="str">
        <x:v>SPOT</x:v>
      </x:c>
      <x:c r="K263" s="23" t="str">
        <x:v>favored_only</x:v>
      </x:c>
      <x:c r="L263" s="24" t="b">
        <x:v>1</x:v>
      </x:c>
      <x:c r="M263" s="23" t="n">
        <x:v>1</x:v>
      </x:c>
      <x:c r="N263" s="28" t="n">
        <x:v>46203.921858726855</x:v>
      </x:c>
      <x:c r="O263" s="28" t="n">
        <x:v>46219.812988715275</x:v>
      </x:c>
      <x:c r="P263" s="23" t="str">
        <x:v>QUEIMADOS</x:v>
      </x:c>
      <x:c r="Q263" s="30" t="n">
        <x:v>29137</x:v>
      </x:c>
      <x:c r="R263" s="22" t="str">
        <x:f>"130993918"</x:f>
        <x:v>130993918</x:v>
      </x:c>
      <x:c r="S263" s="23" t="str">
        <x:v>masculino</x:v>
      </x:c>
      <x:c r="T263" s="22" t="str">
        <x:f>"LLN1257"</x:f>
        <x:v>LLN1257</x:v>
      </x:c>
      <x:c r="U263" s="23" t="str">
        <x:v>ANDRE DE ARAUJO SANTOS</x:v>
      </x:c>
      <x:c r="V263" s="22" t="str">
        <x:f>"095.409.267-85"</x:f>
        <x:v>095.409.267-85</x:v>
      </x:c>
      <x:c r="W263" s="22" t="str">
        <x:f>"09540926785"</x:f>
        <x:v>09540926785</x:v>
      </x:c>
      <x:c r="X263" s="23" t="str">
        <x:v>andremengao287@gmail.com</x:v>
      </x:c>
      <x:c r="Y263" s="22" t="str">
        <x:f>"21970397132"</x:f>
        <x:v>21970397132</x:v>
      </x:c>
      <x:c r="Z263" s="30" t="n">
        <x:v>46259</x:v>
      </x:c>
    </x:row>
    <x:row r="264" ht="18" customHeight="1">
      <x:c r="A264" s="22" t="str">
        <x:f>"0af31477-3578-4319-baf0-51e57529ca66"</x:f>
        <x:v>0af31477-3578-4319-baf0-51e57529ca66</x:v>
      </x:c>
      <x:c r="B264" s="23" t="str">
        <x:v>ANDRE DE LIMA GOMES</x:v>
      </x:c>
      <x:c r="C264" s="23" t="str">
        <x:v>andre de lima gomes</x:v>
      </x:c>
      <x:c r="D264" s="22" t="str">
        <x:f>"55.783.923/0001-59"</x:f>
        <x:v>55.783.923/0001-59</x:v>
      </x:c>
      <x:c r="E264" s="22" t="str">
        <x:f>"55783923000159"</x:f>
        <x:v>55783923000159</x:v>
      </x:c>
      <x:c r="F264" s="22" t="str">
        <x:f>"062.262.141-63"</x:f>
        <x:v>062.262.141-63</x:v>
      </x:c>
      <x:c r="G264" s="22" t="str">
        <x:f>"06226214163"</x:f>
        <x:v>06226214163</x:v>
      </x:c>
      <x:c r="H264" s="23" t="str">
        <x:v>andreegomes009@gmail.com</x:v>
      </x:c>
      <x:c r="I264" s="22" t="str">
        <x:f>"65996056357"</x:f>
        <x:v>65996056357</x:v>
      </x:c>
      <x:c r="J264" s="23" t="str">
        <x:v>SPOT</x:v>
      </x:c>
      <x:c r="K264" s="23" t="str">
        <x:v>favored_only</x:v>
      </x:c>
      <x:c r="L264" s="24" t="b">
        <x:v>1</x:v>
      </x:c>
      <x:c r="M264" s="23" t="n">
        <x:v>1</x:v>
      </x:c>
      <x:c r="N264" s="28" t="n">
        <x:v>46205.6061787037</x:v>
      </x:c>
      <x:c r="O264" s="28" t="n">
        <x:v>46219.812988715275</x:v>
      </x:c>
      <x:c r="P264" s="23" t="str">
        <x:v>CÁCERES</x:v>
      </x:c>
      <x:c r="Q264" s="30" t="n">
        <x:v>38476</x:v>
      </x:c>
      <x:c r="R264" s="22" t="str">
        <x:f>"28447905"</x:f>
        <x:v>28447905</x:v>
      </x:c>
      <x:c r="S264" s="23" t="str">
        <x:v>masculino</x:v>
      </x:c>
      <x:c r="T264" s="22" t="str">
        <x:f>"OBH2B91"</x:f>
        <x:v>OBH2B91</x:v>
      </x:c>
      <x:c r="U264" s="23" t="str">
        <x:v>CAIQUE HENRIQUE DA CRUZ</x:v>
      </x:c>
      <x:c r="V264" s="22" t="str">
        <x:f>"058.062.901-58"</x:f>
        <x:v>058.062.901-58</x:v>
      </x:c>
      <x:c r="W264" s="22" t="str">
        <x:f>"05806290158"</x:f>
        <x:v>05806290158</x:v>
      </x:c>
      <x:c r="X264" s="23" t="str">
        <x:v>caiquehenrique112@gmail.com</x:v>
      </x:c>
      <x:c r="Y264" s="22" t="str">
        <x:f>"65981695365"</x:f>
        <x:v>65981695365</x:v>
      </x:c>
      <x:c r="Z264" s="30" t="n">
        <x:v>46347</x:v>
      </x:c>
    </x:row>
    <x:row r="265" ht="18" customHeight="1">
      <x:c r="A265" s="22" t="str">
        <x:f>"891612c8-16b6-4e05-89f1-4e86f6baa023"</x:f>
        <x:v>891612c8-16b6-4e05-89f1-4e86f6baa023</x:v>
      </x:c>
      <x:c r="B265" s="23" t="str">
        <x:v>ANDRE DE SOUZA CORREIA LEITE</x:v>
      </x:c>
      <x:c r="C265" s="23" t="str">
        <x:v>andre de souza correia leite</x:v>
      </x:c>
      <x:c r="D265" s="22" t="str">
        <x:f>"48.956.607/0001-76"</x:f>
        <x:v>48.956.607/0001-76</x:v>
      </x:c>
      <x:c r="E265" s="22" t="str">
        <x:f>"48956607000176"</x:f>
        <x:v>48956607000176</x:v>
      </x:c>
      <x:c r="F265" s="22" t="str">
        <x:f>"152.172.408-30"</x:f>
        <x:v>152.172.408-30</x:v>
      </x:c>
      <x:c r="G265" s="22" t="str">
        <x:f>"15217240830"</x:f>
        <x:v>15217240830</x:v>
      </x:c>
      <x:c r="H265" s="23" t="str">
        <x:v>andrescleite2018@gmail.com</x:v>
      </x:c>
      <x:c r="I265" s="22" t="str">
        <x:f>"(18) 991796195"</x:f>
        <x:v>(18) 991796195</x:v>
      </x:c>
      <x:c r="J265" s="23" t="str">
        <x:v>RENTAL</x:v>
      </x:c>
      <x:c r="K265" s="23" t="str">
        <x:v>rental_company</x:v>
      </x:c>
      <x:c r="L265" s="24" t="b">
        <x:v>1</x:v>
      </x:c>
      <x:c r="M265" s="23" t="n">
        <x:v>1</x:v>
      </x:c>
      <x:c r="N265" s="28" t="n">
        <x:v>46203.921887453704</x:v>
      </x:c>
      <x:c r="O265" s="28" t="n">
        <x:v>46219.812988715275</x:v>
      </x:c>
      <x:c r="P265" s="23" t="str">
        <x:v>PRESIDENTE PRUDENTE</x:v>
      </x:c>
      <x:c r="Q265" s="30" t="n">
        <x:v>27294</x:v>
      </x:c>
      <x:c r="R265" s="22" t="str">
        <x:f>"263181510"</x:f>
        <x:v>263181510</x:v>
      </x:c>
      <x:c r="S265" s="23" t="str">
        <x:v>masculino</x:v>
      </x:c>
      <x:c r="T265" s="22" t="str"/>
      <x:c r="U265" s="23" t="str">
        <x:v>ANDRE DE SOUZA CORREIA LEITE</x:v>
      </x:c>
      <x:c r="V265" s="22" t="str">
        <x:f>"152.172.408-30"</x:f>
        <x:v>152.172.408-30</x:v>
      </x:c>
      <x:c r="W265" s="22" t="str">
        <x:f>"15217240830"</x:f>
        <x:v>15217240830</x:v>
      </x:c>
      <x:c r="X265" s="23" t="str">
        <x:v>andrescleite2018@gmail.com</x:v>
      </x:c>
      <x:c r="Y265" s="22" t="str">
        <x:f>"(18) 991796195"</x:f>
        <x:v>(18) 991796195</x:v>
      </x:c>
      <x:c r="Z265" s="30" t="n">
        <x:v>46326</x:v>
      </x:c>
    </x:row>
    <x:row r="266" ht="18" customHeight="1">
      <x:c r="A266" s="22" t="str">
        <x:f>"64afc9aa-16fc-47ca-b84a-e1ca9b6b6493"</x:f>
        <x:v>64afc9aa-16fc-47ca-b84a-e1ca9b6b6493</x:v>
      </x:c>
      <x:c r="B266" s="23" t="str">
        <x:v>ANDREIA ANTONIO DE OLIVEIRA</x:v>
      </x:c>
      <x:c r="C266" s="23" t="str">
        <x:v>andreia antonio de oliveira</x:v>
      </x:c>
      <x:c r="D266" s="22" t="str">
        <x:f>"66.300.746/0001-29"</x:f>
        <x:v>66.300.746/0001-29</x:v>
      </x:c>
      <x:c r="E266" s="22" t="str">
        <x:f>"66300746000129"</x:f>
        <x:v>66300746000129</x:v>
      </x:c>
      <x:c r="F266" s="22" t="str">
        <x:f>"158.927.777-58"</x:f>
        <x:v>158.927.777-58</x:v>
      </x:c>
      <x:c r="G266" s="22" t="str">
        <x:f>"15892777758"</x:f>
        <x:v>15892777758</x:v>
      </x:c>
      <x:c r="H266" s="23" t="str">
        <x:v>andreiaoliveira490@gmail.com</x:v>
      </x:c>
      <x:c r="I266" s="22" t="str">
        <x:f>"(21) 98345-1015"</x:f>
        <x:v>(21) 98345-1015</x:v>
      </x:c>
      <x:c r="J266" s="23" t="str">
        <x:v>SPOT</x:v>
      </x:c>
      <x:c r="K266" s="23" t="str">
        <x:v>favored_only</x:v>
      </x:c>
      <x:c r="L266" s="24" t="b">
        <x:v>1</x:v>
      </x:c>
      <x:c r="M266" s="23" t="n">
        <x:v>1</x:v>
      </x:c>
      <x:c r="N266" s="28" t="n">
        <x:v>46219.812988715275</x:v>
      </x:c>
      <x:c r="O266" s="28" t="n">
        <x:v>46219.812988715275</x:v>
      </x:c>
      <x:c r="P266" s="23" t="str">
        <x:v>ITABORAI</x:v>
      </x:c>
      <x:c r="Q266" s="30" t="n">
        <x:v>34078</x:v>
      </x:c>
      <x:c r="R266" s="22" t="str">
        <x:f>"27927214-0"</x:f>
        <x:v>27927214-0</x:v>
      </x:c>
      <x:c r="S266" s="23" t="str">
        <x:v>feminino</x:v>
      </x:c>
      <x:c r="T266" s="22" t="str">
        <x:f>"LSH8J64"</x:f>
        <x:v>LSH8J64</x:v>
      </x:c>
      <x:c r="U266" s="23" t="str">
        <x:v>ANDREIA ANTONIO DE OLIVEIRA</x:v>
      </x:c>
      <x:c r="V266" s="22" t="str">
        <x:f>"158.927.777-58"</x:f>
        <x:v>158.927.777-58</x:v>
      </x:c>
      <x:c r="W266" s="22" t="str">
        <x:f>"15892777758"</x:f>
        <x:v>15892777758</x:v>
      </x:c>
      <x:c r="X266" s="23" t="str">
        <x:v>andreiaoliveira490@gmail.com</x:v>
      </x:c>
      <x:c r="Y266" s="22" t="str">
        <x:f>"(21) 98345-1015"</x:f>
        <x:v>(21) 98345-1015</x:v>
      </x:c>
      <x:c r="Z266" s="30" t="n">
        <x:v>46473</x:v>
      </x:c>
    </x:row>
    <x:row r="267" ht="18" customHeight="1">
      <x:c r="A267" s="22" t="str">
        <x:f>"ae52ab44-4269-4104-934e-8925c688f4ba"</x:f>
        <x:v>ae52ab44-4269-4104-934e-8925c688f4ba</x:v>
      </x:c>
      <x:c r="B267" s="23" t="str">
        <x:v>ANDREIA CRISTINA SANTOS BATISTA LIMA</x:v>
      </x:c>
      <x:c r="C267" s="23" t="str">
        <x:v>andreia cristina santos batista lima</x:v>
      </x:c>
      <x:c r="D267" s="22" t="str">
        <x:f>"63.634.506/0001-72"</x:f>
        <x:v>63.634.506/0001-72</x:v>
      </x:c>
      <x:c r="E267" s="22" t="str">
        <x:f>"63634506000172"</x:f>
        <x:v>63634506000172</x:v>
      </x:c>
      <x:c r="F267" s="22" t="str">
        <x:f>"370.227.468-50"</x:f>
        <x:v>370.227.468-50</x:v>
      </x:c>
      <x:c r="G267" s="22" t="str">
        <x:f>"37022746850"</x:f>
        <x:v>37022746850</x:v>
      </x:c>
      <x:c r="H267" s="23" t="str">
        <x:v>andreialimahr@gmail.com</x:v>
      </x:c>
      <x:c r="I267" s="22" t="str">
        <x:f>"18996493230"</x:f>
        <x:v>18996493230</x:v>
      </x:c>
      <x:c r="J267" s="23" t="str">
        <x:v>RENTAL</x:v>
      </x:c>
      <x:c r="K267" s="23" t="str">
        <x:v>rental_company</x:v>
      </x:c>
      <x:c r="L267" s="24" t="b">
        <x:v>1</x:v>
      </x:c>
      <x:c r="M267" s="23" t="n">
        <x:v>1</x:v>
      </x:c>
      <x:c r="N267" s="28" t="n">
        <x:v>46203.92189349537</x:v>
      </x:c>
      <x:c r="O267" s="28" t="n">
        <x:v>46219.812988715275</x:v>
      </x:c>
      <x:c r="P267" s="23" t="str">
        <x:v>PRESIDENTE PRUDENTE</x:v>
      </x:c>
      <x:c r="Q267" s="30" t="n">
        <x:v>32631</x:v>
      </x:c>
      <x:c r="R267" s="22" t="str">
        <x:f>"45818756"</x:f>
        <x:v>45818756</x:v>
      </x:c>
      <x:c r="S267" s="23" t="str">
        <x:v>feminino</x:v>
      </x:c>
      <x:c r="T267" s="22" t="str"/>
      <x:c r="U267" s="23" t="str">
        <x:v>ANDREIA CRISTINA SANTOS BATISTA LIMA</x:v>
      </x:c>
      <x:c r="V267" s="22" t="str">
        <x:f>"370.227.468-50"</x:f>
        <x:v>370.227.468-50</x:v>
      </x:c>
      <x:c r="W267" s="22" t="str">
        <x:f>"37022746850"</x:f>
        <x:v>37022746850</x:v>
      </x:c>
      <x:c r="X267" s="23" t="str">
        <x:v>andreialimahr@gmail.com</x:v>
      </x:c>
      <x:c r="Y267" s="22" t="str">
        <x:f>"18996493230"</x:f>
        <x:v>18996493230</x:v>
      </x:c>
      <x:c r="Z267" s="30" t="n">
        <x:v>46338</x:v>
      </x:c>
    </x:row>
    <x:row r="268" ht="18" customHeight="1">
      <x:c r="A268" s="22" t="str">
        <x:f>"c82466e2-5150-4748-82ae-e6be04131a60"</x:f>
        <x:v>c82466e2-5150-4748-82ae-e6be04131a60</x:v>
      </x:c>
      <x:c r="B268" s="23" t="str">
        <x:v>ANDREIA DE FATIMA PAES SOARES</x:v>
      </x:c>
      <x:c r="C268" s="23" t="str">
        <x:v>andreia de fatima paes soares</x:v>
      </x:c>
      <x:c r="D268" s="22" t="str">
        <x:f>"62.382.159/0001-75"</x:f>
        <x:v>62.382.159/0001-75</x:v>
      </x:c>
      <x:c r="E268" s="22" t="str">
        <x:f>"62382159000175"</x:f>
        <x:v>62382159000175</x:v>
      </x:c>
      <x:c r="F268" s="22" t="str">
        <x:f>"066.328.606-99"</x:f>
        <x:v>066.328.606-99</x:v>
      </x:c>
      <x:c r="G268" s="22" t="str">
        <x:f>"06632860699"</x:f>
        <x:v>06632860699</x:v>
      </x:c>
      <x:c r="H268" s="23" t="str">
        <x:v>andreiafatima601@gmail.com</x:v>
      </x:c>
      <x:c r="I268" s="22" t="str">
        <x:f>"(35)999679593"</x:f>
        <x:v>(35)999679593</x:v>
      </x:c>
      <x:c r="J268" s="23" t="str">
        <x:v>RENTAL</x:v>
      </x:c>
      <x:c r="K268" s="23" t="str">
        <x:v>rental_company</x:v>
      </x:c>
      <x:c r="L268" s="24" t="b">
        <x:v>1</x:v>
      </x:c>
      <x:c r="M268" s="23" t="n">
        <x:v>1</x:v>
      </x:c>
      <x:c r="N268" s="28" t="n">
        <x:v>46203.921858726855</x:v>
      </x:c>
      <x:c r="O268" s="28" t="n">
        <x:v>46219.812988715275</x:v>
      </x:c>
      <x:c r="P268" s="23" t="str">
        <x:v>POUSO ALEGRE</x:v>
      </x:c>
      <x:c r="Q268" s="30" t="n">
        <x:v>30564</x:v>
      </x:c>
      <x:c r="R268" s="22" t="str">
        <x:f>"506594889"</x:f>
        <x:v>506594889</x:v>
      </x:c>
      <x:c r="S268" s="23" t="str">
        <x:v>feminino</x:v>
      </x:c>
      <x:c r="T268" s="22" t="str"/>
      <x:c r="U268" s="23" t="str">
        <x:v>ANDREIA DE FATIMA PAES SOARES</x:v>
      </x:c>
      <x:c r="V268" s="22" t="str">
        <x:f>"066.328.606-99"</x:f>
        <x:v>066.328.606-99</x:v>
      </x:c>
      <x:c r="W268" s="22" t="str">
        <x:f>"06632860699"</x:f>
        <x:v>06632860699</x:v>
      </x:c>
      <x:c r="X268" s="23" t="str">
        <x:v>andreiafatima601@gmail.com</x:v>
      </x:c>
      <x:c r="Y268" s="22" t="str">
        <x:f>"(35)999679593"</x:f>
        <x:v>(35)999679593</x:v>
      </x:c>
      <x:c r="Z268" s="30" t="n">
        <x:v>46260</x:v>
      </x:c>
    </x:row>
    <x:row r="269" ht="18" customHeight="1">
      <x:c r="A269" s="22" t="str">
        <x:f>"aefd6777-50ee-4951-b85a-79afed7e13c9"</x:f>
        <x:v>aefd6777-50ee-4951-b85a-79afed7e13c9</x:v>
      </x:c>
      <x:c r="B269" s="23" t="str">
        <x:v>ANDREIA MIRANDA RODRIGUES</x:v>
      </x:c>
      <x:c r="C269" s="23" t="str">
        <x:v>andreia miranda rodrigues</x:v>
      </x:c>
      <x:c r="D269" s="22" t="str">
        <x:f>"63.431.318/0001-47"</x:f>
        <x:v>63.431.318/0001-47</x:v>
      </x:c>
      <x:c r="E269" s="22" t="str">
        <x:f>"63431318000147"</x:f>
        <x:v>63431318000147</x:v>
      </x:c>
      <x:c r="F269" s="22" t="str">
        <x:f>"813.200.941-04"</x:f>
        <x:v>813.200.941-04</x:v>
      </x:c>
      <x:c r="G269" s="22" t="str">
        <x:f>"81320094104"</x:f>
        <x:v>81320094104</x:v>
      </x:c>
      <x:c r="H269" s="23" t="str">
        <x:v>andreiamr637@gmail.com</x:v>
      </x:c>
      <x:c r="I269" s="22" t="str">
        <x:f>"+55 65 8102-1333"</x:f>
        <x:v>+55 65 8102-1333</x:v>
      </x:c>
      <x:c r="J269" s="23" t="str">
        <x:v>SPOT</x:v>
      </x:c>
      <x:c r="K269" s="23" t="str">
        <x:v>favored_only</x:v>
      </x:c>
      <x:c r="L269" s="24" t="b">
        <x:v>1</x:v>
      </x:c>
      <x:c r="M269" s="23" t="n">
        <x:v>1</x:v>
      </x:c>
      <x:c r="N269" s="28" t="n">
        <x:v>46203.921887453704</x:v>
      </x:c>
      <x:c r="O269" s="28" t="n">
        <x:v>46219.812988715275</x:v>
      </x:c>
      <x:c r="P269" s="23" t="str">
        <x:v>SINOP</x:v>
      </x:c>
      <x:c r="Q269" s="30" t="n">
        <x:v>27772</x:v>
      </x:c>
      <x:c r="R269" s="22" t="str">
        <x:f>"10622578"</x:f>
        <x:v>10622578</x:v>
      </x:c>
      <x:c r="S269" s="23" t="str">
        <x:v>feminino</x:v>
      </x:c>
      <x:c r="T269" s="22" t="str">
        <x:f>"QCI0977"</x:f>
        <x:v>QCI0977</x:v>
      </x:c>
      <x:c r="U269" s="23" t="str">
        <x:v>ANDREIA MIRANDA RODRIGUES</x:v>
      </x:c>
      <x:c r="V269" s="22" t="str">
        <x:f>"813.200.941-04"</x:f>
        <x:v>813.200.941-04</x:v>
      </x:c>
      <x:c r="W269" s="22" t="str">
        <x:f>"81320094104"</x:f>
        <x:v>81320094104</x:v>
      </x:c>
      <x:c r="X269" s="23" t="str">
        <x:v>andreiamr637@gmail.com</x:v>
      </x:c>
      <x:c r="Y269" s="22" t="str">
        <x:f>"+55 65 8102-1333"</x:f>
        <x:v>+55 65 8102-1333</x:v>
      </x:c>
      <x:c r="Z269" s="30" t="n">
        <x:v>46325</x:v>
      </x:c>
    </x:row>
    <x:row r="270" ht="18" customHeight="1">
      <x:c r="A270" s="22" t="str">
        <x:f>"05a7264f-1979-4df5-8c73-31aab2101ae4"</x:f>
        <x:v>05a7264f-1979-4df5-8c73-31aab2101ae4</x:v>
      </x:c>
      <x:c r="B270" s="23" t="str">
        <x:v>ANDRE LUIS ALVES</x:v>
      </x:c>
      <x:c r="C270" s="23" t="str">
        <x:v>andre luis alves</x:v>
      </x:c>
      <x:c r="D270" s="22" t="str">
        <x:f>"58.262.245/0001-77"</x:f>
        <x:v>58.262.245/0001-77</x:v>
      </x:c>
      <x:c r="E270" s="22" t="str">
        <x:f>"58262245000177"</x:f>
        <x:v>58262245000177</x:v>
      </x:c>
      <x:c r="F270" s="22" t="str">
        <x:f>"387.860.248-09"</x:f>
        <x:v>387.860.248-09</x:v>
      </x:c>
      <x:c r="G270" s="22" t="str">
        <x:f>"38786024809"</x:f>
        <x:v>38786024809</x:v>
      </x:c>
      <x:c r="H270" s="23" t="str">
        <x:v>andre.tata2022@gmail.com</x:v>
      </x:c>
      <x:c r="I270" s="22" t="str">
        <x:f>"(11) 934606305"</x:f>
        <x:v>(11) 934606305</x:v>
      </x:c>
      <x:c r="J270" s="23" t="str">
        <x:v>RENTAL</x:v>
      </x:c>
      <x:c r="K270" s="23" t="str">
        <x:v>rental_company</x:v>
      </x:c>
      <x:c r="L270" s="24" t="b">
        <x:v>1</x:v>
      </x:c>
      <x:c r="M270" s="23" t="n">
        <x:v>1</x:v>
      </x:c>
      <x:c r="N270" s="28" t="n">
        <x:v>46203.921840393516</x:v>
      </x:c>
      <x:c r="O270" s="28" t="n">
        <x:v>46219.812988715275</x:v>
      </x:c>
      <x:c r="P270" s="23" t="str">
        <x:v>MADEIRA MADEIRA</x:v>
      </x:c>
      <x:c r="Q270" s="30" t="n">
        <x:v>33279</x:v>
      </x:c>
      <x:c r="R270" s="22" t="str">
        <x:f>"47230169"</x:f>
        <x:v>47230169</x:v>
      </x:c>
      <x:c r="S270" s="23" t="str">
        <x:v>masculino</x:v>
      </x:c>
      <x:c r="T270" s="22" t="str"/>
      <x:c r="U270" s="23" t="str">
        <x:v>ANDRE LUIS ALVES</x:v>
      </x:c>
      <x:c r="V270" s="22" t="str">
        <x:f>"387.860.248-09"</x:f>
        <x:v>387.860.248-09</x:v>
      </x:c>
      <x:c r="W270" s="22" t="str">
        <x:f>"38786024809"</x:f>
        <x:v>38786024809</x:v>
      </x:c>
      <x:c r="X270" s="23" t="str">
        <x:v>andre.tata2022@gmail.com</x:v>
      </x:c>
      <x:c r="Y270" s="22" t="str">
        <x:f>"(11) 934606305"</x:f>
        <x:v>(11) 934606305</x:v>
      </x:c>
      <x:c r="Z270" s="30" t="n">
        <x:v>46332</x:v>
      </x:c>
    </x:row>
    <x:row r="271" ht="18" customHeight="1">
      <x:c r="A271" s="22" t="str">
        <x:f>"b89fb721-d4e4-448f-8b88-d1354927192c"</x:f>
        <x:v>b89fb721-d4e4-448f-8b88-d1354927192c</x:v>
      </x:c>
      <x:c r="B271" s="23" t="str">
        <x:v>ANDRE LUIS DA SILVA</x:v>
      </x:c>
      <x:c r="C271" s="23" t="str">
        <x:v>andre luis da silva</x:v>
      </x:c>
      <x:c r="D271" s="22" t="str">
        <x:f>"64.265.448/0001-10"</x:f>
        <x:v>64.265.448/0001-10</x:v>
      </x:c>
      <x:c r="E271" s="22" t="str">
        <x:f>"64265448000110"</x:f>
        <x:v>64265448000110</x:v>
      </x:c>
      <x:c r="F271" s="22" t="str">
        <x:f>"080.579.226-05"</x:f>
        <x:v>080.579.226-05</x:v>
      </x:c>
      <x:c r="G271" s="22" t="str">
        <x:f>"08057922605"</x:f>
        <x:v>08057922605</x:v>
      </x:c>
      <x:c r="H271" s="23" t="str">
        <x:v>ANDRECOF@YAHOO.COM</x:v>
      </x:c>
      <x:c r="I271" s="22" t="str">
        <x:f>"(35) 99194-5394"</x:f>
        <x:v>(35) 99194-5394</x:v>
      </x:c>
      <x:c r="J271" s="23" t="str">
        <x:v>SPOT</x:v>
      </x:c>
      <x:c r="K271" s="23" t="str">
        <x:v>favored_only</x:v>
      </x:c>
      <x:c r="L271" s="24" t="b">
        <x:v>1</x:v>
      </x:c>
      <x:c r="M271" s="23" t="n">
        <x:v>1</x:v>
      </x:c>
      <x:c r="N271" s="28" t="n">
        <x:v>46205.60716189815</x:v>
      </x:c>
      <x:c r="O271" s="28" t="n">
        <x:v>46219.812988715275</x:v>
      </x:c>
      <x:c r="P271" s="23" t="str">
        <x:v>GUAXUPE</x:v>
      </x:c>
      <x:c r="Q271" s="30" t="n">
        <x:v>31460</x:v>
      </x:c>
      <x:c r="R271" s="22" t="str">
        <x:f>"13913825"</x:f>
        <x:v>13913825</x:v>
      </x:c>
      <x:c r="S271" s="23" t="str">
        <x:v>masculino</x:v>
      </x:c>
      <x:c r="T271" s="22" t="str">
        <x:f>"PXR6B27"</x:f>
        <x:v>PXR6B27</x:v>
      </x:c>
      <x:c r="U271" s="23" t="str">
        <x:v>FERNANDA CRISTINA DA SILVA RIBEIRO</x:v>
      </x:c>
      <x:c r="V271" s="22" t="str">
        <x:f>"062.992.586-08"</x:f>
        <x:v>062.992.586-08</x:v>
      </x:c>
      <x:c r="W271" s="22" t="str">
        <x:f>"06299258608"</x:f>
        <x:v>06299258608</x:v>
      </x:c>
      <x:c r="X271" s="23" t="str">
        <x:v>FERNANDASILVARIBEIROT13@GMAIL.COM</x:v>
      </x:c>
      <x:c r="Y271" s="22" t="str">
        <x:f>"35 92002-0133"</x:f>
        <x:v>35 92002-0133</x:v>
      </x:c>
      <x:c r="Z271" s="30" t="n">
        <x:v>46401</x:v>
      </x:c>
    </x:row>
    <x:row r="272" ht="18" customHeight="1">
      <x:c r="A272" s="22" t="str">
        <x:f>"0b5a75bc-5e96-43ac-829a-d93206762719"</x:f>
        <x:v>0b5a75bc-5e96-43ac-829a-d93206762719</x:v>
      </x:c>
      <x:c r="B272" s="23" t="str">
        <x:v>Andre Luis De Freitas Farias</x:v>
      </x:c>
      <x:c r="C272" s="23" t="str">
        <x:v>andre luis de freitas farias</x:v>
      </x:c>
      <x:c r="D272" s="22" t="str">
        <x:f>"59.477.857/0001-40"</x:f>
        <x:v>59.477.857/0001-40</x:v>
      </x:c>
      <x:c r="E272" s="22" t="str">
        <x:f>"59477857000140"</x:f>
        <x:v>59477857000140</x:v>
      </x:c>
      <x:c r="F272" s="22" t="str">
        <x:f>"627859401-30"</x:f>
        <x:v>627859401-30</x:v>
      </x:c>
      <x:c r="G272" s="22" t="str">
        <x:f>"62785940130"</x:f>
        <x:v>62785940130</x:v>
      </x:c>
      <x:c r="H272" s="23" t="str">
        <x:v>andreffarias40@gmail.com</x:v>
      </x:c>
      <x:c r="I272" s="22" t="str">
        <x:f>"(61) 99890-5388"</x:f>
        <x:v>(61) 99890-5388</x:v>
      </x:c>
      <x:c r="J272" s="23" t="str">
        <x:v>SPOT</x:v>
      </x:c>
      <x:c r="K272" s="23" t="str">
        <x:v>favored_only</x:v>
      </x:c>
      <x:c r="L272" s="24" t="b">
        <x:v>1</x:v>
      </x:c>
      <x:c r="M272" s="23" t="n">
        <x:v>2</x:v>
      </x:c>
      <x:c r="N272" s="28" t="n">
        <x:v>46203.92186462963</x:v>
      </x:c>
      <x:c r="O272" s="28" t="n">
        <x:v>46203.92186462963</x:v>
      </x:c>
      <x:c r="P272" s="23" t="str"/>
      <x:c r="Q272" s="30" t="str"/>
      <x:c r="R272" s="22" t="str"/>
      <x:c r="S272" s="23" t="str"/>
      <x:c r="T272" s="22" t="str"/>
      <x:c r="U272" s="23" t="str">
        <x:v>André Luis de Freitas Farias</x:v>
      </x:c>
      <x:c r="V272" s="22" t="str">
        <x:f>"627859401-30"</x:f>
        <x:v>627859401-30</x:v>
      </x:c>
      <x:c r="W272" s="22" t="str">
        <x:f>"62785940130"</x:f>
        <x:v>62785940130</x:v>
      </x:c>
      <x:c r="X272" s="23" t="str">
        <x:v>andreffarias40@gmail.com</x:v>
      </x:c>
      <x:c r="Y272" s="22" t="str">
        <x:f>"(61) 99890-5388"</x:f>
        <x:v>(61) 99890-5388</x:v>
      </x:c>
      <x:c r="Z272" s="30" t="str"/>
    </x:row>
    <x:row r="273" ht="18" customHeight="1">
      <x:c r="A273" s="22" t="str">
        <x:f>"f8668fa1-9300-44e7-adf9-3b612db0123e"</x:f>
        <x:v>f8668fa1-9300-44e7-adf9-3b612db0123e</x:v>
      </x:c>
      <x:c r="B273" s="23" t="str">
        <x:v>ANDRE LUIS DO ESPIRITO SANTO</x:v>
      </x:c>
      <x:c r="C273" s="23" t="str">
        <x:v>andre luis do espirito santo</x:v>
      </x:c>
      <x:c r="D273" s="22" t="str">
        <x:f>"32.620.943/0001-03"</x:f>
        <x:v>32.620.943/0001-03</x:v>
      </x:c>
      <x:c r="E273" s="22" t="str">
        <x:f>"32620943000103"</x:f>
        <x:v>32620943000103</x:v>
      </x:c>
      <x:c r="F273" s="22" t="str">
        <x:f>"320.168.398-13"</x:f>
        <x:v>320.168.398-13</x:v>
      </x:c>
      <x:c r="G273" s="22" t="str">
        <x:f>"32016839813"</x:f>
        <x:v>32016839813</x:v>
      </x:c>
      <x:c r="H273" s="23" t="str">
        <x:v>andre.santo83@gmail.com</x:v>
      </x:c>
      <x:c r="I273" s="22" t="str">
        <x:f>"19996586262"</x:f>
        <x:v>19996586262</x:v>
      </x:c>
      <x:c r="J273" s="23" t="str">
        <x:v>RENTAL</x:v>
      </x:c>
      <x:c r="K273" s="23" t="str">
        <x:v>rental_company</x:v>
      </x:c>
      <x:c r="L273" s="24" t="b">
        <x:v>1</x:v>
      </x:c>
      <x:c r="M273" s="23" t="n">
        <x:v>1</x:v>
      </x:c>
      <x:c r="N273" s="28" t="n">
        <x:v>46203.921840393516</x:v>
      </x:c>
      <x:c r="O273" s="28" t="n">
        <x:v>46219.812988715275</x:v>
      </x:c>
      <x:c r="P273" s="23" t="str">
        <x:v>JALES</x:v>
      </x:c>
      <x:c r="Q273" s="30" t="n">
        <x:v>30540</x:v>
      </x:c>
      <x:c r="R273" s="22" t="str">
        <x:f>"35835974"</x:f>
        <x:v>35835974</x:v>
      </x:c>
      <x:c r="S273" s="23" t="str">
        <x:v>masculino</x:v>
      </x:c>
      <x:c r="T273" s="22" t="str"/>
      <x:c r="U273" s="23" t="str">
        <x:v>ANDRE LUIS DO ESPIRITO SANTO</x:v>
      </x:c>
      <x:c r="V273" s="22" t="str">
        <x:f>"320.168.398-13"</x:f>
        <x:v>320.168.398-13</x:v>
      </x:c>
      <x:c r="W273" s="22" t="str">
        <x:f>"32016839813"</x:f>
        <x:v>32016839813</x:v>
      </x:c>
      <x:c r="X273" s="23" t="str">
        <x:v>andre.santo83@gmail.com</x:v>
      </x:c>
      <x:c r="Y273" s="22" t="str">
        <x:f>"19996586262"</x:f>
        <x:v>19996586262</x:v>
      </x:c>
      <x:c r="Z273" s="30" t="n">
        <x:v>46577</x:v>
      </x:c>
    </x:row>
    <x:row r="274" ht="18" customHeight="1">
      <x:c r="A274" s="22" t="str">
        <x:f>"71167b44-cc14-4613-8d8b-443ecd7e11e2"</x:f>
        <x:v>71167b44-cc14-4613-8d8b-443ecd7e11e2</x:v>
      </x:c>
      <x:c r="B274" s="23" t="str">
        <x:v>ANDRE LUIS DUTRA DOS SANTOS</x:v>
      </x:c>
      <x:c r="C274" s="23" t="str">
        <x:v>andre luis dutra dos santos</x:v>
      </x:c>
      <x:c r="D274" s="22" t="str">
        <x:f>"67.608.928/0001-24"</x:f>
        <x:v>67.608.928/0001-24</x:v>
      </x:c>
      <x:c r="E274" s="22" t="str">
        <x:f>"67608928000124"</x:f>
        <x:v>67608928000124</x:v>
      </x:c>
      <x:c r="F274" s="22" t="str">
        <x:f>"001.806.721-26"</x:f>
        <x:v>001.806.721-26</x:v>
      </x:c>
      <x:c r="G274" s="22" t="str">
        <x:f>"00180672126"</x:f>
        <x:v>00180672126</x:v>
      </x:c>
      <x:c r="H274" s="23" t="str">
        <x:v>ANDRE_NEGO13@HOTMAIL.COM</x:v>
      </x:c>
      <x:c r="I274" s="22" t="str">
        <x:f>"65 99253-8876"</x:f>
        <x:v>65 99253-8876</x:v>
      </x:c>
      <x:c r="J274" s="23" t="str">
        <x:v>SPOT</x:v>
      </x:c>
      <x:c r="K274" s="23" t="str">
        <x:v>favored_only</x:v>
      </x:c>
      <x:c r="L274" s="24" t="b">
        <x:v>1</x:v>
      </x:c>
      <x:c r="M274" s="23" t="n">
        <x:v>1</x:v>
      </x:c>
      <x:c r="N274" s="28" t="n">
        <x:v>46219.812988715275</x:v>
      </x:c>
      <x:c r="O274" s="28" t="n">
        <x:v>46219.812988715275</x:v>
      </x:c>
      <x:c r="P274" s="23" t="str">
        <x:v>CUIABA</x:v>
      </x:c>
      <x:c r="Q274" s="30" t="n">
        <x:v>32937</x:v>
      </x:c>
      <x:c r="R274" s="22" t="str">
        <x:f>"1273555"</x:f>
        <x:v>1273555</x:v>
      </x:c>
      <x:c r="S274" s="23" t="str">
        <x:v>masculino</x:v>
      </x:c>
      <x:c r="T274" s="22" t="str">
        <x:f>"ONO2E20"</x:f>
        <x:v>ONO2E20</x:v>
      </x:c>
      <x:c r="U274" s="23" t="str">
        <x:v>ANDRE LUIS DUTRA DOS SANTOS</x:v>
      </x:c>
      <x:c r="V274" s="22" t="str">
        <x:f>"001.806.721-26"</x:f>
        <x:v>001.806.721-26</x:v>
      </x:c>
      <x:c r="W274" s="22" t="str">
        <x:f>"00180672126"</x:f>
        <x:v>00180672126</x:v>
      </x:c>
      <x:c r="X274" s="23" t="str">
        <x:v>ANDRE_NEGO13@HOTMAIL.COM</x:v>
      </x:c>
      <x:c r="Y274" s="22" t="str">
        <x:f>"65 99253-8876"</x:f>
        <x:v>65 99253-8876</x:v>
      </x:c>
      <x:c r="Z274" s="30" t="n">
        <x:v>46563</x:v>
      </x:c>
    </x:row>
    <x:row r="275" ht="18" customHeight="1">
      <x:c r="A275" s="22" t="str">
        <x:f>"900f4294-431a-41da-bfd2-bb018f790de6"</x:f>
        <x:v>900f4294-431a-41da-bfd2-bb018f790de6</x:v>
      </x:c>
      <x:c r="B275" s="23" t="str">
        <x:v>ANDRE LUIS FAUSTINO DE MACEDO</x:v>
      </x:c>
      <x:c r="C275" s="23" t="str">
        <x:v>andre luis faustino de macedo</x:v>
      </x:c>
      <x:c r="D275" s="22" t="str">
        <x:f>"37.823.997/0001-90"</x:f>
        <x:v>37.823.997/0001-90</x:v>
      </x:c>
      <x:c r="E275" s="22" t="str">
        <x:f>"37823997000190"</x:f>
        <x:v>37823997000190</x:v>
      </x:c>
      <x:c r="F275" s="22" t="str">
        <x:f>"597.200.341-49"</x:f>
        <x:v>597.200.341-49</x:v>
      </x:c>
      <x:c r="G275" s="22" t="str">
        <x:f>"59720034149"</x:f>
        <x:v>59720034149</x:v>
      </x:c>
      <x:c r="H275" s="23" t="str">
        <x:v>macedoandre@yahoo.com.br</x:v>
      </x:c>
      <x:c r="I275" s="22" t="str">
        <x:f>"61 9515-3492"</x:f>
        <x:v>61 9515-3492</x:v>
      </x:c>
      <x:c r="J275" s="23" t="str">
        <x:v>SPOT</x:v>
      </x:c>
      <x:c r="K275" s="23" t="str">
        <x:v>favored_only</x:v>
      </x:c>
      <x:c r="L275" s="24" t="b">
        <x:v>1</x:v>
      </x:c>
      <x:c r="M275" s="23" t="n">
        <x:v>1</x:v>
      </x:c>
      <x:c r="N275" s="28" t="n">
        <x:v>46219.812988715275</x:v>
      </x:c>
      <x:c r="O275" s="28" t="n">
        <x:v>46219.812988715275</x:v>
      </x:c>
      <x:c r="P275" s="23" t="str">
        <x:v>MINAÇU</x:v>
      </x:c>
      <x:c r="Q275" s="30" t="n">
        <x:v>27216</x:v>
      </x:c>
      <x:c r="R275" s="22" t="str">
        <x:f>"1437280"</x:f>
        <x:v>1437280</x:v>
      </x:c>
      <x:c r="S275" s="23" t="str">
        <x:v>masculino</x:v>
      </x:c>
      <x:c r="T275" s="22" t="str">
        <x:f>"AXN4D89"</x:f>
        <x:v>AXN4D89</x:v>
      </x:c>
      <x:c r="U275" s="23" t="str">
        <x:v>RODOPRIME TRANSPORTES E CARGAS LTDA</x:v>
      </x:c>
      <x:c r="V275" s="22" t="str">
        <x:f>"038.768.901-01"</x:f>
        <x:v>038.768.901-01</x:v>
      </x:c>
      <x:c r="W275" s="22" t="str">
        <x:f>"03876890101"</x:f>
        <x:v>03876890101</x:v>
      </x:c>
      <x:c r="X275" s="23" t="str">
        <x:v>rtp.cargas@gmail.com</x:v>
      </x:c>
      <x:c r="Y275" s="22" t="str">
        <x:f>"62991277279"</x:f>
        <x:v>62991277279</x:v>
      </x:c>
      <x:c r="Z275" s="30" t="n">
        <x:v>46491</x:v>
      </x:c>
    </x:row>
    <x:row r="276" ht="18" customHeight="1">
      <x:c r="A276" s="22" t="str">
        <x:f>"edf469b8-c0d9-4192-a63e-373be424abe6"</x:f>
        <x:v>edf469b8-c0d9-4192-a63e-373be424abe6</x:v>
      </x:c>
      <x:c r="B276" s="23" t="str">
        <x:v>ANDRE LUIS RAMOS DE OLIVEIRA</x:v>
      </x:c>
      <x:c r="C276" s="23" t="str">
        <x:v>andre luis ramos de oliveira</x:v>
      </x:c>
      <x:c r="D276" s="22" t="str">
        <x:f>"65.583.995/0001-06"</x:f>
        <x:v>65.583.995/0001-06</x:v>
      </x:c>
      <x:c r="E276" s="22" t="str">
        <x:f>"65583995000106"</x:f>
        <x:v>65583995000106</x:v>
      </x:c>
      <x:c r="F276" s="22" t="str">
        <x:f>"529.104.118-85"</x:f>
        <x:v>529.104.118-85</x:v>
      </x:c>
      <x:c r="G276" s="22" t="str">
        <x:f>"52910411885"</x:f>
        <x:v>52910411885</x:v>
      </x:c>
      <x:c r="H276" s="23" t="str">
        <x:v>andrelowis@gmail.com</x:v>
      </x:c>
      <x:c r="I276" s="22" t="str">
        <x:f>"18997507849"</x:f>
        <x:v>18997507849</x:v>
      </x:c>
      <x:c r="J276" s="23" t="str">
        <x:v>RENTAL</x:v>
      </x:c>
      <x:c r="K276" s="23" t="str">
        <x:v>rental_company</x:v>
      </x:c>
      <x:c r="L276" s="24" t="b">
        <x:v>1</x:v>
      </x:c>
      <x:c r="M276" s="23" t="n">
        <x:v>1</x:v>
      </x:c>
      <x:c r="N276" s="28" t="n">
        <x:v>46219.812988715275</x:v>
      </x:c>
      <x:c r="O276" s="28" t="n">
        <x:v>46219.812988715275</x:v>
      </x:c>
      <x:c r="P276" s="23" t="str">
        <x:v>PRESIDENTE PRUDENTE</x:v>
      </x:c>
      <x:c r="Q276" s="30" t="n">
        <x:v>37761</x:v>
      </x:c>
      <x:c r="R276" s="22" t="str">
        <x:f>"6346751515"</x:f>
        <x:v>6346751515</x:v>
      </x:c>
      <x:c r="S276" s="23" t="str">
        <x:v>masculino</x:v>
      </x:c>
      <x:c r="T276" s="22" t="str"/>
      <x:c r="U276" s="23" t="str">
        <x:v>ANDRE LUIS RAMOS DE OLIVEIRA</x:v>
      </x:c>
      <x:c r="V276" s="22" t="str">
        <x:f>"529.104.118-85"</x:f>
        <x:v>529.104.118-85</x:v>
      </x:c>
      <x:c r="W276" s="22" t="str">
        <x:f>"52910411885"</x:f>
        <x:v>52910411885</x:v>
      </x:c>
      <x:c r="X276" s="23" t="str">
        <x:v>andrelowis@gmail.com</x:v>
      </x:c>
      <x:c r="Y276" s="22" t="str">
        <x:f>"18997507849"</x:f>
        <x:v>18997507849</x:v>
      </x:c>
      <x:c r="Z276" s="30" t="n">
        <x:v>46462</x:v>
      </x:c>
    </x:row>
    <x:row r="277" ht="18" customHeight="1">
      <x:c r="A277" s="22" t="str">
        <x:f>"31ca9390-66fb-4e6f-b7ae-560cad4bde34"</x:f>
        <x:v>31ca9390-66fb-4e6f-b7ae-560cad4bde34</x:v>
      </x:c>
      <x:c r="B277" s="23" t="str">
        <x:v>ANDRE LUIZ ANDRADE DE SA</x:v>
      </x:c>
      <x:c r="C277" s="23" t="str">
        <x:v>andre luiz andrade de sa</x:v>
      </x:c>
      <x:c r="D277" s="22" t="str">
        <x:f>"31.207.044/0001-10"</x:f>
        <x:v>31.207.044/0001-10</x:v>
      </x:c>
      <x:c r="E277" s="22" t="str">
        <x:f>"31207044000110"</x:f>
        <x:v>31207044000110</x:v>
      </x:c>
      <x:c r="F277" s="22" t="str">
        <x:f>"116.026.676-08"</x:f>
        <x:v>116.026.676-08</x:v>
      </x:c>
      <x:c r="G277" s="22" t="str">
        <x:f>"11602667608"</x:f>
        <x:v>11602667608</x:v>
      </x:c>
      <x:c r="H277" s="23" t="str">
        <x:v>andreluizandradeamazon@gmail.com</x:v>
      </x:c>
      <x:c r="I277" s="22" t="str">
        <x:f>"31998241077"</x:f>
        <x:v>31998241077</x:v>
      </x:c>
      <x:c r="J277" s="23" t="str">
        <x:v>RENTAL</x:v>
      </x:c>
      <x:c r="K277" s="23" t="str">
        <x:v>rental_company</x:v>
      </x:c>
      <x:c r="L277" s="24" t="b">
        <x:v>1</x:v>
      </x:c>
      <x:c r="M277" s="23" t="n">
        <x:v>1</x:v>
      </x:c>
      <x:c r="N277" s="28" t="n">
        <x:v>46203.921824756944</x:v>
      </x:c>
      <x:c r="O277" s="28" t="n">
        <x:v>46219.812988715275</x:v>
      </x:c>
      <x:c r="P277" s="23" t="str">
        <x:v>CONTAGEM</x:v>
      </x:c>
      <x:c r="Q277" s="30" t="n">
        <x:v>34845</x:v>
      </x:c>
      <x:c r="R277" s="22" t="str">
        <x:f>"12717035"</x:f>
        <x:v>12717035</x:v>
      </x:c>
      <x:c r="S277" s="23" t="str">
        <x:v>masculino</x:v>
      </x:c>
      <x:c r="T277" s="22" t="str"/>
      <x:c r="U277" s="23" t="str">
        <x:v>ANDRE LUIZ ANDRADE DE SA</x:v>
      </x:c>
      <x:c r="V277" s="22" t="str">
        <x:f>"116.026.676-08"</x:f>
        <x:v>116.026.676-08</x:v>
      </x:c>
      <x:c r="W277" s="22" t="str">
        <x:f>"11602667608"</x:f>
        <x:v>11602667608</x:v>
      </x:c>
      <x:c r="X277" s="23" t="str">
        <x:v>andreluizandradeamazon@gmail.com</x:v>
      </x:c>
      <x:c r="Y277" s="22" t="str">
        <x:f>"31998241077"</x:f>
        <x:v>31998241077</x:v>
      </x:c>
      <x:c r="Z277" s="30" t="n">
        <x:v>46277</x:v>
      </x:c>
    </x:row>
    <x:row r="278" ht="18" customHeight="1">
      <x:c r="A278" s="22" t="str">
        <x:f>"75a7011b-05c1-4539-bbe6-1cd19bb0bd30"</x:f>
        <x:v>75a7011b-05c1-4539-bbe6-1cd19bb0bd30</x:v>
      </x:c>
      <x:c r="B278" s="23" t="str">
        <x:v>ANDRE LUIZ ASSUNCAO LEITE</x:v>
      </x:c>
      <x:c r="C278" s="23" t="str">
        <x:v>andre luiz assuncao leite</x:v>
      </x:c>
      <x:c r="D278" s="22" t="str">
        <x:f>"64.877.543/0001-74"</x:f>
        <x:v>64.877.543/0001-74</x:v>
      </x:c>
      <x:c r="E278" s="22" t="str">
        <x:f>"64877543000174"</x:f>
        <x:v>64877543000174</x:v>
      </x:c>
      <x:c r="F278" s="22" t="str">
        <x:f>"037.328.291-54"</x:f>
        <x:v>037.328.291-54</x:v>
      </x:c>
      <x:c r="G278" s="22" t="str">
        <x:f>"03732829154"</x:f>
        <x:v>03732829154</x:v>
      </x:c>
      <x:c r="H278" s="23" t="str">
        <x:v>andrezinho_top92@hotmail.com</x:v>
      </x:c>
      <x:c r="I278" s="22" t="str">
        <x:f>"65 993052115"</x:f>
        <x:v>65 993052115</x:v>
      </x:c>
      <x:c r="J278" s="23" t="str">
        <x:v>SPOT</x:v>
      </x:c>
      <x:c r="K278" s="23" t="str">
        <x:v>favored_only</x:v>
      </x:c>
      <x:c r="L278" s="24" t="b">
        <x:v>1</x:v>
      </x:c>
      <x:c r="M278" s="23" t="n">
        <x:v>1</x:v>
      </x:c>
      <x:c r="N278" s="28" t="n">
        <x:v>46219.812988715275</x:v>
      </x:c>
      <x:c r="O278" s="28" t="n">
        <x:v>46219.812988715275</x:v>
      </x:c>
      <x:c r="P278" s="23" t="str">
        <x:v>CUIABA</x:v>
      </x:c>
      <x:c r="Q278" s="30" t="n">
        <x:v>33648</x:v>
      </x:c>
      <x:c r="R278" s="22" t="str">
        <x:f>"3732829154"</x:f>
        <x:v>3732829154</x:v>
      </x:c>
      <x:c r="S278" s="23" t="str">
        <x:v>masculino</x:v>
      </x:c>
      <x:c r="T278" s="22" t="str">
        <x:f>"NBV60222"</x:f>
        <x:v>NBV60222</x:v>
      </x:c>
      <x:c r="U278" s="23" t="str">
        <x:v>ANDRE LUIZ ASSUNCAO LEITE</x:v>
      </x:c>
      <x:c r="V278" s="22" t="str">
        <x:f>"037.328.291-54"</x:f>
        <x:v>037.328.291-54</x:v>
      </x:c>
      <x:c r="W278" s="22" t="str">
        <x:f>"03732829154"</x:f>
        <x:v>03732829154</x:v>
      </x:c>
      <x:c r="X278" s="23" t="str">
        <x:v>andrezinho_top92@hotmail.com</x:v>
      </x:c>
      <x:c r="Y278" s="22" t="str">
        <x:f>"65 993052115"</x:f>
        <x:v>65 993052115</x:v>
      </x:c>
      <x:c r="Z278" s="30" t="n">
        <x:v>46474</x:v>
      </x:c>
    </x:row>
    <x:row r="279" ht="18" customHeight="1">
      <x:c r="A279" s="22" t="str">
        <x:f>"a23f8fb7-940c-48e2-b9ee-455c2635e68a"</x:f>
        <x:v>a23f8fb7-940c-48e2-b9ee-455c2635e68a</x:v>
      </x:c>
      <x:c r="B279" s="23" t="str">
        <x:v>ANDRE LUIZ DA SILVA</x:v>
      </x:c>
      <x:c r="C279" s="23" t="str">
        <x:v>andre luiz da silva</x:v>
      </x:c>
      <x:c r="D279" s="22" t="str">
        <x:f>"66.994.841/0001-70"</x:f>
        <x:v>66.994.841/0001-70</x:v>
      </x:c>
      <x:c r="E279" s="22" t="str">
        <x:f>"66994841000170"</x:f>
        <x:v>66994841000170</x:v>
      </x:c>
      <x:c r="F279" s="22" t="str">
        <x:f>"114.917.854-03"</x:f>
        <x:v>114.917.854-03</x:v>
      </x:c>
      <x:c r="G279" s="22" t="str">
        <x:f>"11491785403"</x:f>
        <x:v>11491785403</x:v>
      </x:c>
      <x:c r="H279" s="23" t="str">
        <x:v>luizandre.190693@gmail.com</x:v>
      </x:c>
      <x:c r="I279" s="22" t="str">
        <x:f>"(35) 99877-3297"</x:f>
        <x:v>(35) 99877-3297</x:v>
      </x:c>
      <x:c r="J279" s="23" t="str">
        <x:v>RENTAL</x:v>
      </x:c>
      <x:c r="K279" s="23" t="str">
        <x:v>rental_company</x:v>
      </x:c>
      <x:c r="L279" s="24" t="b">
        <x:v>1</x:v>
      </x:c>
      <x:c r="M279" s="23" t="n">
        <x:v>1</x:v>
      </x:c>
      <x:c r="N279" s="28" t="n">
        <x:v>46219.812988715275</x:v>
      </x:c>
      <x:c r="O279" s="28" t="n">
        <x:v>46219.812988715275</x:v>
      </x:c>
      <x:c r="P279" s="23" t="str">
        <x:v>POUSO ALEGRE</x:v>
      </x:c>
      <x:c r="Q279" s="30" t="n">
        <x:v>34139</x:v>
      </x:c>
      <x:c r="R279" s="22" t="str">
        <x:f>"622083041"</x:f>
        <x:v>622083041</x:v>
      </x:c>
      <x:c r="S279" s="23" t="str">
        <x:v>masculino</x:v>
      </x:c>
      <x:c r="T279" s="22" t="str"/>
      <x:c r="U279" s="23" t="str">
        <x:v>ANDRE LUIZ DA SILVA</x:v>
      </x:c>
      <x:c r="V279" s="22" t="str">
        <x:f>"114.917.854-03"</x:f>
        <x:v>114.917.854-03</x:v>
      </x:c>
      <x:c r="W279" s="22" t="str">
        <x:f>"11491785403"</x:f>
        <x:v>11491785403</x:v>
      </x:c>
      <x:c r="X279" s="23" t="str">
        <x:v>luizandre.190693@gmail.com</x:v>
      </x:c>
      <x:c r="Y279" s="22" t="str">
        <x:f>"(35) 99877-3297"</x:f>
        <x:v>(35) 99877-3297</x:v>
      </x:c>
      <x:c r="Z279" s="30" t="n">
        <x:v>46527</x:v>
      </x:c>
    </x:row>
    <x:row r="280" ht="18" customHeight="1">
      <x:c r="A280" s="22" t="str">
        <x:f>"135b3385-c302-44d1-8329-eb45a63f3e54"</x:f>
        <x:v>135b3385-c302-44d1-8329-eb45a63f3e54</x:v>
      </x:c>
      <x:c r="B280" s="23" t="str">
        <x:v>ANDRE LUIZ DE MAGALHAES LIMA</x:v>
      </x:c>
      <x:c r="C280" s="23" t="str">
        <x:v>andre luiz de magalhaes lima</x:v>
      </x:c>
      <x:c r="D280" s="22" t="str">
        <x:f>"00.007.632/5656-04"</x:f>
        <x:v>00.007.632/5656-04</x:v>
      </x:c>
      <x:c r="E280" s="22" t="str">
        <x:f>"00007632565604"</x:f>
        <x:v>00007632565604</x:v>
      </x:c>
      <x:c r="F280" s="22" t="str">
        <x:f>"076.325.656-04"</x:f>
        <x:v>076.325.656-04</x:v>
      </x:c>
      <x:c r="G280" s="22" t="str">
        <x:f>"07632565604"</x:f>
        <x:v>07632565604</x:v>
      </x:c>
      <x:c r="H280" s="23" t="str">
        <x:v>andrebarreto486@gmail.com</x:v>
      </x:c>
      <x:c r="I280" s="22" t="str">
        <x:f>"33 99922-2293"</x:f>
        <x:v>33 99922-2293</x:v>
      </x:c>
      <x:c r="J280" s="23" t="str">
        <x:v>SPOT</x:v>
      </x:c>
      <x:c r="K280" s="23" t="str">
        <x:v>favored_only</x:v>
      </x:c>
      <x:c r="L280" s="24" t="b">
        <x:v>1</x:v>
      </x:c>
      <x:c r="M280" s="23" t="n">
        <x:v>1</x:v>
      </x:c>
      <x:c r="N280" s="28" t="n">
        <x:v>46203.921904421295</x:v>
      </x:c>
      <x:c r="O280" s="28" t="n">
        <x:v>46219.812988715275</x:v>
      </x:c>
      <x:c r="P280" s="23" t="str">
        <x:v>GUAXUPE</x:v>
      </x:c>
      <x:c r="Q280" s="30" t="n">
        <x:v>31192</x:v>
      </x:c>
      <x:c r="R280" s="22" t="str">
        <x:f>"12123587"</x:f>
        <x:v>12123587</x:v>
      </x:c>
      <x:c r="S280" s="23" t="str">
        <x:v>masculino</x:v>
      </x:c>
      <x:c r="T280" s="22" t="str">
        <x:f>"FTR5I08"</x:f>
        <x:v>FTR5I08</x:v>
      </x:c>
      <x:c r="U280" s="23" t="str">
        <x:v>ANDRE LUIZ DE MAGALHAES LIMA</x:v>
      </x:c>
      <x:c r="V280" s="22" t="str">
        <x:f>"076.325.656-04"</x:f>
        <x:v>076.325.656-04</x:v>
      </x:c>
      <x:c r="W280" s="22" t="str">
        <x:f>"07632565604"</x:f>
        <x:v>07632565604</x:v>
      </x:c>
      <x:c r="X280" s="23" t="str">
        <x:v>andrebarreto@hotmail.com</x:v>
      </x:c>
      <x:c r="Y280" s="22" t="str">
        <x:f>"33 99922-2293"</x:f>
        <x:v>33 99922-2293</x:v>
      </x:c>
      <x:c r="Z280" s="30" t="n">
        <x:v>46382</x:v>
      </x:c>
    </x:row>
    <x:row r="281" ht="18" customHeight="1">
      <x:c r="A281" s="22" t="str">
        <x:f>"855b8904-5e15-4548-8c51-56a3d35aabab"</x:f>
        <x:v>855b8904-5e15-4548-8c51-56a3d35aabab</x:v>
      </x:c>
      <x:c r="B281" s="23" t="str">
        <x:v>ANDRE LUIZ DE MAGALHAES LIMA</x:v>
      </x:c>
      <x:c r="C281" s="23" t="str">
        <x:v>andre luiz de magalhaes lima</x:v>
      </x:c>
      <x:c r="D281" s="22" t="str">
        <x:f>"64.582.298/0001-78"</x:f>
        <x:v>64.582.298/0001-78</x:v>
      </x:c>
      <x:c r="E281" s="22" t="str">
        <x:f>"64582298000178"</x:f>
        <x:v>64582298000178</x:v>
      </x:c>
      <x:c r="F281" s="22" t="str">
        <x:f>"076.325.656-04"</x:f>
        <x:v>076.325.656-04</x:v>
      </x:c>
      <x:c r="G281" s="22" t="str">
        <x:f>"07632565604"</x:f>
        <x:v>07632565604</x:v>
      </x:c>
      <x:c r="H281" s="23" t="str">
        <x:v>andrebarreto486@gmail.com</x:v>
      </x:c>
      <x:c r="I281" s="22" t="str">
        <x:f>"33 99922-2293"</x:f>
        <x:v>33 99922-2293</x:v>
      </x:c>
      <x:c r="J281" s="23" t="str">
        <x:v>SPOT</x:v>
      </x:c>
      <x:c r="K281" s="23" t="str">
        <x:v>favored_only</x:v>
      </x:c>
      <x:c r="L281" s="24" t="b">
        <x:v>1</x:v>
      </x:c>
      <x:c r="M281" s="23" t="n">
        <x:v>1</x:v>
      </x:c>
      <x:c r="N281" s="28" t="n">
        <x:v>46219.812988715275</x:v>
      </x:c>
      <x:c r="O281" s="28" t="n">
        <x:v>46219.812988715275</x:v>
      </x:c>
      <x:c r="P281" s="23" t="str">
        <x:v>GUANHAES</x:v>
      </x:c>
      <x:c r="Q281" s="30" t="n">
        <x:v>31192</x:v>
      </x:c>
      <x:c r="R281" s="22" t="str">
        <x:f>"mg12123587"</x:f>
        <x:v>mg12123587</x:v>
      </x:c>
      <x:c r="S281" s="23" t="str">
        <x:v>masculino</x:v>
      </x:c>
      <x:c r="T281" s="22" t="str">
        <x:f>"olo8b61"</x:f>
        <x:v>olo8b61</x:v>
      </x:c>
      <x:c r="U281" s="23" t="str">
        <x:v>LUANA BEATRIZ DE MELO MENDES</x:v>
      </x:c>
      <x:c r="V281" s="22" t="str">
        <x:f>"140.013.166-92"</x:f>
        <x:v>140.013.166-92</x:v>
      </x:c>
      <x:c r="W281" s="22" t="str">
        <x:f>"14001316692"</x:f>
        <x:v>14001316692</x:v>
      </x:c>
      <x:c r="X281" s="23" t="str">
        <x:v>LUANABEATRIZDEMELO@GMAIL.COM</x:v>
      </x:c>
      <x:c r="Y281" s="22" t="str">
        <x:f>"(31) 8958-6051"</x:f>
        <x:v>(31) 8958-6051</x:v>
      </x:c>
      <x:c r="Z281" s="30" t="n">
        <x:v>46428</x:v>
      </x:c>
    </x:row>
    <x:row r="282" ht="18" customHeight="1">
      <x:c r="A282" s="22" t="str">
        <x:f>"0e4e87b2-4a47-4631-bbca-d5b6be6cff1a"</x:f>
        <x:v>0e4e87b2-4a47-4631-bbca-d5b6be6cff1a</x:v>
      </x:c>
      <x:c r="B282" s="23" t="str">
        <x:v>ANDRE LUIZ DOS SANTOS</x:v>
      </x:c>
      <x:c r="C282" s="23" t="str">
        <x:v>andre luiz dos santos</x:v>
      </x:c>
      <x:c r="D282" s="22" t="str">
        <x:f>"27.879.517/0001-59"</x:f>
        <x:v>27.879.517/0001-59</x:v>
      </x:c>
      <x:c r="E282" s="22" t="str">
        <x:f>"27879517000159"</x:f>
        <x:v>27879517000159</x:v>
      </x:c>
      <x:c r="F282" s="22" t="str">
        <x:f>"012.580.207-26"</x:f>
        <x:v>012.580.207-26</x:v>
      </x:c>
      <x:c r="G282" s="22" t="str">
        <x:f>"01258020726"</x:f>
        <x:v>01258020726</x:v>
      </x:c>
      <x:c r="H282" s="23" t="str">
        <x:v>santosandreluis@yahoo.com.br</x:v>
      </x:c>
      <x:c r="I282" s="22" t="str">
        <x:f>"21 981425293"</x:f>
        <x:v>21 981425293</x:v>
      </x:c>
      <x:c r="J282" s="23" t="str">
        <x:v>SPOT</x:v>
      </x:c>
      <x:c r="K282" s="23" t="str">
        <x:v>favored_only</x:v>
      </x:c>
      <x:c r="L282" s="24" t="b">
        <x:v>1</x:v>
      </x:c>
      <x:c r="M282" s="23" t="n">
        <x:v>2</x:v>
      </x:c>
      <x:c r="N282" s="28" t="n">
        <x:v>46203.92189965278</x:v>
      </x:c>
      <x:c r="O282" s="28" t="n">
        <x:v>46219.812988715275</x:v>
      </x:c>
      <x:c r="P282" s="23" t="str">
        <x:v>CAMPO GRANDE</x:v>
      </x:c>
      <x:c r="Q282" s="30" t="n">
        <x:v>26222</x:v>
      </x:c>
      <x:c r="R282" s="22" t="str">
        <x:f>"87628699"</x:f>
        <x:v>87628699</x:v>
      </x:c>
      <x:c r="S282" s="23" t="str">
        <x:v>masculino</x:v>
      </x:c>
      <x:c r="T282" s="22" t="str">
        <x:f>"KQQ8I64"</x:f>
        <x:v>KQQ8I64</x:v>
      </x:c>
      <x:c r="U282" s="23" t="str">
        <x:v>ANDRE LUIZ DOS SANTOS</x:v>
      </x:c>
      <x:c r="V282" s="22" t="str">
        <x:f>"012.580.207-26"</x:f>
        <x:v>012.580.207-26</x:v>
      </x:c>
      <x:c r="W282" s="22" t="str">
        <x:f>"01258020726"</x:f>
        <x:v>01258020726</x:v>
      </x:c>
      <x:c r="X282" s="23" t="str">
        <x:v>santosandreluis@yahoo.com.br</x:v>
      </x:c>
      <x:c r="Y282" s="22" t="str">
        <x:f>"21 981425293"</x:f>
        <x:v>21 981425293</x:v>
      </x:c>
      <x:c r="Z282" s="30" t="n">
        <x:v>46355</x:v>
      </x:c>
    </x:row>
    <x:row r="283" ht="18" customHeight="1">
      <x:c r="A283" s="22" t="str">
        <x:f>"75ab00ef-58de-4ebc-9a42-2c3ce5eb7a72"</x:f>
        <x:v>75ab00ef-58de-4ebc-9a42-2c3ce5eb7a72</x:v>
      </x:c>
      <x:c r="B283" s="23" t="str">
        <x:v>ANDRE LUIZ HENRIQUE</x:v>
      </x:c>
      <x:c r="C283" s="23" t="str">
        <x:v>andre luiz henrique</x:v>
      </x:c>
      <x:c r="D283" s="22" t="str">
        <x:f>"58.453.955/0001-84"</x:f>
        <x:v>58.453.955/0001-84</x:v>
      </x:c>
      <x:c r="E283" s="22" t="str">
        <x:f>"58453955000184"</x:f>
        <x:v>58453955000184</x:v>
      </x:c>
      <x:c r="F283" s="22" t="str">
        <x:f>"116.232.886-06"</x:f>
        <x:v>116.232.886-06</x:v>
      </x:c>
      <x:c r="G283" s="22" t="str">
        <x:f>"11623288606"</x:f>
        <x:v>11623288606</x:v>
      </x:c>
      <x:c r="H283" s="23" t="str">
        <x:v>andre.luishenr@gmail.com</x:v>
      </x:c>
      <x:c r="I283" s="22" t="str">
        <x:f>"(31)99637-3847"</x:f>
        <x:v>(31)99637-3847</x:v>
      </x:c>
      <x:c r="J283" s="23" t="str">
        <x:v>SPOT</x:v>
      </x:c>
      <x:c r="K283" s="23" t="str">
        <x:v>favored_only</x:v>
      </x:c>
      <x:c r="L283" s="24" t="b">
        <x:v>1</x:v>
      </x:c>
      <x:c r="M283" s="23" t="n">
        <x:v>2</x:v>
      </x:c>
      <x:c r="N283" s="28" t="n">
        <x:v>46203.921852962965</x:v>
      </x:c>
      <x:c r="O283" s="28" t="n">
        <x:v>46219.812988715275</x:v>
      </x:c>
      <x:c r="P283" s="23" t="str">
        <x:v>VESPASIANO</x:v>
      </x:c>
      <x:c r="Q283" s="30" t="n">
        <x:v>33346</x:v>
      </x:c>
      <x:c r="R283" s="22" t="str">
        <x:f>"16919297"</x:f>
        <x:v>16919297</x:v>
      </x:c>
      <x:c r="S283" s="23" t="str">
        <x:v>masculino</x:v>
      </x:c>
      <x:c r="T283" s="22" t="str">
        <x:f>"PUD9C23"</x:f>
        <x:v>PUD9C23</x:v>
      </x:c>
      <x:c r="U283" s="23" t="str">
        <x:v>ANDRE LUIZ HENRIQUE</x:v>
      </x:c>
      <x:c r="V283" s="22" t="str">
        <x:f>"116.232.886-06"</x:f>
        <x:v>116.232.886-06</x:v>
      </x:c>
      <x:c r="W283" s="22" t="str">
        <x:f>"11623288606"</x:f>
        <x:v>11623288606</x:v>
      </x:c>
      <x:c r="X283" s="23" t="str">
        <x:v>andre.luishenr@gmail.com</x:v>
      </x:c>
      <x:c r="Y283" s="22" t="str">
        <x:f>"(31)99637-3847"</x:f>
        <x:v>(31)99637-3847</x:v>
      </x:c>
      <x:c r="Z283" s="30" t="n">
        <x:v>46256</x:v>
      </x:c>
    </x:row>
    <x:row r="284" ht="18" customHeight="1">
      <x:c r="A284" s="22" t="str">
        <x:f>"a30f1219-30d2-4dd0-994e-4ce01e13ab79"</x:f>
        <x:v>a30f1219-30d2-4dd0-994e-4ce01e13ab79</x:v>
      </x:c>
      <x:c r="B284" s="23" t="str">
        <x:v>ANDRE LUIZ MATEUS DE MENEZES</x:v>
      </x:c>
      <x:c r="C284" s="23" t="str">
        <x:v>andre luiz mateus de menezes</x:v>
      </x:c>
      <x:c r="D284" s="22" t="str">
        <x:f>"63.902.831/0001-79"</x:f>
        <x:v>63.902.831/0001-79</x:v>
      </x:c>
      <x:c r="E284" s="22" t="str">
        <x:f>"63902831000179"</x:f>
        <x:v>63902831000179</x:v>
      </x:c>
      <x:c r="F284" s="22" t="str">
        <x:f>"033.292.631-13"</x:f>
        <x:v>033.292.631-13</x:v>
      </x:c>
      <x:c r="G284" s="22" t="str">
        <x:f>"03329263113"</x:f>
        <x:v>03329263113</x:v>
      </x:c>
      <x:c r="H284" s="23" t="str">
        <x:v>luizandre.mateus2122@gmail.com</x:v>
      </x:c>
      <x:c r="I284" s="22" t="str">
        <x:f>"65 99355 4546"</x:f>
        <x:v>65 99355 4546</x:v>
      </x:c>
      <x:c r="J284" s="23" t="str">
        <x:v>SPOT</x:v>
      </x:c>
      <x:c r="K284" s="23" t="str">
        <x:v>favored_only</x:v>
      </x:c>
      <x:c r="L284" s="24" t="b">
        <x:v>1</x:v>
      </x:c>
      <x:c r="M284" s="23" t="n">
        <x:v>1</x:v>
      </x:c>
      <x:c r="N284" s="28" t="n">
        <x:v>46203.9219084375</x:v>
      </x:c>
      <x:c r="O284" s="28" t="n">
        <x:v>46219.812988715275</x:v>
      </x:c>
      <x:c r="P284" s="23" t="str">
        <x:v>ARAPUTANGA</x:v>
      </x:c>
      <x:c r="Q284" s="30" t="n">
        <x:v>33209</x:v>
      </x:c>
      <x:c r="R284" s="22" t="str">
        <x:f>"17368570 SSP MT"</x:f>
        <x:v>17368570 SSP MT</x:v>
      </x:c>
      <x:c r="S284" s="23" t="str">
        <x:v>masculino</x:v>
      </x:c>
      <x:c r="T284" s="22" t="str">
        <x:f>"BCO2H49"</x:f>
        <x:v>BCO2H49</x:v>
      </x:c>
      <x:c r="U284" s="23" t="str">
        <x:v>ANDRE LUIZ MATEUS DE MENEZES</x:v>
      </x:c>
      <x:c r="V284" s="22" t="str">
        <x:f>"033.292.631-13"</x:f>
        <x:v>033.292.631-13</x:v>
      </x:c>
      <x:c r="W284" s="22" t="str">
        <x:f>"03329263113"</x:f>
        <x:v>03329263113</x:v>
      </x:c>
      <x:c r="X284" s="23" t="str">
        <x:v>luizandre.mateus2122@gmail.com</x:v>
      </x:c>
      <x:c r="Y284" s="22" t="str">
        <x:f>"65 99355 4546"</x:f>
        <x:v>65 99355 4546</x:v>
      </x:c>
      <x:c r="Z284" s="30" t="n">
        <x:v>46393</x:v>
      </x:c>
    </x:row>
    <x:row r="285" ht="18" customHeight="1">
      <x:c r="A285" s="22" t="str">
        <x:f>"b287a6b2-4bd5-4c29-bb19-9becea68246b"</x:f>
        <x:v>b287a6b2-4bd5-4c29-bb19-9becea68246b</x:v>
      </x:c>
      <x:c r="B285" s="23" t="str">
        <x:v>ANDRE LUIZ MONTEIRO ALVES</x:v>
      </x:c>
      <x:c r="C285" s="23" t="str">
        <x:v>andre luiz monteiro alves</x:v>
      </x:c>
      <x:c r="D285" s="22" t="str">
        <x:f>"52.664.355/0001-89"</x:f>
        <x:v>52.664.355/0001-89</x:v>
      </x:c>
      <x:c r="E285" s="22" t="str">
        <x:f>"52664355000189"</x:f>
        <x:v>52664355000189</x:v>
      </x:c>
      <x:c r="F285" s="22" t="str">
        <x:f>"098.968.086-00"</x:f>
        <x:v>098.968.086-00</x:v>
      </x:c>
      <x:c r="G285" s="22" t="str">
        <x:f>"09896808600"</x:f>
        <x:v>09896808600</x:v>
      </x:c>
      <x:c r="H285" s="23" t="str">
        <x:v>andrezim.condor@gmail.com</x:v>
      </x:c>
      <x:c r="I285" s="22" t="str">
        <x:f>"34920009618"</x:f>
        <x:v>34920009618</x:v>
      </x:c>
      <x:c r="J285" s="23" t="str">
        <x:v>SPOT</x:v>
      </x:c>
      <x:c r="K285" s="23" t="str">
        <x:v>favored_only</x:v>
      </x:c>
      <x:c r="L285" s="24" t="b">
        <x:v>1</x:v>
      </x:c>
      <x:c r="M285" s="23" t="n">
        <x:v>1</x:v>
      </x:c>
      <x:c r="N285" s="28" t="n">
        <x:v>46205.605219386576</x:v>
      </x:c>
      <x:c r="O285" s="28" t="n">
        <x:v>46219.812988715275</x:v>
      </x:c>
      <x:c r="P285" s="23" t="str">
        <x:v>ARAXÁ</x:v>
      </x:c>
      <x:c r="Q285" s="30" t="n">
        <x:v>32427</x:v>
      </x:c>
      <x:c r="R285" s="22" t="str">
        <x:f>"15529539"</x:f>
        <x:v>15529539</x:v>
      </x:c>
      <x:c r="S285" s="23" t="str">
        <x:v>masculino</x:v>
      </x:c>
      <x:c r="T285" s="22" t="str">
        <x:f>"RFN3F73"</x:f>
        <x:v>RFN3F73</x:v>
      </x:c>
      <x:c r="U285" s="23" t="str">
        <x:v>GIVAGO AUGUSTO REZENDE SILVA</x:v>
      </x:c>
      <x:c r="V285" s="22" t="str">
        <x:f>"101.346.146-07"</x:f>
        <x:v>101.346.146-07</x:v>
      </x:c>
      <x:c r="W285" s="22" t="str">
        <x:f>"10134614607"</x:f>
        <x:v>10134614607</x:v>
      </x:c>
      <x:c r="X285" s="23" t="str">
        <x:v>givagoaugusto28@hotmail.com</x:v>
      </x:c>
      <x:c r="Y285" s="22" t="str">
        <x:f>"34 9247-2640"</x:f>
        <x:v>34 9247-2640</x:v>
      </x:c>
      <x:c r="Z285" s="30" t="n">
        <x:v>46406</x:v>
      </x:c>
    </x:row>
    <x:row r="286" ht="18" customHeight="1">
      <x:c r="A286" s="22" t="str">
        <x:f>"3b4fc7c4-ab5b-446c-8df0-6b86ec6c64fc"</x:f>
        <x:v>3b4fc7c4-ab5b-446c-8df0-6b86ec6c64fc</x:v>
      </x:c>
      <x:c r="B286" s="23" t="str">
        <x:v>ANDRE LUIZ PAPA DA SILVA</x:v>
      </x:c>
      <x:c r="C286" s="23" t="str">
        <x:v>andre luiz papa da silva</x:v>
      </x:c>
      <x:c r="D286" s="22" t="str">
        <x:f>"63.635.231/0001-91"</x:f>
        <x:v>63.635.231/0001-91</x:v>
      </x:c>
      <x:c r="E286" s="22" t="str">
        <x:f>"63635231000191"</x:f>
        <x:v>63635231000191</x:v>
      </x:c>
      <x:c r="F286" s="22" t="str">
        <x:f>"533.797.068-25"</x:f>
        <x:v>533.797.068-25</x:v>
      </x:c>
      <x:c r="G286" s="22" t="str">
        <x:f>"53379706825"</x:f>
        <x:v>53379706825</x:v>
      </x:c>
      <x:c r="H286" s="23" t="str">
        <x:v>ANDREPRODUTOR2808@GMAIL.COM</x:v>
      </x:c>
      <x:c r="I286" s="22" t="str">
        <x:f>"14996624363"</x:f>
        <x:v>14996624363</x:v>
      </x:c>
      <x:c r="J286" s="23" t="str">
        <x:v>RENTAL</x:v>
      </x:c>
      <x:c r="K286" s="23" t="str">
        <x:v>rental_company</x:v>
      </x:c>
      <x:c r="L286" s="24" t="b">
        <x:v>1</x:v>
      </x:c>
      <x:c r="M286" s="23" t="n">
        <x:v>1</x:v>
      </x:c>
      <x:c r="N286" s="28" t="n">
        <x:v>46203.92189349537</x:v>
      </x:c>
      <x:c r="O286" s="28" t="n">
        <x:v>46219.812988715275</x:v>
      </x:c>
      <x:c r="P286" s="23" t="str">
        <x:v>MARILIA</x:v>
      </x:c>
      <x:c r="Q286" s="30" t="n">
        <x:v>37496</x:v>
      </x:c>
      <x:c r="R286" s="22" t="str">
        <x:f>"502944638"</x:f>
        <x:v>502944638</x:v>
      </x:c>
      <x:c r="S286" s="23" t="str">
        <x:v>masculino</x:v>
      </x:c>
      <x:c r="T286" s="22" t="str"/>
      <x:c r="U286" s="23" t="str">
        <x:v>ANDRE LUIZ PAPA DA SILVA</x:v>
      </x:c>
      <x:c r="V286" s="22" t="str">
        <x:f>"533.797.068-25"</x:f>
        <x:v>533.797.068-25</x:v>
      </x:c>
      <x:c r="W286" s="22" t="str">
        <x:f>"53379706825"</x:f>
        <x:v>53379706825</x:v>
      </x:c>
      <x:c r="X286" s="23" t="str">
        <x:v>ANDREPRODUTOR2808@GMAIL.COM</x:v>
      </x:c>
      <x:c r="Y286" s="22" t="str">
        <x:f>"14996624363"</x:f>
        <x:v>14996624363</x:v>
      </x:c>
      <x:c r="Z286" s="30" t="n">
        <x:v>46339</x:v>
      </x:c>
    </x:row>
    <x:row r="287" ht="18" customHeight="1">
      <x:c r="A287" s="22" t="str">
        <x:f>"e4cc30d4-9bb9-4209-9867-b29ef639265b"</x:f>
        <x:v>e4cc30d4-9bb9-4209-9867-b29ef639265b</x:v>
      </x:c>
      <x:c r="B287" s="23" t="str">
        <x:v>ANDRE LUIZ SOUZA DO AMARAL</x:v>
      </x:c>
      <x:c r="C287" s="23" t="str">
        <x:v>andre luiz souza do amaral</x:v>
      </x:c>
      <x:c r="D287" s="22" t="str">
        <x:f>"63.406.352/0001-61"</x:f>
        <x:v>63.406.352/0001-61</x:v>
      </x:c>
      <x:c r="E287" s="22" t="str">
        <x:f>"63406352000161"</x:f>
        <x:v>63406352000161</x:v>
      </x:c>
      <x:c r="F287" s="22" t="str">
        <x:f>"075.643.407-62"</x:f>
        <x:v>075.643.407-62</x:v>
      </x:c>
      <x:c r="G287" s="22" t="str">
        <x:f>"07564340762"</x:f>
        <x:v>07564340762</x:v>
      </x:c>
      <x:c r="H287" s="23" t="str">
        <x:v>andreamaral183@gmail.com</x:v>
      </x:c>
      <x:c r="I287" s="22" t="str">
        <x:f>"21994008039"</x:f>
        <x:v>21994008039</x:v>
      </x:c>
      <x:c r="J287" s="23" t="str">
        <x:v>SPOT</x:v>
      </x:c>
      <x:c r="K287" s="23" t="str">
        <x:v>favored_only</x:v>
      </x:c>
      <x:c r="L287" s="24" t="b">
        <x:v>1</x:v>
      </x:c>
      <x:c r="M287" s="23" t="n">
        <x:v>1</x:v>
      </x:c>
      <x:c r="N287" s="28" t="n">
        <x:v>46203.92188238426</x:v>
      </x:c>
      <x:c r="O287" s="28" t="n">
        <x:v>46219.812988715275</x:v>
      </x:c>
      <x:c r="P287" s="23" t="str">
        <x:v>CORDOVIL</x:v>
      </x:c>
      <x:c r="Q287" s="30" t="n">
        <x:v>27627</x:v>
      </x:c>
      <x:c r="R287" s="22" t="str">
        <x:f>"99279515"</x:f>
        <x:v>99279515</x:v>
      </x:c>
      <x:c r="S287" s="23" t="str">
        <x:v>masculino</x:v>
      </x:c>
      <x:c r="T287" s="22" t="str">
        <x:f>"KXA4953"</x:f>
        <x:v>KXA4953</x:v>
      </x:c>
      <x:c r="U287" s="23" t="str">
        <x:v>ANDRE LUIZ SOUZA DO AMARAL</x:v>
      </x:c>
      <x:c r="V287" s="22" t="str">
        <x:f>"075.643.407-62"</x:f>
        <x:v>075.643.407-62</x:v>
      </x:c>
      <x:c r="W287" s="22" t="str">
        <x:f>"07564340762"</x:f>
        <x:v>07564340762</x:v>
      </x:c>
      <x:c r="X287" s="23" t="str">
        <x:v>andreamaral183@gmail.com</x:v>
      </x:c>
      <x:c r="Y287" s="22" t="str">
        <x:f>"21994008039"</x:f>
        <x:v>21994008039</x:v>
      </x:c>
      <x:c r="Z287" s="30" t="n">
        <x:v>46324</x:v>
      </x:c>
    </x:row>
    <x:row r="288" ht="18" customHeight="1">
      <x:c r="A288" s="22" t="str">
        <x:f>"1bb8981f-16c8-455f-bc63-a5873b04e843"</x:f>
        <x:v>1bb8981f-16c8-455f-bc63-a5873b04e843</x:v>
      </x:c>
      <x:c r="B288" s="23" t="str">
        <x:v>ANDRE MARCOS LEITE FERREIRA</x:v>
      </x:c>
      <x:c r="C288" s="23" t="str">
        <x:v>andre marcos leite ferreira</x:v>
      </x:c>
      <x:c r="D288" s="22" t="str">
        <x:f>"62.396.206/0001-30"</x:f>
        <x:v>62.396.206/0001-30</x:v>
      </x:c>
      <x:c r="E288" s="22" t="str">
        <x:f>"62396206000130"</x:f>
        <x:v>62396206000130</x:v>
      </x:c>
      <x:c r="F288" s="22" t="str">
        <x:f>"117.466.916-03"</x:f>
        <x:v>117.466.916-03</x:v>
      </x:c>
      <x:c r="G288" s="22" t="str">
        <x:f>"11746691603"</x:f>
        <x:v>11746691603</x:v>
      </x:c>
      <x:c r="H288" s="23" t="str">
        <x:v>amfmimprts2023@gmail.com</x:v>
      </x:c>
      <x:c r="I288" s="22" t="str">
        <x:f>"31986995702"</x:f>
        <x:v>31986995702</x:v>
      </x:c>
      <x:c r="J288" s="23" t="str">
        <x:v>RENTALS</x:v>
      </x:c>
      <x:c r="K288" s="23" t="str">
        <x:v>rental_company</x:v>
      </x:c>
      <x:c r="L288" s="24" t="b">
        <x:v>1</x:v>
      </x:c>
      <x:c r="M288" s="23" t="n">
        <x:v>1</x:v>
      </x:c>
      <x:c r="N288" s="28" t="n">
        <x:v>46219.812988715275</x:v>
      </x:c>
      <x:c r="O288" s="28" t="n">
        <x:v>46219.812988715275</x:v>
      </x:c>
      <x:c r="P288" s="23" t="str">
        <x:v>GUANHAES</x:v>
      </x:c>
      <x:c r="Q288" s="30" t="n">
        <x:v>34096</x:v>
      </x:c>
      <x:c r="R288" s="22" t="str">
        <x:f>"16932551"</x:f>
        <x:v>16932551</x:v>
      </x:c>
      <x:c r="S288" s="23" t="str">
        <x:v>masculino</x:v>
      </x:c>
      <x:c r="T288" s="22" t="str"/>
      <x:c r="U288" s="23" t="str">
        <x:v>ANDRE MARCOS LEITE FERREIRA</x:v>
      </x:c>
      <x:c r="V288" s="22" t="str">
        <x:f>"117.466.916-03"</x:f>
        <x:v>117.466.916-03</x:v>
      </x:c>
      <x:c r="W288" s="22" t="str">
        <x:f>"11746691603"</x:f>
        <x:v>11746691603</x:v>
      </x:c>
      <x:c r="X288" s="23" t="str">
        <x:v>amfmimprts2023@gmail.com</x:v>
      </x:c>
      <x:c r="Y288" s="22" t="str">
        <x:f>"31986995702"</x:f>
        <x:v>31986995702</x:v>
      </x:c>
      <x:c r="Z288" s="30" t="n">
        <x:v>46492</x:v>
      </x:c>
    </x:row>
    <x:row r="289" ht="18" customHeight="1">
      <x:c r="A289" s="22" t="str">
        <x:f>"ec0d60ec-24aa-4d33-b500-a225987268ca"</x:f>
        <x:v>ec0d60ec-24aa-4d33-b500-a225987268ca</x:v>
      </x:c>
      <x:c r="B289" s="23" t="str">
        <x:v>ANDRE PEREIRA CAMPOS DOS SANTOS</x:v>
      </x:c>
      <x:c r="C289" s="23" t="str">
        <x:v>andre pereira campos dos santos</x:v>
      </x:c>
      <x:c r="D289" s="22" t="str">
        <x:f>"66.239.842/0001-09"</x:f>
        <x:v>66.239.842/0001-09</x:v>
      </x:c>
      <x:c r="E289" s="22" t="str">
        <x:f>"66239842000109"</x:f>
        <x:v>66239842000109</x:v>
      </x:c>
      <x:c r="F289" s="22" t="str">
        <x:f>"040.236.591-77"</x:f>
        <x:v>040.236.591-77</x:v>
      </x:c>
      <x:c r="G289" s="22" t="str">
        <x:f>"04023659177"</x:f>
        <x:v>04023659177</x:v>
      </x:c>
      <x:c r="H289" s="23" t="str">
        <x:v>andre.campos959@gmail.com</x:v>
      </x:c>
      <x:c r="I289" s="22" t="str">
        <x:f>"62982204134"</x:f>
        <x:v>62982204134</x:v>
      </x:c>
      <x:c r="J289" s="23" t="str">
        <x:v>RENTAL</x:v>
      </x:c>
      <x:c r="K289" s="23" t="str">
        <x:v>rental_company</x:v>
      </x:c>
      <x:c r="L289" s="24" t="b">
        <x:v>1</x:v>
      </x:c>
      <x:c r="M289" s="23" t="n">
        <x:v>1</x:v>
      </x:c>
      <x:c r="N289" s="28" t="n">
        <x:v>46219.812988715275</x:v>
      </x:c>
      <x:c r="O289" s="28" t="n">
        <x:v>46219.812988715275</x:v>
      </x:c>
      <x:c r="P289" s="23" t="str">
        <x:v>GOIANIA</x:v>
      </x:c>
      <x:c r="Q289" s="30" t="n">
        <x:v>33778</x:v>
      </x:c>
      <x:c r="R289" s="22" t="str">
        <x:f>"5595555"</x:f>
        <x:v>5595555</x:v>
      </x:c>
      <x:c r="S289" s="23" t="str">
        <x:v>masculino</x:v>
      </x:c>
      <x:c r="T289" s="22" t="str"/>
      <x:c r="U289" s="23" t="str">
        <x:v>ANDRE PEREIRA CAMPOS DOS SANTOS</x:v>
      </x:c>
      <x:c r="V289" s="22" t="str">
        <x:f>"040.236.591-77"</x:f>
        <x:v>040.236.591-77</x:v>
      </x:c>
      <x:c r="W289" s="22" t="str">
        <x:f>"04023659177"</x:f>
        <x:v>04023659177</x:v>
      </x:c>
      <x:c r="X289" s="23" t="str">
        <x:v>andre.campos959@gmail.com</x:v>
      </x:c>
      <x:c r="Y289" s="22" t="str">
        <x:f>"62982204134"</x:f>
        <x:v>62982204134</x:v>
      </x:c>
      <x:c r="Z289" s="30" t="n">
        <x:v>46569</x:v>
      </x:c>
    </x:row>
    <x:row r="290" ht="18" customHeight="1">
      <x:c r="A290" s="22" t="str">
        <x:f>"43925ca4-6f44-46f1-92c5-545f7db2ea06"</x:f>
        <x:v>43925ca4-6f44-46f1-92c5-545f7db2ea06</x:v>
      </x:c>
      <x:c r="B290" s="23" t="str">
        <x:v>ANDRE SOUZA DE ALMEIDA</x:v>
      </x:c>
      <x:c r="C290" s="23" t="str">
        <x:v>andre souza de almeida</x:v>
      </x:c>
      <x:c r="D290" s="22" t="str">
        <x:f>"65.870.923/0001-40"</x:f>
        <x:v>65.870.923/0001-40</x:v>
      </x:c>
      <x:c r="E290" s="22" t="str">
        <x:f>"65870923000140"</x:f>
        <x:v>65870923000140</x:v>
      </x:c>
      <x:c r="F290" s="22" t="str">
        <x:f>"125.313.687-44"</x:f>
        <x:v>125.313.687-44</x:v>
      </x:c>
      <x:c r="G290" s="22" t="str">
        <x:f>"12531368744"</x:f>
        <x:v>12531368744</x:v>
      </x:c>
      <x:c r="H290" s="23" t="str">
        <x:v>adr.andre@yahoo.com.br</x:v>
      </x:c>
      <x:c r="I290" s="22" t="str">
        <x:f>"21 985921897"</x:f>
        <x:v>21 985921897</x:v>
      </x:c>
      <x:c r="J290" s="23" t="str">
        <x:v>SPOT</x:v>
      </x:c>
      <x:c r="K290" s="23" t="str">
        <x:v>favored_only</x:v>
      </x:c>
      <x:c r="L290" s="24" t="b">
        <x:v>1</x:v>
      </x:c>
      <x:c r="M290" s="23" t="n">
        <x:v>1</x:v>
      </x:c>
      <x:c r="N290" s="28" t="n">
        <x:v>46219.812988715275</x:v>
      </x:c>
      <x:c r="O290" s="28" t="n">
        <x:v>46219.812988715275</x:v>
      </x:c>
      <x:c r="P290" s="23" t="str">
        <x:v>CORDOVIL</x:v>
      </x:c>
      <x:c r="Q290" s="30" t="n">
        <x:v>32092</x:v>
      </x:c>
      <x:c r="R290" s="22" t="str">
        <x:f>"215550963"</x:f>
        <x:v>215550963</x:v>
      </x:c>
      <x:c r="S290" s="23" t="str">
        <x:v>masculino</x:v>
      </x:c>
      <x:c r="T290" s="22" t="str">
        <x:f>"KRI3G82"</x:f>
        <x:v>KRI3G82</x:v>
      </x:c>
      <x:c r="U290" s="23" t="str">
        <x:v>ANDRE SOUZA DE ALMEIDA</x:v>
      </x:c>
      <x:c r="V290" s="22" t="str">
        <x:f>"125.313.687-44"</x:f>
        <x:v>125.313.687-44</x:v>
      </x:c>
      <x:c r="W290" s="22" t="str">
        <x:f>"12531368744"</x:f>
        <x:v>12531368744</x:v>
      </x:c>
      <x:c r="X290" s="23" t="str">
        <x:v>adr.andre@yahoo.com.br</x:v>
      </x:c>
      <x:c r="Y290" s="22" t="str">
        <x:f>"21 985921897"</x:f>
        <x:v>21 985921897</x:v>
      </x:c>
      <x:c r="Z290" s="30" t="n">
        <x:v>46492</x:v>
      </x:c>
    </x:row>
    <x:row r="291" ht="18" customHeight="1">
      <x:c r="A291" s="22" t="str">
        <x:f>"61b2d290-3de3-4de9-91dd-67484f2da3e3"</x:f>
        <x:v>61b2d290-3de3-4de9-91dd-67484f2da3e3</x:v>
      </x:c>
      <x:c r="B291" s="23" t="str">
        <x:v>ANDRESSA DUARTE DA SILVA</x:v>
      </x:c>
      <x:c r="C291" s="23" t="str">
        <x:v>andressa duarte da silva</x:v>
      </x:c>
      <x:c r="D291" s="22" t="str">
        <x:f>"64.872.679/0001-91"</x:f>
        <x:v>64.872.679/0001-91</x:v>
      </x:c>
      <x:c r="E291" s="22" t="str">
        <x:f>"64872679000191"</x:f>
        <x:v>64872679000191</x:v>
      </x:c>
      <x:c r="F291" s="22" t="str">
        <x:f>"044.043.691-58"</x:f>
        <x:v>044.043.691-58</x:v>
      </x:c>
      <x:c r="G291" s="22" t="str">
        <x:f>"04404369158"</x:f>
        <x:v>04404369158</x:v>
      </x:c>
      <x:c r="H291" s="23" t="str">
        <x:v>andressag0327@gmail.com</x:v>
      </x:c>
      <x:c r="I291" s="22" t="str">
        <x:f>"65992949919"</x:f>
        <x:v>65992949919</x:v>
      </x:c>
      <x:c r="J291" s="23" t="str">
        <x:v>SPOT</x:v>
      </x:c>
      <x:c r="K291" s="23" t="str">
        <x:v>favored_only</x:v>
      </x:c>
      <x:c r="L291" s="24" t="b">
        <x:v>1</x:v>
      </x:c>
      <x:c r="M291" s="23" t="n">
        <x:v>1</x:v>
      </x:c>
      <x:c r="N291" s="28" t="n">
        <x:v>46219.812988715275</x:v>
      </x:c>
      <x:c r="O291" s="28" t="n">
        <x:v>46219.812988715275</x:v>
      </x:c>
      <x:c r="P291" s="23" t="str">
        <x:v>CUIABA</x:v>
      </x:c>
      <x:c r="Q291" s="30" t="n">
        <x:v>34846</x:v>
      </x:c>
      <x:c r="R291" s="22" t="str">
        <x:f>"23461691"</x:f>
        <x:v>23461691</x:v>
      </x:c>
      <x:c r="S291" s="23" t="str">
        <x:v>feminino</x:v>
      </x:c>
      <x:c r="T291" s="22" t="str">
        <x:f>"QQX1B54"</x:f>
        <x:v>QQX1B54</x:v>
      </x:c>
      <x:c r="U291" s="23" t="str">
        <x:v>ANDRESSA DUARTE DA SILVA</x:v>
      </x:c>
      <x:c r="V291" s="22" t="str">
        <x:f>"044.043.691-58"</x:f>
        <x:v>044.043.691-58</x:v>
      </x:c>
      <x:c r="W291" s="22" t="str">
        <x:f>"04404369158"</x:f>
        <x:v>04404369158</x:v>
      </x:c>
      <x:c r="X291" s="23" t="str">
        <x:v>andressag0327@gmail.com</x:v>
      </x:c>
      <x:c r="Y291" s="22" t="str">
        <x:f>"65992949919"</x:f>
        <x:v>65992949919</x:v>
      </x:c>
      <x:c r="Z291" s="30" t="n">
        <x:v>46449</x:v>
      </x:c>
    </x:row>
    <x:row r="292" ht="18" customHeight="1">
      <x:c r="A292" s="22" t="str">
        <x:f>"990f53b1-1b3e-49e2-890c-718090dcace3"</x:f>
        <x:v>990f53b1-1b3e-49e2-890c-718090dcace3</x:v>
      </x:c>
      <x:c r="B292" s="23" t="str">
        <x:v>ANDRESSA POYARES FIGALO</x:v>
      </x:c>
      <x:c r="C292" s="23" t="str">
        <x:v>andressa poyares figalo</x:v>
      </x:c>
      <x:c r="D292" s="22" t="str">
        <x:f>"60.967.524/0001-88"</x:f>
        <x:v>60.967.524/0001-88</x:v>
      </x:c>
      <x:c r="E292" s="22" t="str">
        <x:f>"60967524000188"</x:f>
        <x:v>60967524000188</x:v>
      </x:c>
      <x:c r="F292" s="22" t="str">
        <x:f>"118.986.617-07"</x:f>
        <x:v>118.986.617-07</x:v>
      </x:c>
      <x:c r="G292" s="22" t="str">
        <x:f>"11898661707"</x:f>
        <x:v>11898661707</x:v>
      </x:c>
      <x:c r="H292" s="23" t="str">
        <x:v>andressafigalo92@gmail.com</x:v>
      </x:c>
      <x:c r="I292" s="22" t="str">
        <x:f>"27 9 9201-8360"</x:f>
        <x:v>27 9 9201-8360</x:v>
      </x:c>
      <x:c r="J292" s="23" t="str">
        <x:v>SPOT</x:v>
      </x:c>
      <x:c r="K292" s="23" t="str">
        <x:v>favored_only</x:v>
      </x:c>
      <x:c r="L292" s="24" t="b">
        <x:v>1</x:v>
      </x:c>
      <x:c r="M292" s="23" t="n">
        <x:v>1</x:v>
      </x:c>
      <x:c r="N292" s="28" t="n">
        <x:v>46218.62115420139</x:v>
      </x:c>
      <x:c r="O292" s="28" t="n">
        <x:v>46218.62115420139</x:v>
      </x:c>
      <x:c r="P292" s="23" t="str"/>
      <x:c r="Q292" s="30" t="n">
        <x:v>30834</x:v>
      </x:c>
      <x:c r="R292" s="22" t="str">
        <x:f>"123644544"</x:f>
        <x:v>123644544</x:v>
      </x:c>
      <x:c r="S292" s="23" t="str">
        <x:v>Feminino</x:v>
      </x:c>
      <x:c r="T292" s="22" t="str">
        <x:f>"AYB0J04"</x:f>
        <x:v>AYB0J04</x:v>
      </x:c>
      <x:c r="U292" s="23" t="str">
        <x:v>ANDRESSA POYARES FIGALO</x:v>
      </x:c>
      <x:c r="V292" s="22" t="str">
        <x:f>"118.986.617-07"</x:f>
        <x:v>118.986.617-07</x:v>
      </x:c>
      <x:c r="W292" s="22" t="str">
        <x:f>"11898661707"</x:f>
        <x:v>11898661707</x:v>
      </x:c>
      <x:c r="X292" s="23" t="str">
        <x:v>andressafigalo92@gmail.com</x:v>
      </x:c>
      <x:c r="Y292" s="22" t="str">
        <x:f>"27 9 9201-8360"</x:f>
        <x:v>27 9 9201-8360</x:v>
      </x:c>
      <x:c r="Z292" s="30" t="n">
        <x:v>46246</x:v>
      </x:c>
    </x:row>
    <x:row r="293" ht="18" customHeight="1">
      <x:c r="A293" s="22" t="str">
        <x:f>"22c1d56d-f114-406f-a397-c8c48505c89b"</x:f>
        <x:v>22c1d56d-f114-406f-a397-c8c48505c89b</x:v>
      </x:c>
      <x:c r="B293" s="23" t="str">
        <x:v>ANDRE ULISSES DAVID</x:v>
      </x:c>
      <x:c r="C293" s="23" t="str">
        <x:v>andre ulisses david</x:v>
      </x:c>
      <x:c r="D293" s="22" t="str">
        <x:f>"43.372.476/0001-66"</x:f>
        <x:v>43.372.476/0001-66</x:v>
      </x:c>
      <x:c r="E293" s="22" t="str">
        <x:f>"43372476000166"</x:f>
        <x:v>43372476000166</x:v>
      </x:c>
      <x:c r="F293" s="22" t="str">
        <x:f>"258.640.028-36"</x:f>
        <x:v>258.640.028-36</x:v>
      </x:c>
      <x:c r="G293" s="22" t="str">
        <x:f>"25864002836"</x:f>
        <x:v>25864002836</x:v>
      </x:c>
      <x:c r="H293" s="23" t="str">
        <x:v>andre.u.david@hotmail.com</x:v>
      </x:c>
      <x:c r="I293" s="22" t="str">
        <x:f>"16 99779-2562"</x:f>
        <x:v>16 99779-2562</x:v>
      </x:c>
      <x:c r="J293" s="23" t="str">
        <x:v>SPOT</x:v>
      </x:c>
      <x:c r="K293" s="23" t="str">
        <x:v>favored_only</x:v>
      </x:c>
      <x:c r="L293" s="24" t="b">
        <x:v>1</x:v>
      </x:c>
      <x:c r="M293" s="23" t="n">
        <x:v>1</x:v>
      </x:c>
      <x:c r="N293" s="28" t="n">
        <x:v>46219.812988715275</x:v>
      </x:c>
      <x:c r="O293" s="28" t="n">
        <x:v>46219.812988715275</x:v>
      </x:c>
      <x:c r="P293" s="23" t="str">
        <x:v>BARRETOS</x:v>
      </x:c>
      <x:c r="Q293" s="30" t="n">
        <x:v>27872</x:v>
      </x:c>
      <x:c r="R293" s="22" t="str">
        <x:f>"25145636"</x:f>
        <x:v>25145636</x:v>
      </x:c>
      <x:c r="S293" s="23" t="str">
        <x:v>masculino</x:v>
      </x:c>
      <x:c r="T293" s="22" t="str">
        <x:f>"GFJ9G69"</x:f>
        <x:v>GFJ9G69</x:v>
      </x:c>
      <x:c r="U293" s="23" t="str">
        <x:v>ANDRE ULISSES DAVID</x:v>
      </x:c>
      <x:c r="V293" s="22" t="str">
        <x:f>"258.640.028-36"</x:f>
        <x:v>258.640.028-36</x:v>
      </x:c>
      <x:c r="W293" s="22" t="str">
        <x:f>"25864002836"</x:f>
        <x:v>25864002836</x:v>
      </x:c>
      <x:c r="X293" s="23" t="str">
        <x:v>andre.u.david@hotmail.com</x:v>
      </x:c>
      <x:c r="Y293" s="22" t="str">
        <x:f>"16 99779-2562"</x:f>
        <x:v>16 99779-2562</x:v>
      </x:c>
      <x:c r="Z293" s="30" t="n">
        <x:v>46445</x:v>
      </x:c>
    </x:row>
    <x:row r="294" ht="18" customHeight="1">
      <x:c r="A294" s="22" t="str">
        <x:f>"05eeaeae-0a3b-43c9-a68f-1188e7191597"</x:f>
        <x:v>05eeaeae-0a3b-43c9-a68f-1188e7191597</x:v>
      </x:c>
      <x:c r="B294" s="23" t="str">
        <x:v>ANDRE VITOR SANTOS LAPOLA</x:v>
      </x:c>
      <x:c r="C294" s="23" t="str">
        <x:v>andre vitor santos lapola</x:v>
      </x:c>
      <x:c r="D294" s="22" t="str">
        <x:f>"67.546.514/0001-18"</x:f>
        <x:v>67.546.514/0001-18</x:v>
      </x:c>
      <x:c r="E294" s="22" t="str">
        <x:f>"67546514000118"</x:f>
        <x:v>67546514000118</x:v>
      </x:c>
      <x:c r="F294" s="22" t="str">
        <x:f>"486.819.558-10"</x:f>
        <x:v>486.819.558-10</x:v>
      </x:c>
      <x:c r="G294" s="22" t="str">
        <x:f>"48681955810"</x:f>
        <x:v>48681955810</x:v>
      </x:c>
      <x:c r="H294" s="23" t="str">
        <x:v>andrevitormap@gmail.com</x:v>
      </x:c>
      <x:c r="I294" s="22" t="str">
        <x:f>"17 99189-5024"</x:f>
        <x:v>17 99189-5024</x:v>
      </x:c>
      <x:c r="J294" s="23" t="str">
        <x:v>RENTAL</x:v>
      </x:c>
      <x:c r="K294" s="23" t="str">
        <x:v>rental_company</x:v>
      </x:c>
      <x:c r="L294" s="24" t="b">
        <x:v>1</x:v>
      </x:c>
      <x:c r="M294" s="23" t="n">
        <x:v>1</x:v>
      </x:c>
      <x:c r="N294" s="28" t="n">
        <x:v>46219.812988715275</x:v>
      </x:c>
      <x:c r="O294" s="28" t="n">
        <x:v>46219.812988715275</x:v>
      </x:c>
      <x:c r="P294" s="23" t="str">
        <x:v>SÃO JOSE DO RIO PRETO</x:v>
      </x:c>
      <x:c r="Q294" s="30" t="n">
        <x:v>36556</x:v>
      </x:c>
      <x:c r="R294" s="22" t="str">
        <x:f>"59373833"</x:f>
        <x:v>59373833</x:v>
      </x:c>
      <x:c r="S294" s="23" t="str">
        <x:v>masculino</x:v>
      </x:c>
      <x:c r="T294" s="22" t="str"/>
      <x:c r="U294" s="23" t="str">
        <x:v>ANDRE VITOR SANTOS LAPOLA</x:v>
      </x:c>
      <x:c r="V294" s="22" t="str">
        <x:f>"486.819.558-10"</x:f>
        <x:v>486.819.558-10</x:v>
      </x:c>
      <x:c r="W294" s="22" t="str">
        <x:f>"48681955810"</x:f>
        <x:v>48681955810</x:v>
      </x:c>
      <x:c r="X294" s="23" t="str">
        <x:v>andrevitormap@gmail.com</x:v>
      </x:c>
      <x:c r="Y294" s="22" t="str">
        <x:f>"17 99189-5024"</x:f>
        <x:v>17 99189-5024</x:v>
      </x:c>
      <x:c r="Z294" s="30" t="n">
        <x:v>46555</x:v>
      </x:c>
    </x:row>
    <x:row r="295" ht="18" customHeight="1">
      <x:c r="A295" s="22" t="str">
        <x:f>"51369458-a8be-47a2-b75a-51bcfbfa0a91"</x:f>
        <x:v>51369458-a8be-47a2-b75a-51bcfbfa0a91</x:v>
      </x:c>
      <x:c r="B295" s="23" t="str">
        <x:v>ANDREW FERNANDO GODOY DE CASTRO</x:v>
      </x:c>
      <x:c r="C295" s="23" t="str">
        <x:v>andrew fernando godoy de castro</x:v>
      </x:c>
      <x:c r="D295" s="22" t="str">
        <x:f>"63.107.027/0001-06"</x:f>
        <x:v>63.107.027/0001-06</x:v>
      </x:c>
      <x:c r="E295" s="22" t="str">
        <x:f>"63107027000106"</x:f>
        <x:v>63107027000106</x:v>
      </x:c>
      <x:c r="F295" s="22" t="str">
        <x:f>"578.893.628-46"</x:f>
        <x:v>578.893.628-46</x:v>
      </x:c>
      <x:c r="G295" s="22" t="str">
        <x:f>"57889362846"</x:f>
        <x:v>57889362846</x:v>
      </x:c>
      <x:c r="H295" s="23" t="str">
        <x:v>andrewgfernando2002@gmail.com</x:v>
      </x:c>
      <x:c r="I295" s="22" t="str">
        <x:f>"35991099901"</x:f>
        <x:v>35991099901</x:v>
      </x:c>
      <x:c r="J295" s="23" t="str">
        <x:v>RENTAL</x:v>
      </x:c>
      <x:c r="K295" s="23" t="str">
        <x:v>rental_company</x:v>
      </x:c>
      <x:c r="L295" s="24" t="b">
        <x:v>1</x:v>
      </x:c>
      <x:c r="M295" s="23" t="n">
        <x:v>1</x:v>
      </x:c>
      <x:c r="N295" s="28" t="n">
        <x:v>46203.9218771875</x:v>
      </x:c>
      <x:c r="O295" s="28" t="n">
        <x:v>46219.812988715275</x:v>
      </x:c>
      <x:c r="P295" s="23" t="str">
        <x:v>POUSO ALEGRE</x:v>
      </x:c>
      <x:c r="Q295" s="30" t="n">
        <x:v>38202</x:v>
      </x:c>
      <x:c r="R295" s="22" t="str">
        <x:f>"664096608"</x:f>
        <x:v>664096608</x:v>
      </x:c>
      <x:c r="S295" s="23" t="str">
        <x:v>masculino</x:v>
      </x:c>
      <x:c r="T295" s="22" t="str"/>
      <x:c r="U295" s="23" t="str">
        <x:v>ANDREW FERNANDO GODOY DE CASTRO</x:v>
      </x:c>
      <x:c r="V295" s="22" t="str">
        <x:f>"578.893.628-46"</x:f>
        <x:v>578.893.628-46</x:v>
      </x:c>
      <x:c r="W295" s="22" t="str">
        <x:f>"57889362846"</x:f>
        <x:v>57889362846</x:v>
      </x:c>
      <x:c r="X295" s="23" t="str">
        <x:v>andrewgfernando2002@gmail.com</x:v>
      </x:c>
      <x:c r="Y295" s="22" t="str">
        <x:f>"35991099901"</x:f>
        <x:v>35991099901</x:v>
      </x:c>
      <x:c r="Z295" s="30" t="n">
        <x:v>46311</x:v>
      </x:c>
    </x:row>
    <x:row r="296" ht="18" customHeight="1">
      <x:c r="A296" s="22" t="str">
        <x:f>"d6ac6022-451b-40ef-8701-1ce0852a256a"</x:f>
        <x:v>d6ac6022-451b-40ef-8701-1ce0852a256a</x:v>
      </x:c>
      <x:c r="B296" s="23" t="str">
        <x:v>ANDREW S ALEXSANDER DUTRA TEMPONI</x:v>
      </x:c>
      <x:c r="C296" s="23" t="str">
        <x:v>andrew s alexsander dutra temponi</x:v>
      </x:c>
      <x:c r="D296" s="22" t="str">
        <x:f>"47.008.307/0001-00"</x:f>
        <x:v>47.008.307/0001-00</x:v>
      </x:c>
      <x:c r="E296" s="22" t="str">
        <x:f>"47008307000100"</x:f>
        <x:v>47008307000100</x:v>
      </x:c>
      <x:c r="F296" s="22" t="str">
        <x:f>"155.500.926-38"</x:f>
        <x:v>155.500.926-38</x:v>
      </x:c>
      <x:c r="G296" s="22" t="str">
        <x:f>"15550092638"</x:f>
        <x:v>15550092638</x:v>
      </x:c>
      <x:c r="H296" s="23" t="str">
        <x:v>manecabbage@gmail.com</x:v>
      </x:c>
      <x:c r="I296" s="22" t="str">
        <x:f>"31987584518"</x:f>
        <x:v>31987584518</x:v>
      </x:c>
      <x:c r="J296" s="23" t="str">
        <x:v>SPOT</x:v>
      </x:c>
      <x:c r="K296" s="23" t="str">
        <x:v>favored_only</x:v>
      </x:c>
      <x:c r="L296" s="24" t="b">
        <x:v>1</x:v>
      </x:c>
      <x:c r="M296" s="23" t="n">
        <x:v>1</x:v>
      </x:c>
      <x:c r="N296" s="28" t="n">
        <x:v>46205.60373418981</x:v>
      </x:c>
      <x:c r="O296" s="28" t="n">
        <x:v>46219.812988715275</x:v>
      </x:c>
      <x:c r="P296" s="23" t="str">
        <x:v>IPATINGA</x:v>
      </x:c>
      <x:c r="Q296" s="30" t="n">
        <x:v>36452</x:v>
      </x:c>
      <x:c r="R296" s="22" t="str">
        <x:f>"19653768"</x:f>
        <x:v>19653768</x:v>
      </x:c>
      <x:c r="S296" s="23" t="str">
        <x:v>masculino</x:v>
      </x:c>
      <x:c r="T296" s="22" t="str">
        <x:f>"hcw4i77"</x:f>
        <x:v>hcw4i77</x:v>
      </x:c>
      <x:c r="U296" s="23" t="str">
        <x:v>MAURICIO RODRIGUES DOS SANTOS JUNIOR</x:v>
      </x:c>
      <x:c r="V296" s="22" t="str">
        <x:f>"098.920.416-23"</x:f>
        <x:v>098.920.416-23</x:v>
      </x:c>
      <x:c r="W296" s="22" t="str">
        <x:f>"09892041623"</x:f>
        <x:v>09892041623</x:v>
      </x:c>
      <x:c r="X296" s="23" t="str">
        <x:v>juninho_gdb@yahoo.com.br</x:v>
      </x:c>
      <x:c r="Y296" s="22" t="str">
        <x:f>"31 988214929"</x:f>
        <x:v>31 988214929</x:v>
      </x:c>
      <x:c r="Z296" s="30" t="n">
        <x:v>46274</x:v>
      </x:c>
    </x:row>
    <x:row r="297" ht="18" customHeight="1">
      <x:c r="A297" s="22" t="str">
        <x:f>"44973d72-109c-44b6-a26d-7ac775d94271"</x:f>
        <x:v>44973d72-109c-44b6-a26d-7ac775d94271</x:v>
      </x:c>
      <x:c r="B297" s="23" t="str">
        <x:v>ANDREZA VIRGINIA DA SILVA ARAUJO</x:v>
      </x:c>
      <x:c r="C297" s="23" t="str">
        <x:v>andreza virginia da silva araujo</x:v>
      </x:c>
      <x:c r="D297" s="22" t="str">
        <x:f>"59.366.514/0001-08"</x:f>
        <x:v>59.366.514/0001-08</x:v>
      </x:c>
      <x:c r="E297" s="22" t="str">
        <x:f>"59366514000108"</x:f>
        <x:v>59366514000108</x:v>
      </x:c>
      <x:c r="F297" s="22" t="str">
        <x:f>"051.865.846-57"</x:f>
        <x:v>051.865.846-57</x:v>
      </x:c>
      <x:c r="G297" s="22" t="str">
        <x:f>"05186584657"</x:f>
        <x:v>05186584657</x:v>
      </x:c>
      <x:c r="H297" s="23" t="str">
        <x:v>Andrezanoahs2@gmail.com</x:v>
      </x:c>
      <x:c r="I297" s="22" t="str">
        <x:f>"21986599270"</x:f>
        <x:v>21986599270</x:v>
      </x:c>
      <x:c r="J297" s="23" t="str">
        <x:v>SPOT</x:v>
      </x:c>
      <x:c r="K297" s="23" t="str">
        <x:v>favored_only</x:v>
      </x:c>
      <x:c r="L297" s="24" t="b">
        <x:v>1</x:v>
      </x:c>
      <x:c r="M297" s="23" t="n">
        <x:v>1</x:v>
      </x:c>
      <x:c r="N297" s="28" t="n">
        <x:v>46219.812988715275</x:v>
      </x:c>
      <x:c r="O297" s="28" t="n">
        <x:v>46219.812988715275</x:v>
      </x:c>
      <x:c r="P297" s="23" t="str">
        <x:v>ITABORAI</x:v>
      </x:c>
      <x:c r="Q297" s="30" t="n">
        <x:v>29921</x:v>
      </x:c>
      <x:c r="R297" s="22" t="str">
        <x:f>"13615086"</x:f>
        <x:v>13615086</x:v>
      </x:c>
      <x:c r="S297" s="23" t="str">
        <x:v>feminino</x:v>
      </x:c>
      <x:c r="T297" s="22" t="str">
        <x:f>"GDH5I35"</x:f>
        <x:v>GDH5I35</x:v>
      </x:c>
      <x:c r="U297" s="23" t="str">
        <x:v>ANDREZA VIRGINIA DA SILVA ARAUJO</x:v>
      </x:c>
      <x:c r="V297" s="22" t="str">
        <x:f>"051.865.846-57"</x:f>
        <x:v>051.865.846-57</x:v>
      </x:c>
      <x:c r="W297" s="22" t="str">
        <x:f>"05186584657"</x:f>
        <x:v>05186584657</x:v>
      </x:c>
      <x:c r="X297" s="23" t="str">
        <x:v>Andrezanoahs2@gmail.com</x:v>
      </x:c>
      <x:c r="Y297" s="22" t="str">
        <x:f>"21986599270"</x:f>
        <x:v>21986599270</x:v>
      </x:c>
      <x:c r="Z297" s="30" t="n">
        <x:v>46537</x:v>
      </x:c>
    </x:row>
    <x:row r="298" ht="18" customHeight="1">
      <x:c r="A298" s="22" t="str">
        <x:f>"2e68a00c-8f47-430f-afbb-59e5d4286521"</x:f>
        <x:v>2e68a00c-8f47-430f-afbb-59e5d4286521</x:v>
      </x:c>
      <x:c r="B298" s="23" t="str">
        <x:v>ANDRIEL PEREIRA ALVES</x:v>
      </x:c>
      <x:c r="C298" s="23" t="str">
        <x:v>andriel pereira alves</x:v>
      </x:c>
      <x:c r="D298" s="22" t="str">
        <x:f>"67.214.177/0001-61"</x:f>
        <x:v>67.214.177/0001-61</x:v>
      </x:c>
      <x:c r="E298" s="22" t="str">
        <x:f>"67214177000161"</x:f>
        <x:v>67214177000161</x:v>
      </x:c>
      <x:c r="F298" s="22" t="str">
        <x:f>"112.811.196-95"</x:f>
        <x:v>112.811.196-95</x:v>
      </x:c>
      <x:c r="G298" s="22" t="str">
        <x:f>"11281119695"</x:f>
        <x:v>11281119695</x:v>
      </x:c>
      <x:c r="H298" s="23" t="str">
        <x:v>andrielpa8@gmail.com</x:v>
      </x:c>
      <x:c r="I298" s="22" t="str">
        <x:f>"34997900744"</x:f>
        <x:v>34997900744</x:v>
      </x:c>
      <x:c r="J298" s="23" t="str">
        <x:v>RENTAL</x:v>
      </x:c>
      <x:c r="K298" s="23" t="str">
        <x:v>rental_company</x:v>
      </x:c>
      <x:c r="L298" s="24" t="b">
        <x:v>1</x:v>
      </x:c>
      <x:c r="M298" s="23" t="n">
        <x:v>1</x:v>
      </x:c>
      <x:c r="N298" s="28" t="n">
        <x:v>46219.812988715275</x:v>
      </x:c>
      <x:c r="O298" s="28" t="n">
        <x:v>46219.812988715275</x:v>
      </x:c>
      <x:c r="P298" s="23" t="str">
        <x:v>UBERLANDIA</x:v>
      </x:c>
      <x:c r="Q298" s="30" t="n">
        <x:v>37257</x:v>
      </x:c>
      <x:c r="R298" s="22" t="str">
        <x:f>"20433837"</x:f>
        <x:v>20433837</x:v>
      </x:c>
      <x:c r="S298" s="23" t="str">
        <x:v>masculino</x:v>
      </x:c>
      <x:c r="T298" s="22" t="str"/>
      <x:c r="U298" s="23" t="str">
        <x:v>ANDRIEL PEREIRA ALVES</x:v>
      </x:c>
      <x:c r="V298" s="22" t="str">
        <x:f>"112.811.196-95"</x:f>
        <x:v>112.811.196-95</x:v>
      </x:c>
      <x:c r="W298" s="22" t="str">
        <x:f>"11281119695"</x:f>
        <x:v>11281119695</x:v>
      </x:c>
      <x:c r="X298" s="23" t="str">
        <x:v>andrielpa8@gmail.com</x:v>
      </x:c>
      <x:c r="Y298" s="22" t="str">
        <x:f>"34997900744"</x:f>
        <x:v>34997900744</x:v>
      </x:c>
      <x:c r="Z298" s="30" t="n">
        <x:v>46547</x:v>
      </x:c>
    </x:row>
    <x:row r="299" ht="18" customHeight="1">
      <x:c r="A299" s="22" t="str">
        <x:f>"f90bfde7-bead-4759-aacc-b3c1390392a1"</x:f>
        <x:v>f90bfde7-bead-4759-aacc-b3c1390392a1</x:v>
      </x:c>
      <x:c r="B299" s="23" t="str">
        <x:v>ANEDIEL AUGUSTO CARNEIRO JUNIOR</x:v>
      </x:c>
      <x:c r="C299" s="23" t="str">
        <x:v>anediel augusto carneiro junior</x:v>
      </x:c>
      <x:c r="D299" s="22" t="str">
        <x:f>"38.218.777/0001-08"</x:f>
        <x:v>38.218.777/0001-08</x:v>
      </x:c>
      <x:c r="E299" s="22" t="str">
        <x:f>"38218777000108"</x:f>
        <x:v>38218777000108</x:v>
      </x:c>
      <x:c r="F299" s="22" t="str">
        <x:f>"041.980.287-88"</x:f>
        <x:v>041.980.287-88</x:v>
      </x:c>
      <x:c r="G299" s="22" t="str">
        <x:f>"04198028788"</x:f>
        <x:v>04198028788</x:v>
      </x:c>
      <x:c r="H299" s="23" t="str">
        <x:v>Anedieljr@gmail.com</x:v>
      </x:c>
      <x:c r="I299" s="22" t="str">
        <x:f>"22 998103200"</x:f>
        <x:v>22 998103200</x:v>
      </x:c>
      <x:c r="J299" s="23" t="str">
        <x:v>SPOT</x:v>
      </x:c>
      <x:c r="K299" s="23" t="str">
        <x:v>favored_only</x:v>
      </x:c>
      <x:c r="L299" s="24" t="b">
        <x:v>1</x:v>
      </x:c>
      <x:c r="M299" s="23" t="n">
        <x:v>1</x:v>
      </x:c>
      <x:c r="N299" s="28" t="n">
        <x:v>46219.812988715275</x:v>
      </x:c>
      <x:c r="O299" s="28" t="n">
        <x:v>46219.812988715275</x:v>
      </x:c>
      <x:c r="P299" s="23" t="str">
        <x:v>CAMPOS DOS GOYTACAZES</x:v>
      </x:c>
      <x:c r="Q299" s="30" t="n">
        <x:v>26904</x:v>
      </x:c>
      <x:c r="R299" s="22" t="str">
        <x:f>"97199384"</x:f>
        <x:v>97199384</x:v>
      </x:c>
      <x:c r="S299" s="23" t="str">
        <x:v>masculino</x:v>
      </x:c>
      <x:c r="T299" s="22" t="str">
        <x:f>"RUR1I04"</x:f>
        <x:v>RUR1I04</x:v>
      </x:c>
      <x:c r="U299" s="23" t="str">
        <x:v>ANEDIEL AUGUSTO CARNEIRO JUNIOR</x:v>
      </x:c>
      <x:c r="V299" s="22" t="str">
        <x:f>"041.980.287-88"</x:f>
        <x:v>041.980.287-88</x:v>
      </x:c>
      <x:c r="W299" s="22" t="str">
        <x:f>"04198028788"</x:f>
        <x:v>04198028788</x:v>
      </x:c>
      <x:c r="X299" s="23" t="str">
        <x:v>Anedieljr@gmail.com</x:v>
      </x:c>
      <x:c r="Y299" s="22" t="str">
        <x:f>"22 998103200"</x:f>
        <x:v>22 998103200</x:v>
      </x:c>
      <x:c r="Z299" s="30" t="n">
        <x:v>46414</x:v>
      </x:c>
    </x:row>
    <x:row r="300" ht="18" customHeight="1">
      <x:c r="A300" s="22" t="str">
        <x:f>"c67bf208-d007-47f6-afd2-67bafb176e0b"</x:f>
        <x:v>c67bf208-d007-47f6-afd2-67bafb176e0b</x:v>
      </x:c>
      <x:c r="B300" s="23" t="str">
        <x:v>ANGELA GABRIEL JORGE</x:v>
      </x:c>
      <x:c r="C300" s="23" t="str">
        <x:v>angela gabriel jorge</x:v>
      </x:c>
      <x:c r="D300" s="22" t="str">
        <x:f>"38.393.438/0001-50"</x:f>
        <x:v>38.393.438/0001-50</x:v>
      </x:c>
      <x:c r="E300" s="22" t="str">
        <x:f>"38393438000150"</x:f>
        <x:v>38393438000150</x:v>
      </x:c>
      <x:c r="F300" s="22" t="str">
        <x:f>"082.734.036-29"</x:f>
        <x:v>082.734.036-29</x:v>
      </x:c>
      <x:c r="G300" s="22" t="str">
        <x:f>"08273403629"</x:f>
        <x:v>08273403629</x:v>
      </x:c>
      <x:c r="H300" s="23" t="str">
        <x:v>gabrielajribeiro@gmail.com</x:v>
      </x:c>
      <x:c r="I300" s="22" t="str">
        <x:f>"(31) 98888-5181"</x:f>
        <x:v>(31) 98888-5181</x:v>
      </x:c>
      <x:c r="J300" s="23" t="str">
        <x:v>RENTAL</x:v>
      </x:c>
      <x:c r="K300" s="23" t="str">
        <x:v>rental_company</x:v>
      </x:c>
      <x:c r="L300" s="24" t="b">
        <x:v>1</x:v>
      </x:c>
      <x:c r="M300" s="23" t="n">
        <x:v>1</x:v>
      </x:c>
      <x:c r="N300" s="28" t="n">
        <x:v>46203.921904421295</x:v>
      </x:c>
      <x:c r="O300" s="28" t="n">
        <x:v>46219.812988715275</x:v>
      </x:c>
      <x:c r="P300" s="23" t="str">
        <x:v>IPATINGA</x:v>
      </x:c>
      <x:c r="Q300" s="30" t="n">
        <x:v>31751</x:v>
      </x:c>
      <x:c r="R300" s="22" t="str">
        <x:f>"15352868"</x:f>
        <x:v>15352868</x:v>
      </x:c>
      <x:c r="S300" s="23" t="str">
        <x:v>feminino</x:v>
      </x:c>
      <x:c r="T300" s="22" t="str"/>
      <x:c r="U300" s="23" t="str">
        <x:v>ANGELA GABRIEL JORGE</x:v>
      </x:c>
      <x:c r="V300" s="22" t="str">
        <x:f>"082.734.036-29"</x:f>
        <x:v>082.734.036-29</x:v>
      </x:c>
      <x:c r="W300" s="22" t="str">
        <x:f>"08273403629"</x:f>
        <x:v>08273403629</x:v>
      </x:c>
      <x:c r="X300" s="23" t="str">
        <x:v>gabrielajribeiro@gmail.com</x:v>
      </x:c>
      <x:c r="Y300" s="22" t="str">
        <x:f>"(31) 98888-5181"</x:f>
        <x:v>(31) 98888-5181</x:v>
      </x:c>
      <x:c r="Z300" s="30" t="n">
        <x:v>46364</x:v>
      </x:c>
    </x:row>
    <x:row r="301" ht="18" customHeight="1">
      <x:c r="A301" s="22" t="str">
        <x:f>"df0abba2-8ee0-4819-9aa0-42a09656b2a0"</x:f>
        <x:v>df0abba2-8ee0-4819-9aa0-42a09656b2a0</x:v>
      </x:c>
      <x:c r="B301" s="23" t="str">
        <x:v>ANGEL EDUARDO PAREDES MONTES</x:v>
      </x:c>
      <x:c r="C301" s="23" t="str">
        <x:v>angel eduardo paredes montes</x:v>
      </x:c>
      <x:c r="D301" s="22" t="str">
        <x:f>"65.295.209/0001-75"</x:f>
        <x:v>65.295.209/0001-75</x:v>
      </x:c>
      <x:c r="E301" s="22" t="str">
        <x:f>"65295209000175"</x:f>
        <x:v>65295209000175</x:v>
      </x:c>
      <x:c r="F301" s="22" t="str">
        <x:f>"707.293.326-32"</x:f>
        <x:v>707.293.326-32</x:v>
      </x:c>
      <x:c r="G301" s="22" t="str">
        <x:f>"70729332632"</x:f>
        <x:v>70729332632</x:v>
      </x:c>
      <x:c r="H301" s="23" t="str">
        <x:v>angelepm.14@gmail.com</x:v>
      </x:c>
      <x:c r="I301" s="22" t="str">
        <x:f>"35 99703-8229"</x:f>
        <x:v>35 99703-8229</x:v>
      </x:c>
      <x:c r="J301" s="23" t="str">
        <x:v>RENTAL</x:v>
      </x:c>
      <x:c r="K301" s="23" t="str">
        <x:v>rental_company</x:v>
      </x:c>
      <x:c r="L301" s="24" t="b">
        <x:v>1</x:v>
      </x:c>
      <x:c r="M301" s="23" t="n">
        <x:v>1</x:v>
      </x:c>
      <x:c r="N301" s="28" t="n">
        <x:v>46219.812988715275</x:v>
      </x:c>
      <x:c r="O301" s="28" t="n">
        <x:v>46219.812988715275</x:v>
      </x:c>
      <x:c r="P301" s="23" t="str">
        <x:v>POUSO ALEGRE</x:v>
      </x:c>
      <x:c r="Q301" s="30" t="n">
        <x:v>37025</x:v>
      </x:c>
      <x:c r="R301" s="22" t="str">
        <x:f>"5861167"</x:f>
        <x:v>5861167</x:v>
      </x:c>
      <x:c r="S301" s="23" t="str">
        <x:v>masculino</x:v>
      </x:c>
      <x:c r="T301" s="22" t="str"/>
      <x:c r="U301" s="23" t="str">
        <x:v>ANGEL EDUARDO PAREDES MONTES</x:v>
      </x:c>
      <x:c r="V301" s="22" t="str">
        <x:f>"707.293.326-32"</x:f>
        <x:v>707.293.326-32</x:v>
      </x:c>
      <x:c r="W301" s="22" t="str">
        <x:f>"70729332632"</x:f>
        <x:v>70729332632</x:v>
      </x:c>
      <x:c r="X301" s="23" t="str">
        <x:v>angelepm.14@gmail.com</x:v>
      </x:c>
      <x:c r="Y301" s="22" t="str">
        <x:f>"35 99703-8229"</x:f>
        <x:v>35 99703-8229</x:v>
      </x:c>
      <x:c r="Z301" s="30" t="n">
        <x:v>46456</x:v>
      </x:c>
    </x:row>
    <x:row r="302" ht="18" customHeight="1">
      <x:c r="A302" s="22" t="str">
        <x:f>"f10cadb0-e76a-4944-afa6-b1451a0dc040"</x:f>
        <x:v>f10cadb0-e76a-4944-afa6-b1451a0dc040</x:v>
      </x:c>
      <x:c r="B302" s="23" t="str">
        <x:v>Angele Santos da Silva Campos</x:v>
      </x:c>
      <x:c r="C302" s="23" t="str">
        <x:v>angele santos da silva campos</x:v>
      </x:c>
      <x:c r="D302" s="22" t="str">
        <x:f>"60.156.046/0001-26"</x:f>
        <x:v>60.156.046/0001-26</x:v>
      </x:c>
      <x:c r="E302" s="22" t="str">
        <x:f>"60156046000126"</x:f>
        <x:v>60156046000126</x:v>
      </x:c>
      <x:c r="F302" s="22" t="str">
        <x:f>"05498777116"</x:f>
        <x:v>05498777116</x:v>
      </x:c>
      <x:c r="G302" s="22" t="str">
        <x:f>"05498777116"</x:f>
        <x:v>05498777116</x:v>
      </x:c>
      <x:c r="H302" s="23" t="str">
        <x:v>angeleisacampos2@gmail.com</x:v>
      </x:c>
      <x:c r="I302" s="22" t="str">
        <x:f>"65993545277"</x:f>
        <x:v>65993545277</x:v>
      </x:c>
      <x:c r="J302" s="23" t="str">
        <x:v>SPOT</x:v>
      </x:c>
      <x:c r="K302" s="23" t="str">
        <x:v>favored_only</x:v>
      </x:c>
      <x:c r="L302" s="24" t="b">
        <x:v>1</x:v>
      </x:c>
      <x:c r="M302" s="23" t="n">
        <x:v>1</x:v>
      </x:c>
      <x:c r="N302" s="28" t="n">
        <x:v>46203.92186462963</x:v>
      </x:c>
      <x:c r="O302" s="28" t="n">
        <x:v>46203.92186462963</x:v>
      </x:c>
      <x:c r="P302" s="23" t="str"/>
      <x:c r="Q302" s="30" t="str"/>
      <x:c r="R302" s="22" t="str"/>
      <x:c r="S302" s="23" t="str"/>
      <x:c r="T302" s="22" t="str"/>
      <x:c r="U302" s="23" t="str">
        <x:v>Angele Santos da Silva Campos</x:v>
      </x:c>
      <x:c r="V302" s="22" t="str">
        <x:f>"05498777116"</x:f>
        <x:v>05498777116</x:v>
      </x:c>
      <x:c r="W302" s="22" t="str">
        <x:f>"05498777116"</x:f>
        <x:v>05498777116</x:v>
      </x:c>
      <x:c r="X302" s="23" t="str">
        <x:v>angeleisacampos2@gmail.com</x:v>
      </x:c>
      <x:c r="Y302" s="22" t="str">
        <x:f>"65993545277"</x:f>
        <x:v>65993545277</x:v>
      </x:c>
      <x:c r="Z302" s="30" t="str"/>
    </x:row>
    <x:row r="303" ht="18" customHeight="1">
      <x:c r="A303" s="22" t="str">
        <x:f>"5aa6217c-30bb-4746-9ad5-8f6edb41a95b"</x:f>
        <x:v>5aa6217c-30bb-4746-9ad5-8f6edb41a95b</x:v>
      </x:c>
      <x:c r="B303" s="23" t="str">
        <x:v>Angelo Batista Moreira</x:v>
      </x:c>
      <x:c r="C303" s="23" t="str">
        <x:v>angelo batista moreira</x:v>
      </x:c>
      <x:c r="D303" s="22" t="str">
        <x:f>"62976686000108"</x:f>
        <x:v>62976686000108</x:v>
      </x:c>
      <x:c r="E303" s="22" t="str">
        <x:f>"62976686000108"</x:f>
        <x:v>62976686000108</x:v>
      </x:c>
      <x:c r="F303" s="22" t="str">
        <x:f>"933.824.561-68"</x:f>
        <x:v>933.824.561-68</x:v>
      </x:c>
      <x:c r="G303" s="22" t="str">
        <x:f>"93382456168"</x:f>
        <x:v>93382456168</x:v>
      </x:c>
      <x:c r="H303" s="23" t="str">
        <x:v>batistaangelo18@gmail.com</x:v>
      </x:c>
      <x:c r="I303" s="22" t="str">
        <x:f>"62985311139"</x:f>
        <x:v>62985311139</x:v>
      </x:c>
      <x:c r="J303" s="23" t="str">
        <x:v>SPOT</x:v>
      </x:c>
      <x:c r="K303" s="23" t="str">
        <x:v>favored_only</x:v>
      </x:c>
      <x:c r="L303" s="24" t="b">
        <x:v>1</x:v>
      </x:c>
      <x:c r="M303" s="23" t="n">
        <x:v>1</x:v>
      </x:c>
      <x:c r="N303" s="28" t="n">
        <x:v>46203.92189349537</x:v>
      </x:c>
      <x:c r="O303" s="28" t="n">
        <x:v>46203.92189349537</x:v>
      </x:c>
      <x:c r="P303" s="23" t="str"/>
      <x:c r="Q303" s="30" t="str"/>
      <x:c r="R303" s="22" t="str"/>
      <x:c r="S303" s="23" t="str"/>
      <x:c r="T303" s="22" t="str"/>
      <x:c r="U303" s="23" t="str">
        <x:v>Angelo Batista Moreira</x:v>
      </x:c>
      <x:c r="V303" s="22" t="str">
        <x:f>"933.824.561-68"</x:f>
        <x:v>933.824.561-68</x:v>
      </x:c>
      <x:c r="W303" s="22" t="str">
        <x:f>"93382456168"</x:f>
        <x:v>93382456168</x:v>
      </x:c>
      <x:c r="X303" s="23" t="str">
        <x:v>batistaangelo18@gmail.com</x:v>
      </x:c>
      <x:c r="Y303" s="22" t="str">
        <x:f>"62985311139"</x:f>
        <x:v>62985311139</x:v>
      </x:c>
      <x:c r="Z303" s="30" t="str"/>
    </x:row>
    <x:row r="304" ht="18" customHeight="1">
      <x:c r="A304" s="22" t="str">
        <x:f>"b6f24ea0-93fc-48d0-ae8e-8d6e3ce96b20"</x:f>
        <x:v>b6f24ea0-93fc-48d0-ae8e-8d6e3ce96b20</x:v>
      </x:c>
      <x:c r="B304" s="23" t="str">
        <x:v>ANGELO GOMES MARQUES</x:v>
      </x:c>
      <x:c r="C304" s="23" t="str">
        <x:v>angelo gomes marques</x:v>
      </x:c>
      <x:c r="D304" s="22" t="str">
        <x:f>"53.010.728/0001-60"</x:f>
        <x:v>53.010.728/0001-60</x:v>
      </x:c>
      <x:c r="E304" s="22" t="str">
        <x:f>"53010728000160"</x:f>
        <x:v>53010728000160</x:v>
      </x:c>
      <x:c r="F304" s="22" t="str">
        <x:f>"088.723.517-40"</x:f>
        <x:v>088.723.517-40</x:v>
      </x:c>
      <x:c r="G304" s="22" t="str">
        <x:f>"08872351740"</x:f>
        <x:v>08872351740</x:v>
      </x:c>
      <x:c r="H304" s="23" t="str">
        <x:v>angelomarques0812@gmail.com</x:v>
      </x:c>
      <x:c r="I304" s="22" t="str">
        <x:f>"21986485253"</x:f>
        <x:v>21986485253</x:v>
      </x:c>
      <x:c r="J304" s="23" t="str">
        <x:v>SPOT</x:v>
      </x:c>
      <x:c r="K304" s="23" t="str">
        <x:v>favored_only</x:v>
      </x:c>
      <x:c r="L304" s="24" t="b">
        <x:v>1</x:v>
      </x:c>
      <x:c r="M304" s="23" t="n">
        <x:v>2</x:v>
      </x:c>
      <x:c r="N304" s="28" t="n">
        <x:v>46219.812988715275</x:v>
      </x:c>
      <x:c r="O304" s="28" t="n">
        <x:v>46219.812988715275</x:v>
      </x:c>
      <x:c r="P304" s="23" t="str">
        <x:v>CORDOVIL</x:v>
      </x:c>
      <x:c r="Q304" s="30" t="n">
        <x:v>29197</x:v>
      </x:c>
      <x:c r="R304" s="22" t="str">
        <x:f>"120615323"</x:f>
        <x:v>120615323</x:v>
      </x:c>
      <x:c r="S304" s="23" t="str">
        <x:v>masculino</x:v>
      </x:c>
      <x:c r="T304" s="22" t="str">
        <x:f>"SIY7E32"</x:f>
        <x:v>SIY7E32</x:v>
      </x:c>
      <x:c r="U304" s="23" t="str">
        <x:v>ANGELO GOMES MARQUES</x:v>
      </x:c>
      <x:c r="V304" s="22" t="str">
        <x:f>"088.723.517-40"</x:f>
        <x:v>088.723.517-40</x:v>
      </x:c>
      <x:c r="W304" s="22" t="str">
        <x:f>"08872351740"</x:f>
        <x:v>08872351740</x:v>
      </x:c>
      <x:c r="X304" s="23" t="str">
        <x:v>angelomarques0812@gmail.com</x:v>
      </x:c>
      <x:c r="Y304" s="22" t="str">
        <x:f>"21986485253"</x:f>
        <x:v>21986485253</x:v>
      </x:c>
      <x:c r="Z304" s="30" t="n">
        <x:v>46490</x:v>
      </x:c>
    </x:row>
    <x:row r="305" ht="18" customHeight="1">
      <x:c r="A305" s="22" t="str">
        <x:f>"7876b75e-a889-402b-b903-69b85ab9cc68"</x:f>
        <x:v>7876b75e-a889-402b-b903-69b85ab9cc68</x:v>
      </x:c>
      <x:c r="B305" s="23" t="str">
        <x:v>ANGELO MAGNO SANTOS</x:v>
      </x:c>
      <x:c r="C305" s="23" t="str">
        <x:v>angelo magno santos</x:v>
      </x:c>
      <x:c r="D305" s="22" t="str">
        <x:f>"36.219.280/0001-70"</x:f>
        <x:v>36.219.280/0001-70</x:v>
      </x:c>
      <x:c r="E305" s="22" t="str">
        <x:f>"36219280000170"</x:f>
        <x:v>36219280000170</x:v>
      </x:c>
      <x:c r="F305" s="22" t="str">
        <x:f>"701.616.706-28"</x:f>
        <x:v>701.616.706-28</x:v>
      </x:c>
      <x:c r="G305" s="22" t="str">
        <x:f>"70161670628"</x:f>
        <x:v>70161670628</x:v>
      </x:c>
      <x:c r="H305" s="23" t="str">
        <x:v>angelomagnos@gmail.com</x:v>
      </x:c>
      <x:c r="I305" s="22" t="str">
        <x:f>"31996571059"</x:f>
        <x:v>31996571059</x:v>
      </x:c>
      <x:c r="J305" s="23" t="str">
        <x:v>RENTAL</x:v>
      </x:c>
      <x:c r="K305" s="23" t="str">
        <x:v>rental_company</x:v>
      </x:c>
      <x:c r="L305" s="24" t="b">
        <x:v>1</x:v>
      </x:c>
      <x:c r="M305" s="23" t="n">
        <x:v>1</x:v>
      </x:c>
      <x:c r="N305" s="28" t="n">
        <x:v>46219.812988715275</x:v>
      </x:c>
      <x:c r="O305" s="28" t="n">
        <x:v>46219.812988715275</x:v>
      </x:c>
      <x:c r="P305" s="23" t="str">
        <x:v>NOVA LIMA</x:v>
      </x:c>
      <x:c r="Q305" s="30" t="n">
        <x:v>36403</x:v>
      </x:c>
      <x:c r="R305" s="22" t="str">
        <x:f>"16472733"</x:f>
        <x:v>16472733</x:v>
      </x:c>
      <x:c r="S305" s="23" t="str">
        <x:v>masculino</x:v>
      </x:c>
      <x:c r="T305" s="22" t="str"/>
      <x:c r="U305" s="23" t="str">
        <x:v>ANGELO MAGNO SANTOS</x:v>
      </x:c>
      <x:c r="V305" s="22" t="str">
        <x:f>"701.616.706-28"</x:f>
        <x:v>701.616.706-28</x:v>
      </x:c>
      <x:c r="W305" s="22" t="str">
        <x:f>"70161670628"</x:f>
        <x:v>70161670628</x:v>
      </x:c>
      <x:c r="X305" s="23" t="str">
        <x:v>angelomagnos@gmail.com</x:v>
      </x:c>
      <x:c r="Y305" s="22" t="str">
        <x:f>"31996571059"</x:f>
        <x:v>31996571059</x:v>
      </x:c>
      <x:c r="Z305" s="30" t="n">
        <x:v>46409</x:v>
      </x:c>
    </x:row>
    <x:row r="306" ht="18" customHeight="1">
      <x:c r="A306" s="22" t="str">
        <x:f>"6ba952a7-3783-4dea-9b90-ecc6de5e89c6"</x:f>
        <x:v>6ba952a7-3783-4dea-9b90-ecc6de5e89c6</x:v>
      </x:c>
      <x:c r="B306" s="23" t="str">
        <x:v>ANGELO MARCIO MANGERITI DAS CHAGAS</x:v>
      </x:c>
      <x:c r="C306" s="23" t="str">
        <x:v>angelo marcio mangeriti das chagas</x:v>
      </x:c>
      <x:c r="D306" s="22" t="str">
        <x:f>"29.692.651/0001-71"</x:f>
        <x:v>29.692.651/0001-71</x:v>
      </x:c>
      <x:c r="E306" s="22" t="str">
        <x:f>"29692651000171"</x:f>
        <x:v>29692651000171</x:v>
      </x:c>
      <x:c r="F306" s="22" t="str">
        <x:f>"081.085.727-89"</x:f>
        <x:v>081.085.727-89</x:v>
      </x:c>
      <x:c r="G306" s="22" t="str">
        <x:f>"08108572789"</x:f>
        <x:v>08108572789</x:v>
      </x:c>
      <x:c r="H306" s="23" t="str">
        <x:v>angelomarcio30304040@gmail.com</x:v>
      </x:c>
      <x:c r="I306" s="22" t="str">
        <x:f>"21988079193"</x:f>
        <x:v>21988079193</x:v>
      </x:c>
      <x:c r="J306" s="23" t="str">
        <x:v>SPOT</x:v>
      </x:c>
      <x:c r="K306" s="23" t="str">
        <x:v>favored_only</x:v>
      </x:c>
      <x:c r="L306" s="24" t="b">
        <x:v>1</x:v>
      </x:c>
      <x:c r="M306" s="23" t="n">
        <x:v>1</x:v>
      </x:c>
      <x:c r="N306" s="28" t="n">
        <x:v>46219.812988715275</x:v>
      </x:c>
      <x:c r="O306" s="28" t="n">
        <x:v>46219.812988715275</x:v>
      </x:c>
      <x:c r="P306" s="23" t="str">
        <x:v>CORDOVIL</x:v>
      </x:c>
      <x:c r="Q306" s="30" t="n">
        <x:v>29266</x:v>
      </x:c>
      <x:c r="R306" s="22" t="str">
        <x:f>"25572S119"</x:f>
        <x:v>25572S119</x:v>
      </x:c>
      <x:c r="S306" s="23" t="str">
        <x:v>masculino</x:v>
      </x:c>
      <x:c r="T306" s="22" t="str">
        <x:f>"RUO0C77"</x:f>
        <x:v>RUO0C77</x:v>
      </x:c>
      <x:c r="U306" s="23" t="str">
        <x:v>ANTONIA SIMONE ARAUJO DE SOUSA</x:v>
      </x:c>
      <x:c r="V306" s="22" t="str">
        <x:f>"744.578.023-87"</x:f>
        <x:v>744.578.023-87</x:v>
      </x:c>
      <x:c r="W306" s="22" t="str">
        <x:f>"74457802387"</x:f>
        <x:v>74457802387</x:v>
      </x:c>
      <x:c r="X306" s="23" t="str">
        <x:v>cimonearaujo3670@gmail.com</x:v>
      </x:c>
      <x:c r="Y306" s="22" t="str">
        <x:f>"21964609886"</x:f>
        <x:v>21964609886</x:v>
      </x:c>
      <x:c r="Z306" s="30" t="n">
        <x:v>46560</x:v>
      </x:c>
    </x:row>
    <x:row r="307" ht="18" customHeight="1">
      <x:c r="A307" s="22" t="str">
        <x:f>"a6e5d4ad-2a34-4628-a301-a2ca70ff3b4d"</x:f>
        <x:v>a6e5d4ad-2a34-4628-a301-a2ca70ff3b4d</x:v>
      </x:c>
      <x:c r="B307" s="23" t="str">
        <x:v>ANGELO SIQUEIRA BATISTA</x:v>
      </x:c>
      <x:c r="C307" s="23" t="str">
        <x:v>angelo siqueira batista</x:v>
      </x:c>
      <x:c r="D307" s="22" t="str">
        <x:f>"53.578.237/0001-10"</x:f>
        <x:v>53.578.237/0001-10</x:v>
      </x:c>
      <x:c r="E307" s="22" t="str">
        <x:f>"53578237000110"</x:f>
        <x:v>53578237000110</x:v>
      </x:c>
      <x:c r="F307" s="22" t="str">
        <x:f>"440.053.458-83"</x:f>
        <x:v>440.053.458-83</x:v>
      </x:c>
      <x:c r="G307" s="22" t="str">
        <x:f>"44005345883"</x:f>
        <x:v>44005345883</x:v>
      </x:c>
      <x:c r="H307" s="23" t="str">
        <x:v>angelobaptista01@gmail.com</x:v>
      </x:c>
      <x:c r="I307" s="22" t="str">
        <x:f>"‪‬18997518416"</x:f>
        <x:v>‪‬18997518416</x:v>
      </x:c>
      <x:c r="J307" s="23" t="str">
        <x:v>RENTAL</x:v>
      </x:c>
      <x:c r="K307" s="23" t="str">
        <x:v>rental_company</x:v>
      </x:c>
      <x:c r="L307" s="24" t="b">
        <x:v>1</x:v>
      </x:c>
      <x:c r="M307" s="23" t="n">
        <x:v>1</x:v>
      </x:c>
      <x:c r="N307" s="28" t="n">
        <x:v>46203.921840393516</x:v>
      </x:c>
      <x:c r="O307" s="28" t="n">
        <x:v>46219.812988715275</x:v>
      </x:c>
      <x:c r="P307" s="23" t="str">
        <x:v>ARAÇATUBA</x:v>
      </x:c>
      <x:c r="Q307" s="30" t="n">
        <x:v>34693</x:v>
      </x:c>
      <x:c r="R307" s="22" t="str">
        <x:f>"40403200"</x:f>
        <x:v>40403200</x:v>
      </x:c>
      <x:c r="S307" s="23" t="str">
        <x:v>masculino</x:v>
      </x:c>
      <x:c r="T307" s="22" t="str"/>
      <x:c r="U307" s="23" t="str">
        <x:v>ANGELO SIQUEIRA BATISTA</x:v>
      </x:c>
      <x:c r="V307" s="22" t="str">
        <x:f>"440.053.458-83"</x:f>
        <x:v>440.053.458-83</x:v>
      </x:c>
      <x:c r="W307" s="22" t="str">
        <x:f>"44005345883"</x:f>
        <x:v>44005345883</x:v>
      </x:c>
      <x:c r="X307" s="23" t="str">
        <x:v>angelobaptista01@gmail.com</x:v>
      </x:c>
      <x:c r="Y307" s="22" t="str">
        <x:f>"‪‬18997518416"</x:f>
        <x:v>‪‬18997518416</x:v>
      </x:c>
      <x:c r="Z307" s="30" t="n">
        <x:v>46577</x:v>
      </x:c>
    </x:row>
    <x:row r="308" ht="18" customHeight="1">
      <x:c r="A308" s="22" t="str">
        <x:f>"2fdc1bc0-1356-4853-ab00-bac7146d9bd3"</x:f>
        <x:v>2fdc1bc0-1356-4853-ab00-bac7146d9bd3</x:v>
      </x:c>
      <x:c r="B308" s="23" t="str">
        <x:v>Anna marcella da Silva Santos lima</x:v>
      </x:c>
      <x:c r="C308" s="23" t="str">
        <x:v>anna marcella da silva santos lima</x:v>
      </x:c>
      <x:c r="D308" s="22" t="str">
        <x:f>"64.320.339/0001-58"</x:f>
        <x:v>64.320.339/0001-58</x:v>
      </x:c>
      <x:c r="E308" s="22" t="str">
        <x:f>"64320339000158"</x:f>
        <x:v>64320339000158</x:v>
      </x:c>
      <x:c r="F308" s="22" t="str">
        <x:f>"220.790.787.20"</x:f>
        <x:v>220.790.787.20</x:v>
      </x:c>
      <x:c r="G308" s="22" t="str">
        <x:f>"22079078720"</x:f>
        <x:v>22079078720</x:v>
      </x:c>
      <x:c r="H308" s="23" t="str">
        <x:v>marcellasantos1717@gmail.com</x:v>
      </x:c>
      <x:c r="I308" s="22" t="str">
        <x:f>"22 988592405"</x:f>
        <x:v>22 988592405</x:v>
      </x:c>
      <x:c r="J308" s="23" t="str">
        <x:v>SPOT</x:v>
      </x:c>
      <x:c r="K308" s="23" t="str">
        <x:v>favored_only</x:v>
      </x:c>
      <x:c r="L308" s="24" t="b">
        <x:v>1</x:v>
      </x:c>
      <x:c r="M308" s="23" t="n">
        <x:v>1</x:v>
      </x:c>
      <x:c r="N308" s="28" t="n">
        <x:v>46203.9219084375</x:v>
      </x:c>
      <x:c r="O308" s="28" t="n">
        <x:v>46203.9219084375</x:v>
      </x:c>
      <x:c r="P308" s="23" t="str"/>
      <x:c r="Q308" s="30" t="str"/>
      <x:c r="R308" s="22" t="str"/>
      <x:c r="S308" s="23" t="str"/>
      <x:c r="T308" s="22" t="str"/>
      <x:c r="U308" s="23" t="str">
        <x:v>Anna marcella da Silva Santos lima</x:v>
      </x:c>
      <x:c r="V308" s="22" t="str">
        <x:f>"220.790.787.20"</x:f>
        <x:v>220.790.787.20</x:v>
      </x:c>
      <x:c r="W308" s="22" t="str">
        <x:f>"22079078720"</x:f>
        <x:v>22079078720</x:v>
      </x:c>
      <x:c r="X308" s="23" t="str">
        <x:v>marcellasantos1717@gmail.com</x:v>
      </x:c>
      <x:c r="Y308" s="22" t="str">
        <x:f>"22 988592405"</x:f>
        <x:v>22 988592405</x:v>
      </x:c>
      <x:c r="Z308" s="30" t="str"/>
    </x:row>
    <x:row r="309" ht="18" customHeight="1">
      <x:c r="A309" s="22" t="str">
        <x:f>"4594ccad-7c47-4505-93d0-2c9f7ad29ee7"</x:f>
        <x:v>4594ccad-7c47-4505-93d0-2c9f7ad29ee7</x:v>
      </x:c>
      <x:c r="B309" s="23" t="str">
        <x:v>ANNA RAISSA ANTONO FERREIRA</x:v>
      </x:c>
      <x:c r="C309" s="23" t="str">
        <x:v>anna raissa antono ferreira</x:v>
      </x:c>
      <x:c r="D309" s="22" t="str">
        <x:f>"43.058.179/0001-40"</x:f>
        <x:v>43.058.179/0001-40</x:v>
      </x:c>
      <x:c r="E309" s="22" t="str">
        <x:f>"43058179000140"</x:f>
        <x:v>43058179000140</x:v>
      </x:c>
      <x:c r="F309" s="22" t="str">
        <x:f>"067.322.056-76"</x:f>
        <x:v>067.322.056-76</x:v>
      </x:c>
      <x:c r="G309" s="22" t="str">
        <x:f>"06732205676"</x:f>
        <x:v>06732205676</x:v>
      </x:c>
      <x:c r="H309" s="23" t="str">
        <x:v>artransportes1993@gmail.com</x:v>
      </x:c>
      <x:c r="I309" s="22" t="str">
        <x:f>"(34) 9 9990 5412"</x:f>
        <x:v>(34) 9 9990 5412</x:v>
      </x:c>
      <x:c r="J309" s="23" t="str">
        <x:v>SPOOT</x:v>
      </x:c>
      <x:c r="K309" s="23" t="str">
        <x:v>favored_only</x:v>
      </x:c>
      <x:c r="L309" s="24" t="b">
        <x:v>1</x:v>
      </x:c>
      <x:c r="M309" s="23" t="n">
        <x:v>3</x:v>
      </x:c>
      <x:c r="N309" s="28" t="n">
        <x:v>46203.92191240741</x:v>
      </x:c>
      <x:c r="O309" s="28" t="n">
        <x:v>46219.812988715275</x:v>
      </x:c>
      <x:c r="P309" s="23" t="str">
        <x:v>UBERABA</x:v>
      </x:c>
      <x:c r="Q309" s="30" t="n">
        <x:v>34229</x:v>
      </x:c>
      <x:c r="R309" s="22" t="str">
        <x:f>"17403800"</x:f>
        <x:v>17403800</x:v>
      </x:c>
      <x:c r="S309" s="23" t="str">
        <x:v>feminino</x:v>
      </x:c>
      <x:c r="T309" s="22" t="str">
        <x:f>"RVL5I41"</x:f>
        <x:v>RVL5I41</x:v>
      </x:c>
      <x:c r="U309" s="23" t="str">
        <x:v>ANNA RAISSA ANTONO FERREIRA</x:v>
      </x:c>
      <x:c r="V309" s="22" t="str">
        <x:f>"067.322.056-76"</x:f>
        <x:v>067.322.056-76</x:v>
      </x:c>
      <x:c r="W309" s="22" t="str">
        <x:f>"06732205676"</x:f>
        <x:v>06732205676</x:v>
      </x:c>
      <x:c r="X309" s="23" t="str">
        <x:v>artransportes1993@gmail.com</x:v>
      </x:c>
      <x:c r="Y309" s="22" t="str">
        <x:f>"(34) 9 9990 5412"</x:f>
        <x:v>(34) 9 9990 5412</x:v>
      </x:c>
      <x:c r="Z309" s="30" t="n">
        <x:v>46407</x:v>
      </x:c>
    </x:row>
    <x:row r="310" ht="18" customHeight="1">
      <x:c r="A310" s="22" t="str">
        <x:f>"2f494b63-d6dd-4688-9602-1d42154b66ea"</x:f>
        <x:v>2f494b63-d6dd-4688-9602-1d42154b66ea</x:v>
      </x:c>
      <x:c r="B310" s="23" t="str">
        <x:v>ANNE SOARES CARVALHO</x:v>
      </x:c>
      <x:c r="C310" s="23" t="str">
        <x:v>anne soares carvalho</x:v>
      </x:c>
      <x:c r="D310" s="22" t="str">
        <x:f>"46.134.305/0001-97"</x:f>
        <x:v>46.134.305/0001-97</x:v>
      </x:c>
      <x:c r="E310" s="22" t="str">
        <x:f>"46134305000197"</x:f>
        <x:v>46134305000197</x:v>
      </x:c>
      <x:c r="F310" s="22" t="str">
        <x:f>"068.402.246-00"</x:f>
        <x:v>068.402.246-00</x:v>
      </x:c>
      <x:c r="G310" s="22" t="str">
        <x:f>"06840224600"</x:f>
        <x:v>06840224600</x:v>
      </x:c>
      <x:c r="H310" s="23" t="str">
        <x:v>ANNESCGAD@YAHOO.COM.BR</x:v>
      </x:c>
      <x:c r="I310" s="22" t="str">
        <x:f>"34 9766-6602"</x:f>
        <x:v>34 9766-6602</x:v>
      </x:c>
      <x:c r="J310" s="23" t="str">
        <x:v>SPOT</x:v>
      </x:c>
      <x:c r="K310" s="23" t="str">
        <x:v>favored_only</x:v>
      </x:c>
      <x:c r="L310" s="24" t="b">
        <x:v>1</x:v>
      </x:c>
      <x:c r="M310" s="23" t="n">
        <x:v>1</x:v>
      </x:c>
      <x:c r="N310" s="28" t="n">
        <x:v>46219.812988715275</x:v>
      </x:c>
      <x:c r="O310" s="28" t="n">
        <x:v>46219.812988715275</x:v>
      </x:c>
      <x:c r="P310" s="23" t="str">
        <x:v>UBERLANDIA</x:v>
      </x:c>
      <x:c r="Q310" s="30" t="n">
        <x:v>30789</x:v>
      </x:c>
      <x:c r="R310" s="22" t="str">
        <x:f>"10145365"</x:f>
        <x:v>10145365</x:v>
      </x:c>
      <x:c r="S310" s="23" t="str">
        <x:v>feminino</x:v>
      </x:c>
      <x:c r="T310" s="22" t="str"/>
      <x:c r="U310" s="23" t="str">
        <x:v>ANNE SOARES CARVALHO</x:v>
      </x:c>
      <x:c r="V310" s="22" t="str">
        <x:f>"068.402.246-00"</x:f>
        <x:v>068.402.246-00</x:v>
      </x:c>
      <x:c r="W310" s="22" t="str">
        <x:f>"06840224600"</x:f>
        <x:v>06840224600</x:v>
      </x:c>
      <x:c r="X310" s="23" t="str">
        <x:v>ANNESCGAD@YAHOO.COM.BR</x:v>
      </x:c>
      <x:c r="Y310" s="22" t="str">
        <x:f>"34 9766-6602"</x:f>
        <x:v>34 9766-6602</x:v>
      </x:c>
      <x:c r="Z310" s="30" t="n">
        <x:v>46438</x:v>
      </x:c>
    </x:row>
    <x:row r="311" ht="18" customHeight="1">
      <x:c r="A311" s="22" t="str">
        <x:f>"0d8b0080-ad3c-4020-8003-ff1c6e834f7d"</x:f>
        <x:v>0d8b0080-ad3c-4020-8003-ff1c6e834f7d</x:v>
      </x:c>
      <x:c r="B311" s="23" t="str">
        <x:v>ANTHONY GABRIEL GOES</x:v>
      </x:c>
      <x:c r="C311" s="23" t="str">
        <x:v>anthony gabriel goes</x:v>
      </x:c>
      <x:c r="D311" s="22" t="str">
        <x:f>"63.216.951/0001-12"</x:f>
        <x:v>63.216.951/0001-12</x:v>
      </x:c>
      <x:c r="E311" s="22" t="str">
        <x:f>"63216951000112"</x:f>
        <x:v>63216951000112</x:v>
      </x:c>
      <x:c r="F311" s="22" t="str">
        <x:f>"497.721.868-02"</x:f>
        <x:v>497.721.868-02</x:v>
      </x:c>
      <x:c r="G311" s="22" t="str">
        <x:f>"49772186802"</x:f>
        <x:v>49772186802</x:v>
      </x:c>
      <x:c r="H311" s="23" t="str">
        <x:v>anthonygabrielgoes@gmail.com</x:v>
      </x:c>
      <x:c r="I311" s="22" t="str">
        <x:f>"14997937942"</x:f>
        <x:v>14997937942</x:v>
      </x:c>
      <x:c r="J311" s="23" t="str">
        <x:v>RENTAL</x:v>
      </x:c>
      <x:c r="K311" s="23" t="str">
        <x:v>rental_company</x:v>
      </x:c>
      <x:c r="L311" s="24" t="b">
        <x:v>1</x:v>
      </x:c>
      <x:c r="M311" s="23" t="n">
        <x:v>1</x:v>
      </x:c>
      <x:c r="N311" s="28" t="n">
        <x:v>46203.9218771875</x:v>
      </x:c>
      <x:c r="O311" s="28" t="n">
        <x:v>46219.812988715275</x:v>
      </x:c>
      <x:c r="P311" s="23" t="str">
        <x:v>MARILIA</x:v>
      </x:c>
      <x:c r="Q311" s="30" t="n">
        <x:v>37875</x:v>
      </x:c>
      <x:c r="R311" s="22" t="str">
        <x:f>"635835642"</x:f>
        <x:v>635835642</x:v>
      </x:c>
      <x:c r="S311" s="23" t="str">
        <x:v>masculino</x:v>
      </x:c>
      <x:c r="T311" s="22" t="str"/>
      <x:c r="U311" s="23" t="str">
        <x:v>ANTHONY GABRIEL GOES</x:v>
      </x:c>
      <x:c r="V311" s="22" t="str">
        <x:f>"497.721.868-02"</x:f>
        <x:v>497.721.868-02</x:v>
      </x:c>
      <x:c r="W311" s="22" t="str">
        <x:f>"49772186802"</x:f>
        <x:v>49772186802</x:v>
      </x:c>
      <x:c r="X311" s="23" t="str">
        <x:v>anthonygabrielgoes@gmail.com</x:v>
      </x:c>
      <x:c r="Y311" s="22" t="str">
        <x:f>"14997937942"</x:f>
        <x:v>14997937942</x:v>
      </x:c>
      <x:c r="Z311" s="30" t="n">
        <x:v>46315</x:v>
      </x:c>
    </x:row>
    <x:row r="312" ht="18" customHeight="1">
      <x:c r="A312" s="22" t="str">
        <x:f>"beffbb40-ebb4-4091-a781-60d54b70f4d6"</x:f>
        <x:v>beffbb40-ebb4-4091-a781-60d54b70f4d6</x:v>
      </x:c>
      <x:c r="B312" s="23" t="str">
        <x:v>ANTHONY WEBER SANT’ANA</x:v>
      </x:c>
      <x:c r="C312" s="23" t="str">
        <x:v>anthony weber sant ana</x:v>
      </x:c>
      <x:c r="D312" s="22" t="str">
        <x:f>"62.590.023/0001-50"</x:f>
        <x:v>62.590.023/0001-50</x:v>
      </x:c>
      <x:c r="E312" s="22" t="str">
        <x:f>"62590023000150"</x:f>
        <x:v>62590023000150</x:v>
      </x:c>
      <x:c r="F312" s="22" t="str">
        <x:f>"401.499.878-97"</x:f>
        <x:v>401.499.878-97</x:v>
      </x:c>
      <x:c r="G312" s="22" t="str">
        <x:f>"40149987897"</x:f>
        <x:v>40149987897</x:v>
      </x:c>
      <x:c r="H312" s="23" t="str">
        <x:v>anthony.percussaoweber@gmail.com</x:v>
      </x:c>
      <x:c r="I312" s="22" t="str">
        <x:f>"11 97783-8659"</x:f>
        <x:v>11 97783-8659</x:v>
      </x:c>
      <x:c r="J312" s="23" t="str">
        <x:v>SPOT</x:v>
      </x:c>
      <x:c r="K312" s="23" t="str">
        <x:v>favored_only</x:v>
      </x:c>
      <x:c r="L312" s="24" t="b">
        <x:v>1</x:v>
      </x:c>
      <x:c r="M312" s="23" t="n">
        <x:v>1</x:v>
      </x:c>
      <x:c r="N312" s="28" t="n">
        <x:v>46205.60441626157</x:v>
      </x:c>
      <x:c r="O312" s="28" t="n">
        <x:v>46219.812988715275</x:v>
      </x:c>
      <x:c r="P312" s="23" t="str">
        <x:v>BARUERI</x:v>
      </x:c>
      <x:c r="Q312" s="30" t="n">
        <x:v>33566</x:v>
      </x:c>
      <x:c r="R312" s="22" t="str">
        <x:f>"480794789"</x:f>
        <x:v>480794789</x:v>
      </x:c>
      <x:c r="S312" s="23" t="str">
        <x:v>masculino</x:v>
      </x:c>
      <x:c r="T312" s="22" t="str">
        <x:f>"FBW4A86"</x:f>
        <x:v>FBW4A86</x:v>
      </x:c>
      <x:c r="U312" s="23" t="str">
        <x:v>ANTHONY WEBER SANT’ANA</x:v>
      </x:c>
      <x:c r="V312" s="22" t="str">
        <x:f>"401.499.878-97"</x:f>
        <x:v>401.499.878-97</x:v>
      </x:c>
      <x:c r="W312" s="22" t="str">
        <x:f>"40149987897"</x:f>
        <x:v>40149987897</x:v>
      </x:c>
      <x:c r="X312" s="23" t="str">
        <x:v>anthony.percussaoweber@gmail.com</x:v>
      </x:c>
      <x:c r="Y312" s="22" t="str">
        <x:f>"11 97783-8659"</x:f>
        <x:v>11 97783-8659</x:v>
      </x:c>
      <x:c r="Z312" s="30" t="n">
        <x:v>46274</x:v>
      </x:c>
    </x:row>
    <x:row r="313" ht="18" customHeight="1">
      <x:c r="A313" s="22" t="str">
        <x:f>"6f4c4ceb-eb15-47b2-8c5a-86a773720477"</x:f>
        <x:v>6f4c4ceb-eb15-47b2-8c5a-86a773720477</x:v>
      </x:c>
      <x:c r="B313" s="23" t="str">
        <x:v>ANTONIO ALBERTO ACACIO</x:v>
      </x:c>
      <x:c r="C313" s="23" t="str">
        <x:v>antonio alberto acacio</x:v>
      </x:c>
      <x:c r="D313" s="22" t="str">
        <x:f>"33.410.795/0001-65"</x:f>
        <x:v>33.410.795/0001-65</x:v>
      </x:c>
      <x:c r="E313" s="22" t="str">
        <x:f>"33410795000165"</x:f>
        <x:v>33410795000165</x:v>
      </x:c>
      <x:c r="F313" s="22" t="str">
        <x:f>"636.003.746-72"</x:f>
        <x:v>636.003.746-72</x:v>
      </x:c>
      <x:c r="G313" s="22" t="str">
        <x:f>"63600374672"</x:f>
        <x:v>63600374672</x:v>
      </x:c>
      <x:c r="H313" s="23" t="str">
        <x:v>antonioalberto589@gmail.com</x:v>
      </x:c>
      <x:c r="I313" s="22" t="str">
        <x:f>"31993792283"</x:f>
        <x:v>31993792283</x:v>
      </x:c>
      <x:c r="J313" s="23" t="str">
        <x:v>SPOT</x:v>
      </x:c>
      <x:c r="K313" s="23" t="str">
        <x:v>favored_only</x:v>
      </x:c>
      <x:c r="L313" s="24" t="b">
        <x:v>1</x:v>
      </x:c>
      <x:c r="M313" s="23" t="n">
        <x:v>1</x:v>
      </x:c>
      <x:c r="N313" s="28" t="n">
        <x:v>46219.812988715275</x:v>
      </x:c>
      <x:c r="O313" s="28" t="n">
        <x:v>46219.812988715275</x:v>
      </x:c>
      <x:c r="P313" s="23" t="str">
        <x:v>CONTAGEM</x:v>
      </x:c>
      <x:c r="Q313" s="30" t="n">
        <x:v>23615</x:v>
      </x:c>
      <x:c r="R313" s="22" t="str">
        <x:f>"2946755"</x:f>
        <x:v>2946755</x:v>
      </x:c>
      <x:c r="S313" s="23" t="str">
        <x:v>masculino</x:v>
      </x:c>
      <x:c r="T313" s="22" t="str">
        <x:f>"QWS6G74"</x:f>
        <x:v>QWS6G74</x:v>
      </x:c>
      <x:c r="U313" s="23" t="str">
        <x:v>ANTONIO ALBERTO ACACIO</x:v>
      </x:c>
      <x:c r="V313" s="22" t="str">
        <x:f>"636.003.746-72"</x:f>
        <x:v>636.003.746-72</x:v>
      </x:c>
      <x:c r="W313" s="22" t="str">
        <x:f>"63600374672"</x:f>
        <x:v>63600374672</x:v>
      </x:c>
      <x:c r="X313" s="23" t="str">
        <x:v>antonioalberto589@gmail.com</x:v>
      </x:c>
      <x:c r="Y313" s="22" t="str">
        <x:f>"31993792283"</x:f>
        <x:v>31993792283</x:v>
      </x:c>
      <x:c r="Z313" s="30" t="n">
        <x:v>46451</x:v>
      </x:c>
    </x:row>
    <x:row r="314" ht="18" customHeight="1">
      <x:c r="A314" s="22" t="str">
        <x:f>"efe4bc18-2c0c-4634-8629-a021aca9410b"</x:f>
        <x:v>efe4bc18-2c0c-4634-8629-a021aca9410b</x:v>
      </x:c>
      <x:c r="B314" s="23" t="str">
        <x:v>ANTONIO BALBINO DE SOUZA FILHO</x:v>
      </x:c>
      <x:c r="C314" s="23" t="str">
        <x:v>antonio balbino de souza filho</x:v>
      </x:c>
      <x:c r="D314" s="22" t="str">
        <x:f>"66.786.839/0001-05"</x:f>
        <x:v>66.786.839/0001-05</x:v>
      </x:c>
      <x:c r="E314" s="22" t="str">
        <x:f>"66786839000105"</x:f>
        <x:v>66786839000105</x:v>
      </x:c>
      <x:c r="F314" s="22" t="str">
        <x:f>"954.138.203-72"</x:f>
        <x:v>954.138.203-72</x:v>
      </x:c>
      <x:c r="G314" s="22" t="str">
        <x:f>"95413820372"</x:f>
        <x:v>95413820372</x:v>
      </x:c>
      <x:c r="H314" s="23" t="str">
        <x:v>absrodriguesconstrucoes@gmail.com</x:v>
      </x:c>
      <x:c r="I314" s="22" t="str">
        <x:f>"16 99744-6380"</x:f>
        <x:v>16 99744-6380</x:v>
      </x:c>
      <x:c r="J314" s="23" t="str">
        <x:v>SPOT</x:v>
      </x:c>
      <x:c r="K314" s="23" t="str">
        <x:v>favored_only</x:v>
      </x:c>
      <x:c r="L314" s="24" t="b">
        <x:v>1</x:v>
      </x:c>
      <x:c r="M314" s="23" t="n">
        <x:v>1</x:v>
      </x:c>
      <x:c r="N314" s="28" t="n">
        <x:v>46219.812988715275</x:v>
      </x:c>
      <x:c r="O314" s="28" t="n">
        <x:v>46219.812988715275</x:v>
      </x:c>
      <x:c r="P314" s="23" t="str">
        <x:v>RIBEIRAO PRETO</x:v>
      </x:c>
      <x:c r="Q314" s="30" t="n">
        <x:v>29940</x:v>
      </x:c>
      <x:c r="R314" s="22" t="str">
        <x:f>"37525480"</x:f>
        <x:v>37525480</x:v>
      </x:c>
      <x:c r="S314" s="23" t="str">
        <x:v>masculino</x:v>
      </x:c>
      <x:c r="T314" s="22" t="str">
        <x:f>"SYJ5C98"</x:f>
        <x:v>SYJ5C98</x:v>
      </x:c>
      <x:c r="U314" s="23" t="str">
        <x:v>ANTONIO BALBINO DE SOUZA FILHO</x:v>
      </x:c>
      <x:c r="V314" s="22" t="str">
        <x:f>"954.138.203-72"</x:f>
        <x:v>954.138.203-72</x:v>
      </x:c>
      <x:c r="W314" s="22" t="str">
        <x:f>"95413820372"</x:f>
        <x:v>95413820372</x:v>
      </x:c>
      <x:c r="X314" s="23" t="str">
        <x:v>absrodriguesconstrucoes@gmail.com</x:v>
      </x:c>
      <x:c r="Y314" s="22" t="str">
        <x:f>"16 99744-6380"</x:f>
        <x:v>16 99744-6380</x:v>
      </x:c>
      <x:c r="Z314" s="30" t="n">
        <x:v>46551</x:v>
      </x:c>
    </x:row>
    <x:row r="315" ht="18" customHeight="1">
      <x:c r="A315" s="22" t="str">
        <x:f>"226affb6-dc5e-4363-b099-c840a4166848"</x:f>
        <x:v>226affb6-dc5e-4363-b099-c840a4166848</x:v>
      </x:c>
      <x:c r="B315" s="23" t="str">
        <x:v>ANTONIO BARBOSA DE CARVALHO</x:v>
      </x:c>
      <x:c r="C315" s="23" t="str">
        <x:v>antonio barbosa de carvalho</x:v>
      </x:c>
      <x:c r="D315" s="22" t="str">
        <x:f>"65.059.146/0001-58"</x:f>
        <x:v>65.059.146/0001-58</x:v>
      </x:c>
      <x:c r="E315" s="22" t="str">
        <x:f>"65059146000158"</x:f>
        <x:v>65059146000158</x:v>
      </x:c>
      <x:c r="F315" s="22" t="str">
        <x:f>"375.504.206-10"</x:f>
        <x:v>375.504.206-10</x:v>
      </x:c>
      <x:c r="G315" s="22" t="str">
        <x:f>"37550420610"</x:f>
        <x:v>37550420610</x:v>
      </x:c>
      <x:c r="H315" s="23" t="str">
        <x:v>antoniobcarvalho26@gmail.com</x:v>
      </x:c>
      <x:c r="I315" s="22" t="str">
        <x:f>"35 9709-3217"</x:f>
        <x:v>35 9709-3217</x:v>
      </x:c>
      <x:c r="J315" s="23" t="str">
        <x:v>SPOT</x:v>
      </x:c>
      <x:c r="K315" s="23" t="str">
        <x:v>favored_only</x:v>
      </x:c>
      <x:c r="L315" s="24" t="b">
        <x:v>1</x:v>
      </x:c>
      <x:c r="M315" s="23" t="n">
        <x:v>1</x:v>
      </x:c>
      <x:c r="N315" s="28" t="n">
        <x:v>46219.812988715275</x:v>
      </x:c>
      <x:c r="O315" s="28" t="n">
        <x:v>46219.812988715275</x:v>
      </x:c>
      <x:c r="P315" s="23" t="str">
        <x:v>POCOS DE CALDAS</x:v>
      </x:c>
      <x:c r="Q315" s="30" t="n">
        <x:v>21636</x:v>
      </x:c>
      <x:c r="R315" s="22" t="str">
        <x:f>"1546425"</x:f>
        <x:v>1546425</x:v>
      </x:c>
      <x:c r="S315" s="23" t="str">
        <x:v>masculino</x:v>
      </x:c>
      <x:c r="T315" s="22" t="str">
        <x:f>"PYT5063"</x:f>
        <x:v>PYT5063</x:v>
      </x:c>
      <x:c r="U315" s="23" t="str">
        <x:v>ANTONIO BARBOSA DE CARVALHO</x:v>
      </x:c>
      <x:c r="V315" s="22" t="str">
        <x:f>"375.504.206-10"</x:f>
        <x:v>375.504.206-10</x:v>
      </x:c>
      <x:c r="W315" s="22" t="str">
        <x:f>"37550420610"</x:f>
        <x:v>37550420610</x:v>
      </x:c>
      <x:c r="X315" s="23" t="str">
        <x:v>antoniobcarvalho26@gmail.com</x:v>
      </x:c>
      <x:c r="Y315" s="22" t="str">
        <x:f>"35 9709-3217"</x:f>
        <x:v>35 9709-3217</x:v>
      </x:c>
      <x:c r="Z315" s="30" t="n">
        <x:v>46429</x:v>
      </x:c>
    </x:row>
    <x:row r="316" ht="18" customHeight="1">
      <x:c r="A316" s="22" t="str">
        <x:f>"1bfac476-9dbf-42e2-8c35-9386caf63834"</x:f>
        <x:v>1bfac476-9dbf-42e2-8c35-9386caf63834</x:v>
      </x:c>
      <x:c r="B316" s="23" t="str">
        <x:v>Antonio Carlos Coelho Ramos</x:v>
      </x:c>
      <x:c r="C316" s="23" t="str">
        <x:v>antonio carlos coelho ramos</x:v>
      </x:c>
      <x:c r="D316" s="22" t="str">
        <x:f>"59811114000164"</x:f>
        <x:v>59811114000164</x:v>
      </x:c>
      <x:c r="E316" s="22" t="str">
        <x:f>"59811114000164"</x:f>
        <x:v>59811114000164</x:v>
      </x:c>
      <x:c r="F316" s="22" t="str">
        <x:f>"704.892.846-80"</x:f>
        <x:v>704.892.846-80</x:v>
      </x:c>
      <x:c r="G316" s="22" t="str">
        <x:f>"70489284680"</x:f>
        <x:v>70489284680</x:v>
      </x:c>
      <x:c r="H316" s="23" t="str">
        <x:v>accrto19@gmail.com</x:v>
      </x:c>
      <x:c r="I316" s="22" t="str">
        <x:f>"(33) 99943-0626"</x:f>
        <x:v>(33) 99943-0626</x:v>
      </x:c>
      <x:c r="J316" s="23" t="str">
        <x:v>SPOT</x:v>
      </x:c>
      <x:c r="K316" s="23" t="str">
        <x:v>favored_only</x:v>
      </x:c>
      <x:c r="L316" s="24" t="b">
        <x:v>1</x:v>
      </x:c>
      <x:c r="M316" s="23" t="n">
        <x:v>2</x:v>
      </x:c>
      <x:c r="N316" s="28" t="n">
        <x:v>46203.921852962965</x:v>
      </x:c>
      <x:c r="O316" s="28" t="n">
        <x:v>46203.921852962965</x:v>
      </x:c>
      <x:c r="P316" s="23" t="str"/>
      <x:c r="Q316" s="30" t="str"/>
      <x:c r="R316" s="22" t="str"/>
      <x:c r="S316" s="23" t="str"/>
      <x:c r="T316" s="22" t="str"/>
      <x:c r="U316" s="23" t="str">
        <x:v>Antônio Carlos Coelho Ramos</x:v>
      </x:c>
      <x:c r="V316" s="22" t="str">
        <x:f>"704.892.846-80"</x:f>
        <x:v>704.892.846-80</x:v>
      </x:c>
      <x:c r="W316" s="22" t="str">
        <x:f>"70489284680"</x:f>
        <x:v>70489284680</x:v>
      </x:c>
      <x:c r="X316" s="23" t="str">
        <x:v>accrto19@gmail.com</x:v>
      </x:c>
      <x:c r="Y316" s="22" t="str">
        <x:f>"(33) 99943-0626"</x:f>
        <x:v>(33) 99943-0626</x:v>
      </x:c>
      <x:c r="Z316" s="30" t="str"/>
    </x:row>
    <x:row r="317" ht="18" customHeight="1">
      <x:c r="A317" s="22" t="str">
        <x:f>"388f502f-1623-4da3-bdc6-cde12b0cd745"</x:f>
        <x:v>388f502f-1623-4da3-bdc6-cde12b0cd745</x:v>
      </x:c>
      <x:c r="B317" s="23" t="str">
        <x:v>ANTONIO CARLOS LIMA ARAUJO</x:v>
      </x:c>
      <x:c r="C317" s="23" t="str">
        <x:v>antonio carlos lima araujo</x:v>
      </x:c>
      <x:c r="D317" s="22" t="str">
        <x:f>"49.288.652/0001-62"</x:f>
        <x:v>49.288.652/0001-62</x:v>
      </x:c>
      <x:c r="E317" s="22" t="str">
        <x:f>"49288652000162"</x:f>
        <x:v>49288652000162</x:v>
      </x:c>
      <x:c r="F317" s="22" t="str">
        <x:f>"355.045.338-80"</x:f>
        <x:v>355.045.338-80</x:v>
      </x:c>
      <x:c r="G317" s="22" t="str">
        <x:f>"35504533880"</x:f>
        <x:v>35504533880</x:v>
      </x:c>
      <x:c r="H317" s="23" t="str">
        <x:v>belocarlinhos1990@gmail.com</x:v>
      </x:c>
      <x:c r="I317" s="22" t="str">
        <x:f>"11984581941"</x:f>
        <x:v>11984581941</x:v>
      </x:c>
      <x:c r="J317" s="23" t="str">
        <x:v>SPOT</x:v>
      </x:c>
      <x:c r="K317" s="23" t="str">
        <x:v>favored_only</x:v>
      </x:c>
      <x:c r="L317" s="24" t="b">
        <x:v>1</x:v>
      </x:c>
      <x:c r="M317" s="23" t="n">
        <x:v>1</x:v>
      </x:c>
      <x:c r="N317" s="28" t="n">
        <x:v>46205.60504313657</x:v>
      </x:c>
      <x:c r="O317" s="28" t="n">
        <x:v>46219.812988715275</x:v>
      </x:c>
      <x:c r="P317" s="23" t="str">
        <x:v>BARUERI</x:v>
      </x:c>
      <x:c r="Q317" s="30" t="n">
        <x:v>33077</x:v>
      </x:c>
      <x:c r="R317" s="22" t="str">
        <x:f>"44649810"</x:f>
        <x:v>44649810</x:v>
      </x:c>
      <x:c r="S317" s="23" t="str">
        <x:v>masculino</x:v>
      </x:c>
      <x:c r="T317" s="22" t="str">
        <x:f>"PAR9D19"</x:f>
        <x:v>PAR9D19</x:v>
      </x:c>
      <x:c r="U317" s="23" t="str">
        <x:v>VINICIUS PEREIRA TIZZIO</x:v>
      </x:c>
      <x:c r="V317" s="22" t="str">
        <x:f>"487.786.768-60"</x:f>
        <x:v>487.786.768-60</x:v>
      </x:c>
      <x:c r="W317" s="22" t="str">
        <x:f>"48778676860"</x:f>
        <x:v>48778676860</x:v>
      </x:c>
      <x:c r="X317" s="23" t="str">
        <x:v>vinicius.tizzio@gmail.com</x:v>
      </x:c>
      <x:c r="Y317" s="22" t="str">
        <x:f>"11993276004"</x:f>
        <x:v>11993276004</x:v>
      </x:c>
      <x:c r="Z317" s="30" t="n">
        <x:v>46309</x:v>
      </x:c>
    </x:row>
    <x:row r="318" ht="18" customHeight="1">
      <x:c r="A318" s="22" t="str">
        <x:f>"466ea5af-5b0a-4d63-b9bb-caee5bde0278"</x:f>
        <x:v>466ea5af-5b0a-4d63-b9bb-caee5bde0278</x:v>
      </x:c>
      <x:c r="B318" s="23" t="str">
        <x:v>ANTONIO CARLOS PEREIRA GOES</x:v>
      </x:c>
      <x:c r="C318" s="23" t="str">
        <x:v>antonio carlos pereira goes</x:v>
      </x:c>
      <x:c r="D318" s="22" t="str">
        <x:f>"63.833.937/0001-68"</x:f>
        <x:v>63.833.937/0001-68</x:v>
      </x:c>
      <x:c r="E318" s="22" t="str">
        <x:f>"63833937000168"</x:f>
        <x:v>63833937000168</x:v>
      </x:c>
      <x:c r="F318" s="22" t="str">
        <x:f>"170.071.858-43"</x:f>
        <x:v>170.071.858-43</x:v>
      </x:c>
      <x:c r="G318" s="22" t="str">
        <x:f>"17007185843"</x:f>
        <x:v>17007185843</x:v>
      </x:c>
      <x:c r="H318" s="23" t="str">
        <x:v>goeskaka66@gmail.com</x:v>
      </x:c>
      <x:c r="I318" s="22" t="str">
        <x:f>"18997406612"</x:f>
        <x:v>18997406612</x:v>
      </x:c>
      <x:c r="J318" s="23" t="str">
        <x:v>RENTAL</x:v>
      </x:c>
      <x:c r="K318" s="23" t="str">
        <x:v>rental_company</x:v>
      </x:c>
      <x:c r="L318" s="24" t="b">
        <x:v>1</x:v>
      </x:c>
      <x:c r="M318" s="23" t="n">
        <x:v>1</x:v>
      </x:c>
      <x:c r="N318" s="28" t="n">
        <x:v>46203.92189965278</x:v>
      </x:c>
      <x:c r="O318" s="28" t="n">
        <x:v>46219.812988715275</x:v>
      </x:c>
      <x:c r="P318" s="23" t="str">
        <x:v>PRESIDENTE PRUDENTE</x:v>
      </x:c>
      <x:c r="Q318" s="30" t="n">
        <x:v>27856</x:v>
      </x:c>
      <x:c r="R318" s="22" t="str">
        <x:f>"21945425"</x:f>
        <x:v>21945425</x:v>
      </x:c>
      <x:c r="S318" s="23" t="str">
        <x:v>masculino</x:v>
      </x:c>
      <x:c r="T318" s="22" t="str"/>
      <x:c r="U318" s="23" t="str">
        <x:v>ANTONIO CARLOS PEREIRA GOES</x:v>
      </x:c>
      <x:c r="V318" s="22" t="str">
        <x:f>"170.071.858-43"</x:f>
        <x:v>170.071.858-43</x:v>
      </x:c>
      <x:c r="W318" s="22" t="str">
        <x:f>"17007185843"</x:f>
        <x:v>17007185843</x:v>
      </x:c>
      <x:c r="X318" s="23" t="str">
        <x:v>goeskaka66@gmail.com</x:v>
      </x:c>
      <x:c r="Y318" s="22" t="str">
        <x:f>"18997406612"</x:f>
        <x:v>18997406612</x:v>
      </x:c>
      <x:c r="Z318" s="30" t="n">
        <x:v>46353</x:v>
      </x:c>
    </x:row>
    <x:row r="319" ht="18" customHeight="1">
      <x:c r="A319" s="22" t="str">
        <x:f>"79436a7a-ced4-4011-acdf-0e0ae43945f2"</x:f>
        <x:v>79436a7a-ced4-4011-acdf-0e0ae43945f2</x:v>
      </x:c>
      <x:c r="B319" s="23" t="str">
        <x:v>ANTONIO CARLOS RODRIGUES CAMPOS</x:v>
      </x:c>
      <x:c r="C319" s="23" t="str">
        <x:v>antonio carlos rodrigues campos</x:v>
      </x:c>
      <x:c r="D319" s="22" t="str">
        <x:f>"64.255.317/0001-51"</x:f>
        <x:v>64.255.317/0001-51</x:v>
      </x:c>
      <x:c r="E319" s="22" t="str">
        <x:f>"64255317000151"</x:f>
        <x:v>64255317000151</x:v>
      </x:c>
      <x:c r="F319" s="22" t="str">
        <x:f>"934.600.747-87"</x:f>
        <x:v>934.600.747-87</x:v>
      </x:c>
      <x:c r="G319" s="22" t="str">
        <x:f>"93460074787"</x:f>
        <x:v>93460074787</x:v>
      </x:c>
      <x:c r="H319" s="23" t="str">
        <x:v>tonycappucci27@gmail.com</x:v>
      </x:c>
      <x:c r="I319" s="22" t="str">
        <x:f>"2199329-6562"</x:f>
        <x:v>2199329-6562</x:v>
      </x:c>
      <x:c r="J319" s="23" t="str">
        <x:v>SPOT</x:v>
      </x:c>
      <x:c r="K319" s="23" t="str">
        <x:v>favored_only</x:v>
      </x:c>
      <x:c r="L319" s="24" t="b">
        <x:v>1</x:v>
      </x:c>
      <x:c r="M319" s="23" t="n">
        <x:v>1</x:v>
      </x:c>
      <x:c r="N319" s="28" t="n">
        <x:v>46205.60697681713</x:v>
      </x:c>
      <x:c r="O319" s="28" t="n">
        <x:v>46219.812988715275</x:v>
      </x:c>
      <x:c r="P319" s="23" t="str">
        <x:v>CAMPO GRANDE</x:v>
      </x:c>
      <x:c r="Q319" s="30" t="n">
        <x:v>25503</x:v>
      </x:c>
      <x:c r="R319" s="22" t="str">
        <x:f>"83994947"</x:f>
        <x:v>83994947</x:v>
      </x:c>
      <x:c r="S319" s="23" t="str">
        <x:v>masculino</x:v>
      </x:c>
      <x:c r="T319" s="22" t="str">
        <x:f>"LSA5C52"</x:f>
        <x:v>LSA5C52</x:v>
      </x:c>
      <x:c r="U319" s="23" t="str">
        <x:v>MONIQUE PONTES DA SILVA</x:v>
      </x:c>
      <x:c r="V319" s="22" t="str">
        <x:f>"092.369.177-47"</x:f>
        <x:v>092.369.177-47</x:v>
      </x:c>
      <x:c r="W319" s="22" t="str">
        <x:f>"09236917747"</x:f>
        <x:v>09236917747</x:v>
      </x:c>
      <x:c r="X319" s="23" t="str">
        <x:v>moniquepontes32@gmail.com</x:v>
      </x:c>
      <x:c r="Y319" s="22" t="str">
        <x:f>"2197446-6671"</x:f>
        <x:v>2197446-6671</x:v>
      </x:c>
      <x:c r="Z319" s="30" t="n">
        <x:v>46393</x:v>
      </x:c>
    </x:row>
    <x:row r="320" ht="18" customHeight="1">
      <x:c r="A320" s="22" t="str">
        <x:f>"9d9867b8-c180-44b0-b07f-accca0fa420e"</x:f>
        <x:v>9d9867b8-c180-44b0-b07f-accca0fa420e</x:v>
      </x:c>
      <x:c r="B320" s="23" t="str">
        <x:v>ANTONIO CARLOS RODRIGUES ESTEVES</x:v>
      </x:c>
      <x:c r="C320" s="23" t="str">
        <x:v>antonio carlos rodrigues esteves</x:v>
      </x:c>
      <x:c r="D320" s="22" t="str">
        <x:f>"42.713.934/0001-10"</x:f>
        <x:v>42.713.934/0001-10</x:v>
      </x:c>
      <x:c r="E320" s="22" t="str">
        <x:f>"42713934000110"</x:f>
        <x:v>42713934000110</x:v>
      </x:c>
      <x:c r="F320" s="22" t="str">
        <x:f>"050.021.758-05"</x:f>
        <x:v>050.021.758-05</x:v>
      </x:c>
      <x:c r="G320" s="22" t="str">
        <x:f>"05002175805"</x:f>
        <x:v>05002175805</x:v>
      </x:c>
      <x:c r="H320" s="23" t="str">
        <x:v>antoniocresteves@gmail.com</x:v>
      </x:c>
      <x:c r="I320" s="22" t="str">
        <x:f>"14997106649"</x:f>
        <x:v>14997106649</x:v>
      </x:c>
      <x:c r="J320" s="23" t="str">
        <x:v>SPOT</x:v>
      </x:c>
      <x:c r="K320" s="23" t="str">
        <x:v>favored_only</x:v>
      </x:c>
      <x:c r="L320" s="24" t="b">
        <x:v>1</x:v>
      </x:c>
      <x:c r="M320" s="23" t="n">
        <x:v>1</x:v>
      </x:c>
      <x:c r="N320" s="28" t="n">
        <x:v>46219.812988715275</x:v>
      </x:c>
      <x:c r="O320" s="28" t="n">
        <x:v>46219.812988715275</x:v>
      </x:c>
      <x:c r="P320" s="23" t="str">
        <x:v>MARILIA</x:v>
      </x:c>
      <x:c r="Q320" s="30" t="n">
        <x:v>23541</x:v>
      </x:c>
      <x:c r="R320" s="22" t="str">
        <x:f>"16743563"</x:f>
        <x:v>16743563</x:v>
      </x:c>
      <x:c r="S320" s="23" t="str">
        <x:v>masculino</x:v>
      </x:c>
      <x:c r="T320" s="22" t="str">
        <x:f>"TJW4B40"</x:f>
        <x:v>TJW4B40</x:v>
      </x:c>
      <x:c r="U320" s="23" t="str">
        <x:v>MATHEUS SCARPARO RODRIGUES ESTEVES</x:v>
      </x:c>
      <x:c r="V320" s="22" t="str">
        <x:f>"448.213.188-14"</x:f>
        <x:v>448.213.188-14</x:v>
      </x:c>
      <x:c r="W320" s="22" t="str">
        <x:f>"44821318814"</x:f>
        <x:v>44821318814</x:v>
      </x:c>
      <x:c r="X320" s="23" t="str">
        <x:v>antoniocresteves@gmail.com</x:v>
      </x:c>
      <x:c r="Y320" s="22" t="str">
        <x:f>"14997106649"</x:f>
        <x:v>14997106649</x:v>
      </x:c>
      <x:c r="Z320" s="30" t="n">
        <x:v>46568</x:v>
      </x:c>
    </x:row>
    <x:row r="321" ht="18" customHeight="1">
      <x:c r="A321" s="22" t="str">
        <x:f>"ea5a4756-a1b3-47e1-a5ea-38b5076d4dc6"</x:f>
        <x:v>ea5a4756-a1b3-47e1-a5ea-38b5076d4dc6</x:v>
      </x:c>
      <x:c r="B321" s="23" t="str">
        <x:v>ANTONIO CARLOS SILVA DE ANDRADE</x:v>
      </x:c>
      <x:c r="C321" s="23" t="str">
        <x:v>antonio carlos silva de andrade</x:v>
      </x:c>
      <x:c r="D321" s="22" t="str">
        <x:f>"61.497.529/0001-57"</x:f>
        <x:v>61.497.529/0001-57</x:v>
      </x:c>
      <x:c r="E321" s="22" t="str">
        <x:f>"61497529000157"</x:f>
        <x:v>61497529000157</x:v>
      </x:c>
      <x:c r="F321" s="22" t="str">
        <x:f>"110.490.607-41"</x:f>
        <x:v>110.490.607-41</x:v>
      </x:c>
      <x:c r="G321" s="22" t="str">
        <x:f>"11049060741"</x:f>
        <x:v>11049060741</x:v>
      </x:c>
      <x:c r="H321" s="23" t="str">
        <x:v>antoniogago1985@gmail.com</x:v>
      </x:c>
      <x:c r="I321" s="22" t="str">
        <x:f>"21997750176"</x:f>
        <x:v>21997750176</x:v>
      </x:c>
      <x:c r="J321" s="23" t="str">
        <x:v>SPOT</x:v>
      </x:c>
      <x:c r="K321" s="23" t="str">
        <x:v>favored_only</x:v>
      </x:c>
      <x:c r="L321" s="24" t="b">
        <x:v>1</x:v>
      </x:c>
      <x:c r="M321" s="23" t="n">
        <x:v>1</x:v>
      </x:c>
      <x:c r="N321" s="28" t="n">
        <x:v>46203.92189349537</x:v>
      </x:c>
      <x:c r="O321" s="28" t="n">
        <x:v>46219.812988715275</x:v>
      </x:c>
      <x:c r="P321" s="23" t="str">
        <x:v>QUEIMADOS</x:v>
      </x:c>
      <x:c r="Q321" s="30" t="n">
        <x:v>31348</x:v>
      </x:c>
      <x:c r="R321" s="22" t="str">
        <x:f>"201741733"</x:f>
        <x:v>201741733</x:v>
      </x:c>
      <x:c r="S321" s="23" t="str">
        <x:v>masculino</x:v>
      </x:c>
      <x:c r="T321" s="22" t="str">
        <x:f>"KYG3492"</x:f>
        <x:v>KYG3492</x:v>
      </x:c>
      <x:c r="U321" s="23" t="str">
        <x:v>ANTONIO CARLOS SILVA DE ANDRADE</x:v>
      </x:c>
      <x:c r="V321" s="22" t="str">
        <x:f>"110.490.607-41"</x:f>
        <x:v>110.490.607-41</x:v>
      </x:c>
      <x:c r="W321" s="22" t="str">
        <x:f>"11049060741"</x:f>
        <x:v>11049060741</x:v>
      </x:c>
      <x:c r="X321" s="23" t="str">
        <x:v>antoniogago1985@gmail.com</x:v>
      </x:c>
      <x:c r="Y321" s="22" t="str">
        <x:f>"21997750176"</x:f>
        <x:v>21997750176</x:v>
      </x:c>
      <x:c r="Z321" s="30" t="n">
        <x:v>46338</x:v>
      </x:c>
    </x:row>
    <x:row r="322" ht="18" customHeight="1">
      <x:c r="A322" s="22" t="str">
        <x:f>"f5cb1a9c-33e7-48e1-932b-acbaf334c356"</x:f>
        <x:v>f5cb1a9c-33e7-48e1-932b-acbaf334c356</x:v>
      </x:c>
      <x:c r="B322" s="23" t="str">
        <x:v>ANTONIO CLOVIS VIEIRA</x:v>
      </x:c>
      <x:c r="C322" s="23" t="str">
        <x:v>antonio clovis vieira</x:v>
      </x:c>
      <x:c r="D322" s="22" t="str">
        <x:f>"59.429.517/0001-43"</x:f>
        <x:v>59.429.517/0001-43</x:v>
      </x:c>
      <x:c r="E322" s="22" t="str">
        <x:f>"59429517000143"</x:f>
        <x:v>59429517000143</x:v>
      </x:c>
      <x:c r="F322" s="22" t="str">
        <x:f>"070.467.376-22"</x:f>
        <x:v>070.467.376-22</x:v>
      </x:c>
      <x:c r="G322" s="22" t="str">
        <x:f>"07046737622"</x:f>
        <x:v>07046737622</x:v>
      </x:c>
      <x:c r="H322" s="23" t="str">
        <x:v>antonioclovisrv@gmail.com</x:v>
      </x:c>
      <x:c r="I322" s="22" t="str">
        <x:f>"64984262743"</x:f>
        <x:v>64984262743</x:v>
      </x:c>
      <x:c r="J322" s="23" t="str">
        <x:v>RENTAL</x:v>
      </x:c>
      <x:c r="K322" s="23" t="str">
        <x:v>rental_company</x:v>
      </x:c>
      <x:c r="L322" s="24" t="b">
        <x:v>1</x:v>
      </x:c>
      <x:c r="M322" s="23" t="n">
        <x:v>1</x:v>
      </x:c>
      <x:c r="N322" s="28" t="n">
        <x:v>46203.92189965278</x:v>
      </x:c>
      <x:c r="O322" s="28" t="n">
        <x:v>46219.812988715275</x:v>
      </x:c>
      <x:c r="P322" s="23" t="str">
        <x:v>RIO VERDE</x:v>
      </x:c>
      <x:c r="Q322" s="30" t="n">
        <x:v>31211</x:v>
      </x:c>
      <x:c r="R322" s="22" t="str">
        <x:f>"13887607"</x:f>
        <x:v>13887607</x:v>
      </x:c>
      <x:c r="S322" s="23" t="str">
        <x:v>masculino</x:v>
      </x:c>
      <x:c r="T322" s="22" t="str"/>
      <x:c r="U322" s="23" t="str">
        <x:v>ANTONIO CLOVIS VIEIRA</x:v>
      </x:c>
      <x:c r="V322" s="22" t="str">
        <x:f>"070.467.376-22"</x:f>
        <x:v>070.467.376-22</x:v>
      </x:c>
      <x:c r="W322" s="22" t="str">
        <x:f>"07046737622"</x:f>
        <x:v>07046737622</x:v>
      </x:c>
      <x:c r="X322" s="23" t="str">
        <x:v>antonioclovisrv@gmail.com</x:v>
      </x:c>
      <x:c r="Y322" s="22" t="str">
        <x:f>"64984262743"</x:f>
        <x:v>64984262743</x:v>
      </x:c>
      <x:c r="Z322" s="30" t="n">
        <x:v>46353</x:v>
      </x:c>
    </x:row>
    <x:row r="323" ht="18" customHeight="1">
      <x:c r="A323" s="22" t="str">
        <x:f>"667009be-bcfb-4654-95f2-474ac94f17f0"</x:f>
        <x:v>667009be-bcfb-4654-95f2-474ac94f17f0</x:v>
      </x:c>
      <x:c r="B323" s="23" t="str">
        <x:v>ANTONIO DELMONDES FERREIRA</x:v>
      </x:c>
      <x:c r="C323" s="23" t="str">
        <x:v>antonio delmondes ferreira</x:v>
      </x:c>
      <x:c r="D323" s="22" t="str">
        <x:f>"64.282.624/0001-21"</x:f>
        <x:v>64.282.624/0001-21</x:v>
      </x:c>
      <x:c r="E323" s="22" t="str">
        <x:f>"64282624000121"</x:f>
        <x:v>64282624000121</x:v>
      </x:c>
      <x:c r="F323" s="22" t="str">
        <x:f>"014.675.193-08"</x:f>
        <x:v>014.675.193-08</x:v>
      </x:c>
      <x:c r="G323" s="22" t="str">
        <x:f>"01467519308"</x:f>
        <x:v>01467519308</x:v>
      </x:c>
      <x:c r="H323" s="23" t="str">
        <x:v>antoniodelmondesferreira8@gmail.com</x:v>
      </x:c>
      <x:c r="I323" s="22" t="str">
        <x:f>"65996589928"</x:f>
        <x:v>65996589928</x:v>
      </x:c>
      <x:c r="J323" s="23" t="str">
        <x:v>SPOT</x:v>
      </x:c>
      <x:c r="K323" s="23" t="str">
        <x:v>favored_only</x:v>
      </x:c>
      <x:c r="L323" s="24" t="b">
        <x:v>1</x:v>
      </x:c>
      <x:c r="M323" s="23" t="n">
        <x:v>1</x:v>
      </x:c>
      <x:c r="N323" s="28" t="n">
        <x:v>46219.812988715275</x:v>
      </x:c>
      <x:c r="O323" s="28" t="n">
        <x:v>46219.812988715275</x:v>
      </x:c>
      <x:c r="P323" s="23" t="str">
        <x:v>CUIABA</x:v>
      </x:c>
      <x:c r="Q323" s="30" t="n">
        <x:v>31177</x:v>
      </x:c>
      <x:c r="R323" s="22" t="str">
        <x:f>"2003014094067"</x:f>
        <x:v>2003014094067</x:v>
      </x:c>
      <x:c r="S323" s="23" t="str">
        <x:v>masculino</x:v>
      </x:c>
      <x:c r="T323" s="22" t="str">
        <x:f>"QQO0C62"</x:f>
        <x:v>QQO0C62</x:v>
      </x:c>
      <x:c r="U323" s="23" t="str">
        <x:v>ANTONIO DELMONDES FERREIRA</x:v>
      </x:c>
      <x:c r="V323" s="22" t="str">
        <x:f>"014.675.193-08"</x:f>
        <x:v>014.675.193-08</x:v>
      </x:c>
      <x:c r="W323" s="22" t="str">
        <x:f>"01467519308"</x:f>
        <x:v>01467519308</x:v>
      </x:c>
      <x:c r="X323" s="23" t="str">
        <x:v>antoniodelmondesferreira8@gmail.com</x:v>
      </x:c>
      <x:c r="Y323" s="22" t="str">
        <x:f>"65996589928"</x:f>
        <x:v>65996589928</x:v>
      </x:c>
      <x:c r="Z323" s="30" t="n">
        <x:v>46520</x:v>
      </x:c>
    </x:row>
    <x:row r="324" ht="18" customHeight="1">
      <x:c r="A324" s="22" t="str">
        <x:f>"e7af8a8b-fe3f-4c4e-b9df-4c03be962365"</x:f>
        <x:v>e7af8a8b-fe3f-4c4e-b9df-4c03be962365</x:v>
      </x:c>
      <x:c r="B324" s="23" t="str">
        <x:v>ANTONIO DE OLIVEIRA GOMES FILHO</x:v>
      </x:c>
      <x:c r="C324" s="23" t="str">
        <x:v>antonio de oliveira gomes filho</x:v>
      </x:c>
      <x:c r="D324" s="22" t="str">
        <x:f>"67.208.562/0001-04"</x:f>
        <x:v>67.208.562/0001-04</x:v>
      </x:c>
      <x:c r="E324" s="22" t="str">
        <x:f>"67208562000104"</x:f>
        <x:v>67208562000104</x:v>
      </x:c>
      <x:c r="F324" s="22" t="str">
        <x:f>"148.812.404-39"</x:f>
        <x:v>148.812.404-39</x:v>
      </x:c>
      <x:c r="G324" s="22" t="str">
        <x:f>"14881240439"</x:f>
        <x:v>14881240439</x:v>
      </x:c>
      <x:c r="H324" s="23" t="str">
        <x:v>antony.aog1999@gmail.com</x:v>
      </x:c>
      <x:c r="I324" s="22" t="str">
        <x:f>"31 993452194"</x:f>
        <x:v>31 993452194</x:v>
      </x:c>
      <x:c r="J324" s="23" t="str">
        <x:v>rental</x:v>
      </x:c>
      <x:c r="K324" s="23" t="str">
        <x:v>rental_company</x:v>
      </x:c>
      <x:c r="L324" s="24" t="b">
        <x:v>1</x:v>
      </x:c>
      <x:c r="M324" s="23" t="n">
        <x:v>1</x:v>
      </x:c>
      <x:c r="N324" s="28" t="n">
        <x:v>46219.812988715275</x:v>
      </x:c>
      <x:c r="O324" s="28" t="n">
        <x:v>46219.812988715275</x:v>
      </x:c>
      <x:c r="P324" s="23" t="str">
        <x:v>CONTAGEM</x:v>
      </x:c>
      <x:c r="Q324" s="30" t="n">
        <x:v>36491</x:v>
      </x:c>
      <x:c r="R324" s="22" t="str">
        <x:f>"4462241"</x:f>
        <x:v>4462241</x:v>
      </x:c>
      <x:c r="S324" s="23" t="str">
        <x:v>masculino</x:v>
      </x:c>
      <x:c r="T324" s="22" t="str"/>
      <x:c r="U324" s="23" t="str">
        <x:v>ANTONIO DE OLIVEIRA GOMES FILHO</x:v>
      </x:c>
      <x:c r="V324" s="22" t="str">
        <x:f>"148.812.404-39"</x:f>
        <x:v>148.812.404-39</x:v>
      </x:c>
      <x:c r="W324" s="22" t="str">
        <x:f>"14881240439"</x:f>
        <x:v>14881240439</x:v>
      </x:c>
      <x:c r="X324" s="23" t="str">
        <x:v>antony.aog1999@gmail.com</x:v>
      </x:c>
      <x:c r="Y324" s="22" t="str">
        <x:f>"31 993452194"</x:f>
        <x:v>31 993452194</x:v>
      </x:c>
      <x:c r="Z324" s="30" t="n">
        <x:v>46548</x:v>
      </x:c>
    </x:row>
    <x:row r="325" ht="18" customHeight="1">
      <x:c r="A325" s="22" t="str">
        <x:f>"7c4c2a72-df94-4abf-b7f0-8c6766badc40"</x:f>
        <x:v>7c4c2a72-df94-4abf-b7f0-8c6766badc40</x:v>
      </x:c>
      <x:c r="B325" s="23" t="str">
        <x:v>ANTONIO DE SOUZA</x:v>
      </x:c>
      <x:c r="C325" s="23" t="str">
        <x:v>antonio de souza</x:v>
      </x:c>
      <x:c r="D325" s="22" t="str">
        <x:f>"45.552.178/0001-83"</x:f>
        <x:v>45.552.178/0001-83</x:v>
      </x:c>
      <x:c r="E325" s="22" t="str">
        <x:f>"45552178000183"</x:f>
        <x:v>45552178000183</x:v>
      </x:c>
      <x:c r="F325" s="22" t="str">
        <x:f>"739.066.976-49"</x:f>
        <x:v>739.066.976-49</x:v>
      </x:c>
      <x:c r="G325" s="22" t="str">
        <x:f>"73906697649"</x:f>
        <x:v>73906697649</x:v>
      </x:c>
      <x:c r="H325" s="23" t="str">
        <x:v>antonio17061969@gmail.com</x:v>
      </x:c>
      <x:c r="I325" s="22" t="str">
        <x:f>"35997287054"</x:f>
        <x:v>35997287054</x:v>
      </x:c>
      <x:c r="J325" s="23" t="str">
        <x:v>SPOT</x:v>
      </x:c>
      <x:c r="K325" s="23" t="str">
        <x:v>favored_only</x:v>
      </x:c>
      <x:c r="L325" s="24" t="b">
        <x:v>1</x:v>
      </x:c>
      <x:c r="M325" s="23" t="n">
        <x:v>1</x:v>
      </x:c>
      <x:c r="N325" s="28" t="n">
        <x:v>46205.605874664354</x:v>
      </x:c>
      <x:c r="O325" s="28" t="n">
        <x:v>46219.812988715275</x:v>
      </x:c>
      <x:c r="P325" s="23" t="str">
        <x:v>GUAXUPE</x:v>
      </x:c>
      <x:c r="Q325" s="30" t="n">
        <x:v>25371</x:v>
      </x:c>
      <x:c r="R325" s="22" t="str">
        <x:f>"5283115"</x:f>
        <x:v>5283115</x:v>
      </x:c>
      <x:c r="S325" s="23" t="str">
        <x:v>masculino</x:v>
      </x:c>
      <x:c r="T325" s="22" t="str">
        <x:f>"FNG8B62"</x:f>
        <x:v>FNG8B62</x:v>
      </x:c>
      <x:c r="U325" s="23" t="str">
        <x:v>GABRIELA MARIA ALIPIO DE SOUZA</x:v>
      </x:c>
      <x:c r="V325" s="22" t="str">
        <x:f>"125.463.496-78"</x:f>
        <x:v>125.463.496-78</x:v>
      </x:c>
      <x:c r="W325" s="22" t="str">
        <x:f>"12546349678"</x:f>
        <x:v>12546349678</x:v>
      </x:c>
      <x:c r="X325" s="23" t="str">
        <x:v>gabimaria878@gmail.com</x:v>
      </x:c>
      <x:c r="Y325" s="22" t="str">
        <x:f>"35992293240"</x:f>
        <x:v>35992293240</x:v>
      </x:c>
      <x:c r="Z325" s="30" t="n">
        <x:v>46336</x:v>
      </x:c>
    </x:row>
    <x:row r="326" ht="18" customHeight="1">
      <x:c r="A326" s="22" t="str">
        <x:f>"b0798e90-bbcd-4ea4-af56-9c7b428fbddf"</x:f>
        <x:v>b0798e90-bbcd-4ea4-af56-9c7b428fbddf</x:v>
      </x:c>
      <x:c r="B326" s="23" t="str">
        <x:v>ANTONIO DOS REIS SILVA FILHO</x:v>
      </x:c>
      <x:c r="C326" s="23" t="str">
        <x:v>antonio dos reis silva filho</x:v>
      </x:c>
      <x:c r="D326" s="22" t="str">
        <x:f>"64.965.501/0001-95"</x:f>
        <x:v>64.965.501/0001-95</x:v>
      </x:c>
      <x:c r="E326" s="22" t="str">
        <x:f>"64965501000195"</x:f>
        <x:v>64965501000195</x:v>
      </x:c>
      <x:c r="F326" s="22" t="str">
        <x:f>"134.517.416-01"</x:f>
        <x:v>134.517.416-01</x:v>
      </x:c>
      <x:c r="G326" s="22" t="str">
        <x:f>"13451741601"</x:f>
        <x:v>13451741601</x:v>
      </x:c>
      <x:c r="H326" s="23" t="str">
        <x:v>antonyspu@hotmail.com</x:v>
      </x:c>
      <x:c r="I326" s="22" t="str">
        <x:f>"35 99808-8047"</x:f>
        <x:v>35 99808-8047</x:v>
      </x:c>
      <x:c r="J326" s="23" t="str">
        <x:v>SPOT</x:v>
      </x:c>
      <x:c r="K326" s="23" t="str">
        <x:v>favored_only</x:v>
      </x:c>
      <x:c r="L326" s="24" t="b">
        <x:v>1</x:v>
      </x:c>
      <x:c r="M326" s="23" t="n">
        <x:v>1</x:v>
      </x:c>
      <x:c r="N326" s="28" t="n">
        <x:v>46219.812988715275</x:v>
      </x:c>
      <x:c r="O326" s="28" t="n">
        <x:v>46219.812988715275</x:v>
      </x:c>
      <x:c r="P326" s="23" t="str">
        <x:v>GUAXUPE</x:v>
      </x:c>
      <x:c r="Q326" s="30" t="n">
        <x:v>34816</x:v>
      </x:c>
      <x:c r="R326" s="22" t="str">
        <x:f>"19911857"</x:f>
        <x:v>19911857</x:v>
      </x:c>
      <x:c r="S326" s="23" t="str">
        <x:v>masculino</x:v>
      </x:c>
      <x:c r="T326" s="22" t="str">
        <x:f>"OAG2E84"</x:f>
        <x:v>OAG2E84</x:v>
      </x:c>
      <x:c r="U326" s="23" t="str">
        <x:v>DANIELE CORREA RENILDO</x:v>
      </x:c>
      <x:c r="V326" s="22" t="str">
        <x:f>"396.668.458-65"</x:f>
        <x:v>396.668.458-65</x:v>
      </x:c>
      <x:c r="W326" s="22" t="str">
        <x:f>"39666845865"</x:f>
        <x:v>39666845865</x:v>
      </x:c>
      <x:c r="X326" s="23" t="str">
        <x:v>danielecorrearenildo@gmail.com</x:v>
      </x:c>
      <x:c r="Y326" s="22" t="str">
        <x:f>"35-998635111"</x:f>
        <x:v>35-998635111</x:v>
      </x:c>
      <x:c r="Z326" s="30" t="n">
        <x:v>46469</x:v>
      </x:c>
    </x:row>
    <x:row r="327" ht="18" customHeight="1">
      <x:c r="A327" s="22" t="str">
        <x:f>"aa0a3172-6fc5-4192-87f7-5f652a09980f"</x:f>
        <x:v>aa0a3172-6fc5-4192-87f7-5f652a09980f</x:v>
      </x:c>
      <x:c r="B327" s="23" t="str">
        <x:v>ANTONIO FELIPE GERANUTTI</x:v>
      </x:c>
      <x:c r="C327" s="23" t="str">
        <x:v>antonio felipe geranutti</x:v>
      </x:c>
      <x:c r="D327" s="22" t="str">
        <x:f>"13.956.531/0001-02"</x:f>
        <x:v>13.956.531/0001-02</x:v>
      </x:c>
      <x:c r="E327" s="22" t="str">
        <x:f>"13956531000102"</x:f>
        <x:v>13956531000102</x:v>
      </x:c>
      <x:c r="F327" s="22" t="str">
        <x:f>"488.412.128-70"</x:f>
        <x:v>488.412.128-70</x:v>
      </x:c>
      <x:c r="G327" s="22" t="str">
        <x:f>"48841212870"</x:f>
        <x:v>48841212870</x:v>
      </x:c>
      <x:c r="H327" s="23" t="str">
        <x:v>afelipegeranutti@gmail.com</x:v>
      </x:c>
      <x:c r="I327" s="22" t="str">
        <x:f>"31 973009612"</x:f>
        <x:v>31 973009612</x:v>
      </x:c>
      <x:c r="J327" s="23" t="str">
        <x:v>SPOT</x:v>
      </x:c>
      <x:c r="K327" s="23" t="str">
        <x:v>favored_only</x:v>
      </x:c>
      <x:c r="L327" s="24" t="b">
        <x:v>1</x:v>
      </x:c>
      <x:c r="M327" s="23" t="n">
        <x:v>1</x:v>
      </x:c>
      <x:c r="N327" s="28" t="n">
        <x:v>46205.60485565972</x:v>
      </x:c>
      <x:c r="O327" s="28" t="n">
        <x:v>46219.812988715275</x:v>
      </x:c>
      <x:c r="P327" s="23" t="str">
        <x:v>CONTAGEM</x:v>
      </x:c>
      <x:c r="Q327" s="30" t="n">
        <x:v>36191</x:v>
      </x:c>
      <x:c r="R327" s="22" t="str">
        <x:f>"59259581"</x:f>
        <x:v>59259581</x:v>
      </x:c>
      <x:c r="S327" s="23" t="str">
        <x:v>masculino</x:v>
      </x:c>
      <x:c r="T327" s="22" t="str">
        <x:f>"QRF2D29"</x:f>
        <x:v>QRF2D29</x:v>
      </x:c>
      <x:c r="U327" s="23" t="str">
        <x:v>ALEX GERANUTTI</x:v>
      </x:c>
      <x:c r="V327" s="22" t="str">
        <x:f>"037.787.488-40"</x:f>
        <x:v>037.787.488-40</x:v>
      </x:c>
      <x:c r="W327" s="22" t="str">
        <x:f>"03778748840"</x:f>
        <x:v>03778748840</x:v>
      </x:c>
      <x:c r="X327" s="23" t="str">
        <x:v>alexgeranutti@gmail.com</x:v>
      </x:c>
      <x:c r="Y327" s="22" t="str">
        <x:f>"31991978220"</x:f>
        <x:v>31991978220</x:v>
      </x:c>
      <x:c r="Z327" s="30" t="n">
        <x:v>46301</x:v>
      </x:c>
    </x:row>
    <x:row r="328" ht="18" customHeight="1">
      <x:c r="A328" s="22" t="str">
        <x:f>"ed260edd-7fca-46ee-9281-e27061a4694e"</x:f>
        <x:v>ed260edd-7fca-46ee-9281-e27061a4694e</x:v>
      </x:c>
      <x:c r="B328" s="23" t="str">
        <x:v>ANTONIO FRANCISCO DO NASCIMENTO</x:v>
      </x:c>
      <x:c r="C328" s="23" t="str">
        <x:v>antonio francisco do nascimento</x:v>
      </x:c>
      <x:c r="D328" s="22" t="str">
        <x:f>"63.955.180/0001-85"</x:f>
        <x:v>63.955.180/0001-85</x:v>
      </x:c>
      <x:c r="E328" s="22" t="str">
        <x:f>"63955180000185"</x:f>
        <x:v>63955180000185</x:v>
      </x:c>
      <x:c r="F328" s="22" t="str">
        <x:f>"342.551.668-03"</x:f>
        <x:v>342.551.668-03</x:v>
      </x:c>
      <x:c r="G328" s="22" t="str">
        <x:f>"34255166803"</x:f>
        <x:v>34255166803</x:v>
      </x:c>
      <x:c r="H328" s="23" t="str">
        <x:v>antoniogbi89@gmail.com</x:v>
      </x:c>
      <x:c r="I328" s="22" t="str">
        <x:f>"17981840119"</x:f>
        <x:v>17981840119</x:v>
      </x:c>
      <x:c r="J328" s="23" t="str">
        <x:v>RENTAL</x:v>
      </x:c>
      <x:c r="K328" s="23" t="str">
        <x:v>rental_company</x:v>
      </x:c>
      <x:c r="L328" s="24" t="b">
        <x:v>1</x:v>
      </x:c>
      <x:c r="M328" s="23" t="n">
        <x:v>1</x:v>
      </x:c>
      <x:c r="N328" s="28" t="n">
        <x:v>46203.921904421295</x:v>
      </x:c>
      <x:c r="O328" s="28" t="n">
        <x:v>46219.812988715275</x:v>
      </x:c>
      <x:c r="P328" s="23" t="str">
        <x:v>SÃO JOSE DO RIO PRETO</x:v>
      </x:c>
      <x:c r="Q328" s="30" t="n">
        <x:v>30150</x:v>
      </x:c>
      <x:c r="R328" s="22" t="str">
        <x:f>"13733738"</x:f>
        <x:v>13733738</x:v>
      </x:c>
      <x:c r="S328" s="23" t="str">
        <x:v>masculino</x:v>
      </x:c>
      <x:c r="T328" s="22" t="str"/>
      <x:c r="U328" s="23" t="str">
        <x:v>ANTONIO FRANCISCO DO NASCIMENTO</x:v>
      </x:c>
      <x:c r="V328" s="22" t="str">
        <x:f>"034.255.168-03"</x:f>
        <x:v>034.255.168-03</x:v>
      </x:c>
      <x:c r="W328" s="22" t="str">
        <x:f>"03425516803"</x:f>
        <x:v>03425516803</x:v>
      </x:c>
      <x:c r="X328" s="23" t="str">
        <x:v>antoniogbi89@gmail.com</x:v>
      </x:c>
      <x:c r="Y328" s="22" t="str">
        <x:f>"17981840119"</x:f>
        <x:v>17981840119</x:v>
      </x:c>
      <x:c r="Z328" s="30" t="n">
        <x:v>46365</x:v>
      </x:c>
    </x:row>
    <x:row r="329" ht="18" customHeight="1">
      <x:c r="A329" s="22" t="str">
        <x:f>"7180a121-9564-4d5e-a8d7-f13bbcab7a10"</x:f>
        <x:v>7180a121-9564-4d5e-a8d7-f13bbcab7a10</x:v>
      </x:c>
      <x:c r="B329" s="23" t="str">
        <x:v>ANTONIO GOMES DOS SANTOS</x:v>
      </x:c>
      <x:c r="C329" s="23" t="str">
        <x:v>antonio gomes dos santos</x:v>
      </x:c>
      <x:c r="D329" s="22" t="str">
        <x:f>"57.621.713/0001-90"</x:f>
        <x:v>57.621.713/0001-90</x:v>
      </x:c>
      <x:c r="E329" s="22" t="str">
        <x:f>"57621713000190"</x:f>
        <x:v>57621713000190</x:v>
      </x:c>
      <x:c r="F329" s="22" t="str">
        <x:f>"439.484.301-44"</x:f>
        <x:v>439.484.301-44</x:v>
      </x:c>
      <x:c r="G329" s="22" t="str">
        <x:f>"43948430144"</x:f>
        <x:v>43948430144</x:v>
      </x:c>
      <x:c r="H329" s="23" t="str">
        <x:v>idealizesuprimentos@htimail.com</x:v>
      </x:c>
      <x:c r="I329" s="22" t="str">
        <x:f>"64 992136399"</x:f>
        <x:v>64 992136399</x:v>
      </x:c>
      <x:c r="J329" s="23" t="str">
        <x:v>SPOT</x:v>
      </x:c>
      <x:c r="K329" s="23" t="str">
        <x:v>favored_only</x:v>
      </x:c>
      <x:c r="L329" s="24" t="b">
        <x:v>1</x:v>
      </x:c>
      <x:c r="M329" s="23" t="n">
        <x:v>1</x:v>
      </x:c>
      <x:c r="N329" s="28" t="n">
        <x:v>46219.812988715275</x:v>
      </x:c>
      <x:c r="O329" s="28" t="n">
        <x:v>46219.812988715275</x:v>
      </x:c>
      <x:c r="P329" s="23" t="str">
        <x:v>RIO VERDE</x:v>
      </x:c>
      <x:c r="Q329" s="30" t="n">
        <x:v>25086</x:v>
      </x:c>
      <x:c r="R329" s="22" t="str">
        <x:f>"2423501"</x:f>
        <x:v>2423501</x:v>
      </x:c>
      <x:c r="S329" s="23" t="str">
        <x:v>masculino</x:v>
      </x:c>
      <x:c r="T329" s="22" t="str">
        <x:f>"QPT2H76"</x:f>
        <x:v>QPT2H76</x:v>
      </x:c>
      <x:c r="U329" s="23" t="str">
        <x:v>VICTOR CRISTINO GOMES DOS SANTOS</x:v>
      </x:c>
      <x:c r="V329" s="22" t="str">
        <x:f>"034.280.121-00"</x:f>
        <x:v>034.280.121-00</x:v>
      </x:c>
      <x:c r="W329" s="22" t="str">
        <x:f>"03428012100"</x:f>
        <x:v>03428012100</x:v>
      </x:c>
      <x:c r="X329" s="23" t="str">
        <x:v>victorcristino27@hotmail.com</x:v>
      </x:c>
      <x:c r="Y329" s="22" t="str">
        <x:f>"64 99281-5012"</x:f>
        <x:v>64 99281-5012</x:v>
      </x:c>
      <x:c r="Z329" s="30" t="n">
        <x:v>46504</x:v>
      </x:c>
    </x:row>
    <x:row r="330" ht="18" customHeight="1">
      <x:c r="A330" s="22" t="str">
        <x:f>"be2da443-2cc2-457a-98f8-a5c45ee164a2"</x:f>
        <x:v>be2da443-2cc2-457a-98f8-a5c45ee164a2</x:v>
      </x:c>
      <x:c r="B330" s="23" t="str">
        <x:v>ANTONIO HENRIQUE CAVALCANTE DA SILVA</x:v>
      </x:c>
      <x:c r="C330" s="23" t="str">
        <x:v>antonio henrique cavalcante da silva</x:v>
      </x:c>
      <x:c r="D330" s="22" t="str">
        <x:f>"63.591.940/0001-12"</x:f>
        <x:v>63.591.940/0001-12</x:v>
      </x:c>
      <x:c r="E330" s="22" t="str">
        <x:f>"63591940000112"</x:f>
        <x:v>63591940000112</x:v>
      </x:c>
      <x:c r="F330" s="22" t="str">
        <x:f>"489.149.778-54"</x:f>
        <x:v>489.149.778-54</x:v>
      </x:c>
      <x:c r="G330" s="22" t="str">
        <x:f>"48914977854"</x:f>
        <x:v>48914977854</x:v>
      </x:c>
      <x:c r="H330" s="23" t="str">
        <x:v>antoniiomanuella12@gmail.com</x:v>
      </x:c>
      <x:c r="I330" s="22" t="str">
        <x:f>"(11)988983415"</x:f>
        <x:v>(11)988983415</x:v>
      </x:c>
      <x:c r="J330" s="23" t="str">
        <x:v>RENTAL</x:v>
      </x:c>
      <x:c r="K330" s="23" t="str">
        <x:v>rental_company</x:v>
      </x:c>
      <x:c r="L330" s="24" t="b">
        <x:v>1</x:v>
      </x:c>
      <x:c r="M330" s="23" t="n">
        <x:v>1</x:v>
      </x:c>
      <x:c r="N330" s="28" t="n">
        <x:v>46219.812988715275</x:v>
      </x:c>
      <x:c r="O330" s="28" t="n">
        <x:v>46219.812988715275</x:v>
      </x:c>
      <x:c r="P330" s="23" t="str">
        <x:v>BARUERI</x:v>
      </x:c>
      <x:c r="Q330" s="30" t="n">
        <x:v>36291</x:v>
      </x:c>
      <x:c r="R330" s="22" t="str">
        <x:f>"591267056"</x:f>
        <x:v>591267056</x:v>
      </x:c>
      <x:c r="S330" s="23" t="str">
        <x:v>masculino</x:v>
      </x:c>
      <x:c r="T330" s="22" t="str"/>
      <x:c r="U330" s="23" t="str">
        <x:v>ANTONIO HENRIQUE CAVALCANTE DA SILVA</x:v>
      </x:c>
      <x:c r="V330" s="22" t="str">
        <x:f>"489.149.778-54"</x:f>
        <x:v>489.149.778-54</x:v>
      </x:c>
      <x:c r="W330" s="22" t="str">
        <x:f>"48914977854"</x:f>
        <x:v>48914977854</x:v>
      </x:c>
      <x:c r="X330" s="23" t="str">
        <x:v>antoniiomanuella12@gmail.com</x:v>
      </x:c>
      <x:c r="Y330" s="22" t="str">
        <x:f>"(11)988983415"</x:f>
        <x:v>(11)988983415</x:v>
      </x:c>
      <x:c r="Z330" s="30" t="n">
        <x:v>46578</x:v>
      </x:c>
    </x:row>
    <x:row r="331" ht="18" customHeight="1">
      <x:c r="A331" s="22" t="str">
        <x:f>"36580488-5270-437e-a9ef-bdc6cc108c3a"</x:f>
        <x:v>36580488-5270-437e-a9ef-bdc6cc108c3a</x:v>
      </x:c>
      <x:c r="B331" s="23" t="str">
        <x:v>ANTONIO LOPES DA SILVA CUNHA</x:v>
      </x:c>
      <x:c r="C331" s="23" t="str">
        <x:v>antonio lopes da silva cunha</x:v>
      </x:c>
      <x:c r="D331" s="22" t="str">
        <x:f>"58.580.460/0001-16"</x:f>
        <x:v>58.580.460/0001-16</x:v>
      </x:c>
      <x:c r="E331" s="22" t="str">
        <x:f>"58580460000116"</x:f>
        <x:v>58580460000116</x:v>
      </x:c>
      <x:c r="F331" s="22" t="str">
        <x:f>"93158734168"</x:f>
        <x:v>93158734168</x:v>
      </x:c>
      <x:c r="G331" s="22" t="str">
        <x:f>"93158734168"</x:f>
        <x:v>93158734168</x:v>
      </x:c>
      <x:c r="H331" s="23" t="str">
        <x:v>lopesantoniolopessilvacunha4@gmail.com</x:v>
      </x:c>
      <x:c r="I331" s="22" t="str">
        <x:f>"64993157855"</x:f>
        <x:v>64993157855</x:v>
      </x:c>
      <x:c r="J331" s="23" t="str">
        <x:v>SPOT</x:v>
      </x:c>
      <x:c r="K331" s="23" t="str">
        <x:v>favored_only</x:v>
      </x:c>
      <x:c r="L331" s="24" t="b">
        <x:v>1</x:v>
      </x:c>
      <x:c r="M331" s="23" t="n">
        <x:v>2</x:v>
      </x:c>
      <x:c r="N331" s="28" t="n">
        <x:v>46203.921887453704</x:v>
      </x:c>
      <x:c r="O331" s="28" t="n">
        <x:v>46203.921887453704</x:v>
      </x:c>
      <x:c r="P331" s="23" t="str"/>
      <x:c r="Q331" s="30" t="str"/>
      <x:c r="R331" s="22" t="str"/>
      <x:c r="S331" s="23" t="str"/>
      <x:c r="T331" s="22" t="str"/>
      <x:c r="U331" s="23" t="str">
        <x:v>ANTONIO LOPES DA SILVA CUNHA</x:v>
      </x:c>
      <x:c r="V331" s="22" t="str">
        <x:f>"93158734168"</x:f>
        <x:v>93158734168</x:v>
      </x:c>
      <x:c r="W331" s="22" t="str">
        <x:f>"93158734168"</x:f>
        <x:v>93158734168</x:v>
      </x:c>
      <x:c r="X331" s="23" t="str">
        <x:v>lopesantoniolopessilvacunha4@gmail.com</x:v>
      </x:c>
      <x:c r="Y331" s="22" t="str">
        <x:f>"64993157855"</x:f>
        <x:v>64993157855</x:v>
      </x:c>
      <x:c r="Z331" s="30" t="str"/>
    </x:row>
    <x:row r="332" ht="18" customHeight="1">
      <x:c r="A332" s="22" t="str">
        <x:f>"511793a1-b15f-49e5-9026-6a770a27b9c7"</x:f>
        <x:v>511793a1-b15f-49e5-9026-6a770a27b9c7</x:v>
      </x:c>
      <x:c r="B332" s="23" t="str">
        <x:v>ANTONIO MARCOS ARCANJO SANTOS</x:v>
      </x:c>
      <x:c r="C332" s="23" t="str">
        <x:v>antonio marcos arcanjo santos</x:v>
      </x:c>
      <x:c r="D332" s="22" t="str">
        <x:f>"57.430.709/0001-44"</x:f>
        <x:v>57.430.709/0001-44</x:v>
      </x:c>
      <x:c r="E332" s="22" t="str">
        <x:f>"57430709000144"</x:f>
        <x:v>57430709000144</x:v>
      </x:c>
      <x:c r="F332" s="22" t="str">
        <x:f>"262.801.398-32"</x:f>
        <x:v>262.801.398-32</x:v>
      </x:c>
      <x:c r="G332" s="22" t="str">
        <x:f>"26280139832"</x:f>
        <x:v>26280139832</x:v>
      </x:c>
      <x:c r="H332" s="23" t="str">
        <x:v>marcos202480@gmail.com</x:v>
      </x:c>
      <x:c r="I332" s="22" t="str">
        <x:f>"11947731194"</x:f>
        <x:v>11947731194</x:v>
      </x:c>
      <x:c r="J332" s="23" t="str">
        <x:v>SPOT</x:v>
      </x:c>
      <x:c r="K332" s="23" t="str">
        <x:v>favored_only</x:v>
      </x:c>
      <x:c r="L332" s="24" t="b">
        <x:v>1</x:v>
      </x:c>
      <x:c r="M332" s="23" t="n">
        <x:v>1</x:v>
      </x:c>
      <x:c r="N332" s="28" t="n">
        <x:v>46219.812988715275</x:v>
      </x:c>
      <x:c r="O332" s="28" t="n">
        <x:v>46219.812988715275</x:v>
      </x:c>
      <x:c r="P332" s="23" t="str">
        <x:v>BARUERI</x:v>
      </x:c>
      <x:c r="Q332" s="30" t="n">
        <x:v>28279</x:v>
      </x:c>
      <x:c r="R332" s="22" t="str">
        <x:f>"29705471"</x:f>
        <x:v>29705471</x:v>
      </x:c>
      <x:c r="S332" s="23" t="str">
        <x:v>masculino</x:v>
      </x:c>
      <x:c r="T332" s="22" t="str">
        <x:f>"GEZ9D32"</x:f>
        <x:v>GEZ9D32</x:v>
      </x:c>
      <x:c r="U332" s="23" t="str">
        <x:v>ANTONIO MARCOS ARCANJO SANTOS</x:v>
      </x:c>
      <x:c r="V332" s="22" t="str">
        <x:f>"262.801.398-32"</x:f>
        <x:v>262.801.398-32</x:v>
      </x:c>
      <x:c r="W332" s="22" t="str">
        <x:f>"26280139832"</x:f>
        <x:v>26280139832</x:v>
      </x:c>
      <x:c r="X332" s="23" t="str">
        <x:v>marcos202480@gmail.com</x:v>
      </x:c>
      <x:c r="Y332" s="22" t="str">
        <x:f>"11947731194"</x:f>
        <x:v>11947731194</x:v>
      </x:c>
      <x:c r="Z332" s="30" t="n">
        <x:v>46541</x:v>
      </x:c>
    </x:row>
    <x:row r="333" ht="18" customHeight="1">
      <x:c r="A333" s="22" t="str">
        <x:f>"3bf9d70d-3663-4e4e-8cad-eff84958055e"</x:f>
        <x:v>3bf9d70d-3663-4e4e-8cad-eff84958055e</x:v>
      </x:c>
      <x:c r="B333" s="23" t="str">
        <x:v>ANTONIO MARCOS CARVALHO QUARESMA</x:v>
      </x:c>
      <x:c r="C333" s="23" t="str">
        <x:v>antonio marcos carvalho quaresma</x:v>
      </x:c>
      <x:c r="D333" s="22" t="str">
        <x:f>"61.323.745/0001-86"</x:f>
        <x:v>61.323.745/0001-86</x:v>
      </x:c>
      <x:c r="E333" s="22" t="str">
        <x:f>"61323745000186"</x:f>
        <x:v>61323745000186</x:v>
      </x:c>
      <x:c r="F333" s="22" t="str">
        <x:f>"079.960.216-78"</x:f>
        <x:v>079.960.216-78</x:v>
      </x:c>
      <x:c r="G333" s="22" t="str">
        <x:f>"07996021678"</x:f>
        <x:v>07996021678</x:v>
      </x:c>
      <x:c r="H333" s="23" t="str">
        <x:v>antoniomcquaresma@gmail.com</x:v>
      </x:c>
      <x:c r="I333" s="22" t="str">
        <x:f>"31990867099"</x:f>
        <x:v>31990867099</x:v>
      </x:c>
      <x:c r="J333" s="23" t="str">
        <x:v>SPOT</x:v>
      </x:c>
      <x:c r="K333" s="23" t="str">
        <x:v>favored_only</x:v>
      </x:c>
      <x:c r="L333" s="24" t="b">
        <x:v>1</x:v>
      </x:c>
      <x:c r="M333" s="23" t="n">
        <x:v>1</x:v>
      </x:c>
      <x:c r="N333" s="28" t="n">
        <x:v>46219.812988715275</x:v>
      </x:c>
      <x:c r="O333" s="28" t="n">
        <x:v>46219.812988715275</x:v>
      </x:c>
      <x:c r="P333" s="23" t="str">
        <x:v>NOVA LIMA</x:v>
      </x:c>
      <x:c r="Q333" s="30" t="n">
        <x:v>31391</x:v>
      </x:c>
      <x:c r="R333" s="22" t="str">
        <x:f>"14586336"</x:f>
        <x:v>14586336</x:v>
      </x:c>
      <x:c r="S333" s="23" t="str">
        <x:v>masculino</x:v>
      </x:c>
      <x:c r="T333" s="22" t="str">
        <x:f>"HFK4J25"</x:f>
        <x:v>HFK4J25</x:v>
      </x:c>
      <x:c r="U333" s="23" t="str">
        <x:v>ANTONIO MARCOS CARVALHO QUARESMA</x:v>
      </x:c>
      <x:c r="V333" s="22" t="str">
        <x:f>"079.960.216-78"</x:f>
        <x:v>079.960.216-78</x:v>
      </x:c>
      <x:c r="W333" s="22" t="str">
        <x:f>"07996021678"</x:f>
        <x:v>07996021678</x:v>
      </x:c>
      <x:c r="X333" s="23" t="str">
        <x:v>antoniomcquaresma@gmail.com</x:v>
      </x:c>
      <x:c r="Y333" s="22" t="str">
        <x:f>"31990867099"</x:f>
        <x:v>31990867099</x:v>
      </x:c>
      <x:c r="Z333" s="30" t="n">
        <x:v>46512</x:v>
      </x:c>
    </x:row>
    <x:row r="334" ht="18" customHeight="1">
      <x:c r="A334" s="22" t="str">
        <x:f>"7f2df545-6cfd-4621-97a0-e4fefbdf5e3e"</x:f>
        <x:v>7f2df545-6cfd-4621-97a0-e4fefbdf5e3e</x:v>
      </x:c>
      <x:c r="B334" s="23" t="str">
        <x:v>ANTONIO MARCOS GOMES DA SILVA JUNIOR</x:v>
      </x:c>
      <x:c r="C334" s="23" t="str">
        <x:v>antonio marcos gomes da silva junior</x:v>
      </x:c>
      <x:c r="D334" s="22" t="str">
        <x:f>"65.435.288/0001-72"</x:f>
        <x:v>65.435.288/0001-72</x:v>
      </x:c>
      <x:c r="E334" s="22" t="str">
        <x:f>"65435288000172"</x:f>
        <x:v>65435288000172</x:v>
      </x:c>
      <x:c r="F334" s="22" t="str">
        <x:f>"441.233.508-95"</x:f>
        <x:v>441.233.508-95</x:v>
      </x:c>
      <x:c r="G334" s="22" t="str">
        <x:f>"44123350895"</x:f>
        <x:v>44123350895</x:v>
      </x:c>
      <x:c r="H334" s="23" t="str">
        <x:v>srgomes07@gmail.com</x:v>
      </x:c>
      <x:c r="I334" s="22" t="str">
        <x:f>"(16) 99158-9875"</x:f>
        <x:v>(16) 99158-9875</x:v>
      </x:c>
      <x:c r="J334" s="23" t="str">
        <x:v>SPOT</x:v>
      </x:c>
      <x:c r="K334" s="23" t="str">
        <x:v>favored_only</x:v>
      </x:c>
      <x:c r="L334" s="24" t="b">
        <x:v>1</x:v>
      </x:c>
      <x:c r="M334" s="23" t="n">
        <x:v>1</x:v>
      </x:c>
      <x:c r="N334" s="28" t="n">
        <x:v>46219.812988715275</x:v>
      </x:c>
      <x:c r="O334" s="28" t="n">
        <x:v>46219.812988715275</x:v>
      </x:c>
      <x:c r="P334" s="23" t="str">
        <x:v>UBERLANDIA</x:v>
      </x:c>
      <x:c r="Q334" s="30" t="n">
        <x:v>35587</x:v>
      </x:c>
      <x:c r="R334" s="22" t="str">
        <x:f>"44306931 SSP SP"</x:f>
        <x:v>44306931 SSP SP</x:v>
      </x:c>
      <x:c r="S334" s="23" t="str">
        <x:v>masculino</x:v>
      </x:c>
      <x:c r="T334" s="22" t="str">
        <x:f>"PVL3G22"</x:f>
        <x:v>PVL3G22</x:v>
      </x:c>
      <x:c r="U334" s="23" t="str">
        <x:v>ANTONIO MARCOS GOMES DA SILVA JUNIOR</x:v>
      </x:c>
      <x:c r="V334" s="22" t="str">
        <x:f>"441.233.508-95"</x:f>
        <x:v>441.233.508-95</x:v>
      </x:c>
      <x:c r="W334" s="22" t="str">
        <x:f>"44123350895"</x:f>
        <x:v>44123350895</x:v>
      </x:c>
      <x:c r="X334" s="23" t="str">
        <x:v>srgomes07@gmail.com</x:v>
      </x:c>
      <x:c r="Y334" s="22" t="str">
        <x:f>"(16) 99158-9875"</x:f>
        <x:v>(16) 99158-9875</x:v>
      </x:c>
      <x:c r="Z334" s="30" t="n">
        <x:v>46465</x:v>
      </x:c>
    </x:row>
    <x:row r="335" ht="18" customHeight="1">
      <x:c r="A335" s="22" t="str">
        <x:f>"ea5c2403-039e-4728-af2b-50f0b6a176e0"</x:f>
        <x:v>ea5c2403-039e-4728-af2b-50f0b6a176e0</x:v>
      </x:c>
      <x:c r="B335" s="23" t="str">
        <x:v>ANTONIO MARCOS GOMES DE OLIVEIRA</x:v>
      </x:c>
      <x:c r="C335" s="23" t="str">
        <x:v>antonio marcos gomes de oliveira</x:v>
      </x:c>
      <x:c r="D335" s="22" t="str">
        <x:f>"63.054.818/0001-07"</x:f>
        <x:v>63.054.818/0001-07</x:v>
      </x:c>
      <x:c r="E335" s="22" t="str">
        <x:f>"63054818000107"</x:f>
        <x:v>63054818000107</x:v>
      </x:c>
      <x:c r="F335" s="22" t="str">
        <x:f>"065.022.323-37"</x:f>
        <x:v>065.022.323-37</x:v>
      </x:c>
      <x:c r="G335" s="22" t="str">
        <x:f>"06502232337"</x:f>
        <x:v>06502232337</x:v>
      </x:c>
      <x:c r="H335" s="23" t="str">
        <x:v>marcosgomes201718@gmail.com</x:v>
      </x:c>
      <x:c r="I335" s="22" t="str">
        <x:f>"64 9218-4379"</x:f>
        <x:v>64 9218-4379</x:v>
      </x:c>
      <x:c r="J335" s="23" t="str">
        <x:v>RENTAL</x:v>
      </x:c>
      <x:c r="K335" s="23" t="str">
        <x:v>rental_company</x:v>
      </x:c>
      <x:c r="L335" s="24" t="b">
        <x:v>1</x:v>
      </x:c>
      <x:c r="M335" s="23" t="n">
        <x:v>1</x:v>
      </x:c>
      <x:c r="N335" s="28" t="n">
        <x:v>46203.92186888889</x:v>
      </x:c>
      <x:c r="O335" s="28" t="n">
        <x:v>46219.812988715275</x:v>
      </x:c>
      <x:c r="P335" s="23" t="str">
        <x:v>RIO VERDE</x:v>
      </x:c>
      <x:c r="Q335" s="30" t="n">
        <x:v>34309</x:v>
      </x:c>
      <x:c r="R335" s="22" t="str">
        <x:f>"3421536"</x:f>
        <x:v>3421536</x:v>
      </x:c>
      <x:c r="S335" s="23" t="str">
        <x:v>masculino</x:v>
      </x:c>
      <x:c r="T335" s="22" t="str"/>
      <x:c r="U335" s="23" t="str">
        <x:v>ANTONIO MARCOS GOMES DE OLIVEIRA</x:v>
      </x:c>
      <x:c r="V335" s="22" t="str">
        <x:f>"065.022.323-37"</x:f>
        <x:v>065.022.323-37</x:v>
      </x:c>
      <x:c r="W335" s="22" t="str">
        <x:f>"06502232337"</x:f>
        <x:v>06502232337</x:v>
      </x:c>
      <x:c r="X335" s="23" t="str">
        <x:v>marcosgomes201718@gmail.com</x:v>
      </x:c>
      <x:c r="Y335" s="22" t="str">
        <x:f>"64 9218-4379"</x:f>
        <x:v>64 9218-4379</x:v>
      </x:c>
      <x:c r="Z335" s="30" t="n">
        <x:v>46303</x:v>
      </x:c>
    </x:row>
    <x:row r="336" ht="18" customHeight="1">
      <x:c r="A336" s="22" t="str">
        <x:f>"b8f7399d-d9c7-435e-98ac-213b16e427cf"</x:f>
        <x:v>b8f7399d-d9c7-435e-98ac-213b16e427cf</x:v>
      </x:c>
      <x:c r="B336" s="23" t="str">
        <x:v>ANTONIO MARCOS MOREIRA RIBEIRO</x:v>
      </x:c>
      <x:c r="C336" s="23" t="str">
        <x:v>antonio marcos moreira ribeiro</x:v>
      </x:c>
      <x:c r="D336" s="22" t="str">
        <x:f>"37.333.352/0001-79"</x:f>
        <x:v>37.333.352/0001-79</x:v>
      </x:c>
      <x:c r="E336" s="22" t="str">
        <x:f>"37333352000179"</x:f>
        <x:v>37333352000179</x:v>
      </x:c>
      <x:c r="F336" s="22" t="str">
        <x:f>"037.572.727-22"</x:f>
        <x:v>037.572.727-22</x:v>
      </x:c>
      <x:c r="G336" s="22" t="str">
        <x:f>"03757272722"</x:f>
        <x:v>03757272722</x:v>
      </x:c>
      <x:c r="H336" s="23" t="str">
        <x:v>thiuly89@gmail.com</x:v>
      </x:c>
      <x:c r="I336" s="22" t="str">
        <x:f>"21969253802"</x:f>
        <x:v>21969253802</x:v>
      </x:c>
      <x:c r="J336" s="23" t="str">
        <x:v>SPOT</x:v>
      </x:c>
      <x:c r="K336" s="23" t="str">
        <x:v>favored_only</x:v>
      </x:c>
      <x:c r="L336" s="24" t="b">
        <x:v>1</x:v>
      </x:c>
      <x:c r="M336" s="23" t="n">
        <x:v>1</x:v>
      </x:c>
      <x:c r="N336" s="28" t="n">
        <x:v>46203.92189965278</x:v>
      </x:c>
      <x:c r="O336" s="28" t="n">
        <x:v>46219.812988715275</x:v>
      </x:c>
      <x:c r="P336" s="23" t="str">
        <x:v>CAMPO GRANDE</x:v>
      </x:c>
      <x:c r="Q336" s="30" t="n">
        <x:v>26293</x:v>
      </x:c>
      <x:c r="R336" s="22" t="str">
        <x:f>"96943048"</x:f>
        <x:v>96943048</x:v>
      </x:c>
      <x:c r="S336" s="23" t="str">
        <x:v>masculino</x:v>
      </x:c>
      <x:c r="T336" s="22" t="str">
        <x:f>"LLY2G75"</x:f>
        <x:v>LLY2G75</x:v>
      </x:c>
      <x:c r="U336" s="23" t="str">
        <x:v>ANTONIO MARCOS MOREIRA RIBEIRO</x:v>
      </x:c>
      <x:c r="V336" s="22" t="str">
        <x:f>"037.572.727-22"</x:f>
        <x:v>037.572.727-22</x:v>
      </x:c>
      <x:c r="W336" s="22" t="str">
        <x:f>"03757272722"</x:f>
        <x:v>03757272722</x:v>
      </x:c>
      <x:c r="X336" s="23" t="str">
        <x:v>thiuly89@gmail.com</x:v>
      </x:c>
      <x:c r="Y336" s="22" t="str">
        <x:f>"21969253802"</x:f>
        <x:v>21969253802</x:v>
      </x:c>
      <x:c r="Z336" s="30" t="n">
        <x:v>46359</x:v>
      </x:c>
    </x:row>
    <x:row r="337" ht="18" customHeight="1">
      <x:c r="A337" s="22" t="str">
        <x:f>"3cf1750d-ad9f-43f5-a15b-509158dffa09"</x:f>
        <x:v>3cf1750d-ad9f-43f5-a15b-509158dffa09</x:v>
      </x:c>
      <x:c r="B337" s="23" t="str">
        <x:v>ANTONIO PINTO DA SILVA JUNIOR</x:v>
      </x:c>
      <x:c r="C337" s="23" t="str">
        <x:v>antonio pinto da silva junior</x:v>
      </x:c>
      <x:c r="D337" s="22" t="str">
        <x:f>"51.918.545/0001-12"</x:f>
        <x:v>51.918.545/0001-12</x:v>
      </x:c>
      <x:c r="E337" s="22" t="str">
        <x:f>"51918545000112"</x:f>
        <x:v>51918545000112</x:v>
      </x:c>
      <x:c r="F337" s="22" t="str">
        <x:f>"007.685.182-61"</x:f>
        <x:v>007.685.182-61</x:v>
      </x:c>
      <x:c r="G337" s="22" t="str">
        <x:f>"00768518261"</x:f>
        <x:v>00768518261</x:v>
      </x:c>
      <x:c r="H337" s="23" t="str">
        <x:v>juniorltdbrasil@gmail.com</x:v>
      </x:c>
      <x:c r="I337" s="22" t="str">
        <x:f>"66992658199"</x:f>
        <x:v>66992658199</x:v>
      </x:c>
      <x:c r="J337" s="23" t="str">
        <x:v>SPOT</x:v>
      </x:c>
      <x:c r="K337" s="23" t="str">
        <x:v>favored_only</x:v>
      </x:c>
      <x:c r="L337" s="24" t="b">
        <x:v>1</x:v>
      </x:c>
      <x:c r="M337" s="23" t="n">
        <x:v>1</x:v>
      </x:c>
      <x:c r="N337" s="28" t="n">
        <x:v>46203.92189349537</x:v>
      </x:c>
      <x:c r="O337" s="28" t="n">
        <x:v>46219.812988715275</x:v>
      </x:c>
      <x:c r="P337" s="23" t="str">
        <x:v>SINOP</x:v>
      </x:c>
      <x:c r="Q337" s="30" t="n">
        <x:v>34030</x:v>
      </x:c>
      <x:c r="R337" s="22" t="str">
        <x:f>"349432"</x:f>
        <x:v>349432</x:v>
      </x:c>
      <x:c r="S337" s="23" t="str">
        <x:v>masculino</x:v>
      </x:c>
      <x:c r="T337" s="22" t="str">
        <x:f>"TBO0C90"</x:f>
        <x:v>TBO0C90</x:v>
      </x:c>
      <x:c r="U337" s="23" t="str">
        <x:v>ANTONIO PINTO DA SILVA JUNIOR</x:v>
      </x:c>
      <x:c r="V337" s="22" t="str">
        <x:f>"007.685.182-61"</x:f>
        <x:v>007.685.182-61</x:v>
      </x:c>
      <x:c r="W337" s="22" t="str">
        <x:f>"00768518261"</x:f>
        <x:v>00768518261</x:v>
      </x:c>
      <x:c r="X337" s="23" t="str">
        <x:v>juniorltdbrasil@gmail.com</x:v>
      </x:c>
      <x:c r="Y337" s="22" t="str">
        <x:f>"66 992658199"</x:f>
        <x:v>66 992658199</x:v>
      </x:c>
      <x:c r="Z337" s="30" t="n">
        <x:v>46336</x:v>
      </x:c>
    </x:row>
    <x:row r="338" ht="18" customHeight="1">
      <x:c r="A338" s="22" t="str">
        <x:f>"fcab6eb4-5ce1-4f0d-9af5-b4fb403c4c10"</x:f>
        <x:v>fcab6eb4-5ce1-4f0d-9af5-b4fb403c4c10</x:v>
      </x:c>
      <x:c r="B338" s="23" t="str">
        <x:v>ANTONIO SILVA PEIXOTO FERREIRA</x:v>
      </x:c>
      <x:c r="C338" s="23" t="str">
        <x:v>antonio silva peixoto ferreira</x:v>
      </x:c>
      <x:c r="D338" s="22" t="str">
        <x:f>"41.316.805/0001-26"</x:f>
        <x:v>41.316.805/0001-26</x:v>
      </x:c>
      <x:c r="E338" s="22" t="str">
        <x:f>"41316805000126"</x:f>
        <x:v>41316805000126</x:v>
      </x:c>
      <x:c r="F338" s="22" t="str">
        <x:f>"061.430.646-95"</x:f>
        <x:v>061.430.646-95</x:v>
      </x:c>
      <x:c r="G338" s="22" t="str">
        <x:f>"06143064695"</x:f>
        <x:v>06143064695</x:v>
      </x:c>
      <x:c r="H338" s="23" t="str">
        <x:v>nempeixoto@yahoo.com.br</x:v>
      </x:c>
      <x:c r="I338" s="22" t="str">
        <x:f>"31-99533-9520"</x:f>
        <x:v>31-99533-9520</x:v>
      </x:c>
      <x:c r="J338" s="23" t="str">
        <x:v>SPOT</x:v>
      </x:c>
      <x:c r="K338" s="23" t="str">
        <x:v>favored_only</x:v>
      </x:c>
      <x:c r="L338" s="24" t="b">
        <x:v>1</x:v>
      </x:c>
      <x:c r="M338" s="23" t="n">
        <x:v>1</x:v>
      </x:c>
      <x:c r="N338" s="28" t="n">
        <x:v>46219.812988715275</x:v>
      </x:c>
      <x:c r="O338" s="28" t="n">
        <x:v>46219.812988715275</x:v>
      </x:c>
      <x:c r="P338" s="23" t="str">
        <x:v>NOVA LIMA</x:v>
      </x:c>
      <x:c r="Q338" s="30" t="n">
        <x:v>30615</x:v>
      </x:c>
      <x:c r="R338" s="22" t="str">
        <x:f>"3731180"</x:f>
        <x:v>3731180</x:v>
      </x:c>
      <x:c r="S338" s="23" t="str">
        <x:v>masculino</x:v>
      </x:c>
      <x:c r="T338" s="22" t="str">
        <x:f>"PBB8F25"</x:f>
        <x:v>PBB8F25</x:v>
      </x:c>
      <x:c r="U338" s="23" t="str">
        <x:v>ANTONIO SILVA PEIXOTO FERREIRA</x:v>
      </x:c>
      <x:c r="V338" s="22" t="str">
        <x:f>"061.430.646-95"</x:f>
        <x:v>061.430.646-95</x:v>
      </x:c>
      <x:c r="W338" s="22" t="str">
        <x:f>"06143064695"</x:f>
        <x:v>06143064695</x:v>
      </x:c>
      <x:c r="X338" s="23" t="str">
        <x:v>nempeixoto@yahoo.com.br</x:v>
      </x:c>
      <x:c r="Y338" s="22" t="str">
        <x:f>"31-99533-9520"</x:f>
        <x:v>31-99533-9520</x:v>
      </x:c>
      <x:c r="Z338" s="30" t="n">
        <x:v>46455</x:v>
      </x:c>
    </x:row>
    <x:row r="339" ht="18" customHeight="1">
      <x:c r="A339" s="22" t="str">
        <x:f>"33d8eec3-78cb-4874-b692-be3d64a07538"</x:f>
        <x:v>33d8eec3-78cb-4874-b692-be3d64a07538</x:v>
      </x:c>
      <x:c r="B339" s="23" t="str">
        <x:v>ANTONY FRANCISCO BORTOLOTI</x:v>
      </x:c>
      <x:c r="C339" s="23" t="str">
        <x:v>antony francisco bortoloti</x:v>
      </x:c>
      <x:c r="D339" s="22" t="str">
        <x:f>"64.676.728/0001-10"</x:f>
        <x:v>64.676.728/0001-10</x:v>
      </x:c>
      <x:c r="E339" s="22" t="str">
        <x:f>"64676728000110"</x:f>
        <x:v>64676728000110</x:v>
      </x:c>
      <x:c r="F339" s="22" t="str">
        <x:f>"088.166.181-32"</x:f>
        <x:v>088.166.181-32</x:v>
      </x:c>
      <x:c r="G339" s="22" t="str">
        <x:f>"08816618132"</x:f>
        <x:v>08816618132</x:v>
      </x:c>
      <x:c r="H339" s="23" t="str">
        <x:v>antonybortoloti@gmail.com</x:v>
      </x:c>
      <x:c r="I339" s="22" t="str">
        <x:f>"6798280172"</x:f>
        <x:v>6798280172</x:v>
      </x:c>
      <x:c r="J339" s="23" t="str">
        <x:v>SPOT</x:v>
      </x:c>
      <x:c r="K339" s="23" t="str">
        <x:v>favored_only</x:v>
      </x:c>
      <x:c r="L339" s="24" t="b">
        <x:v>1</x:v>
      </x:c>
      <x:c r="M339" s="23" t="n">
        <x:v>1</x:v>
      </x:c>
      <x:c r="N339" s="28" t="n">
        <x:v>46219.812988715275</x:v>
      </x:c>
      <x:c r="O339" s="28" t="n">
        <x:v>46219.812988715275</x:v>
      </x:c>
      <x:c r="P339" s="23" t="str">
        <x:v>CHAPADÃO DO SUL</x:v>
      </x:c>
      <x:c r="Q339" s="30" t="n">
        <x:v>38430</x:v>
      </x:c>
      <x:c r="R339" s="22" t="str">
        <x:f>"2489760"</x:f>
        <x:v>2489760</x:v>
      </x:c>
      <x:c r="S339" s="23" t="str">
        <x:v>masculino</x:v>
      </x:c>
      <x:c r="T339" s="22" t="str">
        <x:f>"OOH0G95"</x:f>
        <x:v>OOH0G95</x:v>
      </x:c>
      <x:c r="U339" s="23" t="str">
        <x:v>ANTONY FRANCISCO BORTOLOTI</x:v>
      </x:c>
      <x:c r="V339" s="22" t="str">
        <x:f>"088.166.181-32"</x:f>
        <x:v>088.166.181-32</x:v>
      </x:c>
      <x:c r="W339" s="22" t="str">
        <x:f>"08816618132"</x:f>
        <x:v>08816618132</x:v>
      </x:c>
      <x:c r="X339" s="23" t="str">
        <x:v>antonybortoloti@gmail.com</x:v>
      </x:c>
      <x:c r="Y339" s="22" t="str">
        <x:f>"6798280172"</x:f>
        <x:v>6798280172</x:v>
      </x:c>
      <x:c r="Z339" s="30" t="n">
        <x:v>46415</x:v>
      </x:c>
    </x:row>
    <x:row r="340" ht="18" customHeight="1">
      <x:c r="A340" s="22" t="str">
        <x:f>"92e86cc2-6968-4ede-8828-fe917d6be073"</x:f>
        <x:v>92e86cc2-6968-4ede-8828-fe917d6be073</x:v>
      </x:c>
      <x:c r="B340" s="23" t="str">
        <x:v>APARECIDO GONCALVES MOREIRA</x:v>
      </x:c>
      <x:c r="C340" s="23" t="str">
        <x:v>aparecido goncalves moreira</x:v>
      </x:c>
      <x:c r="D340" s="22" t="str">
        <x:f>"62.269.435/0001-93"</x:f>
        <x:v>62.269.435/0001-93</x:v>
      </x:c>
      <x:c r="E340" s="22" t="str">
        <x:f>"62269435000193"</x:f>
        <x:v>62269435000193</x:v>
      </x:c>
      <x:c r="F340" s="22" t="str">
        <x:f>"441.388.901-06"</x:f>
        <x:v>441.388.901-06</x:v>
      </x:c>
      <x:c r="G340" s="22" t="str">
        <x:f>"44138890106"</x:f>
        <x:v>44138890106</x:v>
      </x:c>
      <x:c r="H340" s="23" t="str">
        <x:v>agmoreira1968@gmail.com</x:v>
      </x:c>
      <x:c r="I340" s="22" t="str">
        <x:f>"62 99220-4436"</x:f>
        <x:v>62 99220-4436</x:v>
      </x:c>
      <x:c r="J340" s="23" t="str">
        <x:v>SPOT</x:v>
      </x:c>
      <x:c r="K340" s="23" t="str">
        <x:v>favored_only</x:v>
      </x:c>
      <x:c r="L340" s="24" t="b">
        <x:v>1</x:v>
      </x:c>
      <x:c r="M340" s="23" t="n">
        <x:v>1</x:v>
      </x:c>
      <x:c r="N340" s="28" t="n">
        <x:v>46203.9218771875</x:v>
      </x:c>
      <x:c r="O340" s="28" t="n">
        <x:v>46219.812988715275</x:v>
      </x:c>
      <x:c r="P340" s="23" t="str">
        <x:v>GOIANIA</x:v>
      </x:c>
      <x:c r="Q340" s="30" t="n">
        <x:v>24987</x:v>
      </x:c>
      <x:c r="R340" s="22" t="str">
        <x:f>"1551732"</x:f>
        <x:v>1551732</x:v>
      </x:c>
      <x:c r="S340" s="23" t="str">
        <x:v>masculino</x:v>
      </x:c>
      <x:c r="T340" s="22" t="str">
        <x:f>"JJI8G20"</x:f>
        <x:v>JJI8G20</x:v>
      </x:c>
      <x:c r="U340" s="23" t="str">
        <x:v>APARECIDO GONCALVES MOREIRA</x:v>
      </x:c>
      <x:c r="V340" s="22" t="str">
        <x:f>"441.388.901-06"</x:f>
        <x:v>441.388.901-06</x:v>
      </x:c>
      <x:c r="W340" s="22" t="str">
        <x:f>"44138890106"</x:f>
        <x:v>44138890106</x:v>
      </x:c>
      <x:c r="X340" s="23" t="str">
        <x:v>agmoreira1968@gmail.com</x:v>
      </x:c>
      <x:c r="Y340" s="22" t="str">
        <x:f>"62 99220-4436"</x:f>
        <x:v>62 99220-4436</x:v>
      </x:c>
      <x:c r="Z340" s="30" t="n">
        <x:v>46310</x:v>
      </x:c>
    </x:row>
    <x:row r="341" ht="18" customHeight="1">
      <x:c r="A341" s="22" t="str">
        <x:f>"b12f107b-080e-42d3-8fbc-397417542e5a"</x:f>
        <x:v>b12f107b-080e-42d3-8fbc-397417542e5a</x:v>
      </x:c>
      <x:c r="B341" s="23" t="str">
        <x:v>APARECIDO JOSE SANTANA DA SILVA</x:v>
      </x:c>
      <x:c r="C341" s="23" t="str">
        <x:v>aparecido jose santana da silva</x:v>
      </x:c>
      <x:c r="D341" s="22" t="str">
        <x:f>"27.595.522/0001-30"</x:f>
        <x:v>27.595.522/0001-30</x:v>
      </x:c>
      <x:c r="E341" s="22" t="str">
        <x:f>"27595522000130"</x:f>
        <x:v>27595522000130</x:v>
      </x:c>
      <x:c r="F341" s="22" t="str">
        <x:f>"421.061.458-02"</x:f>
        <x:v>421.061.458-02</x:v>
      </x:c>
      <x:c r="G341" s="22" t="str">
        <x:f>"42106145802"</x:f>
        <x:v>42106145802</x:v>
      </x:c>
      <x:c r="H341" s="23" t="str">
        <x:v>aparecido_tido1@hotmail.com</x:v>
      </x:c>
      <x:c r="I341" s="22" t="str">
        <x:f>"18997993891"</x:f>
        <x:v>18997993891</x:v>
      </x:c>
      <x:c r="J341" s="23" t="str">
        <x:v>RENTAL</x:v>
      </x:c>
      <x:c r="K341" s="23" t="str">
        <x:v>rental_company</x:v>
      </x:c>
      <x:c r="L341" s="24" t="b">
        <x:v>1</x:v>
      </x:c>
      <x:c r="M341" s="23" t="n">
        <x:v>1</x:v>
      </x:c>
      <x:c r="N341" s="28" t="n">
        <x:v>46219.812988715275</x:v>
      </x:c>
      <x:c r="O341" s="28" t="n">
        <x:v>46219.812988715275</x:v>
      </x:c>
      <x:c r="P341" s="23" t="str">
        <x:v>PRESIDENTE PRUDENTE</x:v>
      </x:c>
      <x:c r="Q341" s="30" t="n">
        <x:v>34619</x:v>
      </x:c>
      <x:c r="R341" s="22" t="str">
        <x:f>"440540811"</x:f>
        <x:v>440540811</x:v>
      </x:c>
      <x:c r="S341" s="23" t="str">
        <x:v>masculino</x:v>
      </x:c>
      <x:c r="T341" s="22" t="str"/>
      <x:c r="U341" s="23" t="str">
        <x:v>APARECIDO JOSE SANTANA DA SILVA</x:v>
      </x:c>
      <x:c r="V341" s="22" t="str">
        <x:f>"421.061.458-02"</x:f>
        <x:v>421.061.458-02</x:v>
      </x:c>
      <x:c r="W341" s="22" t="str">
        <x:f>"42106145802"</x:f>
        <x:v>42106145802</x:v>
      </x:c>
      <x:c r="X341" s="23" t="str">
        <x:v>aparecido_tido1@hotmail.com</x:v>
      </x:c>
      <x:c r="Y341" s="22" t="str">
        <x:f>"18997993891"</x:f>
        <x:v>18997993891</x:v>
      </x:c>
      <x:c r="Z341" s="30" t="n">
        <x:v>46429</x:v>
      </x:c>
    </x:row>
    <x:row r="342" ht="18" customHeight="1">
      <x:c r="A342" s="22" t="str">
        <x:f>"2c823c7d-cbd2-4be2-b32b-f04244220cd8"</x:f>
        <x:v>2c823c7d-cbd2-4be2-b32b-f04244220cd8</x:v>
      </x:c>
      <x:c r="B342" s="23" t="str">
        <x:v>APARECIDO NUNES GOMES</x:v>
      </x:c>
      <x:c r="C342" s="23" t="str">
        <x:v>aparecido nunes gomes</x:v>
      </x:c>
      <x:c r="D342" s="22" t="str">
        <x:f>"63.997.671/0001-99"</x:f>
        <x:v>63.997.671/0001-99</x:v>
      </x:c>
      <x:c r="E342" s="22" t="str">
        <x:f>"63997671000199"</x:f>
        <x:v>63997671000199</x:v>
      </x:c>
      <x:c r="F342" s="22" t="str">
        <x:f>"115.487.756-65"</x:f>
        <x:v>115.487.756-65</x:v>
      </x:c>
      <x:c r="G342" s="22" t="str">
        <x:f>"11548775665"</x:f>
        <x:v>11548775665</x:v>
      </x:c>
      <x:c r="H342" s="23" t="str">
        <x:v>aparecidonunes27@gmail.com</x:v>
      </x:c>
      <x:c r="I342" s="22" t="str">
        <x:f>"31985641325"</x:f>
        <x:v>31985641325</x:v>
      </x:c>
      <x:c r="J342" s="23" t="str">
        <x:v>spot</x:v>
      </x:c>
      <x:c r="K342" s="23" t="str">
        <x:v>favored_only</x:v>
      </x:c>
      <x:c r="L342" s="24" t="b">
        <x:v>1</x:v>
      </x:c>
      <x:c r="M342" s="23" t="n">
        <x:v>1</x:v>
      </x:c>
      <x:c r="N342" s="28" t="n">
        <x:v>46219.812988715275</x:v>
      </x:c>
      <x:c r="O342" s="28" t="n">
        <x:v>46219.812988715275</x:v>
      </x:c>
      <x:c r="P342" s="23" t="str">
        <x:v>VESPASIANO</x:v>
      </x:c>
      <x:c r="Q342" s="30" t="n">
        <x:v>34737</x:v>
      </x:c>
      <x:c r="R342" s="22" t="str">
        <x:f>"MG17008335"</x:f>
        <x:v>MG17008335</x:v>
      </x:c>
      <x:c r="S342" s="23" t="str">
        <x:v>masculino</x:v>
      </x:c>
      <x:c r="T342" s="22" t="str">
        <x:f>"kqw8d34"</x:f>
        <x:v>kqw8d34</x:v>
      </x:c>
      <x:c r="U342" s="23" t="str">
        <x:v>APARECIDO NUNES GOMES</x:v>
      </x:c>
      <x:c r="V342" s="22" t="str">
        <x:f>"115.487.756-65"</x:f>
        <x:v>115.487.756-65</x:v>
      </x:c>
      <x:c r="W342" s="22" t="str">
        <x:f>"11548775665"</x:f>
        <x:v>11548775665</x:v>
      </x:c>
      <x:c r="X342" s="23" t="str">
        <x:v>aparecidonunes27@gmail.com</x:v>
      </x:c>
      <x:c r="Y342" s="22" t="str">
        <x:f>"31985641325"</x:f>
        <x:v>31985641325</x:v>
      </x:c>
      <x:c r="Z342" s="30" t="n">
        <x:v>46581</x:v>
      </x:c>
    </x:row>
    <x:row r="343" ht="18" customHeight="1">
      <x:c r="A343" s="22" t="str">
        <x:f>"bbd5eb4d-d0e2-4425-a3bf-88491c640413"</x:f>
        <x:v>bbd5eb4d-d0e2-4425-a3bf-88491c640413</x:v>
      </x:c>
      <x:c r="B343" s="23" t="str">
        <x:v>ARIANA FERNANDA DE MOURA</x:v>
      </x:c>
      <x:c r="C343" s="23" t="str">
        <x:v>ariana fernanda de moura</x:v>
      </x:c>
      <x:c r="D343" s="22" t="str">
        <x:f>"55.806.235/0001-67"</x:f>
        <x:v>55.806.235/0001-67</x:v>
      </x:c>
      <x:c r="E343" s="22" t="str">
        <x:f>"55806235000167"</x:f>
        <x:v>55806235000167</x:v>
      </x:c>
      <x:c r="F343" s="22" t="str">
        <x:f>"072.455.156-54"</x:f>
        <x:v>072.455.156-54</x:v>
      </x:c>
      <x:c r="G343" s="22" t="str">
        <x:f>"07245515654"</x:f>
        <x:v>07245515654</x:v>
      </x:c>
      <x:c r="H343" s="23" t="str">
        <x:v>arianafernandamoura@gmail.com</x:v>
      </x:c>
      <x:c r="I343" s="22" t="str">
        <x:f>"34 988724977"</x:f>
        <x:v>34 988724977</x:v>
      </x:c>
      <x:c r="J343" s="23" t="str">
        <x:v>SPOT</x:v>
      </x:c>
      <x:c r="K343" s="23" t="str">
        <x:v>favored_only</x:v>
      </x:c>
      <x:c r="L343" s="24" t="b">
        <x:v>1</x:v>
      </x:c>
      <x:c r="M343" s="23" t="n">
        <x:v>1</x:v>
      </x:c>
      <x:c r="N343" s="28" t="n">
        <x:v>46203.921824756944</x:v>
      </x:c>
      <x:c r="O343" s="28" t="n">
        <x:v>46219.812988715275</x:v>
      </x:c>
      <x:c r="P343" s="23" t="str">
        <x:v>ARAXÁ</x:v>
      </x:c>
      <x:c r="Q343" s="30" t="n">
        <x:v>31135</x:v>
      </x:c>
      <x:c r="R343" s="22" t="str">
        <x:f>"14431446"</x:f>
        <x:v>14431446</x:v>
      </x:c>
      <x:c r="S343" s="23" t="str">
        <x:v>feminino</x:v>
      </x:c>
      <x:c r="T343" s="22" t="str">
        <x:f>"FSG5F98"</x:f>
        <x:v>FSG5F98</x:v>
      </x:c>
      <x:c r="U343" s="23" t="str">
        <x:v>ARIANA FERNANDA DE MOURA</x:v>
      </x:c>
      <x:c r="V343" s="22" t="str">
        <x:f>"072.455.156-54"</x:f>
        <x:v>072.455.156-54</x:v>
      </x:c>
      <x:c r="W343" s="22" t="str">
        <x:f>"07245515654"</x:f>
        <x:v>07245515654</x:v>
      </x:c>
      <x:c r="X343" s="23" t="str">
        <x:v>arianafernandamoura@gmail.com</x:v>
      </x:c>
      <x:c r="Y343" s="22" t="str">
        <x:f>"34 988724977"</x:f>
        <x:v>34 988724977</x:v>
      </x:c>
      <x:c r="Z343" s="30" t="n">
        <x:v>46294</x:v>
      </x:c>
    </x:row>
    <x:row r="344" ht="18" customHeight="1">
      <x:c r="A344" s="22" t="str">
        <x:f>"d87d6daa-1281-4fcc-9c3e-ca7e41ef9341"</x:f>
        <x:v>d87d6daa-1281-4fcc-9c3e-ca7e41ef9341</x:v>
      </x:c>
      <x:c r="B344" s="23" t="str">
        <x:v>ARIEL WESLEY CARDONA</x:v>
      </x:c>
      <x:c r="C344" s="23" t="str">
        <x:v>ariel wesley cardona</x:v>
      </x:c>
      <x:c r="D344" s="22" t="str">
        <x:f>"62.563.217/0001-67"</x:f>
        <x:v>62.563.217/0001-67</x:v>
      </x:c>
      <x:c r="E344" s="22" t="str">
        <x:f>"62563217000167"</x:f>
        <x:v>62563217000167</x:v>
      </x:c>
      <x:c r="F344" s="22" t="str">
        <x:f>"504.749.898-01"</x:f>
        <x:v>504.749.898-01</x:v>
      </x:c>
      <x:c r="G344" s="22" t="str">
        <x:f>"50474989801"</x:f>
        <x:v>50474989801</x:v>
      </x:c>
      <x:c r="H344" s="23" t="str">
        <x:v>Cardonaariel19@gmail.com</x:v>
      </x:c>
      <x:c r="I344" s="22" t="str">
        <x:f>"16994242525"</x:f>
        <x:v>16994242525</x:v>
      </x:c>
      <x:c r="J344" s="23" t="str">
        <x:v>RENTAL</x:v>
      </x:c>
      <x:c r="K344" s="23" t="str">
        <x:v>rental_company</x:v>
      </x:c>
      <x:c r="L344" s="24" t="b">
        <x:v>1</x:v>
      </x:c>
      <x:c r="M344" s="23" t="n">
        <x:v>1</x:v>
      </x:c>
      <x:c r="N344" s="28" t="n">
        <x:v>46203.92186462963</x:v>
      </x:c>
      <x:c r="O344" s="28" t="n">
        <x:v>46219.812988715275</x:v>
      </x:c>
      <x:c r="P344" s="23" t="str">
        <x:v>RIBEIRAO PRETO</x:v>
      </x:c>
      <x:c r="Q344" s="30" t="n">
        <x:v>37153</x:v>
      </x:c>
      <x:c r="R344" s="22" t="str">
        <x:f>"580786602"</x:f>
        <x:v>580786602</x:v>
      </x:c>
      <x:c r="S344" s="23" t="str">
        <x:v>masculino</x:v>
      </x:c>
      <x:c r="T344" s="22" t="str"/>
      <x:c r="U344" s="23" t="str">
        <x:v>ARIEL WESLEY CARDONA</x:v>
      </x:c>
      <x:c r="V344" s="22" t="str">
        <x:f>"504.749.898-01"</x:f>
        <x:v>504.749.898-01</x:v>
      </x:c>
      <x:c r="W344" s="22" t="str">
        <x:f>"50474989801"</x:f>
        <x:v>50474989801</x:v>
      </x:c>
      <x:c r="X344" s="23" t="str">
        <x:v>Cardonaariel19@gmail.com</x:v>
      </x:c>
      <x:c r="Y344" s="22" t="str">
        <x:f>"16994242525"</x:f>
        <x:v>16994242525</x:v>
      </x:c>
      <x:c r="Z344" s="30" t="n">
        <x:v>46270</x:v>
      </x:c>
    </x:row>
    <x:row r="345" ht="18" customHeight="1">
      <x:c r="A345" s="22" t="str">
        <x:f>"e4ef62e4-44f9-41b0-8b74-865ff760311f"</x:f>
        <x:v>e4ef62e4-44f9-41b0-8b74-865ff760311f</x:v>
      </x:c>
      <x:c r="B345" s="23" t="str">
        <x:v>ARIETTE MARIA FERREIRA BEZERRA</x:v>
      </x:c>
      <x:c r="C345" s="23" t="str">
        <x:v>ariette maria ferreira bezerra</x:v>
      </x:c>
      <x:c r="D345" s="22" t="str">
        <x:f>"32.360.967/0001-70"</x:f>
        <x:v>32.360.967/0001-70</x:v>
      </x:c>
      <x:c r="E345" s="22" t="str">
        <x:f>"32360967000170"</x:f>
        <x:v>32360967000170</x:v>
      </x:c>
      <x:c r="F345" s="22" t="str">
        <x:f>"052.252.957-70"</x:f>
        <x:v>052.252.957-70</x:v>
      </x:c>
      <x:c r="G345" s="22" t="str">
        <x:f>"05225295770"</x:f>
        <x:v>05225295770</x:v>
      </x:c>
      <x:c r="H345" s="23" t="str">
        <x:v>ariettemaria30@hotmail.com</x:v>
      </x:c>
      <x:c r="I345" s="22" t="str">
        <x:f>"21 96531-1693"</x:f>
        <x:v>21 96531-1693</x:v>
      </x:c>
      <x:c r="J345" s="23" t="str">
        <x:v>SPOT</x:v>
      </x:c>
      <x:c r="K345" s="23" t="str">
        <x:v>favored_only</x:v>
      </x:c>
      <x:c r="L345" s="24" t="b">
        <x:v>1</x:v>
      </x:c>
      <x:c r="M345" s="23" t="n">
        <x:v>1</x:v>
      </x:c>
      <x:c r="N345" s="28" t="n">
        <x:v>46203.921887453704</x:v>
      </x:c>
      <x:c r="O345" s="28" t="n">
        <x:v>46219.812988715275</x:v>
      </x:c>
      <x:c r="P345" s="23" t="str">
        <x:v>CAMPO GRANDE</x:v>
      </x:c>
      <x:c r="Q345" s="30" t="n">
        <x:v>29492</x:v>
      </x:c>
      <x:c r="R345" s="22" t="str">
        <x:f>"112539440"</x:f>
        <x:v>112539440</x:v>
      </x:c>
      <x:c r="S345" s="23" t="str">
        <x:v>feminino</x:v>
      </x:c>
      <x:c r="T345" s="22" t="str">
        <x:f>"LUW2167"</x:f>
        <x:v>LUW2167</x:v>
      </x:c>
      <x:c r="U345" s="23" t="str">
        <x:v>ARIETTE MARIA FERREIRA BEZERRA</x:v>
      </x:c>
      <x:c r="V345" s="22" t="str">
        <x:f>"052.252.957-70"</x:f>
        <x:v>052.252.957-70</x:v>
      </x:c>
      <x:c r="W345" s="22" t="str">
        <x:f>"05225295770"</x:f>
        <x:v>05225295770</x:v>
      </x:c>
      <x:c r="X345" s="23" t="str">
        <x:v>ariettemaria30@hotmail.com</x:v>
      </x:c>
      <x:c r="Y345" s="22" t="str">
        <x:f>"21 96531-1693"</x:f>
        <x:v>21 96531-1693</x:v>
      </x:c>
      <x:c r="Z345" s="30" t="n">
        <x:v>46331</x:v>
      </x:c>
    </x:row>
    <x:row r="346" ht="18" customHeight="1">
      <x:c r="A346" s="22" t="str">
        <x:f>"4511f301-1fe9-4aeb-850b-ab83b50bf45f"</x:f>
        <x:v>4511f301-1fe9-4aeb-850b-ab83b50bf45f</x:v>
      </x:c>
      <x:c r="B346" s="23" t="str">
        <x:v>ARILANE DE OLIVEIRA FIGUEIREDO</x:v>
      </x:c>
      <x:c r="C346" s="23" t="str">
        <x:v>arilane de oliveira figueiredo</x:v>
      </x:c>
      <x:c r="D346" s="22" t="str">
        <x:f>"60.744.362/0001-19"</x:f>
        <x:v>60.744.362/0001-19</x:v>
      </x:c>
      <x:c r="E346" s="22" t="str">
        <x:f>"60744362000119"</x:f>
        <x:v>60744362000119</x:v>
      </x:c>
      <x:c r="F346" s="22" t="str">
        <x:f>"65139259168"</x:f>
        <x:v>65139259168</x:v>
      </x:c>
      <x:c r="G346" s="22" t="str">
        <x:f>"65139259168"</x:f>
        <x:v>65139259168</x:v>
      </x:c>
      <x:c r="H346" s="23" t="str">
        <x:v>lane.of@hotmail.com</x:v>
      </x:c>
      <x:c r="I346" s="22" t="str">
        <x:f>"65 99236 4156"</x:f>
        <x:v>65 99236 4156</x:v>
      </x:c>
      <x:c r="J346" s="23" t="str">
        <x:v>SPOT</x:v>
      </x:c>
      <x:c r="K346" s="23" t="str">
        <x:v>favored_only</x:v>
      </x:c>
      <x:c r="L346" s="24" t="b">
        <x:v>1</x:v>
      </x:c>
      <x:c r="M346" s="23" t="n">
        <x:v>1</x:v>
      </x:c>
      <x:c r="N346" s="28" t="n">
        <x:v>46203.92183017361</x:v>
      </x:c>
      <x:c r="O346" s="28" t="n">
        <x:v>46203.92183017361</x:v>
      </x:c>
      <x:c r="P346" s="23" t="str"/>
      <x:c r="Q346" s="30" t="str"/>
      <x:c r="R346" s="22" t="str"/>
      <x:c r="S346" s="23" t="str"/>
      <x:c r="T346" s="22" t="str"/>
      <x:c r="U346" s="23" t="str">
        <x:v>ARILANE DE OLIVEIRA FIGUEIREDO</x:v>
      </x:c>
      <x:c r="V346" s="22" t="str">
        <x:f>"65139259168"</x:f>
        <x:v>65139259168</x:v>
      </x:c>
      <x:c r="W346" s="22" t="str">
        <x:f>"65139259168"</x:f>
        <x:v>65139259168</x:v>
      </x:c>
      <x:c r="X346" s="23" t="str">
        <x:v>lane.of@hotmail.com</x:v>
      </x:c>
      <x:c r="Y346" s="22" t="str">
        <x:f>"65 99236 4156"</x:f>
        <x:v>65 99236 4156</x:v>
      </x:c>
      <x:c r="Z346" s="30" t="str"/>
    </x:row>
    <x:row r="347" ht="18" customHeight="1">
      <x:c r="A347" s="22" t="str">
        <x:f>"31705d3e-0d1f-4f9c-819b-e75747107a15"</x:f>
        <x:v>31705d3e-0d1f-4f9c-819b-e75747107a15</x:v>
      </x:c>
      <x:c r="B347" s="23" t="str">
        <x:v>ARILSON KENNEDY RODRIGUES</x:v>
      </x:c>
      <x:c r="C347" s="23" t="str">
        <x:v>arilson kennedy rodrigues</x:v>
      </x:c>
      <x:c r="D347" s="22" t="str">
        <x:f>"66.311.772/0001-52"</x:f>
        <x:v>66.311.772/0001-52</x:v>
      </x:c>
      <x:c r="E347" s="22" t="str">
        <x:f>"66311772000152"</x:f>
        <x:v>66311772000152</x:v>
      </x:c>
      <x:c r="F347" s="22" t="str">
        <x:f>"462.059.618-30"</x:f>
        <x:v>462.059.618-30</x:v>
      </x:c>
      <x:c r="G347" s="22" t="str">
        <x:f>"46205961830"</x:f>
        <x:v>46205961830</x:v>
      </x:c>
      <x:c r="H347" s="23" t="str">
        <x:v>arilsonrodrigues485@gmail.com</x:v>
      </x:c>
      <x:c r="I347" s="22" t="str">
        <x:f>"16 993295460"</x:f>
        <x:v>16 993295460</x:v>
      </x:c>
      <x:c r="J347" s="23" t="str">
        <x:v>RENTALS</x:v>
      </x:c>
      <x:c r="K347" s="23" t="str">
        <x:v>rental_company</x:v>
      </x:c>
      <x:c r="L347" s="24" t="b">
        <x:v>1</x:v>
      </x:c>
      <x:c r="M347" s="23" t="n">
        <x:v>1</x:v>
      </x:c>
      <x:c r="N347" s="28" t="n">
        <x:v>46219.812988715275</x:v>
      </x:c>
      <x:c r="O347" s="28" t="n">
        <x:v>46219.812988715275</x:v>
      </x:c>
      <x:c r="P347" s="23" t="str">
        <x:v>SÃO CARLOS</x:v>
      </x:c>
      <x:c r="Q347" s="30" t="n">
        <x:v>35358</x:v>
      </x:c>
      <x:c r="R347" s="22" t="str">
        <x:f>"454794344"</x:f>
        <x:v>454794344</x:v>
      </x:c>
      <x:c r="S347" s="23" t="str">
        <x:v>masculino</x:v>
      </x:c>
      <x:c r="T347" s="22" t="str"/>
      <x:c r="U347" s="23" t="str">
        <x:v>ARILSON KENNEDY RODRIGUES</x:v>
      </x:c>
      <x:c r="V347" s="22" t="str">
        <x:f>"462.059.618-30"</x:f>
        <x:v>462.059.618-30</x:v>
      </x:c>
      <x:c r="W347" s="22" t="str">
        <x:f>"46205961830"</x:f>
        <x:v>46205961830</x:v>
      </x:c>
      <x:c r="X347" s="23" t="str">
        <x:v>arilsonrodrigues485@gmail.com</x:v>
      </x:c>
      <x:c r="Y347" s="22" t="str">
        <x:f>"16 993295460"</x:f>
        <x:v>16 993295460</x:v>
      </x:c>
      <x:c r="Z347" s="30" t="n">
        <x:v>46493</x:v>
      </x:c>
    </x:row>
    <x:row r="348" ht="18" customHeight="1">
      <x:c r="A348" s="22" t="str">
        <x:f>"518689d9-ec95-4ae4-a97c-49d7a5b926ab"</x:f>
        <x:v>518689d9-ec95-4ae4-a97c-49d7a5b926ab</x:v>
      </x:c>
      <x:c r="B348" s="23" t="str">
        <x:v>ARILSON RODRIGUES DANIEL</x:v>
      </x:c>
      <x:c r="C348" s="23" t="str">
        <x:v>arilson rodrigues daniel</x:v>
      </x:c>
      <x:c r="D348" s="22" t="str">
        <x:f>"37.823.997/0001-90"</x:f>
        <x:v>37.823.997/0001-90</x:v>
      </x:c>
      <x:c r="E348" s="22" t="str">
        <x:f>"37823997000190"</x:f>
        <x:v>37823997000190</x:v>
      </x:c>
      <x:c r="F348" s="22" t="str">
        <x:f>"955.409.621-68"</x:f>
        <x:v>955.409.621-68</x:v>
      </x:c>
      <x:c r="G348" s="22" t="str">
        <x:f>"95540962168"</x:f>
        <x:v>95540962168</x:v>
      </x:c>
      <x:c r="H348" s="23" t="str">
        <x:v>tydosard@gmail.com</x:v>
      </x:c>
      <x:c r="I348" s="22" t="str">
        <x:f>"61981163187"</x:f>
        <x:v>61981163187</x:v>
      </x:c>
      <x:c r="J348" s="23" t="str">
        <x:v>SPOT</x:v>
      </x:c>
      <x:c r="K348" s="23" t="str">
        <x:v>favored_only</x:v>
      </x:c>
      <x:c r="L348" s="24" t="b">
        <x:v>1</x:v>
      </x:c>
      <x:c r="M348" s="23" t="n">
        <x:v>1</x:v>
      </x:c>
      <x:c r="N348" s="28" t="n">
        <x:v>46205.60507061343</x:v>
      </x:c>
      <x:c r="O348" s="28" t="n">
        <x:v>46219.812988715275</x:v>
      </x:c>
      <x:c r="P348" s="23" t="str">
        <x:v>GOIANIA</x:v>
      </x:c>
      <x:c r="Q348" s="30" t="n">
        <x:v>29986</x:v>
      </x:c>
      <x:c r="R348" s="22" t="str">
        <x:f>"44196 DTR DF"</x:f>
        <x:v>44196 DTR DF</x:v>
      </x:c>
      <x:c r="S348" s="23" t="str">
        <x:v>masculino</x:v>
      </x:c>
      <x:c r="T348" s="22" t="str">
        <x:f>"OVS8F80"</x:f>
        <x:v>OVS8F80</x:v>
      </x:c>
      <x:c r="U348" s="23" t="str">
        <x:v>DANILLO BACIEL ALMEIDA</x:v>
      </x:c>
      <x:c r="V348" s="22" t="str">
        <x:f>"019.928.911-50"</x:f>
        <x:v>019.928.911-50</x:v>
      </x:c>
      <x:c r="W348" s="22" t="str">
        <x:f>"01992891150"</x:f>
        <x:v>01992891150</x:v>
      </x:c>
      <x:c r="X348" s="23" t="str">
        <x:v>rpt.cargas@gmail.com</x:v>
      </x:c>
      <x:c r="Y348" s="22" t="str">
        <x:f>"62 996610607"</x:f>
        <x:v>62 996610607</x:v>
      </x:c>
      <x:c r="Z348" s="30" t="n">
        <x:v>46309</x:v>
      </x:c>
    </x:row>
    <x:row r="349" ht="18" customHeight="1">
      <x:c r="A349" s="22" t="str">
        <x:f>"cd72e4de-094e-4782-8b0b-d5820473a916"</x:f>
        <x:v>cd72e4de-094e-4782-8b0b-d5820473a916</x:v>
      </x:c>
      <x:c r="B349" s="23" t="str">
        <x:v>ARIVALDO PINTO CORREA</x:v>
      </x:c>
      <x:c r="C349" s="23" t="str">
        <x:v>arivaldo pinto correa</x:v>
      </x:c>
      <x:c r="D349" s="22" t="str">
        <x:f>"48.505.356/0001-03"</x:f>
        <x:v>48.505.356/0001-03</x:v>
      </x:c>
      <x:c r="E349" s="22" t="str">
        <x:f>"48505356000103"</x:f>
        <x:v>48505356000103</x:v>
      </x:c>
      <x:c r="F349" s="22" t="str">
        <x:f>"424.265.457-04"</x:f>
        <x:v>424.265.457-04</x:v>
      </x:c>
      <x:c r="G349" s="22" t="str">
        <x:f>"42426545704"</x:f>
        <x:v>42426545704</x:v>
      </x:c>
      <x:c r="H349" s="23" t="str">
        <x:v>arivaldopintocorrea@gmail.com</x:v>
      </x:c>
      <x:c r="I349" s="22" t="str">
        <x:f>"(22)997462497"</x:f>
        <x:v>(22)997462497</x:v>
      </x:c>
      <x:c r="J349" s="23" t="str">
        <x:v>SPOT</x:v>
      </x:c>
      <x:c r="K349" s="23" t="str">
        <x:v>favored_only</x:v>
      </x:c>
      <x:c r="L349" s="24" t="b">
        <x:v>1</x:v>
      </x:c>
      <x:c r="M349" s="23" t="n">
        <x:v>2</x:v>
      </x:c>
      <x:c r="N349" s="28" t="n">
        <x:v>46203.9218771875</x:v>
      </x:c>
      <x:c r="O349" s="28" t="n">
        <x:v>46219.812988715275</x:v>
      </x:c>
      <x:c r="P349" s="23" t="str">
        <x:v>CAMPOS DOS GOYTACAZES</x:v>
      </x:c>
      <x:c r="Q349" s="30" t="n">
        <x:v>21202</x:v>
      </x:c>
      <x:c r="R349" s="22" t="str">
        <x:f>"58421595"</x:f>
        <x:v>58421595</x:v>
      </x:c>
      <x:c r="S349" s="23" t="str">
        <x:v>masculino</x:v>
      </x:c>
      <x:c r="T349" s="22" t="str">
        <x:f>"KWP6220"</x:f>
        <x:v>KWP6220</x:v>
      </x:c>
      <x:c r="U349" s="23" t="str">
        <x:v>ARIVALDO PINTO CORREA</x:v>
      </x:c>
      <x:c r="V349" s="22" t="str">
        <x:f>"424.265.457-04"</x:f>
        <x:v>424.265.457-04</x:v>
      </x:c>
      <x:c r="W349" s="22" t="str">
        <x:f>"42426545704"</x:f>
        <x:v>42426545704</x:v>
      </x:c>
      <x:c r="X349" s="23" t="str">
        <x:v>arivaldopintocorrea@gmail.com</x:v>
      </x:c>
      <x:c r="Y349" s="22" t="str">
        <x:f>"(22)997462497"</x:f>
        <x:v>(22)997462497</x:v>
      </x:c>
      <x:c r="Z349" s="30" t="n">
        <x:v>46550</x:v>
      </x:c>
    </x:row>
    <x:row r="350" ht="18" customHeight="1">
      <x:c r="A350" s="22" t="str">
        <x:f>"c67ccb14-5cfa-49a7-94f9-d653a60aaddf"</x:f>
        <x:v>c67ccb14-5cfa-49a7-94f9-d653a60aaddf</x:v>
      </x:c>
      <x:c r="B350" s="23" t="str">
        <x:v>ARLINDO MOTA DE JESUS</x:v>
      </x:c>
      <x:c r="C350" s="23" t="str">
        <x:v>arlindo mota de jesus</x:v>
      </x:c>
      <x:c r="D350" s="22" t="str">
        <x:f>"53.218.602/0001-86"</x:f>
        <x:v>53.218.602/0001-86</x:v>
      </x:c>
      <x:c r="E350" s="22" t="str">
        <x:f>"53218602000186"</x:f>
        <x:v>53218602000186</x:v>
      </x:c>
      <x:c r="F350" s="22" t="str">
        <x:f>"324.871.558-84"</x:f>
        <x:v>324.871.558-84</x:v>
      </x:c>
      <x:c r="G350" s="22" t="str">
        <x:f>"32487155884"</x:f>
        <x:v>32487155884</x:v>
      </x:c>
      <x:c r="H350" s="23" t="str">
        <x:v>alindomotajesus@gmail.com</x:v>
      </x:c>
      <x:c r="I350" s="22" t="str">
        <x:f>"16992327864"</x:f>
        <x:v>16992327864</x:v>
      </x:c>
      <x:c r="J350" s="23" t="str">
        <x:v>rental</x:v>
      </x:c>
      <x:c r="K350" s="23" t="str">
        <x:v>rental_company</x:v>
      </x:c>
      <x:c r="L350" s="24" t="b">
        <x:v>1</x:v>
      </x:c>
      <x:c r="M350" s="23" t="n">
        <x:v>1</x:v>
      </x:c>
      <x:c r="N350" s="28" t="n">
        <x:v>46219.812988715275</x:v>
      </x:c>
      <x:c r="O350" s="28" t="n">
        <x:v>46219.812988715275</x:v>
      </x:c>
      <x:c r="P350" s="23" t="str">
        <x:v>RIBEIRAO PRETO</x:v>
      </x:c>
      <x:c r="Q350" s="30" t="n">
        <x:v>31400</x:v>
      </x:c>
      <x:c r="R350" s="22" t="str">
        <x:f>"438264472"</x:f>
        <x:v>438264472</x:v>
      </x:c>
      <x:c r="S350" s="23" t="str">
        <x:v>masculino</x:v>
      </x:c>
      <x:c r="T350" s="22" t="str"/>
      <x:c r="U350" s="23" t="str">
        <x:v>ARLINDO MOTA DE JESUS</x:v>
      </x:c>
      <x:c r="V350" s="22" t="str">
        <x:f>"324.871.558-84"</x:f>
        <x:v>324.871.558-84</x:v>
      </x:c>
      <x:c r="W350" s="22" t="str">
        <x:f>"32487155884"</x:f>
        <x:v>32487155884</x:v>
      </x:c>
      <x:c r="X350" s="23" t="str">
        <x:v>alindomotajesus@gmail.com</x:v>
      </x:c>
      <x:c r="Y350" s="22" t="str">
        <x:f>"16992327864"</x:f>
        <x:v>16992327864</x:v>
      </x:c>
      <x:c r="Z350" s="30" t="n">
        <x:v>46553</x:v>
      </x:c>
    </x:row>
    <x:row r="351" ht="18" customHeight="1">
      <x:c r="A351" s="22" t="str">
        <x:f>"6351d3a9-68fc-4f92-a84f-c67af8aa0db5"</x:f>
        <x:v>6351d3a9-68fc-4f92-a84f-c67af8aa0db5</x:v>
      </x:c>
      <x:c r="B351" s="23" t="str">
        <x:v>ARLINDO RODRIGO STRANO</x:v>
      </x:c>
      <x:c r="C351" s="23" t="str">
        <x:v>arlindo rodrigo strano</x:v>
      </x:c>
      <x:c r="D351" s="22" t="str">
        <x:f>"51.623.514/0001-34"</x:f>
        <x:v>51.623.514/0001-34</x:v>
      </x:c>
      <x:c r="E351" s="22" t="str">
        <x:f>"51623514000134"</x:f>
        <x:v>51623514000134</x:v>
      </x:c>
      <x:c r="F351" s="22" t="str">
        <x:f>"295.850.368-27"</x:f>
        <x:v>295.850.368-27</x:v>
      </x:c>
      <x:c r="G351" s="22" t="str">
        <x:f>"29585036827"</x:f>
        <x:v>29585036827</x:v>
      </x:c>
      <x:c r="H351" s="23" t="str">
        <x:v>rodrigoarlindostrano@gmail.com</x:v>
      </x:c>
      <x:c r="I351" s="22" t="str">
        <x:f>"16997484393"</x:f>
        <x:v>16997484393</x:v>
      </x:c>
      <x:c r="J351" s="23" t="str">
        <x:v>RENTAL</x:v>
      </x:c>
      <x:c r="K351" s="23" t="str">
        <x:v>rental_company</x:v>
      </x:c>
      <x:c r="L351" s="24" t="b">
        <x:v>1</x:v>
      </x:c>
      <x:c r="M351" s="23" t="n">
        <x:v>1</x:v>
      </x:c>
      <x:c r="N351" s="28" t="n">
        <x:v>46219.812988715275</x:v>
      </x:c>
      <x:c r="O351" s="28" t="n">
        <x:v>46219.812988715275</x:v>
      </x:c>
      <x:c r="P351" s="23" t="str">
        <x:v>SÃO CARLOS</x:v>
      </x:c>
      <x:c r="Q351" s="30" t="n">
        <x:v>29844</x:v>
      </x:c>
      <x:c r="R351" s="22" t="str">
        <x:f>"41088758-4"</x:f>
        <x:v>41088758-4</x:v>
      </x:c>
      <x:c r="S351" s="23" t="str">
        <x:v>masculino</x:v>
      </x:c>
      <x:c r="T351" s="22" t="str"/>
      <x:c r="U351" s="23" t="str">
        <x:v>ARLINDO RODRIGO STRANO</x:v>
      </x:c>
      <x:c r="V351" s="22" t="str">
        <x:f>"295.850.368-27"</x:f>
        <x:v>295.850.368-27</x:v>
      </x:c>
      <x:c r="W351" s="22" t="str">
        <x:f>"29585036827"</x:f>
        <x:v>29585036827</x:v>
      </x:c>
      <x:c r="X351" s="23" t="str">
        <x:v>rodrigoarlindostrano@gmail.com</x:v>
      </x:c>
      <x:c r="Y351" s="22" t="str">
        <x:f>"16997484393"</x:f>
        <x:v>16997484393</x:v>
      </x:c>
      <x:c r="Z351" s="30" t="n">
        <x:v>46576</x:v>
      </x:c>
    </x:row>
    <x:row r="352" ht="18" customHeight="1">
      <x:c r="A352" s="22" t="str">
        <x:f>"5b29bc94-4477-4a22-a32d-006e3e37a133"</x:f>
        <x:v>5b29bc94-4477-4a22-a32d-006e3e37a133</x:v>
      </x:c>
      <x:c r="B352" s="23" t="str">
        <x:v>ARMANDO JOSE DA SILVA</x:v>
      </x:c>
      <x:c r="C352" s="23" t="str">
        <x:v>armando jose da silva</x:v>
      </x:c>
      <x:c r="D352" s="22" t="str">
        <x:f>"37.229.926/0001-63"</x:f>
        <x:v>37.229.926/0001-63</x:v>
      </x:c>
      <x:c r="E352" s="22" t="str">
        <x:f>"37229926000163"</x:f>
        <x:v>37229926000163</x:v>
      </x:c>
      <x:c r="F352" s="22" t="str">
        <x:f>"157.579.728-31"</x:f>
        <x:v>157.579.728-31</x:v>
      </x:c>
      <x:c r="G352" s="22" t="str">
        <x:f>"15757972831"</x:f>
        <x:v>15757972831</x:v>
      </x:c>
      <x:c r="H352" s="23" t="str">
        <x:v>armando12151@hotmail.com</x:v>
      </x:c>
      <x:c r="I352" s="22" t="str">
        <x:f>"11969224594"</x:f>
        <x:v>11969224594</x:v>
      </x:c>
      <x:c r="J352" s="23" t="str">
        <x:v>RENTAL</x:v>
      </x:c>
      <x:c r="K352" s="23" t="str">
        <x:v>rental_company</x:v>
      </x:c>
      <x:c r="L352" s="24" t="b">
        <x:v>1</x:v>
      </x:c>
      <x:c r="M352" s="23" t="n">
        <x:v>1</x:v>
      </x:c>
      <x:c r="N352" s="28" t="n">
        <x:v>46203.92183017361</x:v>
      </x:c>
      <x:c r="O352" s="28" t="n">
        <x:v>46219.812988715275</x:v>
      </x:c>
      <x:c r="P352" s="23" t="str">
        <x:v>MADEIRA MADEIRA</x:v>
      </x:c>
      <x:c r="Q352" s="30" t="n">
        <x:v>26560</x:v>
      </x:c>
      <x:c r="R352" s="22" t="str">
        <x:f>"21755590"</x:f>
        <x:v>21755590</x:v>
      </x:c>
      <x:c r="S352" s="23" t="str">
        <x:v>masculino</x:v>
      </x:c>
      <x:c r="T352" s="22" t="str"/>
      <x:c r="U352" s="23" t="str">
        <x:v>ARMANDO JOSE DA SILVA</x:v>
      </x:c>
      <x:c r="V352" s="22" t="str">
        <x:f>"157.579.728-31"</x:f>
        <x:v>157.579.728-31</x:v>
      </x:c>
      <x:c r="W352" s="22" t="str">
        <x:f>"15757972831"</x:f>
        <x:v>15757972831</x:v>
      </x:c>
      <x:c r="X352" s="23" t="str">
        <x:v>armando12151@hotmail.com</x:v>
      </x:c>
      <x:c r="Y352" s="22" t="str">
        <x:f>"11969224594"</x:f>
        <x:v>11969224594</x:v>
      </x:c>
      <x:c r="Z352" s="30" t="n">
        <x:v>46344</x:v>
      </x:c>
    </x:row>
    <x:row r="353" ht="18" customHeight="1">
      <x:c r="A353" s="22" t="str">
        <x:f>"d150e0e9-0e9d-4a5f-87d6-fac2a300444b"</x:f>
        <x:v>d150e0e9-0e9d-4a5f-87d6-fac2a300444b</x:v>
      </x:c>
      <x:c r="B353" s="23" t="str">
        <x:v>ARMANDO JOSE DA SILVA</x:v>
      </x:c>
      <x:c r="C353" s="23" t="str">
        <x:v>armando jose da silva</x:v>
      </x:c>
      <x:c r="D353" s="22" t="str">
        <x:f>"62.271.968/0001-00"</x:f>
        <x:v>62.271.968/0001-00</x:v>
      </x:c>
      <x:c r="E353" s="22" t="str">
        <x:f>"62271968000100"</x:f>
        <x:v>62271968000100</x:v>
      </x:c>
      <x:c r="F353" s="22" t="str">
        <x:f>"157.579.728-31"</x:f>
        <x:v>157.579.728-31</x:v>
      </x:c>
      <x:c r="G353" s="22" t="str">
        <x:f>"15757972831"</x:f>
        <x:v>15757972831</x:v>
      </x:c>
      <x:c r="H353" s="23" t="str">
        <x:v>armando12151@hotmail.com</x:v>
      </x:c>
      <x:c r="I353" s="22" t="str">
        <x:f>"1196922-4594"</x:f>
        <x:v>1196922-4594</x:v>
      </x:c>
      <x:c r="J353" s="23" t="str">
        <x:v>RENTAL</x:v>
      </x:c>
      <x:c r="K353" s="23" t="str">
        <x:v>rental_company</x:v>
      </x:c>
      <x:c r="L353" s="24" t="b">
        <x:v>1</x:v>
      </x:c>
      <x:c r="M353" s="23" t="n">
        <x:v>1</x:v>
      </x:c>
      <x:c r="N353" s="28" t="n">
        <x:v>46203.921858726855</x:v>
      </x:c>
      <x:c r="O353" s="28" t="n">
        <x:v>46219.812988715275</x:v>
      </x:c>
      <x:c r="P353" s="23" t="str">
        <x:v>MADEIRA MADEIRA</x:v>
      </x:c>
      <x:c r="Q353" s="30" t="n">
        <x:v>26560</x:v>
      </x:c>
      <x:c r="R353" s="22" t="str">
        <x:f>"217555901"</x:f>
        <x:v>217555901</x:v>
      </x:c>
      <x:c r="S353" s="23" t="str">
        <x:v>feminino</x:v>
      </x:c>
      <x:c r="T353" s="22" t="str"/>
      <x:c r="U353" s="23" t="str">
        <x:v>ARMANDO JOSE DA SILVA</x:v>
      </x:c>
      <x:c r="V353" s="22" t="str">
        <x:f>"157.579.728-31"</x:f>
        <x:v>157.579.728-31</x:v>
      </x:c>
      <x:c r="W353" s="22" t="str">
        <x:f>"15757972831"</x:f>
        <x:v>15757972831</x:v>
      </x:c>
      <x:c r="X353" s="23" t="str">
        <x:v>armando12151@hotmail.com</x:v>
      </x:c>
      <x:c r="Y353" s="22" t="str">
        <x:f>"1196922-4594"</x:f>
        <x:v>1196922-4594</x:v>
      </x:c>
      <x:c r="Z353" s="30" t="n">
        <x:v>46256</x:v>
      </x:c>
    </x:row>
    <x:row r="354" ht="18" customHeight="1">
      <x:c r="A354" s="22" t="str">
        <x:f>"5069c712-43e3-46f4-a093-3f547e31e9d6"</x:f>
        <x:v>5069c712-43e3-46f4-a093-3f547e31e9d6</x:v>
      </x:c>
      <x:c r="B354" s="23" t="str">
        <x:v>Armando Maciel de Arruda Palma</x:v>
      </x:c>
      <x:c r="C354" s="23" t="str">
        <x:v>armando maciel de arruda palma</x:v>
      </x:c>
      <x:c r="D354" s="22" t="str">
        <x:f>"08.625.479/0001-63"</x:f>
        <x:v>08.625.479/0001-63</x:v>
      </x:c>
      <x:c r="E354" s="22" t="str">
        <x:f>"08625479000163"</x:f>
        <x:v>08625479000163</x:v>
      </x:c>
      <x:c r="F354" s="22" t="str">
        <x:f>"46896945168"</x:f>
        <x:v>46896945168</x:v>
      </x:c>
      <x:c r="G354" s="22" t="str">
        <x:f>"46896945168"</x:f>
        <x:v>46896945168</x:v>
      </x:c>
      <x:c r="H354" s="23" t="str">
        <x:v>armandopalmaeng@outlook.com</x:v>
      </x:c>
      <x:c r="I354" s="22" t="str">
        <x:f>"65 9228-9683"</x:f>
        <x:v>65 9228-9683</x:v>
      </x:c>
      <x:c r="J354" s="23" t="str">
        <x:v>SPOT</x:v>
      </x:c>
      <x:c r="K354" s="23" t="str">
        <x:v>favored_only</x:v>
      </x:c>
      <x:c r="L354" s="24" t="b">
        <x:v>1</x:v>
      </x:c>
      <x:c r="M354" s="23" t="n">
        <x:v>1</x:v>
      </x:c>
      <x:c r="N354" s="28" t="n">
        <x:v>46203.921852962965</x:v>
      </x:c>
      <x:c r="O354" s="28" t="n">
        <x:v>46203.921852962965</x:v>
      </x:c>
      <x:c r="P354" s="23" t="str"/>
      <x:c r="Q354" s="30" t="str"/>
      <x:c r="R354" s="22" t="str"/>
      <x:c r="S354" s="23" t="str"/>
      <x:c r="T354" s="22" t="str"/>
      <x:c r="U354" s="23" t="str">
        <x:v>Armando Maciel de Arruda Palma</x:v>
      </x:c>
      <x:c r="V354" s="22" t="str">
        <x:f>"46896945168"</x:f>
        <x:v>46896945168</x:v>
      </x:c>
      <x:c r="W354" s="22" t="str">
        <x:f>"46896945168"</x:f>
        <x:v>46896945168</x:v>
      </x:c>
      <x:c r="X354" s="23" t="str">
        <x:v>armandopalmaeng@outlook.com</x:v>
      </x:c>
      <x:c r="Y354" s="22" t="str">
        <x:f>"65 9228-9683"</x:f>
        <x:v>65 9228-9683</x:v>
      </x:c>
      <x:c r="Z354" s="30" t="str"/>
    </x:row>
    <x:row r="355" ht="18" customHeight="1">
      <x:c r="A355" s="22" t="str">
        <x:f>"93d3663f-2188-4ed2-8205-c1b11b6e75ce"</x:f>
        <x:v>93d3663f-2188-4ed2-8205-c1b11b6e75ce</x:v>
      </x:c>
      <x:c r="B355" s="23" t="str">
        <x:v>ARNENSTON ROCHA MIGUEL JUNIOR</x:v>
      </x:c>
      <x:c r="C355" s="23" t="str">
        <x:v>arnenston rocha miguel junior</x:v>
      </x:c>
      <x:c r="D355" s="22" t="str">
        <x:f>"17.583.497/0001-10"</x:f>
        <x:v>17.583.497/0001-10</x:v>
      </x:c>
      <x:c r="E355" s="22" t="str">
        <x:f>"17583497000110"</x:f>
        <x:v>17583497000110</x:v>
      </x:c>
      <x:c r="F355" s="22" t="str">
        <x:f>"030.497.961-97"</x:f>
        <x:v>030.497.961-97</x:v>
      </x:c>
      <x:c r="G355" s="22" t="str">
        <x:f>"03049796197"</x:f>
        <x:v>03049796197</x:v>
      </x:c>
      <x:c r="H355" s="23" t="str">
        <x:v>arneston100dinheiro@outlook.com</x:v>
      </x:c>
      <x:c r="I355" s="22" t="str">
        <x:f>"+55 67 9832-1007"</x:f>
        <x:v>+55 67 9832-1007</x:v>
      </x:c>
      <x:c r="J355" s="23" t="str">
        <x:v>SPOT</x:v>
      </x:c>
      <x:c r="K355" s="23" t="str">
        <x:v>favored_only</x:v>
      </x:c>
      <x:c r="L355" s="24" t="b">
        <x:v>1</x:v>
      </x:c>
      <x:c r="M355" s="23" t="n">
        <x:v>1</x:v>
      </x:c>
      <x:c r="N355" s="28" t="n">
        <x:v>46205.60722868056</x:v>
      </x:c>
      <x:c r="O355" s="28" t="n">
        <x:v>46219.812988715275</x:v>
      </x:c>
      <x:c r="P355" s="23" t="str">
        <x:v>PRESIDENTE PRUDENTE</x:v>
      </x:c>
      <x:c r="Q355" s="30" t="n">
        <x:v>35945</x:v>
      </x:c>
      <x:c r="R355" s="22" t="str">
        <x:f>"1721356"</x:f>
        <x:v>1721356</x:v>
      </x:c>
      <x:c r="S355" s="23" t="str">
        <x:v>masculino</x:v>
      </x:c>
      <x:c r="T355" s="22" t="str">
        <x:f>"FHW5F87"</x:f>
        <x:v>FHW5F87</x:v>
      </x:c>
      <x:c r="U355" s="23" t="str">
        <x:v>IVETE BARRETO SIQUEIRA</x:v>
      </x:c>
      <x:c r="V355" s="22" t="str">
        <x:f>"011.942.251-44"</x:f>
        <x:v>011.942.251-44</x:v>
      </x:c>
      <x:c r="W355" s="22" t="str">
        <x:f>"01194225144"</x:f>
        <x:v>01194225144</x:v>
      </x:c>
      <x:c r="X355" s="23" t="str">
        <x:v>ivetejanderson@gmail.com</x:v>
      </x:c>
      <x:c r="Y355" s="22" t="str">
        <x:f>"67984828533"</x:f>
        <x:v>67984828533</x:v>
      </x:c>
      <x:c r="Z355" s="30" t="n">
        <x:v>46316</x:v>
      </x:c>
    </x:row>
    <x:row r="356" ht="18" customHeight="1">
      <x:c r="A356" s="22" t="str">
        <x:f>"40636a58-2557-4f52-963e-19b4734e0b78"</x:f>
        <x:v>40636a58-2557-4f52-963e-19b4734e0b78</x:v>
      </x:c>
      <x:c r="B356" s="23" t="str">
        <x:v>AROLDO KAROL SILVA PAPA</x:v>
      </x:c>
      <x:c r="C356" s="23" t="str">
        <x:v>aroldo karol silva papa</x:v>
      </x:c>
      <x:c r="D356" s="22" t="str">
        <x:f>"57.388.230/0001-97"</x:f>
        <x:v>57.388.230/0001-97</x:v>
      </x:c>
      <x:c r="E356" s="22" t="str">
        <x:f>"57388230000197"</x:f>
        <x:v>57388230000197</x:v>
      </x:c>
      <x:c r="F356" s="22" t="str">
        <x:f>"071.312.486-57"</x:f>
        <x:v>071.312.486-57</x:v>
      </x:c>
      <x:c r="G356" s="22" t="str">
        <x:f>"07131248657"</x:f>
        <x:v>07131248657</x:v>
      </x:c>
      <x:c r="H356" s="23" t="str">
        <x:v>aroldoa05brazil@gmail.com</x:v>
      </x:c>
      <x:c r="I356" s="22" t="str">
        <x:f>"31 99676-1667"</x:f>
        <x:v>31 99676-1667</x:v>
      </x:c>
      <x:c r="J356" s="23" t="str">
        <x:v>RENTAL</x:v>
      </x:c>
      <x:c r="K356" s="23" t="str">
        <x:v>rental_company</x:v>
      </x:c>
      <x:c r="L356" s="24" t="b">
        <x:v>1</x:v>
      </x:c>
      <x:c r="M356" s="23" t="n">
        <x:v>1</x:v>
      </x:c>
      <x:c r="N356" s="28" t="n">
        <x:v>46219.812988715275</x:v>
      </x:c>
      <x:c r="O356" s="28" t="n">
        <x:v>46219.812988715275</x:v>
      </x:c>
      <x:c r="P356" s="23" t="str">
        <x:v>IPATINGA</x:v>
      </x:c>
      <x:c r="Q356" s="30" t="n">
        <x:v>31509</x:v>
      </x:c>
      <x:c r="R356" s="22" t="str">
        <x:f>"MG 13805290 SSP"</x:f>
        <x:v>MG 13805290 SSP</x:v>
      </x:c>
      <x:c r="S356" s="23" t="str">
        <x:v>masculino</x:v>
      </x:c>
      <x:c r="T356" s="22" t="str"/>
      <x:c r="U356" s="23" t="str">
        <x:v>AROLDO KAROL SILVA PAPA</x:v>
      </x:c>
      <x:c r="V356" s="22" t="str">
        <x:f>"071.312.486-57"</x:f>
        <x:v>071.312.486-57</x:v>
      </x:c>
      <x:c r="W356" s="22" t="str">
        <x:f>"07131248657"</x:f>
        <x:v>07131248657</x:v>
      </x:c>
      <x:c r="X356" s="23" t="str">
        <x:v>aroldoa05brazil@gmail.com</x:v>
      </x:c>
      <x:c r="Y356" s="22" t="str">
        <x:f>"31 99676-1667"</x:f>
        <x:v>31 99676-1667</x:v>
      </x:c>
      <x:c r="Z356" s="30" t="n">
        <x:v>46570</x:v>
      </x:c>
    </x:row>
    <x:row r="357" ht="18" customHeight="1">
      <x:c r="A357" s="22" t="str">
        <x:f>"321e2bd3-cb0c-4302-bc80-45d53d0b3688"</x:f>
        <x:v>321e2bd3-cb0c-4302-bc80-45d53d0b3688</x:v>
      </x:c>
      <x:c r="B357" s="23" t="str">
        <x:v>ARONE ELOY RIBEIRO</x:v>
      </x:c>
      <x:c r="C357" s="23" t="str">
        <x:v>arone eloy ribeiro</x:v>
      </x:c>
      <x:c r="D357" s="22" t="str">
        <x:f>"57.676.387/0001-18"</x:f>
        <x:v>57.676.387/0001-18</x:v>
      </x:c>
      <x:c r="E357" s="22" t="str">
        <x:f>"57676387000118"</x:f>
        <x:v>57676387000118</x:v>
      </x:c>
      <x:c r="F357" s="22" t="str">
        <x:f>"104.382.946-61"</x:f>
        <x:v>104.382.946-61</x:v>
      </x:c>
      <x:c r="G357" s="22" t="str">
        <x:f>"10438294661"</x:f>
        <x:v>10438294661</x:v>
      </x:c>
      <x:c r="H357" s="23" t="str">
        <x:v>aronefera@gmail.com</x:v>
      </x:c>
      <x:c r="I357" s="22" t="str">
        <x:f>"31983674165"</x:f>
        <x:v>31983674165</x:v>
      </x:c>
      <x:c r="J357" s="23" t="str">
        <x:v>SPOT</x:v>
      </x:c>
      <x:c r="K357" s="23" t="str">
        <x:v>favored_only</x:v>
      </x:c>
      <x:c r="L357" s="24" t="b">
        <x:v>1</x:v>
      </x:c>
      <x:c r="M357" s="23" t="n">
        <x:v>1</x:v>
      </x:c>
      <x:c r="N357" s="28" t="n">
        <x:v>46205.607253981485</x:v>
      </x:c>
      <x:c r="O357" s="28" t="n">
        <x:v>46219.812988715275</x:v>
      </x:c>
      <x:c r="P357" s="23" t="str">
        <x:v>CONCEIÇÃO DO MATO DENTRO</x:v>
      </x:c>
      <x:c r="Q357" s="30" t="n">
        <x:v>32639</x:v>
      </x:c>
      <x:c r="R357" s="22" t="str">
        <x:f>"MG-16974276"</x:f>
        <x:v>MG-16974276</x:v>
      </x:c>
      <x:c r="S357" s="23" t="str">
        <x:v>masculino</x:v>
      </x:c>
      <x:c r="T357" s="22" t="str">
        <x:f>"EYN1J37"</x:f>
        <x:v>EYN1J37</x:v>
      </x:c>
      <x:c r="U357" s="23" t="str">
        <x:v>CLEYSON ELOY RIBEIRO</x:v>
      </x:c>
      <x:c r="V357" s="22" t="str">
        <x:f>"091.352.476-06"</x:f>
        <x:v>091.352.476-06</x:v>
      </x:c>
      <x:c r="W357" s="22" t="str">
        <x:f>"09135247606"</x:f>
        <x:v>09135247606</x:v>
      </x:c>
      <x:c r="X357" s="23" t="str">
        <x:v>cleysoneloy@gmail.com</x:v>
      </x:c>
      <x:c r="Y357" s="22" t="str">
        <x:f>"31984909912"</x:f>
        <x:v>31984909912</x:v>
      </x:c>
      <x:c r="Z357" s="30" t="n">
        <x:v>46584</x:v>
      </x:c>
    </x:row>
    <x:row r="358" ht="18" customHeight="1">
      <x:c r="A358" s="22" t="str">
        <x:f>"62c85e7c-a5aa-48c2-a394-00ebd1ab8a09"</x:f>
        <x:v>62c85e7c-a5aa-48c2-a394-00ebd1ab8a09</x:v>
      </x:c>
      <x:c r="B358" s="23" t="str">
        <x:v>ARONE ELOY RIBEIRO</x:v>
      </x:c>
      <x:c r="C358" s="23" t="str">
        <x:v>arone eloy ribeiro</x:v>
      </x:c>
      <x:c r="D358" s="22" t="str">
        <x:f>"64.284.747/0001-00"</x:f>
        <x:v>64.284.747/0001-00</x:v>
      </x:c>
      <x:c r="E358" s="22" t="str">
        <x:f>"64284747000100"</x:f>
        <x:v>64284747000100</x:v>
      </x:c>
      <x:c r="F358" s="22" t="str">
        <x:f>"104.382.946-61"</x:f>
        <x:v>104.382.946-61</x:v>
      </x:c>
      <x:c r="G358" s="22" t="str">
        <x:f>"10438294661"</x:f>
        <x:v>10438294661</x:v>
      </x:c>
      <x:c r="H358" s="23" t="str">
        <x:v>Aronefera@gmail.com</x:v>
      </x:c>
      <x:c r="I358" s="22" t="str">
        <x:f>"31 9543-7052"</x:f>
        <x:v>31 9543-7052</x:v>
      </x:c>
      <x:c r="J358" s="23" t="str">
        <x:v>SPOT</x:v>
      </x:c>
      <x:c r="K358" s="23" t="str">
        <x:v>favored_only</x:v>
      </x:c>
      <x:c r="L358" s="24" t="b">
        <x:v>1</x:v>
      </x:c>
      <x:c r="M358" s="23" t="n">
        <x:v>1</x:v>
      </x:c>
      <x:c r="N358" s="28" t="n">
        <x:v>46203.92191240741</x:v>
      </x:c>
      <x:c r="O358" s="28" t="n">
        <x:v>46219.812988715275</x:v>
      </x:c>
      <x:c r="P358" s="23" t="str">
        <x:v>CONCEIÇÃO DO MATO DENTRO</x:v>
      </x:c>
      <x:c r="Q358" s="30" t="n">
        <x:v>32639</x:v>
      </x:c>
      <x:c r="R358" s="22" t="str">
        <x:f>"MG16974276"</x:f>
        <x:v>MG16974276</x:v>
      </x:c>
      <x:c r="S358" s="23" t="str">
        <x:v>masculino</x:v>
      </x:c>
      <x:c r="T358" s="22" t="str">
        <x:f>"EYN1J37"</x:f>
        <x:v>EYN1J37</x:v>
      </x:c>
      <x:c r="U358" s="23" t="str">
        <x:v>ARONE ELOY RIBEIRO</x:v>
      </x:c>
      <x:c r="V358" s="22" t="str">
        <x:f>"104.382.946-61"</x:f>
        <x:v>104.382.946-61</x:v>
      </x:c>
      <x:c r="W358" s="22" t="str">
        <x:f>"10438294661"</x:f>
        <x:v>10438294661</x:v>
      </x:c>
      <x:c r="X358" s="23" t="str">
        <x:v>Aronefera@gmail.com</x:v>
      </x:c>
      <x:c r="Y358" s="22" t="str">
        <x:f>"31 9543-7052"</x:f>
        <x:v>31 9543-7052</x:v>
      </x:c>
      <x:c r="Z358" s="30" t="n">
        <x:v>46407</x:v>
      </x:c>
    </x:row>
    <x:row r="359" ht="18" customHeight="1">
      <x:c r="A359" s="22" t="str">
        <x:f>"b1764058-3d3a-4aa4-a136-d2b5aeef46c5"</x:f>
        <x:v>b1764058-3d3a-4aa4-a136-d2b5aeef46c5</x:v>
      </x:c>
      <x:c r="B359" s="23" t="str">
        <x:v>ARONE ELOY RIBEIRO</x:v>
      </x:c>
      <x:c r="C359" s="23" t="str">
        <x:v>arone eloy ribeiro</x:v>
      </x:c>
      <x:c r="D359" s="22" t="str">
        <x:f>"54.882.789/0001-80"</x:f>
        <x:v>54.882.789/0001-80</x:v>
      </x:c>
      <x:c r="E359" s="22" t="str">
        <x:f>"54882789000180"</x:f>
        <x:v>54882789000180</x:v>
      </x:c>
      <x:c r="F359" s="22" t="str">
        <x:f>"104.382.946-61"</x:f>
        <x:v>104.382.946-61</x:v>
      </x:c>
      <x:c r="G359" s="22" t="str">
        <x:f>"10438294661"</x:f>
        <x:v>10438294661</x:v>
      </x:c>
      <x:c r="H359" s="23" t="str">
        <x:v>Aronefera@gmail.com</x:v>
      </x:c>
      <x:c r="I359" s="22" t="str">
        <x:f>"31995437052"</x:f>
        <x:v>31995437052</x:v>
      </x:c>
      <x:c r="J359" s="23" t="str">
        <x:v>SPOT</x:v>
      </x:c>
      <x:c r="K359" s="23" t="str">
        <x:v>favored_only</x:v>
      </x:c>
      <x:c r="L359" s="24" t="b">
        <x:v>1</x:v>
      </x:c>
      <x:c r="M359" s="23" t="n">
        <x:v>1</x:v>
      </x:c>
      <x:c r="N359" s="28" t="n">
        <x:v>46203.92191240741</x:v>
      </x:c>
      <x:c r="O359" s="28" t="n">
        <x:v>46219.812988715275</x:v>
      </x:c>
      <x:c r="P359" s="23" t="str">
        <x:v>CONCEIÇÃO DO MATO DENTRO</x:v>
      </x:c>
      <x:c r="Q359" s="30" t="n">
        <x:v>32639</x:v>
      </x:c>
      <x:c r="R359" s="22" t="str">
        <x:f>"1674276"</x:f>
        <x:v>1674276</x:v>
      </x:c>
      <x:c r="S359" s="23" t="str">
        <x:v>masculino</x:v>
      </x:c>
      <x:c r="T359" s="22" t="str">
        <x:f>"EYN1J37"</x:f>
        <x:v>EYN1J37</x:v>
      </x:c>
      <x:c r="U359" s="23" t="str">
        <x:v>ARONE ELOY RIBEIRO</x:v>
      </x:c>
      <x:c r="V359" s="22" t="str">
        <x:f>"104.382.946-61"</x:f>
        <x:v>104.382.946-61</x:v>
      </x:c>
      <x:c r="W359" s="22" t="str">
        <x:f>"10438294661"</x:f>
        <x:v>10438294661</x:v>
      </x:c>
      <x:c r="X359" s="23" t="str">
        <x:v>Aronefera@gmail.com</x:v>
      </x:c>
      <x:c r="Y359" s="22" t="str">
        <x:f>"31995437052"</x:f>
        <x:v>31995437052</x:v>
      </x:c>
      <x:c r="Z359" s="30" t="n">
        <x:v>46305</x:v>
      </x:c>
    </x:row>
    <x:row r="360" ht="18" customHeight="1">
      <x:c r="A360" s="22" t="str">
        <x:f>"3963bb57-01b1-4ab6-846c-d6d878f4ea7c"</x:f>
        <x:v>3963bb57-01b1-4ab6-846c-d6d878f4ea7c</x:v>
      </x:c>
      <x:c r="B360" s="23" t="str">
        <x:v>ARTHUR CARLOS CANDIDO</x:v>
      </x:c>
      <x:c r="C360" s="23" t="str">
        <x:v>arthur carlos candido</x:v>
      </x:c>
      <x:c r="D360" s="22" t="str">
        <x:f>"59.884.869/0001-99"</x:f>
        <x:v>59.884.869/0001-99</x:v>
      </x:c>
      <x:c r="E360" s="22" t="str">
        <x:f>"59884869000199"</x:f>
        <x:v>59884869000199</x:v>
      </x:c>
      <x:c r="F360" s="22" t="str">
        <x:f>"140.157.546-38"</x:f>
        <x:v>140.157.546-38</x:v>
      </x:c>
      <x:c r="G360" s="22" t="str">
        <x:f>"14015754638"</x:f>
        <x:v>14015754638</x:v>
      </x:c>
      <x:c r="H360" s="23" t="str">
        <x:v>arthurairsoftkz@outlook.com</x:v>
      </x:c>
      <x:c r="I360" s="22" t="str">
        <x:f>"37999036752"</x:f>
        <x:v>37999036752</x:v>
      </x:c>
      <x:c r="J360" s="23" t="str">
        <x:v>SPOT</x:v>
      </x:c>
      <x:c r="K360" s="23" t="str">
        <x:v>favored_only</x:v>
      </x:c>
      <x:c r="L360" s="24" t="b">
        <x:v>1</x:v>
      </x:c>
      <x:c r="M360" s="23" t="n">
        <x:v>1</x:v>
      </x:c>
      <x:c r="N360" s="28" t="n">
        <x:v>46219.812988715275</x:v>
      </x:c>
      <x:c r="O360" s="28" t="n">
        <x:v>46219.812988715275</x:v>
      </x:c>
      <x:c r="P360" s="23" t="str">
        <x:v>ARAXÁ</x:v>
      </x:c>
      <x:c r="Q360" s="30" t="n">
        <x:v>36557</x:v>
      </x:c>
      <x:c r="R360" s="22" t="str">
        <x:f>"MG21081760"</x:f>
        <x:v>MG21081760</x:v>
      </x:c>
      <x:c r="S360" s="23" t="str">
        <x:v>masculino</x:v>
      </x:c>
      <x:c r="T360" s="22" t="str">
        <x:f>"PEX6G27"</x:f>
        <x:v>PEX6G27</x:v>
      </x:c>
      <x:c r="U360" s="23" t="str">
        <x:v>IAGO CALESI RODRIGUES</x:v>
      </x:c>
      <x:c r="V360" s="22" t="str">
        <x:f>"072.536.656-78"</x:f>
        <x:v>072.536.656-78</x:v>
      </x:c>
      <x:c r="W360" s="22" t="str">
        <x:f>"07253665678"</x:f>
        <x:v>07253665678</x:v>
      </x:c>
      <x:c r="X360" s="23" t="str">
        <x:v>calesiiago@gmail.com</x:v>
      </x:c>
      <x:c r="Y360" s="22" t="str">
        <x:f>"37999752422"</x:f>
        <x:v>37999752422</x:v>
      </x:c>
      <x:c r="Z360" s="30" t="n">
        <x:v>46556</x:v>
      </x:c>
    </x:row>
    <x:row r="361" ht="18" customHeight="1">
      <x:c r="A361" s="22" t="str">
        <x:f>"633db309-a647-4ba6-a6c7-7d07bae45bcf"</x:f>
        <x:v>633db309-a647-4ba6-a6c7-7d07bae45bcf</x:v>
      </x:c>
      <x:c r="B361" s="23" t="str">
        <x:v>ARTHUR CARLOS CANDIDO</x:v>
      </x:c>
      <x:c r="C361" s="23" t="str">
        <x:v>arthur carlos candido</x:v>
      </x:c>
      <x:c r="D361" s="22" t="str">
        <x:f>"50.195.863/0001-30"</x:f>
        <x:v>50.195.863/0001-30</x:v>
      </x:c>
      <x:c r="E361" s="22" t="str">
        <x:f>"50195863000130"</x:f>
        <x:v>50195863000130</x:v>
      </x:c>
      <x:c r="F361" s="22" t="str">
        <x:f>"140.157.546-38"</x:f>
        <x:v>140.157.546-38</x:v>
      </x:c>
      <x:c r="G361" s="22" t="str">
        <x:f>"14015754638"</x:f>
        <x:v>14015754638</x:v>
      </x:c>
      <x:c r="H361" s="23" t="str">
        <x:v>arthurairsoftkz@outlook.com</x:v>
      </x:c>
      <x:c r="I361" s="22" t="str">
        <x:f>"37 9778-6884"</x:f>
        <x:v>37 9778-6884</x:v>
      </x:c>
      <x:c r="J361" s="23" t="str">
        <x:v>SPOT</x:v>
      </x:c>
      <x:c r="K361" s="23" t="str">
        <x:v>favored_only</x:v>
      </x:c>
      <x:c r="L361" s="24" t="b">
        <x:v>1</x:v>
      </x:c>
      <x:c r="M361" s="23" t="n">
        <x:v>1</x:v>
      </x:c>
      <x:c r="N361" s="28" t="n">
        <x:v>46205.604022534724</x:v>
      </x:c>
      <x:c r="O361" s="28" t="n">
        <x:v>46219.812988715275</x:v>
      </x:c>
      <x:c r="P361" s="23" t="str">
        <x:v>ARAXÁ</x:v>
      </x:c>
      <x:c r="Q361" s="30" t="n">
        <x:v>36892</x:v>
      </x:c>
      <x:c r="R361" s="22" t="str">
        <x:f>"MG21081760"</x:f>
        <x:v>MG21081760</x:v>
      </x:c>
      <x:c r="S361" s="23" t="str">
        <x:v>masculino</x:v>
      </x:c>
      <x:c r="T361" s="22" t="str">
        <x:f>"PWX1G05"</x:f>
        <x:v>PWX1G05</x:v>
      </x:c>
      <x:c r="U361" s="23" t="str">
        <x:v>LEONARDO BERNARDINO DOS SANTOS JUNIOR</x:v>
      </x:c>
      <x:c r="V361" s="22" t="str">
        <x:f>"142.967.006-18"</x:f>
        <x:v>142.967.006-18</x:v>
      </x:c>
      <x:c r="W361" s="22" t="str">
        <x:f>"14296700618"</x:f>
        <x:v>14296700618</x:v>
      </x:c>
      <x:c r="X361" s="23" t="str">
        <x:v>leozinhobernadinokz@gmail.com</x:v>
      </x:c>
      <x:c r="Y361" s="22" t="str">
        <x:f>"37 9778-6884"</x:f>
        <x:v>37 9778-6884</x:v>
      </x:c>
      <x:c r="Z361" s="30" t="n">
        <x:v>46254</x:v>
      </x:c>
    </x:row>
    <x:row r="362" ht="18" customHeight="1">
      <x:c r="A362" s="22" t="str">
        <x:f>"4a1a5401-32e6-4589-887e-b9f78cd544ae"</x:f>
        <x:v>4a1a5401-32e6-4589-887e-b9f78cd544ae</x:v>
      </x:c>
      <x:c r="B362" s="23" t="str">
        <x:v>ARTHUR GONCALVES DE SOUZA</x:v>
      </x:c>
      <x:c r="C362" s="23" t="str">
        <x:v>arthur goncalves de souza</x:v>
      </x:c>
      <x:c r="D362" s="22" t="str">
        <x:f>"37.823.997/0001-90"</x:f>
        <x:v>37.823.997/0001-90</x:v>
      </x:c>
      <x:c r="E362" s="22" t="str">
        <x:f>"37823997000190"</x:f>
        <x:v>37823997000190</x:v>
      </x:c>
      <x:c r="F362" s="22" t="str">
        <x:f>"709.719.811-75"</x:f>
        <x:v>709.719.811-75</x:v>
      </x:c>
      <x:c r="G362" s="22" t="str">
        <x:f>"70971981175"</x:f>
        <x:v>70971981175</x:v>
      </x:c>
      <x:c r="H362" s="23" t="str">
        <x:v>a96944693@gmail.com</x:v>
      </x:c>
      <x:c r="I362" s="22" t="str">
        <x:f>"61996944693"</x:f>
        <x:v>61996944693</x:v>
      </x:c>
      <x:c r="J362" s="23" t="str">
        <x:v>SPOT</x:v>
      </x:c>
      <x:c r="K362" s="23" t="str">
        <x:v>favored_only</x:v>
      </x:c>
      <x:c r="L362" s="24" t="b">
        <x:v>1</x:v>
      </x:c>
      <x:c r="M362" s="23" t="n">
        <x:v>1</x:v>
      </x:c>
      <x:c r="N362" s="28" t="n">
        <x:v>46219.812988715275</x:v>
      </x:c>
      <x:c r="O362" s="28" t="n">
        <x:v>46219.812988715275</x:v>
      </x:c>
      <x:c r="P362" s="23" t="str">
        <x:v>MINAÇU</x:v>
      </x:c>
      <x:c r="Q362" s="30" t="n">
        <x:v>37449</x:v>
      </x:c>
      <x:c r="R362" s="22" t="str">
        <x:f>"9075848"</x:f>
        <x:v>9075848</x:v>
      </x:c>
      <x:c r="S362" s="23" t="str">
        <x:v>masculino</x:v>
      </x:c>
      <x:c r="T362" s="22" t="str">
        <x:f>"RBU1I02"</x:f>
        <x:v>RBU1I02</x:v>
      </x:c>
      <x:c r="U362" s="23" t="str">
        <x:v>RODOPRIME TRANSPORTES E CARGAS LTDA</x:v>
      </x:c>
      <x:c r="V362" s="22" t="str">
        <x:f>"038.768.901-01"</x:f>
        <x:v>038.768.901-01</x:v>
      </x:c>
      <x:c r="W362" s="22" t="str">
        <x:f>"03876890101"</x:f>
        <x:v>03876890101</x:v>
      </x:c>
      <x:c r="X362" s="23" t="str">
        <x:v>rtp.cargas@gmail.com</x:v>
      </x:c>
      <x:c r="Y362" s="22" t="str">
        <x:f>"62991277279"</x:f>
        <x:v>62991277279</x:v>
      </x:c>
      <x:c r="Z362" s="30" t="n">
        <x:v>46451</x:v>
      </x:c>
    </x:row>
    <x:row r="363" ht="18" customHeight="1">
      <x:c r="A363" s="22" t="str">
        <x:f>"4d9b8ebd-a1e8-4db5-b761-564fceda4da2"</x:f>
        <x:v>4d9b8ebd-a1e8-4db5-b761-564fceda4da2</x:v>
      </x:c>
      <x:c r="B363" s="23" t="str">
        <x:v>ARTHUR MAFRA FILHO</x:v>
      </x:c>
      <x:c r="C363" s="23" t="str">
        <x:v>arthur mafra filho</x:v>
      </x:c>
      <x:c r="D363" s="22" t="str">
        <x:f>"47.008.307/0001-00"</x:f>
        <x:v>47.008.307/0001-00</x:v>
      </x:c>
      <x:c r="E363" s="22" t="str">
        <x:f>"47008307000100"</x:f>
        <x:v>47008307000100</x:v>
      </x:c>
      <x:c r="F363" s="22" t="str">
        <x:f>"834.136.936-20"</x:f>
        <x:v>834.136.936-20</x:v>
      </x:c>
      <x:c r="G363" s="22" t="str">
        <x:f>"83413693620"</x:f>
        <x:v>83413693620</x:v>
      </x:c>
      <x:c r="H363" s="23" t="str">
        <x:v>arthurmafrafilho@gmail.com</x:v>
      </x:c>
      <x:c r="I363" s="22" t="str">
        <x:f>"(31) 98590-2007"</x:f>
        <x:v>(31) 98590-2007</x:v>
      </x:c>
      <x:c r="J363" s="23" t="str">
        <x:v>SPOT</x:v>
      </x:c>
      <x:c r="K363" s="23" t="str">
        <x:v>favored_only</x:v>
      </x:c>
      <x:c r="L363" s="24" t="b">
        <x:v>1</x:v>
      </x:c>
      <x:c r="M363" s="23" t="n">
        <x:v>1</x:v>
      </x:c>
      <x:c r="N363" s="28" t="n">
        <x:v>46205.60701173611</x:v>
      </x:c>
      <x:c r="O363" s="28" t="n">
        <x:v>46219.812988715275</x:v>
      </x:c>
      <x:c r="P363" s="23" t="str">
        <x:v>IPATINGA</x:v>
      </x:c>
      <x:c r="Q363" s="30" t="n">
        <x:v>24854</x:v>
      </x:c>
      <x:c r="R363" s="22" t="str">
        <x:f>"5025222"</x:f>
        <x:v>5025222</x:v>
      </x:c>
      <x:c r="S363" s="23" t="str">
        <x:v>masculino</x:v>
      </x:c>
      <x:c r="T363" s="22" t="str">
        <x:f>"GHB9C15"</x:f>
        <x:v>GHB9C15</x:v>
      </x:c>
      <x:c r="U363" s="23" t="str">
        <x:v>MAURICIO RODRIGUES DOS SANTOS JUNIOR</x:v>
      </x:c>
      <x:c r="V363" s="22" t="str">
        <x:f>"098.920.416-23"</x:f>
        <x:v>098.920.416-23</x:v>
      </x:c>
      <x:c r="W363" s="22" t="str">
        <x:f>"09892041623"</x:f>
        <x:v>09892041623</x:v>
      </x:c>
      <x:c r="X363" s="23" t="str">
        <x:v>juninho_gdb@yahoo.com.br</x:v>
      </x:c>
      <x:c r="Y363" s="22" t="str">
        <x:f>"31 988214929"</x:f>
        <x:v>31 988214929</x:v>
      </x:c>
      <x:c r="Z363" s="30" t="n">
        <x:v>46394</x:v>
      </x:c>
    </x:row>
    <x:row r="364" ht="18" customHeight="1">
      <x:c r="A364" s="22" t="str">
        <x:f>"e649c2c7-4108-4e1f-aee0-776e4c680bef"</x:f>
        <x:v>e649c2c7-4108-4e1f-aee0-776e4c680bef</x:v>
      </x:c>
      <x:c r="B364" s="23" t="str">
        <x:v>ARTHUR MAFRA FILHO</x:v>
      </x:c>
      <x:c r="C364" s="23" t="str">
        <x:v>arthur mafra filho</x:v>
      </x:c>
      <x:c r="D364" s="22" t="str">
        <x:f>"40.495.197/0001-00"</x:f>
        <x:v>40.495.197/0001-00</x:v>
      </x:c>
      <x:c r="E364" s="22" t="str">
        <x:f>"40495197000100"</x:f>
        <x:v>40495197000100</x:v>
      </x:c>
      <x:c r="F364" s="22" t="str">
        <x:f>"834.136.936-20"</x:f>
        <x:v>834.136.936-20</x:v>
      </x:c>
      <x:c r="G364" s="22" t="str">
        <x:f>"83413693620"</x:f>
        <x:v>83413693620</x:v>
      </x:c>
      <x:c r="H364" s="23" t="str">
        <x:v>arthurmafrafilho@gmail.com</x:v>
      </x:c>
      <x:c r="I364" s="22" t="str">
        <x:f>"31985902007"</x:f>
        <x:v>31985902007</x:v>
      </x:c>
      <x:c r="J364" s="23" t="str">
        <x:v>RENTAL</x:v>
      </x:c>
      <x:c r="K364" s="23" t="str">
        <x:v>rental_company</x:v>
      </x:c>
      <x:c r="L364" s="24" t="b">
        <x:v>1</x:v>
      </x:c>
      <x:c r="M364" s="23" t="n">
        <x:v>1</x:v>
      </x:c>
      <x:c r="N364" s="28" t="n">
        <x:v>46203.92183017361</x:v>
      </x:c>
      <x:c r="O364" s="28" t="n">
        <x:v>46219.812988715275</x:v>
      </x:c>
      <x:c r="P364" s="23" t="str">
        <x:v>IPATINGA</x:v>
      </x:c>
      <x:c r="Q364" s="30" t="n">
        <x:v>24853</x:v>
      </x:c>
      <x:c r="R364" s="22" t="str">
        <x:f>"5025222"</x:f>
        <x:v>5025222</x:v>
      </x:c>
      <x:c r="S364" s="23" t="str">
        <x:v>masculino</x:v>
      </x:c>
      <x:c r="T364" s="22" t="str"/>
      <x:c r="U364" s="23" t="str">
        <x:v>ARTHUR MAFRA FILHO</x:v>
      </x:c>
      <x:c r="V364" s="22" t="str">
        <x:f>"834.136.936-20"</x:f>
        <x:v>834.136.936-20</x:v>
      </x:c>
      <x:c r="W364" s="22" t="str">
        <x:f>"83413693620"</x:f>
        <x:v>83413693620</x:v>
      </x:c>
      <x:c r="X364" s="23" t="str">
        <x:v>arthurmafrafilho@gmail.com</x:v>
      </x:c>
      <x:c r="Y364" s="22" t="str">
        <x:f>"31985902007"</x:f>
        <x:v>31985902007</x:v>
      </x:c>
      <x:c r="Z364" s="30" t="n">
        <x:v>46521</x:v>
      </x:c>
    </x:row>
    <x:row r="365" ht="18" customHeight="1">
      <x:c r="A365" s="22" t="str">
        <x:f>"11492dd1-9aab-48a1-b11a-5ff98ece8124"</x:f>
        <x:v>11492dd1-9aab-48a1-b11a-5ff98ece8124</x:v>
      </x:c>
      <x:c r="B365" s="23" t="str">
        <x:v>ARTHUR MARTINS DE ANDRADE RIBEIRO</x:v>
      </x:c>
      <x:c r="C365" s="23" t="str">
        <x:v>arthur martins de andrade ribeiro</x:v>
      </x:c>
      <x:c r="D365" s="22" t="str">
        <x:f>"63.913.140/0001-70"</x:f>
        <x:v>63.913.140/0001-70</x:v>
      </x:c>
      <x:c r="E365" s="22" t="str">
        <x:f>"63913140000170"</x:f>
        <x:v>63913140000170</x:v>
      </x:c>
      <x:c r="F365" s="22" t="str">
        <x:f>"036.809.611-46"</x:f>
        <x:v>036.809.611-46</x:v>
      </x:c>
      <x:c r="G365" s="22" t="str">
        <x:f>"03680961146"</x:f>
        <x:v>03680961146</x:v>
      </x:c>
      <x:c r="H365" s="23" t="str">
        <x:v>hrarthurmarlh@gmail.com</x:v>
      </x:c>
      <x:c r="I365" s="22" t="str">
        <x:f>"62992380048"</x:f>
        <x:v>62992380048</x:v>
      </x:c>
      <x:c r="J365" s="23" t="str">
        <x:v>SPOT</x:v>
      </x:c>
      <x:c r="K365" s="23" t="str">
        <x:v>favored_only</x:v>
      </x:c>
      <x:c r="L365" s="24" t="b">
        <x:v>1</x:v>
      </x:c>
      <x:c r="M365" s="23" t="n">
        <x:v>1</x:v>
      </x:c>
      <x:c r="N365" s="28" t="n">
        <x:v>46219.812988715275</x:v>
      </x:c>
      <x:c r="O365" s="28" t="n">
        <x:v>46219.812988715275</x:v>
      </x:c>
      <x:c r="P365" s="23" t="str">
        <x:v>GOIANIA</x:v>
      </x:c>
      <x:c r="Q365" s="30" t="n">
        <x:v>33056</x:v>
      </x:c>
      <x:c r="R365" s="22" t="str">
        <x:f>"4975899"</x:f>
        <x:v>4975899</x:v>
      </x:c>
      <x:c r="S365" s="23" t="str">
        <x:v>masculino</x:v>
      </x:c>
      <x:c r="T365" s="22" t="str">
        <x:f>"NSN5B44"</x:f>
        <x:v>NSN5B44</x:v>
      </x:c>
      <x:c r="U365" s="23" t="str">
        <x:v>ARTHUR MARTINS DE ANDRADE RIBEIRO</x:v>
      </x:c>
      <x:c r="V365" s="22" t="str">
        <x:f>"036.809.611-46"</x:f>
        <x:v>036.809.611-46</x:v>
      </x:c>
      <x:c r="W365" s="22" t="str">
        <x:f>"03680961146"</x:f>
        <x:v>03680961146</x:v>
      </x:c>
      <x:c r="X365" s="23" t="str">
        <x:v>hrarthurmarlh@gmail.com</x:v>
      </x:c>
      <x:c r="Y365" s="22" t="str">
        <x:f>"62992380048"</x:f>
        <x:v>62992380048</x:v>
      </x:c>
      <x:c r="Z365" s="30" t="n">
        <x:v>46555</x:v>
      </x:c>
    </x:row>
    <x:row r="366" ht="18" customHeight="1">
      <x:c r="A366" s="22" t="str">
        <x:f>"754528b2-c308-4383-8ae6-8e7b35599f9d"</x:f>
        <x:v>754528b2-c308-4383-8ae6-8e7b35599f9d</x:v>
      </x:c>
      <x:c r="B366" s="23" t="str">
        <x:v>ARTHUR MONTEIRO BRITO</x:v>
      </x:c>
      <x:c r="C366" s="23" t="str">
        <x:v>arthur monteiro brito</x:v>
      </x:c>
      <x:c r="D366" s="22" t="str">
        <x:f>"65.955.029/0001-72"</x:f>
        <x:v>65.955.029/0001-72</x:v>
      </x:c>
      <x:c r="E366" s="22" t="str">
        <x:f>"65955029000172"</x:f>
        <x:v>65955029000172</x:v>
      </x:c>
      <x:c r="F366" s="22" t="str">
        <x:f>"708.286.961-44"</x:f>
        <x:v>708.286.961-44</x:v>
      </x:c>
      <x:c r="G366" s="22" t="str">
        <x:f>"70828696144"</x:f>
        <x:v>70828696144</x:v>
      </x:c>
      <x:c r="H366" s="23" t="str">
        <x:v>arthur262monteiro@gmail.com</x:v>
      </x:c>
      <x:c r="I366" s="22" t="str">
        <x:f>"62 993149787"</x:f>
        <x:v>62 993149787</x:v>
      </x:c>
      <x:c r="J366" s="23" t="str">
        <x:v>RENTAS</x:v>
      </x:c>
      <x:c r="K366" s="23" t="str">
        <x:v>favored_only</x:v>
      </x:c>
      <x:c r="L366" s="24" t="b">
        <x:v>1</x:v>
      </x:c>
      <x:c r="M366" s="23" t="n">
        <x:v>1</x:v>
      </x:c>
      <x:c r="N366" s="28" t="n">
        <x:v>46219.812988715275</x:v>
      </x:c>
      <x:c r="O366" s="28" t="n">
        <x:v>46219.812988715275</x:v>
      </x:c>
      <x:c r="P366" s="23" t="str">
        <x:v>GOIANIA</x:v>
      </x:c>
      <x:c r="Q366" s="30" t="n">
        <x:v>38731</x:v>
      </x:c>
      <x:c r="R366" s="22" t="str">
        <x:f>"7351920"</x:f>
        <x:v>7351920</x:v>
      </x:c>
      <x:c r="S366" s="23" t="str">
        <x:v>masculino</x:v>
      </x:c>
      <x:c r="T366" s="22" t="str"/>
      <x:c r="U366" s="23" t="str">
        <x:v>ARTHUR MONTEIRO BRITO</x:v>
      </x:c>
      <x:c r="V366" s="22" t="str">
        <x:f>"708.286.961-44"</x:f>
        <x:v>708.286.961-44</x:v>
      </x:c>
      <x:c r="W366" s="22" t="str">
        <x:f>"70828696144"</x:f>
        <x:v>70828696144</x:v>
      </x:c>
      <x:c r="X366" s="23" t="str">
        <x:v>arthur262monteiro@gmail.com</x:v>
      </x:c>
      <x:c r="Y366" s="22" t="str">
        <x:f>"62 993149787"</x:f>
        <x:v>62 993149787</x:v>
      </x:c>
      <x:c r="Z366" s="30" t="n">
        <x:v>46474</x:v>
      </x:c>
    </x:row>
    <x:row r="367" ht="18" customHeight="1">
      <x:c r="A367" s="22" t="str">
        <x:f>"d7823996-978e-41b3-aea2-cef008114869"</x:f>
        <x:v>d7823996-978e-41b3-aea2-cef008114869</x:v>
      </x:c>
      <x:c r="B367" s="23" t="str">
        <x:v>ARTHUR SILVA COSTA</x:v>
      </x:c>
      <x:c r="C367" s="23" t="str">
        <x:v>arthur silva costa</x:v>
      </x:c>
      <x:c r="D367" s="22" t="str">
        <x:f>"58.558.290/0001-73"</x:f>
        <x:v>58.558.290/0001-73</x:v>
      </x:c>
      <x:c r="E367" s="22" t="str">
        <x:f>"58558290000173"</x:f>
        <x:v>58558290000173</x:v>
      </x:c>
      <x:c r="F367" s="22" t="str">
        <x:f>"168.489.026-83"</x:f>
        <x:v>168.489.026-83</x:v>
      </x:c>
      <x:c r="G367" s="22" t="str">
        <x:f>"16848902683"</x:f>
        <x:v>16848902683</x:v>
      </x:c>
      <x:c r="H367" s="23" t="str">
        <x:v>arthurscosta14@gmail.com</x:v>
      </x:c>
      <x:c r="I367" s="22" t="str">
        <x:f>"34992464024"</x:f>
        <x:v>34992464024</x:v>
      </x:c>
      <x:c r="J367" s="23" t="str">
        <x:v>RENTAL</x:v>
      </x:c>
      <x:c r="K367" s="23" t="str">
        <x:v>rental_company</x:v>
      </x:c>
      <x:c r="L367" s="24" t="b">
        <x:v>1</x:v>
      </x:c>
      <x:c r="M367" s="23" t="n">
        <x:v>1</x:v>
      </x:c>
      <x:c r="N367" s="28" t="n">
        <x:v>46219.812988715275</x:v>
      </x:c>
      <x:c r="O367" s="28" t="n">
        <x:v>46219.812988715275</x:v>
      </x:c>
      <x:c r="P367" s="23" t="str">
        <x:v>UBERLANDIA</x:v>
      </x:c>
      <x:c r="Q367" s="30" t="n">
        <x:v>38609</x:v>
      </x:c>
      <x:c r="R367" s="22" t="str">
        <x:f>"22777189"</x:f>
        <x:v>22777189</x:v>
      </x:c>
      <x:c r="S367" s="23" t="str">
        <x:v>masculino</x:v>
      </x:c>
      <x:c r="T367" s="22" t="str"/>
      <x:c r="U367" s="23" t="str">
        <x:v>ARTHUR SILVA COSTA</x:v>
      </x:c>
      <x:c r="V367" s="22" t="str">
        <x:f>"168.489.026-83"</x:f>
        <x:v>168.489.026-83</x:v>
      </x:c>
      <x:c r="W367" s="22" t="str">
        <x:f>"16848902683"</x:f>
        <x:v>16848902683</x:v>
      </x:c>
      <x:c r="X367" s="23" t="str">
        <x:v>arthurscosta14@gmail.com</x:v>
      </x:c>
      <x:c r="Y367" s="22" t="str">
        <x:f>"34992464024"</x:f>
        <x:v>34992464024</x:v>
      </x:c>
      <x:c r="Z367" s="30" t="n">
        <x:v>46581</x:v>
      </x:c>
    </x:row>
    <x:row r="368" ht="18" customHeight="1">
      <x:c r="A368" s="22" t="str">
        <x:f>"c83344eb-19db-45ea-811f-b607efa0c3e3"</x:f>
        <x:v>c83344eb-19db-45ea-811f-b607efa0c3e3</x:v>
      </x:c>
      <x:c r="B368" s="23" t="str">
        <x:v>ARTHUR VIEIRA GOMES DA SILVA</x:v>
      </x:c>
      <x:c r="C368" s="23" t="str">
        <x:v>arthur vieira gomes da silva</x:v>
      </x:c>
      <x:c r="D368" s="22" t="str">
        <x:f>"63.476.689/0001-45"</x:f>
        <x:v>63.476.689/0001-45</x:v>
      </x:c>
      <x:c r="E368" s="22" t="str">
        <x:f>"63476689000145"</x:f>
        <x:v>63476689000145</x:v>
      </x:c>
      <x:c r="F368" s="22" t="str">
        <x:f>"143.757.876-43"</x:f>
        <x:v>143.757.876-43</x:v>
      </x:c>
      <x:c r="G368" s="22" t="str">
        <x:f>"14375787643"</x:f>
        <x:v>14375787643</x:v>
      </x:c>
      <x:c r="H368" s="23" t="str">
        <x:v>arthurvieira157@hotmail.com</x:v>
      </x:c>
      <x:c r="I368" s="22" t="str">
        <x:f>"31989015258"</x:f>
        <x:v>31989015258</x:v>
      </x:c>
      <x:c r="J368" s="23" t="str">
        <x:v>SPOT</x:v>
      </x:c>
      <x:c r="K368" s="23" t="str">
        <x:v>favored_only</x:v>
      </x:c>
      <x:c r="L368" s="24" t="b">
        <x:v>1</x:v>
      </x:c>
      <x:c r="M368" s="23" t="n">
        <x:v>1</x:v>
      </x:c>
      <x:c r="N368" s="28" t="n">
        <x:v>46203.921887453704</x:v>
      </x:c>
      <x:c r="O368" s="28" t="n">
        <x:v>46219.812988715275</x:v>
      </x:c>
      <x:c r="P368" s="23" t="str">
        <x:v>CONTAGEM</x:v>
      </x:c>
      <x:c r="Q368" s="30" t="n">
        <x:v>37009</x:v>
      </x:c>
      <x:c r="R368" s="22" t="str">
        <x:f>"20195090"</x:f>
        <x:v>20195090</x:v>
      </x:c>
      <x:c r="S368" s="23" t="str">
        <x:v>masculino</x:v>
      </x:c>
      <x:c r="T368" s="22" t="str">
        <x:f>"HIM3H03"</x:f>
        <x:v>HIM3H03</x:v>
      </x:c>
      <x:c r="U368" s="23" t="str">
        <x:v>ARTHUR VIEIRA GOMES DA SILVA</x:v>
      </x:c>
      <x:c r="V368" s="22" t="str">
        <x:f>"143.757.876-43"</x:f>
        <x:v>143.757.876-43</x:v>
      </x:c>
      <x:c r="W368" s="22" t="str">
        <x:f>"14375787643"</x:f>
        <x:v>14375787643</x:v>
      </x:c>
      <x:c r="X368" s="23" t="str">
        <x:v>arthurvieira157@hotmail.com</x:v>
      </x:c>
      <x:c r="Y368" s="22" t="str">
        <x:f>"31989015258"</x:f>
        <x:v>31989015258</x:v>
      </x:c>
      <x:c r="Z368" s="30" t="n">
        <x:v>46330</x:v>
      </x:c>
    </x:row>
    <x:row r="369" ht="18" customHeight="1">
      <x:c r="A369" s="22" t="str">
        <x:f>"a1a9a430-0d66-4b49-be5b-d6757f0f79f9"</x:f>
        <x:v>a1a9a430-0d66-4b49-be5b-d6757f0f79f9</x:v>
      </x:c>
      <x:c r="B369" s="23" t="str">
        <x:v>ARTHUR VITOR SILVA DUARTE</x:v>
      </x:c>
      <x:c r="C369" s="23" t="str">
        <x:v>arthur vitor silva duarte</x:v>
      </x:c>
      <x:c r="D369" s="22" t="str">
        <x:f>"58.363.809/0001-68"</x:f>
        <x:v>58.363.809/0001-68</x:v>
      </x:c>
      <x:c r="E369" s="22" t="str">
        <x:f>"58363809000168"</x:f>
        <x:v>58363809000168</x:v>
      </x:c>
      <x:c r="F369" s="22" t="str">
        <x:f>"083.925.266-86"</x:f>
        <x:v>083.925.266-86</x:v>
      </x:c>
      <x:c r="G369" s="22" t="str">
        <x:f>"08392526686"</x:f>
        <x:v>08392526686</x:v>
      </x:c>
      <x:c r="H369" s="23" t="str">
        <x:v>arthur-vitorsilva@hotmail.com</x:v>
      </x:c>
      <x:c r="I369" s="22" t="str">
        <x:f>"34998214876"</x:f>
        <x:v>34998214876</x:v>
      </x:c>
      <x:c r="J369" s="23" t="str">
        <x:v>SPOT</x:v>
      </x:c>
      <x:c r="K369" s="23" t="str">
        <x:v>favored_only</x:v>
      </x:c>
      <x:c r="L369" s="24" t="b">
        <x:v>1</x:v>
      </x:c>
      <x:c r="M369" s="23" t="n">
        <x:v>1</x:v>
      </x:c>
      <x:c r="N369" s="28" t="n">
        <x:v>46203.921904421295</x:v>
      </x:c>
      <x:c r="O369" s="28" t="n">
        <x:v>46219.812988715275</x:v>
      </x:c>
      <x:c r="P369" s="23" t="str">
        <x:v>ARAXÁ</x:v>
      </x:c>
      <x:c r="Q369" s="30" t="n">
        <x:v>38036</x:v>
      </x:c>
      <x:c r="R369" s="22" t="str">
        <x:f>"16162050"</x:f>
        <x:v>16162050</x:v>
      </x:c>
      <x:c r="S369" s="23" t="str">
        <x:v>masculino</x:v>
      </x:c>
      <x:c r="T369" s="22" t="str">
        <x:f>"ONU1B65"</x:f>
        <x:v>ONU1B65</x:v>
      </x:c>
      <x:c r="U369" s="23" t="str">
        <x:v>ARTHUR VITOR SILVA DUARTE</x:v>
      </x:c>
      <x:c r="V369" s="22" t="str">
        <x:f>"083.925.266-86"</x:f>
        <x:v>083.925.266-86</x:v>
      </x:c>
      <x:c r="W369" s="22" t="str">
        <x:f>"08392526686"</x:f>
        <x:v>08392526686</x:v>
      </x:c>
      <x:c r="X369" s="23" t="str">
        <x:v>arthur-vitorsilva@hotmail.com</x:v>
      </x:c>
      <x:c r="Y369" s="22" t="str">
        <x:f>"34998214876"</x:f>
        <x:v>34998214876</x:v>
      </x:c>
      <x:c r="Z369" s="30" t="n">
        <x:v>46366</x:v>
      </x:c>
    </x:row>
    <x:row r="370" ht="18" customHeight="1">
      <x:c r="A370" s="22" t="str">
        <x:f>"ef2dbf03-15a3-48ad-a3ba-a57beb4ae1cf"</x:f>
        <x:v>ef2dbf03-15a3-48ad-a3ba-a57beb4ae1cf</x:v>
      </x:c>
      <x:c r="B370" s="23" t="str">
        <x:v>ARTHUR WESLEI RAMOS SERRA</x:v>
      </x:c>
      <x:c r="C370" s="23" t="str">
        <x:v>arthur weslei ramos serra</x:v>
      </x:c>
      <x:c r="D370" s="22" t="str">
        <x:f>"49.010.375/0001-21"</x:f>
        <x:v>49.010.375/0001-21</x:v>
      </x:c>
      <x:c r="E370" s="22" t="str">
        <x:f>"49010375000121"</x:f>
        <x:v>49010375000121</x:v>
      </x:c>
      <x:c r="F370" s="22" t="str">
        <x:f>"152.865.947-35"</x:f>
        <x:v>152.865.947-35</x:v>
      </x:c>
      <x:c r="G370" s="22" t="str">
        <x:f>"15286594735"</x:f>
        <x:v>15286594735</x:v>
      </x:c>
      <x:c r="H370" s="23" t="str">
        <x:v>arthurweslei.ramos@gmail.com</x:v>
      </x:c>
      <x:c r="I370" s="22" t="str">
        <x:f>"21970474202"</x:f>
        <x:v>21970474202</x:v>
      </x:c>
      <x:c r="J370" s="23" t="str">
        <x:v>SPOT</x:v>
      </x:c>
      <x:c r="K370" s="23" t="str">
        <x:v>favored_only</x:v>
      </x:c>
      <x:c r="L370" s="24" t="b">
        <x:v>1</x:v>
      </x:c>
      <x:c r="M370" s="23" t="n">
        <x:v>1</x:v>
      </x:c>
      <x:c r="N370" s="28" t="n">
        <x:v>46219.812988715275</x:v>
      </x:c>
      <x:c r="O370" s="28" t="n">
        <x:v>46219.812988715275</x:v>
      </x:c>
      <x:c r="P370" s="23" t="str">
        <x:v>CORDOVIL</x:v>
      </x:c>
      <x:c r="Q370" s="30" t="n">
        <x:v>34740</x:v>
      </x:c>
      <x:c r="R370" s="22" t="str">
        <x:f>"214841513"</x:f>
        <x:v>214841513</x:v>
      </x:c>
      <x:c r="S370" s="23" t="str">
        <x:v>masculino</x:v>
      </x:c>
      <x:c r="T370" s="22" t="str">
        <x:f>"RJJ1A83"</x:f>
        <x:v>RJJ1A83</x:v>
      </x:c>
      <x:c r="U370" s="23" t="str">
        <x:v>ARTHUR WESLEI RAMOS SERRA</x:v>
      </x:c>
      <x:c r="V370" s="22" t="str">
        <x:f>"152.865.947-35"</x:f>
        <x:v>152.865.947-35</x:v>
      </x:c>
      <x:c r="W370" s="22" t="str">
        <x:f>"15286594735"</x:f>
        <x:v>15286594735</x:v>
      </x:c>
      <x:c r="X370" s="23" t="str">
        <x:v>arthurweslei.ramos@gmail.com</x:v>
      </x:c>
      <x:c r="Y370" s="22" t="str">
        <x:f>"21970474202"</x:f>
        <x:v>21970474202</x:v>
      </x:c>
      <x:c r="Z370" s="30" t="n">
        <x:v>46536</x:v>
      </x:c>
    </x:row>
    <x:row r="371" ht="18" customHeight="1">
      <x:c r="A371" s="22" t="str">
        <x:f>"70ada9c3-d4d8-41ce-ba68-a798342abea4"</x:f>
        <x:v>70ada9c3-d4d8-41ce-ba68-a798342abea4</x:v>
      </x:c>
      <x:c r="B371" s="23" t="str">
        <x:v>ARY CALEBE CHAGAS NETTO</x:v>
      </x:c>
      <x:c r="C371" s="23" t="str">
        <x:v>ary calebe chagas netto</x:v>
      </x:c>
      <x:c r="D371" s="22" t="str">
        <x:f>"65.843.494/0001-11"</x:f>
        <x:v>65.843.494/0001-11</x:v>
      </x:c>
      <x:c r="E371" s="22" t="str">
        <x:f>"65843494000111"</x:f>
        <x:v>65843494000111</x:v>
      </x:c>
      <x:c r="F371" s="22" t="str">
        <x:f>"135.492.186-05"</x:f>
        <x:v>135.492.186-05</x:v>
      </x:c>
      <x:c r="G371" s="22" t="str">
        <x:f>"13549218605"</x:f>
        <x:v>13549218605</x:v>
      </x:c>
      <x:c r="H371" s="23" t="str">
        <x:v>calebecadastro@gmail.com</x:v>
      </x:c>
      <x:c r="I371" s="22" t="str">
        <x:f>"31991627364"</x:f>
        <x:v>31991627364</x:v>
      </x:c>
      <x:c r="J371" s="23" t="str">
        <x:v>RENTAL</x:v>
      </x:c>
      <x:c r="K371" s="23" t="str">
        <x:v>rental_company</x:v>
      </x:c>
      <x:c r="L371" s="24" t="b">
        <x:v>1</x:v>
      </x:c>
      <x:c r="M371" s="23" t="n">
        <x:v>1</x:v>
      </x:c>
      <x:c r="N371" s="28" t="n">
        <x:v>46219.812988715275</x:v>
      </x:c>
      <x:c r="O371" s="28" t="n">
        <x:v>46219.812988715275</x:v>
      </x:c>
      <x:c r="P371" s="23" t="str">
        <x:v>NOVA LIMA</x:v>
      </x:c>
      <x:c r="Q371" s="30" t="n">
        <x:v>34704</x:v>
      </x:c>
      <x:c r="R371" s="22" t="str">
        <x:f>"19550266"</x:f>
        <x:v>19550266</x:v>
      </x:c>
      <x:c r="S371" s="23" t="str">
        <x:v>masculino</x:v>
      </x:c>
      <x:c r="T371" s="22" t="str"/>
      <x:c r="U371" s="23" t="str">
        <x:v>ARY CALEBE CHAGAS NETTO</x:v>
      </x:c>
      <x:c r="V371" s="22" t="str">
        <x:f>"135.492.186-05"</x:f>
        <x:v>135.492.186-05</x:v>
      </x:c>
      <x:c r="W371" s="22" t="str">
        <x:f>"13549218605"</x:f>
        <x:v>13549218605</x:v>
      </x:c>
      <x:c r="X371" s="23" t="str">
        <x:v>calebecadastro@gmail.com</x:v>
      </x:c>
      <x:c r="Y371" s="22" t="str">
        <x:f>"31991627364"</x:f>
        <x:v>31991627364</x:v>
      </x:c>
      <x:c r="Z371" s="30" t="n">
        <x:v>46571</x:v>
      </x:c>
    </x:row>
    <x:row r="372" ht="18" customHeight="1">
      <x:c r="A372" s="22" t="str">
        <x:f>"2971101b-0bda-48fc-a58f-5ff63a3b2d1d"</x:f>
        <x:v>2971101b-0bda-48fc-a58f-5ff63a3b2d1d</x:v>
      </x:c>
      <x:c r="B372" s="23" t="str">
        <x:v>ATAIR LOPES VIEIRA</x:v>
      </x:c>
      <x:c r="C372" s="23" t="str">
        <x:v>atair lopes vieira</x:v>
      </x:c>
      <x:c r="D372" s="22" t="str">
        <x:f>"19.120.531/0001-46"</x:f>
        <x:v>19.120.531/0001-46</x:v>
      </x:c>
      <x:c r="E372" s="22" t="str">
        <x:f>"19120531000146"</x:f>
        <x:v>19120531000146</x:v>
      </x:c>
      <x:c r="F372" s="22" t="str">
        <x:f>"178.766.528-32"</x:f>
        <x:v>178.766.528-32</x:v>
      </x:c>
      <x:c r="G372" s="22" t="str">
        <x:f>"17876652832"</x:f>
        <x:v>17876652832</x:v>
      </x:c>
      <x:c r="H372" s="23" t="str">
        <x:v>MRAQUEL_SILVA@HOTMAIL.COM</x:v>
      </x:c>
      <x:c r="I372" s="22" t="str">
        <x:f>"16997668421"</x:f>
        <x:v>16997668421</x:v>
      </x:c>
      <x:c r="J372" s="23" t="str">
        <x:v>RENTAL</x:v>
      </x:c>
      <x:c r="K372" s="23" t="str">
        <x:v>rental_company</x:v>
      </x:c>
      <x:c r="L372" s="24" t="b">
        <x:v>1</x:v>
      </x:c>
      <x:c r="M372" s="23" t="n">
        <x:v>1</x:v>
      </x:c>
      <x:c r="N372" s="28" t="n">
        <x:v>46203.92186462963</x:v>
      </x:c>
      <x:c r="O372" s="28" t="n">
        <x:v>46219.812988715275</x:v>
      </x:c>
      <x:c r="P372" s="23" t="str">
        <x:v>RIBEIRAO PRETO</x:v>
      </x:c>
      <x:c r="Q372" s="30" t="n">
        <x:v>28364</x:v>
      </x:c>
      <x:c r="R372" s="22" t="str">
        <x:f>"28630426"</x:f>
        <x:v>28630426</x:v>
      </x:c>
      <x:c r="S372" s="23" t="str">
        <x:v>masculino</x:v>
      </x:c>
      <x:c r="T372" s="22" t="str"/>
      <x:c r="U372" s="23" t="str">
        <x:v>ATAIR LOPES VIEIRA</x:v>
      </x:c>
      <x:c r="V372" s="22" t="str">
        <x:f>"178.766.528-32"</x:f>
        <x:v>178.766.528-32</x:v>
      </x:c>
      <x:c r="W372" s="22" t="str">
        <x:f>"17876652832"</x:f>
        <x:v>17876652832</x:v>
      </x:c>
      <x:c r="X372" s="23" t="str">
        <x:v>MRAQUEL_SILVA@HOTMAIL.COM</x:v>
      </x:c>
      <x:c r="Y372" s="22" t="str">
        <x:f>"16997668421"</x:f>
        <x:v>16997668421</x:v>
      </x:c>
      <x:c r="Z372" s="30" t="n">
        <x:v>46284</x:v>
      </x:c>
    </x:row>
    <x:row r="373" ht="18" customHeight="1">
      <x:c r="A373" s="22" t="str">
        <x:f>"6a85a4f7-005d-44d2-adc9-af0967a00543"</x:f>
        <x:v>6a85a4f7-005d-44d2-adc9-af0967a00543</x:v>
      </x:c>
      <x:c r="B373" s="23" t="str">
        <x:v>ATHILA JUNIO MUNIZ MOREIRA</x:v>
      </x:c>
      <x:c r="C373" s="23" t="str">
        <x:v>athila junio muniz moreira</x:v>
      </x:c>
      <x:c r="D373" s="22" t="str">
        <x:f>"65.323.848/0001-05"</x:f>
        <x:v>65.323.848/0001-05</x:v>
      </x:c>
      <x:c r="E373" s="22" t="str">
        <x:f>"65323848000105"</x:f>
        <x:v>65323848000105</x:v>
      </x:c>
      <x:c r="F373" s="22" t="str">
        <x:f>"136.945.527-58"</x:f>
        <x:v>136.945.527-58</x:v>
      </x:c>
      <x:c r="G373" s="22" t="str">
        <x:f>"13694552758"</x:f>
        <x:v>13694552758</x:v>
      </x:c>
      <x:c r="H373" s="23" t="str">
        <x:v>athila.muniz@yahoo.com.br</x:v>
      </x:c>
      <x:c r="I373" s="22" t="str">
        <x:f>"(21)96591-1510"</x:f>
        <x:v>(21)96591-1510</x:v>
      </x:c>
      <x:c r="J373" s="23" t="str">
        <x:v>SPOT</x:v>
      </x:c>
      <x:c r="K373" s="23" t="str">
        <x:v>favored_only</x:v>
      </x:c>
      <x:c r="L373" s="24" t="b">
        <x:v>1</x:v>
      </x:c>
      <x:c r="M373" s="23" t="n">
        <x:v>1</x:v>
      </x:c>
      <x:c r="N373" s="28" t="n">
        <x:v>46219.812988715275</x:v>
      </x:c>
      <x:c r="O373" s="28" t="n">
        <x:v>46219.812988715275</x:v>
      </x:c>
      <x:c r="P373" s="23" t="str">
        <x:v>CORDOVIL</x:v>
      </x:c>
      <x:c r="Q373" s="30" t="n">
        <x:v>33628</x:v>
      </x:c>
      <x:c r="R373" s="22" t="str">
        <x:f>"21.760.775-3"</x:f>
        <x:v>21.760.775-3</x:v>
      </x:c>
      <x:c r="S373" s="23" t="str">
        <x:v>masculino</x:v>
      </x:c>
      <x:c r="T373" s="22" t="str">
        <x:f>"LMC- 3913"</x:f>
        <x:v>LMC- 3913</x:v>
      </x:c>
      <x:c r="U373" s="23" t="str">
        <x:v>DENISE REGINA MUNIZ</x:v>
      </x:c>
      <x:c r="V373" s="22" t="str">
        <x:f>"980.849.337-87"</x:f>
        <x:v>980.849.337-87</x:v>
      </x:c>
      <x:c r="W373" s="22" t="str">
        <x:f>"98084933787"</x:f>
        <x:v>98084933787</x:v>
      </x:c>
      <x:c r="X373" s="23" t="str">
        <x:v>athila.muniz@yahoo.com.br</x:v>
      </x:c>
      <x:c r="Y373" s="22" t="str">
        <x:f>"(21)96591-1510"</x:f>
        <x:v>(21)96591-1510</x:v>
      </x:c>
      <x:c r="Z373" s="30" t="n">
        <x:v>46445</x:v>
      </x:c>
    </x:row>
    <x:row r="374" ht="18" customHeight="1">
      <x:c r="A374" s="22" t="str">
        <x:f>"eb25dc71-6b62-48d2-ab1f-05fe2dc1a1c5"</x:f>
        <x:v>eb25dc71-6b62-48d2-ab1f-05fe2dc1a1c5</x:v>
      </x:c>
      <x:c r="B374" s="23" t="str">
        <x:v>ATILA DOS SANTOS</x:v>
      </x:c>
      <x:c r="C374" s="23" t="str">
        <x:v>atila dos santos</x:v>
      </x:c>
      <x:c r="D374" s="22" t="str">
        <x:f>"48.709.707/0001-06"</x:f>
        <x:v>48.709.707/0001-06</x:v>
      </x:c>
      <x:c r="E374" s="22" t="str">
        <x:f>"48709707000106"</x:f>
        <x:v>48709707000106</x:v>
      </x:c>
      <x:c r="F374" s="22" t="str">
        <x:f>"382.192.738-01"</x:f>
        <x:v>382.192.738-01</x:v>
      </x:c>
      <x:c r="G374" s="22" t="str">
        <x:f>"38219273801"</x:f>
        <x:v>38219273801</x:v>
      </x:c>
      <x:c r="H374" s="23" t="str">
        <x:v>atilaverdao2020@gmail.com</x:v>
      </x:c>
      <x:c r="I374" s="22" t="str">
        <x:f>"11940180532"</x:f>
        <x:v>11940180532</x:v>
      </x:c>
      <x:c r="J374" s="23" t="str">
        <x:v>RENTALS</x:v>
      </x:c>
      <x:c r="K374" s="23" t="str">
        <x:v>rental_company</x:v>
      </x:c>
      <x:c r="L374" s="24" t="b">
        <x:v>1</x:v>
      </x:c>
      <x:c r="M374" s="23" t="n">
        <x:v>1</x:v>
      </x:c>
      <x:c r="N374" s="28" t="n">
        <x:v>46219.812988715275</x:v>
      </x:c>
      <x:c r="O374" s="28" t="n">
        <x:v>46219.812988715275</x:v>
      </x:c>
      <x:c r="P374" s="23" t="str">
        <x:v>BARUERI</x:v>
      </x:c>
      <x:c r="Q374" s="30" t="n">
        <x:v>32234</x:v>
      </x:c>
      <x:c r="R374" s="22" t="str">
        <x:f>"424503888"</x:f>
        <x:v>424503888</x:v>
      </x:c>
      <x:c r="S374" s="23" t="str">
        <x:v>masculino</x:v>
      </x:c>
      <x:c r="T374" s="22" t="str"/>
      <x:c r="U374" s="23" t="str">
        <x:v>ATILA DOS SANTOS</x:v>
      </x:c>
      <x:c r="V374" s="22" t="str">
        <x:f>"382.192.738-01"</x:f>
        <x:v>382.192.738-01</x:v>
      </x:c>
      <x:c r="W374" s="22" t="str">
        <x:f>"38219273801"</x:f>
        <x:v>38219273801</x:v>
      </x:c>
      <x:c r="X374" s="23" t="str">
        <x:v>atilaverdao2020@gmail.com</x:v>
      </x:c>
      <x:c r="Y374" s="22" t="str">
        <x:f>"11940180532"</x:f>
        <x:v>11940180532</x:v>
      </x:c>
      <x:c r="Z374" s="30" t="n">
        <x:v>46486</x:v>
      </x:c>
    </x:row>
    <x:row r="375" ht="18" customHeight="1">
      <x:c r="A375" s="22" t="str">
        <x:f>"a1b60b1b-b1d7-418f-9815-3559de3a392d"</x:f>
        <x:v>a1b60b1b-b1d7-418f-9815-3559de3a392d</x:v>
      </x:c>
      <x:c r="B375" s="23" t="str">
        <x:v>Aureliano fialho Penido</x:v>
      </x:c>
      <x:c r="C375" s="23" t="str">
        <x:v>aureliano fialho penido</x:v>
      </x:c>
      <x:c r="D375" s="22" t="str">
        <x:f>"61.613.142/0001-19"</x:f>
        <x:v>61.613.142/0001-19</x:v>
      </x:c>
      <x:c r="E375" s="22" t="str">
        <x:f>"61613142000119"</x:f>
        <x:v>61613142000119</x:v>
      </x:c>
      <x:c r="F375" s="22" t="str">
        <x:f>"067.868.796-08"</x:f>
        <x:v>067.868.796-08</x:v>
      </x:c>
      <x:c r="G375" s="22" t="str">
        <x:f>"06786879608"</x:f>
        <x:v>06786879608</x:v>
      </x:c>
      <x:c r="H375" s="23" t="str">
        <x:v>Filhoaurelio53@gmail.com</x:v>
      </x:c>
      <x:c r="I375" s="22" t="str">
        <x:f>"31 993012696"</x:f>
        <x:v>31 993012696</x:v>
      </x:c>
      <x:c r="J375" s="23" t="str">
        <x:v>SPOT</x:v>
      </x:c>
      <x:c r="K375" s="23" t="str">
        <x:v>favored_only</x:v>
      </x:c>
      <x:c r="L375" s="24" t="b">
        <x:v>1</x:v>
      </x:c>
      <x:c r="M375" s="23" t="n">
        <x:v>1</x:v>
      </x:c>
      <x:c r="N375" s="28" t="n">
        <x:v>46203.921840393516</x:v>
      </x:c>
      <x:c r="O375" s="28" t="n">
        <x:v>46205.6048278588</x:v>
      </x:c>
      <x:c r="P375" s="23" t="str">
        <x:v>CONTAGEM</x:v>
      </x:c>
      <x:c r="Q375" s="30" t="n">
        <x:v>31153</x:v>
      </x:c>
      <x:c r="R375" s="22" t="str">
        <x:f>"10229069"</x:f>
        <x:v>10229069</x:v>
      </x:c>
      <x:c r="S375" s="23" t="str">
        <x:v>Masculino</x:v>
      </x:c>
      <x:c r="T375" s="22" t="str">
        <x:f>"PWT2364"</x:f>
        <x:v>PWT2364</x:v>
      </x:c>
      <x:c r="U375" s="23" t="str">
        <x:v>Aureliano fialho Penido</x:v>
      </x:c>
      <x:c r="V375" s="22" t="str">
        <x:f>"067.868.796-08"</x:f>
        <x:v>067.868.796-08</x:v>
      </x:c>
      <x:c r="W375" s="22" t="str">
        <x:f>"06786879608"</x:f>
        <x:v>06786879608</x:v>
      </x:c>
      <x:c r="X375" s="23" t="str">
        <x:v>Filhoaurelio53@gmail.com</x:v>
      </x:c>
      <x:c r="Y375" s="22" t="str">
        <x:f>"31 993012696"</x:f>
        <x:v>31 993012696</x:v>
      </x:c>
      <x:c r="Z375" s="30" t="n">
        <x:v>46213</x:v>
      </x:c>
    </x:row>
    <x:row r="376" ht="18" customHeight="1">
      <x:c r="A376" s="22" t="str">
        <x:f>"a3c989d2-d8af-4ccb-8aef-791f5ab35fb4"</x:f>
        <x:v>a3c989d2-d8af-4ccb-8aef-791f5ab35fb4</x:v>
      </x:c>
      <x:c r="B376" s="23" t="str">
        <x:v>AUREO SOUZA COSTA</x:v>
      </x:c>
      <x:c r="C376" s="23" t="str">
        <x:v>aureo souza costa</x:v>
      </x:c>
      <x:c r="D376" s="22" t="str">
        <x:f>"65.198.224/0001-03"</x:f>
        <x:v>65.198.224/0001-03</x:v>
      </x:c>
      <x:c r="E376" s="22" t="str">
        <x:f>"65198224000103"</x:f>
        <x:v>65198224000103</x:v>
      </x:c>
      <x:c r="F376" s="22" t="str">
        <x:f>"013.045.331-58"</x:f>
        <x:v>013.045.331-58</x:v>
      </x:c>
      <x:c r="G376" s="22" t="str">
        <x:f>"01304533158"</x:f>
        <x:v>01304533158</x:v>
      </x:c>
      <x:c r="H376" s="23" t="str">
        <x:v>aurinhocosta@gmail.com</x:v>
      </x:c>
      <x:c r="I376" s="22" t="str">
        <x:f>"62993338719"</x:f>
        <x:v>62993338719</x:v>
      </x:c>
      <x:c r="J376" s="23" t="str">
        <x:v>RENTAL</x:v>
      </x:c>
      <x:c r="K376" s="23" t="str">
        <x:v>rental_company</x:v>
      </x:c>
      <x:c r="L376" s="24" t="b">
        <x:v>1</x:v>
      </x:c>
      <x:c r="M376" s="23" t="n">
        <x:v>1</x:v>
      </x:c>
      <x:c r="N376" s="28" t="n">
        <x:v>46219.812988715275</x:v>
      </x:c>
      <x:c r="O376" s="28" t="n">
        <x:v>46219.812988715275</x:v>
      </x:c>
      <x:c r="P376" s="23" t="str">
        <x:v>GOIANIA</x:v>
      </x:c>
      <x:c r="Q376" s="30" t="n">
        <x:v>31206</x:v>
      </x:c>
      <x:c r="R376" s="22" t="str">
        <x:f>"4342300"</x:f>
        <x:v>4342300</x:v>
      </x:c>
      <x:c r="S376" s="23" t="str">
        <x:v>masculino</x:v>
      </x:c>
      <x:c r="T376" s="22" t="str"/>
      <x:c r="U376" s="23" t="str">
        <x:v>AUREO SOUZA COSTA</x:v>
      </x:c>
      <x:c r="V376" s="22" t="str">
        <x:f>"013.045.331-58"</x:f>
        <x:v>013.045.331-58</x:v>
      </x:c>
      <x:c r="W376" s="22" t="str">
        <x:f>"01304533158"</x:f>
        <x:v>01304533158</x:v>
      </x:c>
      <x:c r="X376" s="23" t="str">
        <x:v>aurinhocosta@gmail.com</x:v>
      </x:c>
      <x:c r="Y376" s="22" t="str">
        <x:f>"62993338719"</x:f>
        <x:v>62993338719</x:v>
      </x:c>
      <x:c r="Z376" s="30" t="n">
        <x:v>46438</x:v>
      </x:c>
    </x:row>
    <x:row r="377" ht="18" customHeight="1">
      <x:c r="A377" s="22" t="str">
        <x:f>"3d8b06b2-3a1c-42e4-b6b4-6409cf8457c0"</x:f>
        <x:v>3d8b06b2-3a1c-42e4-b6b4-6409cf8457c0</x:v>
      </x:c>
      <x:c r="B377" s="23" t="str">
        <x:v>AWANNDA OLIVEIRA</x:v>
      </x:c>
      <x:c r="C377" s="23" t="str">
        <x:v>awannda oliveira</x:v>
      </x:c>
      <x:c r="D377" s="22" t="str">
        <x:f>"62.383.158/0001-45"</x:f>
        <x:v>62.383.158/0001-45</x:v>
      </x:c>
      <x:c r="E377" s="22" t="str">
        <x:f>"62383158000145"</x:f>
        <x:v>62383158000145</x:v>
      </x:c>
      <x:c r="F377" s="22" t="str">
        <x:f>"486.525.268-18"</x:f>
        <x:v>486.525.268-18</x:v>
      </x:c>
      <x:c r="G377" s="22" t="str">
        <x:f>"48652526818"</x:f>
        <x:v>48652526818</x:v>
      </x:c>
      <x:c r="H377" s="23" t="str">
        <x:v>awanndaoliveira87@gmail.com</x:v>
      </x:c>
      <x:c r="I377" s="22" t="str">
        <x:f>"(16)99171-5009"</x:f>
        <x:v>(16)99171-5009</x:v>
      </x:c>
      <x:c r="J377" s="23" t="str">
        <x:v>SPOT</x:v>
      </x:c>
      <x:c r="K377" s="23" t="str">
        <x:v>favored_only</x:v>
      </x:c>
      <x:c r="L377" s="24" t="b">
        <x:v>1</x:v>
      </x:c>
      <x:c r="M377" s="23" t="n">
        <x:v>1</x:v>
      </x:c>
      <x:c r="N377" s="28" t="n">
        <x:v>46203.921858726855</x:v>
      </x:c>
      <x:c r="O377" s="28" t="n">
        <x:v>46219.812988715275</x:v>
      </x:c>
      <x:c r="P377" s="23" t="str">
        <x:v>SÃO CARLOS</x:v>
      </x:c>
      <x:c r="Q377" s="30" t="n">
        <x:v>38049</x:v>
      </x:c>
      <x:c r="R377" s="22" t="str">
        <x:f>"588658960"</x:f>
        <x:v>588658960</x:v>
      </x:c>
      <x:c r="S377" s="23" t="str">
        <x:v>feminino</x:v>
      </x:c>
      <x:c r="T377" s="22" t="str">
        <x:f>"FXN3I82"</x:f>
        <x:v>FXN3I82</x:v>
      </x:c>
      <x:c r="U377" s="23" t="str">
        <x:v>AWANNDA OLIVEIRA</x:v>
      </x:c>
      <x:c r="V377" s="22" t="str">
        <x:f>"486.525.268-18"</x:f>
        <x:v>486.525.268-18</x:v>
      </x:c>
      <x:c r="W377" s="22" t="str">
        <x:f>"48652526818"</x:f>
        <x:v>48652526818</x:v>
      </x:c>
      <x:c r="X377" s="23" t="str">
        <x:v>awanndaoliveira87@gmail.com</x:v>
      </x:c>
      <x:c r="Y377" s="22" t="str">
        <x:f>"(16)99171-5009"</x:f>
        <x:v>(16)99171-5009</x:v>
      </x:c>
      <x:c r="Z377" s="30" t="n">
        <x:v>46263</x:v>
      </x:c>
    </x:row>
    <x:row r="378" ht="18" customHeight="1">
      <x:c r="A378" s="22" t="str">
        <x:f>"66373f95-bd7b-42c4-93b4-bec52f8d8646"</x:f>
        <x:v>66373f95-bd7b-42c4-93b4-bec52f8d8646</x:v>
      </x:c>
      <x:c r="B378" s="23" t="str">
        <x:v>AYRTON DO AMARAL SOUZA</x:v>
      </x:c>
      <x:c r="C378" s="23" t="str">
        <x:v>ayrton do amaral souza</x:v>
      </x:c>
      <x:c r="D378" s="22" t="str">
        <x:f>"62.302.638/0001-34"</x:f>
        <x:v>62.302.638/0001-34</x:v>
      </x:c>
      <x:c r="E378" s="22" t="str">
        <x:f>"62302638000134"</x:f>
        <x:v>62302638000134</x:v>
      </x:c>
      <x:c r="F378" s="22" t="str">
        <x:f>"183.362.847-02"</x:f>
        <x:v>183.362.847-02</x:v>
      </x:c>
      <x:c r="G378" s="22" t="str">
        <x:f>"18336284702"</x:f>
        <x:v>18336284702</x:v>
      </x:c>
      <x:c r="H378" s="23" t="str">
        <x:v>ayrtonezi@gmail.com</x:v>
      </x:c>
      <x:c r="I378" s="22" t="str">
        <x:f>"(21)97701710"</x:f>
        <x:v>(21)97701710</x:v>
      </x:c>
      <x:c r="J378" s="23" t="str">
        <x:v>RENTAL</x:v>
      </x:c>
      <x:c r="K378" s="23" t="str">
        <x:v>rental_company</x:v>
      </x:c>
      <x:c r="L378" s="24" t="b">
        <x:v>1</x:v>
      </x:c>
      <x:c r="M378" s="23" t="n">
        <x:v>1</x:v>
      </x:c>
      <x:c r="N378" s="28" t="n">
        <x:v>46203.921858726855</x:v>
      </x:c>
      <x:c r="O378" s="28" t="n">
        <x:v>46219.812988715275</x:v>
      </x:c>
      <x:c r="P378" s="23" t="str">
        <x:v>POUSO ALEGRE</x:v>
      </x:c>
      <x:c r="Q378" s="30" t="n">
        <x:v>37408</x:v>
      </x:c>
      <x:c r="R378" s="22" t="str">
        <x:f>"305104549"</x:f>
        <x:v>305104549</x:v>
      </x:c>
      <x:c r="S378" s="23" t="str">
        <x:v>masculino</x:v>
      </x:c>
      <x:c r="T378" s="22" t="str"/>
      <x:c r="U378" s="23" t="str">
        <x:v>AYRTON DO AMARAL SOUZA</x:v>
      </x:c>
      <x:c r="V378" s="22" t="str">
        <x:f>"183.362.847-02"</x:f>
        <x:v>183.362.847-02</x:v>
      </x:c>
      <x:c r="W378" s="22" t="str">
        <x:f>"18336284702"</x:f>
        <x:v>18336284702</x:v>
      </x:c>
      <x:c r="X378" s="23" t="str">
        <x:v>ayrtonezi@gmail.com</x:v>
      </x:c>
      <x:c r="Y378" s="22" t="str">
        <x:f>"(21)97701710"</x:f>
        <x:v>(21)97701710</x:v>
      </x:c>
      <x:c r="Z378" s="30" t="n">
        <x:v>46261</x:v>
      </x:c>
    </x:row>
    <x:row r="379" ht="18" customHeight="1">
      <x:c r="A379" s="22" t="str">
        <x:f>"c845ddc7-d26a-4be0-b484-250cb797a89a"</x:f>
        <x:v>c845ddc7-d26a-4be0-b484-250cb797a89a</x:v>
      </x:c>
      <x:c r="B379" s="23" t="str">
        <x:v>AYRTON ROGGER FREIRE RODRIGUES</x:v>
      </x:c>
      <x:c r="C379" s="23" t="str">
        <x:v>ayrton rogger freire rodrigues</x:v>
      </x:c>
      <x:c r="D379" s="22" t="str">
        <x:f>"62.116.817/0001-87"</x:f>
        <x:v>62.116.817/0001-87</x:v>
      </x:c>
      <x:c r="E379" s="22" t="str">
        <x:f>"62116817000187"</x:f>
        <x:v>62116817000187</x:v>
      </x:c>
      <x:c r="F379" s="22" t="str">
        <x:f>"041.004.441-50"</x:f>
        <x:v>041.004.441-50</x:v>
      </x:c>
      <x:c r="G379" s="22" t="str">
        <x:f>"04100444150"</x:f>
        <x:v>04100444150</x:v>
      </x:c>
      <x:c r="H379" s="23" t="str">
        <x:v>ayrtonnroggerr@gmail.com</x:v>
      </x:c>
      <x:c r="I379" s="22" t="str">
        <x:f>"62993457176"</x:f>
        <x:v>62993457176</x:v>
      </x:c>
      <x:c r="J379" s="23" t="str">
        <x:v>RENTAL</x:v>
      </x:c>
      <x:c r="K379" s="23" t="str">
        <x:v>rental_company</x:v>
      </x:c>
      <x:c r="L379" s="24" t="b">
        <x:v>1</x:v>
      </x:c>
      <x:c r="M379" s="23" t="n">
        <x:v>1</x:v>
      </x:c>
      <x:c r="N379" s="28" t="n">
        <x:v>46219.812988715275</x:v>
      </x:c>
      <x:c r="O379" s="28" t="n">
        <x:v>46219.812988715275</x:v>
      </x:c>
      <x:c r="P379" s="23" t="str">
        <x:v>GOIANIA</x:v>
      </x:c>
      <x:c r="Q379" s="30" t="n">
        <x:v>34509</x:v>
      </x:c>
      <x:c r="R379" s="22" t="str">
        <x:f>"1159481"</x:f>
        <x:v>1159481</x:v>
      </x:c>
      <x:c r="S379" s="23" t="str">
        <x:v>masculino</x:v>
      </x:c>
      <x:c r="T379" s="22" t="str"/>
      <x:c r="U379" s="23" t="str">
        <x:v>AYRTON ROGGER FREIRE RODRIGUES</x:v>
      </x:c>
      <x:c r="V379" s="22" t="str">
        <x:f>"041.004.441-50"</x:f>
        <x:v>041.004.441-50</x:v>
      </x:c>
      <x:c r="W379" s="22" t="str">
        <x:f>"04100444150"</x:f>
        <x:v>04100444150</x:v>
      </x:c>
      <x:c r="X379" s="23" t="str">
        <x:v>ayrtonnroggerr@gmail.com</x:v>
      </x:c>
      <x:c r="Y379" s="22" t="str">
        <x:f>"62993457176"</x:f>
        <x:v>62993457176</x:v>
      </x:c>
      <x:c r="Z379" s="30" t="n">
        <x:v>46438</x:v>
      </x:c>
    </x:row>
    <x:row r="380" ht="18" customHeight="1">
      <x:c r="A380" s="22" t="str">
        <x:f>"460096b9-8abe-4a91-adfb-12dcc7c086f9"</x:f>
        <x:v>460096b9-8abe-4a91-adfb-12dcc7c086f9</x:v>
      </x:c>
      <x:c r="B380" s="23" t="str">
        <x:v>AZUIL GUSTAVO GONCALVES DA SILVA</x:v>
      </x:c>
      <x:c r="C380" s="23" t="str">
        <x:v>azuil gustavo goncalves da silva</x:v>
      </x:c>
      <x:c r="D380" s="22" t="str">
        <x:f>"57.614.803/0001-53"</x:f>
        <x:v>57.614.803/0001-53</x:v>
      </x:c>
      <x:c r="E380" s="22" t="str">
        <x:f>"57614803000153"</x:f>
        <x:v>57614803000153</x:v>
      </x:c>
      <x:c r="F380" s="22" t="str">
        <x:f>"057.468.581-29"</x:f>
        <x:v>057.468.581-29</x:v>
      </x:c>
      <x:c r="G380" s="22" t="str">
        <x:f>"05746858129"</x:f>
        <x:v>05746858129</x:v>
      </x:c>
      <x:c r="H380" s="23" t="str">
        <x:v>gustavo1819.ag@gmail.com</x:v>
      </x:c>
      <x:c r="I380" s="22" t="str">
        <x:f>"65 992128141"</x:f>
        <x:v>65 992128141</x:v>
      </x:c>
      <x:c r="J380" s="23" t="str">
        <x:v>RENTAL</x:v>
      </x:c>
      <x:c r="K380" s="23" t="str">
        <x:v>rental_company</x:v>
      </x:c>
      <x:c r="L380" s="24" t="b">
        <x:v>1</x:v>
      </x:c>
      <x:c r="M380" s="23" t="n">
        <x:v>1</x:v>
      </x:c>
      <x:c r="N380" s="28" t="n">
        <x:v>46203.92189349537</x:v>
      </x:c>
      <x:c r="O380" s="28" t="n">
        <x:v>46219.812988715275</x:v>
      </x:c>
      <x:c r="P380" s="23" t="str">
        <x:v>CUIABA</x:v>
      </x:c>
      <x:c r="Q380" s="30" t="n">
        <x:v>35474</x:v>
      </x:c>
      <x:c r="R380" s="22" t="str">
        <x:f>"2605440-0"</x:f>
        <x:v>2605440-0</x:v>
      </x:c>
      <x:c r="S380" s="23" t="str">
        <x:v>masculino</x:v>
      </x:c>
      <x:c r="T380" s="22" t="str"/>
      <x:c r="U380" s="23" t="str">
        <x:v>AZUIL GUSTAVO GONCALVES DA SILVA</x:v>
      </x:c>
      <x:c r="V380" s="22" t="str">
        <x:f>"057.468.581-29"</x:f>
        <x:v>057.468.581-29</x:v>
      </x:c>
      <x:c r="W380" s="22" t="str">
        <x:f>"05746858129"</x:f>
        <x:v>05746858129</x:v>
      </x:c>
      <x:c r="X380" s="23" t="str">
        <x:v>gustavo1819.ag@gmail.com</x:v>
      </x:c>
      <x:c r="Y380" s="22" t="str">
        <x:f>"65 992128141"</x:f>
        <x:v>65 992128141</x:v>
      </x:c>
      <x:c r="Z380" s="30" t="n">
        <x:v>46343</x:v>
      </x:c>
    </x:row>
    <x:row r="381" ht="18" customHeight="1">
      <x:c r="A381" s="22" t="str">
        <x:f>"6371d7c3-51e0-49fe-8166-d62219cd37d5"</x:f>
        <x:v>6371d7c3-51e0-49fe-8166-d62219cd37d5</x:v>
      </x:c>
      <x:c r="B381" s="23" t="str">
        <x:v>AZUIL GUSTAVO GONCALVES DA SILVA</x:v>
      </x:c>
      <x:c r="C381" s="23" t="str">
        <x:v>azuil gustavo goncalves da silva</x:v>
      </x:c>
      <x:c r="D381" s="22" t="str">
        <x:f>"53.264.533/0001-47"</x:f>
        <x:v>53.264.533/0001-47</x:v>
      </x:c>
      <x:c r="E381" s="22" t="str">
        <x:f>"53264533000147"</x:f>
        <x:v>53264533000147</x:v>
      </x:c>
      <x:c r="F381" s="22" t="str">
        <x:f>"057.468.581-29"</x:f>
        <x:v>057.468.581-29</x:v>
      </x:c>
      <x:c r="G381" s="22" t="str">
        <x:f>"05746858129"</x:f>
        <x:v>05746858129</x:v>
      </x:c>
      <x:c r="H381" s="23" t="str">
        <x:v>gustavo1819.ag@gmail.com</x:v>
      </x:c>
      <x:c r="I381" s="22" t="str">
        <x:f>"(65) 99212-8141"</x:f>
        <x:v>(65) 99212-8141</x:v>
      </x:c>
      <x:c r="J381" s="23" t="str">
        <x:v>SPOT</x:v>
      </x:c>
      <x:c r="K381" s="23" t="str">
        <x:v>favored_only</x:v>
      </x:c>
      <x:c r="L381" s="24" t="b">
        <x:v>1</x:v>
      </x:c>
      <x:c r="M381" s="23" t="n">
        <x:v>1</x:v>
      </x:c>
      <x:c r="N381" s="28" t="n">
        <x:v>46205.60397635417</x:v>
      </x:c>
      <x:c r="O381" s="28" t="n">
        <x:v>46219.812988715275</x:v>
      </x:c>
      <x:c r="P381" s="23" t="str">
        <x:v>CUIABA</x:v>
      </x:c>
      <x:c r="Q381" s="30" t="n">
        <x:v>35474</x:v>
      </x:c>
      <x:c r="R381" s="22" t="str">
        <x:f>"26054400"</x:f>
        <x:v>26054400</x:v>
      </x:c>
      <x:c r="S381" s="23" t="str">
        <x:v>masculino</x:v>
      </x:c>
      <x:c r="T381" s="22" t="str">
        <x:f>"SPT4B81"</x:f>
        <x:v>SPT4B81</x:v>
      </x:c>
      <x:c r="U381" s="23" t="str">
        <x:v>LEONIDAS DE PINHO E SILVA</x:v>
      </x:c>
      <x:c r="V381" s="22" t="str">
        <x:f>"692.451.851-68"</x:f>
        <x:v>692.451.851-68</x:v>
      </x:c>
      <x:c r="W381" s="22" t="str">
        <x:f>"69245185168"</x:f>
        <x:v>69245185168</x:v>
      </x:c>
      <x:c r="X381" s="23" t="str">
        <x:v>veloxlogisticamt@gmail.com</x:v>
      </x:c>
      <x:c r="Y381" s="22" t="str">
        <x:f>"(65) 99632-1030"</x:f>
        <x:v>(65) 99632-1030</x:v>
      </x:c>
      <x:c r="Z381" s="30" t="n">
        <x:v>46469</x:v>
      </x:c>
    </x:row>
    <x:row r="382" ht="18" customHeight="1">
      <x:c r="A382" s="22" t="str">
        <x:f>"7ba0e50b-f4c7-40f6-ba1c-d4ef0f93fc22"</x:f>
        <x:v>7ba0e50b-f4c7-40f6-ba1c-d4ef0f93fc22</x:v>
      </x:c>
      <x:c r="B382" s="23" t="str">
        <x:v>BARBARA DA ROCHA PINHEIRO</x:v>
      </x:c>
      <x:c r="C382" s="23" t="str">
        <x:v>barbara da rocha pinheiro</x:v>
      </x:c>
      <x:c r="D382" s="22" t="str">
        <x:f>"53.545.147/0001-23"</x:f>
        <x:v>53.545.147/0001-23</x:v>
      </x:c>
      <x:c r="E382" s="22" t="str">
        <x:f>"53545147000123"</x:f>
        <x:v>53545147000123</x:v>
      </x:c>
      <x:c r="F382" s="22" t="str">
        <x:f>"107.369.547-67"</x:f>
        <x:v>107.369.547-67</x:v>
      </x:c>
      <x:c r="G382" s="22" t="str">
        <x:f>"10736954767"</x:f>
        <x:v>10736954767</x:v>
      </x:c>
      <x:c r="H382" s="23" t="str">
        <x:v>babi.pinheiro21@gmail.com</x:v>
      </x:c>
      <x:c r="I382" s="22" t="str">
        <x:f>"219711-06032"</x:f>
        <x:v>219711-06032</x:v>
      </x:c>
      <x:c r="J382" s="23" t="str">
        <x:v>SPOT</x:v>
      </x:c>
      <x:c r="K382" s="23" t="str">
        <x:v>favored_only</x:v>
      </x:c>
      <x:c r="L382" s="24" t="b">
        <x:v>1</x:v>
      </x:c>
      <x:c r="M382" s="23" t="n">
        <x:v>1</x:v>
      </x:c>
      <x:c r="N382" s="28" t="n">
        <x:v>46219.812988715275</x:v>
      </x:c>
      <x:c r="O382" s="28" t="n">
        <x:v>46219.812988715275</x:v>
      </x:c>
      <x:c r="P382" s="23" t="str">
        <x:v>ITABORAI</x:v>
      </x:c>
      <x:c r="Q382" s="30" t="n">
        <x:v>30884</x:v>
      </x:c>
      <x:c r="R382" s="22" t="str">
        <x:f>"201844495"</x:f>
        <x:v>201844495</x:v>
      </x:c>
      <x:c r="S382" s="23" t="str">
        <x:v>feminino</x:v>
      </x:c>
      <x:c r="T382" s="22" t="str">
        <x:f>"PYO3G77"</x:f>
        <x:v>PYO3G77</x:v>
      </x:c>
      <x:c r="U382" s="23" t="str">
        <x:v>BARBARA DA ROCHA PINHEIRO</x:v>
      </x:c>
      <x:c r="V382" s="22" t="str">
        <x:f>"107.369.547-67"</x:f>
        <x:v>107.369.547-67</x:v>
      </x:c>
      <x:c r="W382" s="22" t="str">
        <x:f>"10736954767"</x:f>
        <x:v>10736954767</x:v>
      </x:c>
      <x:c r="X382" s="23" t="str">
        <x:v>babi.pinheiro21@gmail.com</x:v>
      </x:c>
      <x:c r="Y382" s="22" t="str">
        <x:f>"219711-06032"</x:f>
        <x:v>219711-06032</x:v>
      </x:c>
      <x:c r="Z382" s="30" t="n">
        <x:v>46464</x:v>
      </x:c>
    </x:row>
    <x:row r="383" ht="18" customHeight="1">
      <x:c r="A383" s="22" t="str">
        <x:f>"d776c8b5-b6db-4fc0-b789-f98f8fb56984"</x:f>
        <x:v>d776c8b5-b6db-4fc0-b789-f98f8fb56984</x:v>
      </x:c>
      <x:c r="B383" s="23" t="str">
        <x:v>BARBARA LAURENTINO DA SILVA</x:v>
      </x:c>
      <x:c r="C383" s="23" t="str">
        <x:v>barbara laurentino da silva</x:v>
      </x:c>
      <x:c r="D383" s="22" t="str">
        <x:f>"46.837.677/0001-80"</x:f>
        <x:v>46.837.677/0001-80</x:v>
      </x:c>
      <x:c r="E383" s="22" t="str">
        <x:f>"46837677000180"</x:f>
        <x:v>46837677000180</x:v>
      </x:c>
      <x:c r="F383" s="22" t="str">
        <x:f>"432.145.138-85"</x:f>
        <x:v>432.145.138-85</x:v>
      </x:c>
      <x:c r="G383" s="22" t="str">
        <x:f>"43214513885"</x:f>
        <x:v>43214513885</x:v>
      </x:c>
      <x:c r="H383" s="23" t="str">
        <x:v>barbara.Isilva@hotmail.com</x:v>
      </x:c>
      <x:c r="I383" s="22" t="str">
        <x:f>"(65)999852724"</x:f>
        <x:v>(65)999852724</x:v>
      </x:c>
      <x:c r="J383" s="23" t="str">
        <x:v>SPOT</x:v>
      </x:c>
      <x:c r="K383" s="23" t="str">
        <x:v>favored_only</x:v>
      </x:c>
      <x:c r="L383" s="24" t="b">
        <x:v>1</x:v>
      </x:c>
      <x:c r="M383" s="23" t="n">
        <x:v>1</x:v>
      </x:c>
      <x:c r="N383" s="28" t="n">
        <x:v>46205.60453078704</x:v>
      </x:c>
      <x:c r="O383" s="28" t="n">
        <x:v>46219.812988715275</x:v>
      </x:c>
      <x:c r="P383" s="23" t="str">
        <x:v>PONTES E LACERDA</x:v>
      </x:c>
      <x:c r="Q383" s="30" t="n">
        <x:v>35286</x:v>
      </x:c>
      <x:c r="R383" s="22" t="str">
        <x:f>"36.911.213-1"</x:f>
        <x:v>36.911.213-1</x:v>
      </x:c>
      <x:c r="S383" s="23" t="str">
        <x:v>feminino</x:v>
      </x:c>
      <x:c r="T383" s="22" t="str">
        <x:f>"SVF8A61"</x:f>
        <x:v>SVF8A61</x:v>
      </x:c>
      <x:c r="U383" s="23" t="str">
        <x:v>JOANA VANESSA SILVA OLIVEIRA</x:v>
      </x:c>
      <x:c r="V383" s="22" t="str">
        <x:f>"054.051.703-80"</x:f>
        <x:v>054.051.703-80</x:v>
      </x:c>
      <x:c r="W383" s="22" t="str">
        <x:f>"05405170380"</x:f>
        <x:v>05405170380</x:v>
      </x:c>
      <x:c r="X383" s="23" t="str">
        <x:v>Joanavsoliveiraa@gmail.com</x:v>
      </x:c>
      <x:c r="Y383" s="22" t="str">
        <x:f>"+55 98 8570-5576"</x:f>
        <x:v>+55 98 8570-5576</x:v>
      </x:c>
      <x:c r="Z383" s="30" t="n">
        <x:v>46281</x:v>
      </x:c>
    </x:row>
    <x:row r="384" ht="18" customHeight="1">
      <x:c r="A384" s="22" t="str">
        <x:f>"48d3f1c7-d96b-4eb0-be46-12e502807583"</x:f>
        <x:v>48d3f1c7-d96b-4eb0-be46-12e502807583</x:v>
      </x:c>
      <x:c r="B384" s="23" t="str">
        <x:v>BARBARA PAZZINI BONELA</x:v>
      </x:c>
      <x:c r="C384" s="23" t="str">
        <x:v>barbara pazzini bonela</x:v>
      </x:c>
      <x:c r="D384" s="22" t="str">
        <x:f>"63.357.265/0001-61"</x:f>
        <x:v>63.357.265/0001-61</x:v>
      </x:c>
      <x:c r="E384" s="22" t="str">
        <x:f>"63357265000161"</x:f>
        <x:v>63357265000161</x:v>
      </x:c>
      <x:c r="F384" s="22" t="str">
        <x:f>"066.203.446-58"</x:f>
        <x:v>066.203.446-58</x:v>
      </x:c>
      <x:c r="G384" s="22" t="str">
        <x:f>"06620344658"</x:f>
        <x:v>06620344658</x:v>
      </x:c>
      <x:c r="H384" s="23" t="str">
        <x:v>barbarapazzini@hotmail.com</x:v>
      </x:c>
      <x:c r="I384" s="22" t="str">
        <x:f>"31 988698731"</x:f>
        <x:v>31 988698731</x:v>
      </x:c>
      <x:c r="J384" s="23" t="str">
        <x:v>SPOT</x:v>
      </x:c>
      <x:c r="K384" s="23" t="str">
        <x:v>favored_only</x:v>
      </x:c>
      <x:c r="L384" s="24" t="b">
        <x:v>1</x:v>
      </x:c>
      <x:c r="M384" s="23" t="n">
        <x:v>1</x:v>
      </x:c>
      <x:c r="N384" s="28" t="n">
        <x:v>46219.812988715275</x:v>
      </x:c>
      <x:c r="O384" s="28" t="n">
        <x:v>46219.812988715275</x:v>
      </x:c>
      <x:c r="P384" s="23" t="str">
        <x:v>VESPASIANO</x:v>
      </x:c>
      <x:c r="Q384" s="30" t="n">
        <x:v>31194</x:v>
      </x:c>
      <x:c r="R384" s="22" t="str">
        <x:f>"RG:  MG 13001647"</x:f>
        <x:v>RG:  MG 13001647</x:v>
      </x:c>
      <x:c r="S384" s="23" t="str">
        <x:v>feminino</x:v>
      </x:c>
      <x:c r="T384" s="22" t="str">
        <x:f>"IAN1B29"</x:f>
        <x:v>IAN1B29</x:v>
      </x:c>
      <x:c r="U384" s="23" t="str">
        <x:v>BARBARA PAZZINI BONELA</x:v>
      </x:c>
      <x:c r="V384" s="22" t="str">
        <x:f>"066.203.446-58"</x:f>
        <x:v>066.203.446-58</x:v>
      </x:c>
      <x:c r="W384" s="22" t="str">
        <x:f>"06620344658"</x:f>
        <x:v>06620344658</x:v>
      </x:c>
      <x:c r="X384" s="23" t="str">
        <x:v>barbarapazzini@hotmail.com</x:v>
      </x:c>
      <x:c r="Y384" s="22" t="str">
        <x:f>"31 988698731"</x:f>
        <x:v>31 988698731</x:v>
      </x:c>
      <x:c r="Z384" s="30" t="n">
        <x:v>46411</x:v>
      </x:c>
    </x:row>
    <x:row r="385" ht="18" customHeight="1">
      <x:c r="A385" s="22" t="str">
        <x:f>"9f3528fe-90dc-4c39-9a5f-5c8ed18d3f50"</x:f>
        <x:v>9f3528fe-90dc-4c39-9a5f-5c8ed18d3f50</x:v>
      </x:c>
      <x:c r="B385" s="23" t="str">
        <x:v>BEATRIZ ALINE BALERO DA SILVA</x:v>
      </x:c>
      <x:c r="C385" s="23" t="str">
        <x:v>beatriz aline balero da silva</x:v>
      </x:c>
      <x:c r="D385" s="22" t="str">
        <x:f>"58.049.315/0001-03"</x:f>
        <x:v>58.049.315/0001-03</x:v>
      </x:c>
      <x:c r="E385" s="22" t="str">
        <x:f>"58049315000103"</x:f>
        <x:v>58049315000103</x:v>
      </x:c>
      <x:c r="F385" s="22" t="str">
        <x:f>"431.195.398-48"</x:f>
        <x:v>431.195.398-48</x:v>
      </x:c>
      <x:c r="G385" s="22" t="str">
        <x:f>"43119539848"</x:f>
        <x:v>43119539848</x:v>
      </x:c>
      <x:c r="H385" s="23" t="str">
        <x:v>beatrizabalerosilva@gmail.com</x:v>
      </x:c>
      <x:c r="I385" s="22" t="str">
        <x:f>"(67) 9959-3287"</x:f>
        <x:v>(67) 9959-3287</x:v>
      </x:c>
      <x:c r="J385" s="23" t="str">
        <x:v>SPOT</x:v>
      </x:c>
      <x:c r="K385" s="23" t="str">
        <x:v>favored_only</x:v>
      </x:c>
      <x:c r="L385" s="24" t="b">
        <x:v>1</x:v>
      </x:c>
      <x:c r="M385" s="23" t="n">
        <x:v>3</x:v>
      </x:c>
      <x:c r="N385" s="28" t="n">
        <x:v>46203.92189965278</x:v>
      </x:c>
      <x:c r="O385" s="28" t="n">
        <x:v>46203.92189965278</x:v>
      </x:c>
      <x:c r="P385" s="23" t="str"/>
      <x:c r="Q385" s="30" t="str"/>
      <x:c r="R385" s="22" t="str"/>
      <x:c r="S385" s="23" t="str"/>
      <x:c r="T385" s="22" t="str"/>
      <x:c r="U385" s="23" t="str">
        <x:v>Beatriz Aline Balero da Silva</x:v>
      </x:c>
      <x:c r="V385" s="22" t="str">
        <x:f>"431195398-48"</x:f>
        <x:v>431195398-48</x:v>
      </x:c>
      <x:c r="W385" s="22" t="str">
        <x:f>"43119539848"</x:f>
        <x:v>43119539848</x:v>
      </x:c>
      <x:c r="X385" s="23" t="str">
        <x:v>beatrizbalerodasilva@gmail.com</x:v>
      </x:c>
      <x:c r="Y385" s="22" t="str">
        <x:f>"67 9959-3287"</x:f>
        <x:v>67 9959-3287</x:v>
      </x:c>
      <x:c r="Z385" s="30" t="str"/>
    </x:row>
    <x:row r="386" ht="18" customHeight="1">
      <x:c r="A386" s="22" t="str">
        <x:f>"09b0367b-4922-40b1-8eec-6959e04c436a"</x:f>
        <x:v>09b0367b-4922-40b1-8eec-6959e04c436a</x:v>
      </x:c>
      <x:c r="B386" s="23" t="str">
        <x:v>BEATRIZ CATERINQUE</x:v>
      </x:c>
      <x:c r="C386" s="23" t="str">
        <x:v>beatriz caterinque</x:v>
      </x:c>
      <x:c r="D386" s="22" t="str">
        <x:f>"06.702.668/0001-94"</x:f>
        <x:v>06.702.668/0001-94</x:v>
      </x:c>
      <x:c r="E386" s="22" t="str">
        <x:f>"06702668000194"</x:f>
        <x:v>06702668000194</x:v>
      </x:c>
      <x:c r="F386" s="22" t="str">
        <x:f>"164.890.837-36"</x:f>
        <x:v>164.890.837-36</x:v>
      </x:c>
      <x:c r="G386" s="22" t="str">
        <x:f>"16489083736"</x:f>
        <x:v>16489083736</x:v>
      </x:c>
      <x:c r="H386" s="23" t="str">
        <x:v>Caterinquebeatriz1@gmail.com</x:v>
      </x:c>
      <x:c r="I386" s="22" t="str">
        <x:f>"31994256457"</x:f>
        <x:v>31994256457</x:v>
      </x:c>
      <x:c r="J386" s="23" t="str">
        <x:v>SPOT</x:v>
      </x:c>
      <x:c r="K386" s="23" t="str">
        <x:v>favored_only</x:v>
      </x:c>
      <x:c r="L386" s="24" t="b">
        <x:v>1</x:v>
      </x:c>
      <x:c r="M386" s="23" t="n">
        <x:v>1</x:v>
      </x:c>
      <x:c r="N386" s="28" t="n">
        <x:v>46219.812988715275</x:v>
      </x:c>
      <x:c r="O386" s="28" t="n">
        <x:v>46219.812988715275</x:v>
      </x:c>
      <x:c r="P386" s="23" t="str">
        <x:v>NOVA LIMA</x:v>
      </x:c>
      <x:c r="Q386" s="30" t="n">
        <x:v>36723</x:v>
      </x:c>
      <x:c r="R386" s="22" t="str">
        <x:f>"19230176"</x:f>
        <x:v>19230176</x:v>
      </x:c>
      <x:c r="S386" s="23" t="str">
        <x:v>feminino</x:v>
      </x:c>
      <x:c r="T386" s="22" t="str">
        <x:f>"HMJ9490"</x:f>
        <x:v>HMJ9490</x:v>
      </x:c>
      <x:c r="U386" s="23" t="str">
        <x:v>BEATRIZ CATERINQUE</x:v>
      </x:c>
      <x:c r="V386" s="22" t="str">
        <x:f>"164.890.837-36"</x:f>
        <x:v>164.890.837-36</x:v>
      </x:c>
      <x:c r="W386" s="22" t="str">
        <x:f>"16489083736"</x:f>
        <x:v>16489083736</x:v>
      </x:c>
      <x:c r="X386" s="23" t="str">
        <x:v>Caterinquebeatriz1@gmail.com</x:v>
      </x:c>
      <x:c r="Y386" s="22" t="str">
        <x:f>"31994256457"</x:f>
        <x:v>31994256457</x:v>
      </x:c>
      <x:c r="Z386" s="30" t="n">
        <x:v>46571</x:v>
      </x:c>
    </x:row>
    <x:row r="387" ht="18" customHeight="1">
      <x:c r="A387" s="22" t="str">
        <x:f>"39edb85e-9049-4f81-adaa-42704c8da4ad"</x:f>
        <x:v>39edb85e-9049-4f81-adaa-42704c8da4ad</x:v>
      </x:c>
      <x:c r="B387" s="23" t="str">
        <x:v>BEATRIZ DOS SANTOS SILVA</x:v>
      </x:c>
      <x:c r="C387" s="23" t="str">
        <x:v>beatriz dos santos silva</x:v>
      </x:c>
      <x:c r="D387" s="22" t="str">
        <x:f>"66.552.642/0001-01"</x:f>
        <x:v>66.552.642/0001-01</x:v>
      </x:c>
      <x:c r="E387" s="22" t="str">
        <x:f>"66552642000101"</x:f>
        <x:v>66552642000101</x:v>
      </x:c>
      <x:c r="F387" s="22" t="str">
        <x:f>"162.456.237-07"</x:f>
        <x:v>162.456.237-07</x:v>
      </x:c>
      <x:c r="G387" s="22" t="str">
        <x:f>"16245623707"</x:f>
        <x:v>16245623707</x:v>
      </x:c>
      <x:c r="H387" s="23" t="str">
        <x:v>beatriz.ssilva0108@gmail.com</x:v>
      </x:c>
      <x:c r="I387" s="22" t="str">
        <x:f>"2199447-8125"</x:f>
        <x:v>2199447-8125</x:v>
      </x:c>
      <x:c r="J387" s="23" t="str">
        <x:v>SPOT</x:v>
      </x:c>
      <x:c r="K387" s="23" t="str">
        <x:v>favored_only</x:v>
      </x:c>
      <x:c r="L387" s="24" t="b">
        <x:v>1</x:v>
      </x:c>
      <x:c r="M387" s="23" t="n">
        <x:v>1</x:v>
      </x:c>
      <x:c r="N387" s="28" t="n">
        <x:v>46219.812988715275</x:v>
      </x:c>
      <x:c r="O387" s="28" t="n">
        <x:v>46219.812988715275</x:v>
      </x:c>
      <x:c r="P387" s="23" t="str">
        <x:v>CAMPO GRANDE</x:v>
      </x:c>
      <x:c r="Q387" s="30" t="n">
        <x:v>36008</x:v>
      </x:c>
      <x:c r="R387" s="22" t="str">
        <x:f>"226205E"</x:f>
        <x:v>226205E</x:v>
      </x:c>
      <x:c r="S387" s="23" t="str">
        <x:v>feminino</x:v>
      </x:c>
      <x:c r="T387" s="22" t="str">
        <x:f>"KZH3F82"</x:f>
        <x:v>KZH3F82</x:v>
      </x:c>
      <x:c r="U387" s="23" t="str">
        <x:v>BEATRIZ DOS SANTOS SILVA</x:v>
      </x:c>
      <x:c r="V387" s="22" t="str">
        <x:f>"162.456.237-07"</x:f>
        <x:v>162.456.237-07</x:v>
      </x:c>
      <x:c r="W387" s="22" t="str">
        <x:f>"16245623707"</x:f>
        <x:v>16245623707</x:v>
      </x:c>
      <x:c r="X387" s="23" t="str">
        <x:v>beatriz.ssilva0108@gmail.com</x:v>
      </x:c>
      <x:c r="Y387" s="22" t="str">
        <x:f>"2199447-8125"</x:f>
        <x:v>2199447-8125</x:v>
      </x:c>
      <x:c r="Z387" s="30" t="n">
        <x:v>46581</x:v>
      </x:c>
    </x:row>
    <x:row r="388" ht="18" customHeight="1">
      <x:c r="A388" s="22" t="str">
        <x:f>"4121e3bc-1ca2-40b4-870e-724f840e730f"</x:f>
        <x:v>4121e3bc-1ca2-40b4-870e-724f840e730f</x:v>
      </x:c>
      <x:c r="B388" s="23" t="str">
        <x:v>BEATRIZ SILVA DOS SANTOS</x:v>
      </x:c>
      <x:c r="C388" s="23" t="str">
        <x:v>beatriz silva dos santos</x:v>
      </x:c>
      <x:c r="D388" s="22" t="str">
        <x:f>"61.680.721/0001-84"</x:f>
        <x:v>61.680.721/0001-84</x:v>
      </x:c>
      <x:c r="E388" s="22" t="str">
        <x:f>"61680721000184"</x:f>
        <x:v>61680721000184</x:v>
      </x:c>
      <x:c r="F388" s="22" t="str">
        <x:f>"495.557.418-16"</x:f>
        <x:v>495.557.418-16</x:v>
      </x:c>
      <x:c r="G388" s="22" t="str">
        <x:f>"49555741816"</x:f>
        <x:v>49555741816</x:v>
      </x:c>
      <x:c r="H388" s="23" t="str">
        <x:v>beatrizrsw@gmail.com</x:v>
      </x:c>
      <x:c r="I388" s="22" t="str">
        <x:f>"19988253993"</x:f>
        <x:v>19988253993</x:v>
      </x:c>
      <x:c r="J388" s="23" t="str">
        <x:v>RENTAL</x:v>
      </x:c>
      <x:c r="K388" s="23" t="str">
        <x:v>rental_company</x:v>
      </x:c>
      <x:c r="L388" s="24" t="b">
        <x:v>1</x:v>
      </x:c>
      <x:c r="M388" s="23" t="n">
        <x:v>1</x:v>
      </x:c>
      <x:c r="N388" s="28" t="n">
        <x:v>46203.921840393516</x:v>
      </x:c>
      <x:c r="O388" s="28" t="n">
        <x:v>46205.60504619213</x:v>
      </x:c>
      <x:c r="P388" s="23" t="str">
        <x:v>BARRETOS</x:v>
      </x:c>
      <x:c r="Q388" s="30" t="n">
        <x:v>36673</x:v>
      </x:c>
      <x:c r="R388" s="22" t="str">
        <x:f>"533988457"</x:f>
        <x:v>533988457</x:v>
      </x:c>
      <x:c r="S388" s="23" t="str">
        <x:v>Feminino</x:v>
      </x:c>
      <x:c r="T388" s="22" t="str"/>
      <x:c r="U388" s="23" t="str">
        <x:v>BEATRIZ SILVA DOS SANTOS</x:v>
      </x:c>
      <x:c r="V388" s="22" t="str">
        <x:f>"495.557.418-16"</x:f>
        <x:v>495.557.418-16</x:v>
      </x:c>
      <x:c r="W388" s="22" t="str">
        <x:f>"49555741816"</x:f>
        <x:v>49555741816</x:v>
      </x:c>
      <x:c r="X388" s="23" t="str">
        <x:v>beatrizrsw@gmail.com</x:v>
      </x:c>
      <x:c r="Y388" s="22" t="str">
        <x:f>"19988253993"</x:f>
        <x:v>19988253993</x:v>
      </x:c>
      <x:c r="Z388" s="30" t="n">
        <x:v>46224</x:v>
      </x:c>
    </x:row>
    <x:row r="389" ht="18" customHeight="1">
      <x:c r="A389" s="22" t="str">
        <x:f>"e2833937-a0a3-41d1-8d45-484af8928766"</x:f>
        <x:v>e2833937-a0a3-41d1-8d45-484af8928766</x:v>
      </x:c>
      <x:c r="B389" s="23" t="str">
        <x:v>BENEDITO DE ALMEIDA JUNIOR</x:v>
      </x:c>
      <x:c r="C389" s="23" t="str">
        <x:v>benedito de almeida junior</x:v>
      </x:c>
      <x:c r="D389" s="22" t="str">
        <x:f>"62.501.730/0001-23"</x:f>
        <x:v>62.501.730/0001-23</x:v>
      </x:c>
      <x:c r="E389" s="22" t="str">
        <x:f>"62501730000123"</x:f>
        <x:v>62501730000123</x:v>
      </x:c>
      <x:c r="F389" s="22" t="str">
        <x:f>"273.974.818-33"</x:f>
        <x:v>273.974.818-33</x:v>
      </x:c>
      <x:c r="G389" s="22" t="str">
        <x:f>"27397481833"</x:f>
        <x:v>27397481833</x:v>
      </x:c>
      <x:c r="H389" s="23" t="str">
        <x:v>junioralmeidaalmeida01@gmail.com</x:v>
      </x:c>
      <x:c r="I389" s="22" t="str">
        <x:f>"(18)996617515"</x:f>
        <x:v>(18)996617515</x:v>
      </x:c>
      <x:c r="J389" s="23" t="str">
        <x:v>SPOT</x:v>
      </x:c>
      <x:c r="K389" s="23" t="str">
        <x:v>favored_only</x:v>
      </x:c>
      <x:c r="L389" s="24" t="b">
        <x:v>1</x:v>
      </x:c>
      <x:c r="M389" s="23" t="n">
        <x:v>1</x:v>
      </x:c>
      <x:c r="N389" s="28" t="n">
        <x:v>46203.92186462963</x:v>
      </x:c>
      <x:c r="O389" s="28" t="n">
        <x:v>46219.812988715275</x:v>
      </x:c>
      <x:c r="P389" s="23" t="str">
        <x:v>ARAÇATUBA</x:v>
      </x:c>
      <x:c r="Q389" s="30" t="n">
        <x:v>28091</x:v>
      </x:c>
      <x:c r="R389" s="22" t="str">
        <x:f>"25098318"</x:f>
        <x:v>25098318</x:v>
      </x:c>
      <x:c r="S389" s="23" t="str">
        <x:v>masculino</x:v>
      </x:c>
      <x:c r="T389" s="22" t="str">
        <x:f>"FCD3D18"</x:f>
        <x:v>FCD3D18</x:v>
      </x:c>
      <x:c r="U389" s="23" t="str">
        <x:v>BENEDITO DE ALMEIDA JUNIOR</x:v>
      </x:c>
      <x:c r="V389" s="22" t="str">
        <x:f>"273.974.818-33"</x:f>
        <x:v>273.974.818-33</x:v>
      </x:c>
      <x:c r="W389" s="22" t="str">
        <x:f>"27397481833"</x:f>
        <x:v>27397481833</x:v>
      </x:c>
      <x:c r="X389" s="23" t="str">
        <x:v>junioralmeidaalmeida01@gmail.com</x:v>
      </x:c>
      <x:c r="Y389" s="22" t="str">
        <x:f>"(18)996617515"</x:f>
        <x:v>(18)996617515</x:v>
      </x:c>
      <x:c r="Z389" s="30" t="n">
        <x:v>46282</x:v>
      </x:c>
    </x:row>
    <x:row r="390" ht="18" customHeight="1">
      <x:c r="A390" s="22" t="str">
        <x:f>"efe82ee5-61c7-4fb4-8845-49372398e02a"</x:f>
        <x:v>efe82ee5-61c7-4fb4-8845-49372398e02a</x:v>
      </x:c>
      <x:c r="B390" s="23" t="str">
        <x:v>BENEDITO GILNEI PEREIRA DO PRADO</x:v>
      </x:c>
      <x:c r="C390" s="23" t="str">
        <x:v>benedito gilnei pereira do prado</x:v>
      </x:c>
      <x:c r="D390" s="22" t="str">
        <x:f>"509638020001-75"</x:f>
        <x:v>509638020001-75</x:v>
      </x:c>
      <x:c r="E390" s="22" t="str">
        <x:f>"50963802000175"</x:f>
        <x:v>50963802000175</x:v>
      </x:c>
      <x:c r="F390" s="22" t="str">
        <x:f>"72532572191"</x:f>
        <x:v>72532572191</x:v>
      </x:c>
      <x:c r="G390" s="22" t="str">
        <x:f>"72532572191"</x:f>
        <x:v>72532572191</x:v>
      </x:c>
      <x:c r="H390" s="23" t="str">
        <x:v>gpsonpereira07@gmail.com</x:v>
      </x:c>
      <x:c r="I390" s="22" t="str">
        <x:f>"67992788119"</x:f>
        <x:v>67992788119</x:v>
      </x:c>
      <x:c r="J390" s="23" t="str">
        <x:v>SPOT</x:v>
      </x:c>
      <x:c r="K390" s="23" t="str">
        <x:v>favored_only</x:v>
      </x:c>
      <x:c r="L390" s="24" t="b">
        <x:v>1</x:v>
      </x:c>
      <x:c r="M390" s="23" t="n">
        <x:v>3</x:v>
      </x:c>
      <x:c r="N390" s="28" t="n">
        <x:v>46203.92186462963</x:v>
      </x:c>
      <x:c r="O390" s="28" t="n">
        <x:v>46203.92186462963</x:v>
      </x:c>
      <x:c r="P390" s="23" t="str"/>
      <x:c r="Q390" s="30" t="str"/>
      <x:c r="R390" s="22" t="str"/>
      <x:c r="S390" s="23" t="str"/>
      <x:c r="T390" s="22" t="str"/>
      <x:c r="U390" s="23" t="str">
        <x:v>BENEDITO GILNEI PEREIRA DO PRADO</x:v>
      </x:c>
      <x:c r="V390" s="22" t="str">
        <x:f>"72532572191"</x:f>
        <x:v>72532572191</x:v>
      </x:c>
      <x:c r="W390" s="22" t="str">
        <x:f>"72532572191"</x:f>
        <x:v>72532572191</x:v>
      </x:c>
      <x:c r="X390" s="23" t="str">
        <x:v>gpisonpereira07@gmail.com</x:v>
      </x:c>
      <x:c r="Y390" s="22" t="str">
        <x:f>"65996097168"</x:f>
        <x:v>65996097168</x:v>
      </x:c>
      <x:c r="Z390" s="30" t="str"/>
    </x:row>
    <x:row r="391" ht="18" customHeight="1">
      <x:c r="A391" s="22" t="str">
        <x:f>"c6a3c00e-d701-4bd5-8987-2777d54bcf28"</x:f>
        <x:v>c6a3c00e-d701-4bd5-8987-2777d54bcf28</x:v>
      </x:c>
      <x:c r="B391" s="23" t="str">
        <x:v>BERNARDO AUGUSTO MEDEIROS SOARES</x:v>
      </x:c>
      <x:c r="C391" s="23" t="str">
        <x:v>bernardo augusto medeiros soares</x:v>
      </x:c>
      <x:c r="D391" s="22" t="str">
        <x:f>"67.267.178/0001-74"</x:f>
        <x:v>67.267.178/0001-74</x:v>
      </x:c>
      <x:c r="E391" s="22" t="str">
        <x:f>"67267178000174"</x:f>
        <x:v>67267178000174</x:v>
      </x:c>
      <x:c r="F391" s="22" t="str">
        <x:f>"153.611.666-18"</x:f>
        <x:v>153.611.666-18</x:v>
      </x:c>
      <x:c r="G391" s="22" t="str">
        <x:f>"15361166618"</x:f>
        <x:v>15361166618</x:v>
      </x:c>
      <x:c r="H391" s="23" t="str">
        <x:v>Bernardsoares352@gmail.com</x:v>
      </x:c>
      <x:c r="I391" s="22" t="str">
        <x:f>"319869 31350"</x:f>
        <x:v>319869 31350</x:v>
      </x:c>
      <x:c r="J391" s="23" t="str">
        <x:v>RENTAL</x:v>
      </x:c>
      <x:c r="K391" s="23" t="str">
        <x:v>rental_company</x:v>
      </x:c>
      <x:c r="L391" s="24" t="b">
        <x:v>1</x:v>
      </x:c>
      <x:c r="M391" s="23" t="n">
        <x:v>1</x:v>
      </x:c>
      <x:c r="N391" s="28" t="n">
        <x:v>46219.812988715275</x:v>
      </x:c>
      <x:c r="O391" s="28" t="n">
        <x:v>46219.812988715275</x:v>
      </x:c>
      <x:c r="P391" s="23" t="str">
        <x:v>NOVA LIMA</x:v>
      </x:c>
      <x:c r="Q391" s="30" t="n">
        <x:v>38038</x:v>
      </x:c>
      <x:c r="R391" s="22" t="str">
        <x:f>"22016141"</x:f>
        <x:v>22016141</x:v>
      </x:c>
      <x:c r="S391" s="23" t="str">
        <x:v>masculino</x:v>
      </x:c>
      <x:c r="T391" s="22" t="str"/>
      <x:c r="U391" s="23" t="str">
        <x:v>BERNARDO AUGUSTO MEDEIROS SOARES</x:v>
      </x:c>
      <x:c r="V391" s="22" t="str">
        <x:f>"153.611.666-18"</x:f>
        <x:v>153.611.666-18</x:v>
      </x:c>
      <x:c r="W391" s="22" t="str">
        <x:f>"15361166618"</x:f>
        <x:v>15361166618</x:v>
      </x:c>
      <x:c r="X391" s="23" t="str">
        <x:v>Bernardsoares352@gmail.com</x:v>
      </x:c>
      <x:c r="Y391" s="22" t="str">
        <x:f>"319869 31350"</x:f>
        <x:v>319869 31350</x:v>
      </x:c>
      <x:c r="Z391" s="30" t="n">
        <x:v>46549</x:v>
      </x:c>
    </x:row>
    <x:row r="392" ht="18" customHeight="1">
      <x:c r="A392" s="22" t="str">
        <x:f>"8615dd20-1d5c-48a1-a19a-544e22eac944"</x:f>
        <x:v>8615dd20-1d5c-48a1-a19a-544e22eac944</x:v>
      </x:c>
      <x:c r="B392" s="23" t="str">
        <x:v>BERTA LUCIA GALINDO ROSA</x:v>
      </x:c>
      <x:c r="C392" s="23" t="str">
        <x:v>berta lucia galindo rosa</x:v>
      </x:c>
      <x:c r="D392" s="22" t="str">
        <x:f>"28.207.831/0001-58"</x:f>
        <x:v>28.207.831/0001-58</x:v>
      </x:c>
      <x:c r="E392" s="22" t="str">
        <x:f>"28207831000158"</x:f>
        <x:v>28207831000158</x:v>
      </x:c>
      <x:c r="F392" s="22" t="str">
        <x:f>"223.849.618-10"</x:f>
        <x:v>223.849.618-10</x:v>
      </x:c>
      <x:c r="G392" s="22" t="str">
        <x:f>"22384961810"</x:f>
        <x:v>22384961810</x:v>
      </x:c>
      <x:c r="H392" s="23" t="str">
        <x:v>bertagalindo@hotmail.com</x:v>
      </x:c>
      <x:c r="I392" s="22" t="str">
        <x:f>"18997119220"</x:f>
        <x:v>18997119220</x:v>
      </x:c>
      <x:c r="J392" s="23" t="str">
        <x:v>RENTAL</x:v>
      </x:c>
      <x:c r="K392" s="23" t="str">
        <x:v>rental_company</x:v>
      </x:c>
      <x:c r="L392" s="24" t="b">
        <x:v>1</x:v>
      </x:c>
      <x:c r="M392" s="23" t="n">
        <x:v>1</x:v>
      </x:c>
      <x:c r="N392" s="28" t="n">
        <x:v>46219.812988715275</x:v>
      </x:c>
      <x:c r="O392" s="28" t="n">
        <x:v>46219.812988715275</x:v>
      </x:c>
      <x:c r="P392" s="23" t="str">
        <x:v>PRESIDENTE PRUDENTE</x:v>
      </x:c>
      <x:c r="Q392" s="30" t="n">
        <x:v>27292</x:v>
      </x:c>
      <x:c r="R392" s="22" t="str">
        <x:f>"233923640"</x:f>
        <x:v>233923640</x:v>
      </x:c>
      <x:c r="S392" s="23" t="str">
        <x:v>feminino</x:v>
      </x:c>
      <x:c r="T392" s="22" t="str"/>
      <x:c r="U392" s="23" t="str">
        <x:v>BERTA LUCIA GALINDO ROSA</x:v>
      </x:c>
      <x:c r="V392" s="22" t="str">
        <x:f>"223.849.618-10"</x:f>
        <x:v>223.849.618-10</x:v>
      </x:c>
      <x:c r="W392" s="22" t="str">
        <x:f>"22384961810"</x:f>
        <x:v>22384961810</x:v>
      </x:c>
      <x:c r="X392" s="23" t="str">
        <x:v>bertagalindo@hotmail.com</x:v>
      </x:c>
      <x:c r="Y392" s="22" t="str">
        <x:f>"18997119220"</x:f>
        <x:v>18997119220</x:v>
      </x:c>
      <x:c r="Z392" s="30" t="n">
        <x:v>46452</x:v>
      </x:c>
    </x:row>
    <x:row r="393" ht="18" customHeight="1">
      <x:c r="A393" s="22" t="str">
        <x:f>"c75627ae-8636-4204-88bd-b7719e5e31f0"</x:f>
        <x:v>c75627ae-8636-4204-88bd-b7719e5e31f0</x:v>
      </x:c>
      <x:c r="B393" s="23" t="str">
        <x:v>Betoel Sebra Baia</x:v>
      </x:c>
      <x:c r="C393" s="23" t="str">
        <x:v>betoel sebra baia</x:v>
      </x:c>
      <x:c r="D393" s="22" t="str">
        <x:f>"58.056.827/0001-05"</x:f>
        <x:v>58.056.827/0001-05</x:v>
      </x:c>
      <x:c r="E393" s="22" t="str">
        <x:f>"58056827000105"</x:f>
        <x:v>58056827000105</x:v>
      </x:c>
      <x:c r="F393" s="22" t="str">
        <x:f>"00107369214"</x:f>
        <x:v>00107369214</x:v>
      </x:c>
      <x:c r="G393" s="22" t="str">
        <x:f>"00107369214"</x:f>
        <x:v>00107369214</x:v>
      </x:c>
      <x:c r="H393" s="23" t="str">
        <x:v>betobaiassc@gmail.com</x:v>
      </x:c>
      <x:c r="I393" s="22" t="str">
        <x:f>"66 984425166"</x:f>
        <x:v>66 984425166</x:v>
      </x:c>
      <x:c r="J393" s="23" t="str">
        <x:v>SPOT</x:v>
      </x:c>
      <x:c r="K393" s="23" t="str">
        <x:v>favored_only</x:v>
      </x:c>
      <x:c r="L393" s="24" t="b">
        <x:v>1</x:v>
      </x:c>
      <x:c r="M393" s="23" t="n">
        <x:v>1</x:v>
      </x:c>
      <x:c r="N393" s="28" t="n">
        <x:v>46203.921887453704</x:v>
      </x:c>
      <x:c r="O393" s="28" t="n">
        <x:v>46203.921887453704</x:v>
      </x:c>
      <x:c r="P393" s="23" t="str"/>
      <x:c r="Q393" s="30" t="str"/>
      <x:c r="R393" s="22" t="str"/>
      <x:c r="S393" s="23" t="str"/>
      <x:c r="T393" s="22" t="str"/>
      <x:c r="U393" s="23" t="str">
        <x:v>Betoel Sebra Baia</x:v>
      </x:c>
      <x:c r="V393" s="22" t="str">
        <x:f>"00107369214"</x:f>
        <x:v>00107369214</x:v>
      </x:c>
      <x:c r="W393" s="22" t="str">
        <x:f>"00107369214"</x:f>
        <x:v>00107369214</x:v>
      </x:c>
      <x:c r="X393" s="23" t="str">
        <x:v>betobaiassc@gmail.com</x:v>
      </x:c>
      <x:c r="Y393" s="22" t="str">
        <x:f>"66 984425166"</x:f>
        <x:v>66 984425166</x:v>
      </x:c>
      <x:c r="Z393" s="30" t="str"/>
    </x:row>
    <x:row r="394" ht="18" customHeight="1">
      <x:c r="A394" s="22" t="str">
        <x:f>"1b1623b7-acec-4d62-b0db-3a27da9a82ce"</x:f>
        <x:v>1b1623b7-acec-4d62-b0db-3a27da9a82ce</x:v>
      </x:c>
      <x:c r="B394" s="23" t="str">
        <x:v>BIANCA CRISTINA BASTOS VIEIRA</x:v>
      </x:c>
      <x:c r="C394" s="23" t="str">
        <x:v>bianca cristina bastos vieira</x:v>
      </x:c>
      <x:c r="D394" s="22" t="str">
        <x:f>"59.531.851/0001-03"</x:f>
        <x:v>59.531.851/0001-03</x:v>
      </x:c>
      <x:c r="E394" s="22" t="str">
        <x:f>"59531851000103"</x:f>
        <x:v>59531851000103</x:v>
      </x:c>
      <x:c r="F394" s="22" t="str">
        <x:f>"149.173.627-50"</x:f>
        <x:v>149.173.627-50</x:v>
      </x:c>
      <x:c r="G394" s="22" t="str">
        <x:f>"14917362750"</x:f>
        <x:v>14917362750</x:v>
      </x:c>
      <x:c r="H394" s="23" t="str">
        <x:v>biancabastoos123@gmail.com</x:v>
      </x:c>
      <x:c r="I394" s="22" t="str">
        <x:f>"2197594-9741"</x:f>
        <x:v>2197594-9741</x:v>
      </x:c>
      <x:c r="J394" s="23" t="str">
        <x:v>SPOT</x:v>
      </x:c>
      <x:c r="K394" s="23" t="str">
        <x:v>favored_only</x:v>
      </x:c>
      <x:c r="L394" s="24" t="b">
        <x:v>1</x:v>
      </x:c>
      <x:c r="M394" s="23" t="n">
        <x:v>1</x:v>
      </x:c>
      <x:c r="N394" s="28" t="n">
        <x:v>46219.812988715275</x:v>
      </x:c>
      <x:c r="O394" s="28" t="n">
        <x:v>46219.812988715275</x:v>
      </x:c>
      <x:c r="P394" s="23" t="str">
        <x:v>CAMPO GRANDE</x:v>
      </x:c>
      <x:c r="Q394" s="30" t="n">
        <x:v>33592</x:v>
      </x:c>
      <x:c r="R394" s="22" t="str">
        <x:f>"281940999"</x:f>
        <x:v>281940999</x:v>
      </x:c>
      <x:c r="S394" s="23" t="str">
        <x:v>feminino</x:v>
      </x:c>
      <x:c r="T394" s="22" t="str">
        <x:f>"QWT4E18"</x:f>
        <x:v>QWT4E18</x:v>
      </x:c>
      <x:c r="U394" s="23" t="str">
        <x:v>VANESSA PEREIRA DA ROCHA</x:v>
      </x:c>
      <x:c r="V394" s="22" t="str">
        <x:f>"115.785.957-70"</x:f>
        <x:v>115.785.957-70</x:v>
      </x:c>
      <x:c r="W394" s="22" t="str">
        <x:f>"11578595770"</x:f>
        <x:v>11578595770</x:v>
      </x:c>
      <x:c r="X394" s="23" t="str">
        <x:v>vanessarocha.pd@gmail.com</x:v>
      </x:c>
      <x:c r="Y394" s="22" t="str">
        <x:f>"2196585-8900"</x:f>
        <x:v>2196585-8900</x:v>
      </x:c>
      <x:c r="Z394" s="30" t="n">
        <x:v>46574</x:v>
      </x:c>
    </x:row>
    <x:row r="395" ht="18" customHeight="1">
      <x:c r="A395" s="22" t="str">
        <x:f>"940e2cff-d1a2-44ad-8fd4-5cfdd080f933"</x:f>
        <x:v>940e2cff-d1a2-44ad-8fd4-5cfdd080f933</x:v>
      </x:c>
      <x:c r="B395" s="23" t="str">
        <x:v>BIANCA SILVA BARBOSA DOS SANTOS</x:v>
      </x:c>
      <x:c r="C395" s="23" t="str">
        <x:v>bianca silva barbosa dos santos</x:v>
      </x:c>
      <x:c r="D395" s="22" t="str">
        <x:f>"50.912.166/0001-52"</x:f>
        <x:v>50.912.166/0001-52</x:v>
      </x:c>
      <x:c r="E395" s="22" t="str">
        <x:f>"50912166000152"</x:f>
        <x:v>50912166000152</x:v>
      </x:c>
      <x:c r="F395" s="22" t="str">
        <x:f>"134.976.537-64"</x:f>
        <x:v>134.976.537-64</x:v>
      </x:c>
      <x:c r="G395" s="22" t="str">
        <x:f>"13497653764"</x:f>
        <x:v>13497653764</x:v>
      </x:c>
      <x:c r="H395" s="23" t="str">
        <x:v>biancasbs2005@yahoo.com.br</x:v>
      </x:c>
      <x:c r="I395" s="22" t="str">
        <x:f>"21969955781"</x:f>
        <x:v>21969955781</x:v>
      </x:c>
      <x:c r="J395" s="23" t="str">
        <x:v>SPOT</x:v>
      </x:c>
      <x:c r="K395" s="23" t="str">
        <x:v>favored_only</x:v>
      </x:c>
      <x:c r="L395" s="24" t="b">
        <x:v>1</x:v>
      </x:c>
      <x:c r="M395" s="23" t="n">
        <x:v>2</x:v>
      </x:c>
      <x:c r="N395" s="28" t="n">
        <x:v>46219.812988715275</x:v>
      </x:c>
      <x:c r="O395" s="28" t="n">
        <x:v>46219.812988715275</x:v>
      </x:c>
      <x:c r="P395" s="23" t="str">
        <x:v>CORDOVIL</x:v>
      </x:c>
      <x:c r="Q395" s="30" t="n">
        <x:v>33361</x:v>
      </x:c>
      <x:c r="R395" s="22" t="str">
        <x:f>"264027020"</x:f>
        <x:v>264027020</x:v>
      </x:c>
      <x:c r="S395" s="23" t="str">
        <x:v>feminino</x:v>
      </x:c>
      <x:c r="T395" s="22" t="str">
        <x:f>"LNH6C36"</x:f>
        <x:v>LNH6C36</x:v>
      </x:c>
      <x:c r="U395" s="23" t="str">
        <x:v>BIANCA SILVA BARBOSA DOS SANTOS</x:v>
      </x:c>
      <x:c r="V395" s="22" t="str">
        <x:f>"134.976.537-64"</x:f>
        <x:v>134.976.537-64</x:v>
      </x:c>
      <x:c r="W395" s="22" t="str">
        <x:f>"13497653764"</x:f>
        <x:v>13497653764</x:v>
      </x:c>
      <x:c r="X395" s="23" t="str">
        <x:v>biancasbs2005@yahoo.com.br</x:v>
      </x:c>
      <x:c r="Y395" s="22" t="str">
        <x:f>"21969955781"</x:f>
        <x:v>21969955781</x:v>
      </x:c>
      <x:c r="Z395" s="30" t="n">
        <x:v>46532</x:v>
      </x:c>
    </x:row>
    <x:row r="396" ht="18" customHeight="1">
      <x:c r="A396" s="22" t="str">
        <x:f>"1d25e1ef-8d17-469f-a3e6-c73a41766c7d"</x:f>
        <x:v>1d25e1ef-8d17-469f-a3e6-c73a41766c7d</x:v>
      </x:c>
      <x:c r="B396" s="23" t="str">
        <x:v>BIANNI SALVI</x:v>
      </x:c>
      <x:c r="C396" s="23" t="str">
        <x:v>bianni salvi</x:v>
      </x:c>
      <x:c r="D396" s="22" t="str">
        <x:f>"49.111.978/0001-10"</x:f>
        <x:v>49.111.978/0001-10</x:v>
      </x:c>
      <x:c r="E396" s="22" t="str">
        <x:f>"49111978000110"</x:f>
        <x:v>49111978000110</x:v>
      </x:c>
      <x:c r="F396" s="22" t="str">
        <x:f>"223.175.668-40"</x:f>
        <x:v>223.175.668-40</x:v>
      </x:c>
      <x:c r="G396" s="22" t="str">
        <x:f>"22317566840"</x:f>
        <x:v>22317566840</x:v>
      </x:c>
      <x:c r="H396" s="23" t="str">
        <x:v>biannisalvi@yahoo.com</x:v>
      </x:c>
      <x:c r="I396" s="22" t="str">
        <x:f>"65996835020"</x:f>
        <x:v>65996835020</x:v>
      </x:c>
      <x:c r="J396" s="23" t="str">
        <x:v>DESCONHECIDO</x:v>
      </x:c>
      <x:c r="K396" s="23" t="str">
        <x:v>favored_only</x:v>
      </x:c>
      <x:c r="L396" s="24" t="b">
        <x:v>1</x:v>
      </x:c>
      <x:c r="M396" s="23" t="n">
        <x:v>1</x:v>
      </x:c>
      <x:c r="N396" s="28" t="n">
        <x:v>46205.60193837963</x:v>
      </x:c>
      <x:c r="O396" s="28" t="n">
        <x:v>46219.812988715275</x:v>
      </x:c>
      <x:c r="P396" s="23" t="str">
        <x:v>PONTES E LACERDA</x:v>
      </x:c>
      <x:c r="Q396" s="30" t="str"/>
      <x:c r="R396" s="22" t="str">
        <x:f>"4490671184"</x:f>
        <x:v>4490671184</x:v>
      </x:c>
      <x:c r="S396" s="23" t="str">
        <x:v>masculino</x:v>
      </x:c>
      <x:c r="T396" s="22" t="str">
        <x:f>"RRZ3A23"</x:f>
        <x:v>RRZ3A23</x:v>
      </x:c>
      <x:c r="U396" s="23" t="str">
        <x:v>WAGNER DE OLIVEIRA SURUBI</x:v>
      </x:c>
      <x:c r="V396" s="22" t="str">
        <x:f>"039.985.191-73"</x:f>
        <x:v>039.985.191-73</x:v>
      </x:c>
      <x:c r="W396" s="22" t="str">
        <x:f>"03998519173"</x:f>
        <x:v>03998519173</x:v>
      </x:c>
      <x:c r="X396" s="23" t="str"/>
      <x:c r="Y396" s="22" t="str">
        <x:f>"65981112018"</x:f>
        <x:v>65981112018</x:v>
      </x:c>
      <x:c r="Z396" s="30" t="n">
        <x:v>46213</x:v>
      </x:c>
    </x:row>
    <x:row r="397" ht="18" customHeight="1">
      <x:c r="A397" s="22" t="str">
        <x:f>"5ce036e3-c61f-4b4a-9f78-69f208e1a0a2"</x:f>
        <x:v>5ce036e3-c61f-4b4a-9f78-69f208e1a0a2</x:v>
      </x:c>
      <x:c r="B397" s="23" t="str">
        <x:v>BIANNI SALVI</x:v>
      </x:c>
      <x:c r="C397" s="23" t="str">
        <x:v>bianni salvi</x:v>
      </x:c>
      <x:c r="D397" s="22" t="str">
        <x:f>"61.519.593/0001-91"</x:f>
        <x:v>61.519.593/0001-91</x:v>
      </x:c>
      <x:c r="E397" s="22" t="str">
        <x:f>"61519593000191"</x:f>
        <x:v>61519593000191</x:v>
      </x:c>
      <x:c r="F397" s="22" t="str">
        <x:f>"223.175.668-40"</x:f>
        <x:v>223.175.668-40</x:v>
      </x:c>
      <x:c r="G397" s="22" t="str">
        <x:f>"22317566840"</x:f>
        <x:v>22317566840</x:v>
      </x:c>
      <x:c r="H397" s="23" t="str">
        <x:v>biannisalvi@yahoo.com</x:v>
      </x:c>
      <x:c r="I397" s="22" t="str">
        <x:f>"+55 65 9683-5020"</x:f>
        <x:v>+55 65 9683-5020</x:v>
      </x:c>
      <x:c r="J397" s="23" t="str">
        <x:v>SPOT</x:v>
      </x:c>
      <x:c r="K397" s="23" t="str">
        <x:v>favored_only</x:v>
      </x:c>
      <x:c r="L397" s="24" t="b">
        <x:v>1</x:v>
      </x:c>
      <x:c r="M397" s="23" t="n">
        <x:v>1</x:v>
      </x:c>
      <x:c r="N397" s="28" t="n">
        <x:v>46203.921840393516</x:v>
      </x:c>
      <x:c r="O397" s="28" t="n">
        <x:v>46219.812988715275</x:v>
      </x:c>
      <x:c r="P397" s="23" t="str">
        <x:v>PONTES E LACERDA</x:v>
      </x:c>
      <x:c r="Q397" s="30" t="n">
        <x:v>29460</x:v>
      </x:c>
      <x:c r="R397" s="22" t="str">
        <x:f>"4490671184"</x:f>
        <x:v>4490671184</x:v>
      </x:c>
      <x:c r="S397" s="23" t="str">
        <x:v>masculino</x:v>
      </x:c>
      <x:c r="T397" s="22" t="str">
        <x:f>"GHM4F47"</x:f>
        <x:v>GHM4F47</x:v>
      </x:c>
      <x:c r="U397" s="23" t="str">
        <x:v>BIANNI SALVI</x:v>
      </x:c>
      <x:c r="V397" s="22" t="str">
        <x:f>"223.175.668-40"</x:f>
        <x:v>223.175.668-40</x:v>
      </x:c>
      <x:c r="W397" s="22" t="str">
        <x:f>"22317566840"</x:f>
        <x:v>22317566840</x:v>
      </x:c>
      <x:c r="X397" s="23" t="str">
        <x:v>biannisalvi@yahoo.com</x:v>
      </x:c>
      <x:c r="Y397" s="22" t="str">
        <x:f>"+55 65 9683-5020"</x:f>
        <x:v>+55 65 9683-5020</x:v>
      </x:c>
      <x:c r="Z397" s="30" t="n">
        <x:v>46213</x:v>
      </x:c>
    </x:row>
    <x:row r="398" ht="18" customHeight="1">
      <x:c r="A398" s="22" t="str">
        <x:f>"e8d24e0e-38d4-4bc5-8536-f11efa35dd63"</x:f>
        <x:v>e8d24e0e-38d4-4bc5-8536-f11efa35dd63</x:v>
      </x:c>
      <x:c r="B398" s="23" t="str">
        <x:v>BLENDA DE SOUZA FARIAS</x:v>
      </x:c>
      <x:c r="C398" s="23" t="str">
        <x:v>blenda de souza farias</x:v>
      </x:c>
      <x:c r="D398" s="22" t="str">
        <x:f>"60.330.825/0001-04"</x:f>
        <x:v>60.330.825/0001-04</x:v>
      </x:c>
      <x:c r="E398" s="22" t="str">
        <x:f>"60330825000104"</x:f>
        <x:v>60330825000104</x:v>
      </x:c>
      <x:c r="F398" s="22" t="str">
        <x:f>"133.793.467-48"</x:f>
        <x:v>133.793.467-48</x:v>
      </x:c>
      <x:c r="G398" s="22" t="str">
        <x:f>"13379346748"</x:f>
        <x:v>13379346748</x:v>
      </x:c>
      <x:c r="H398" s="23" t="str">
        <x:v>blendafarias01@gmail.com</x:v>
      </x:c>
      <x:c r="I398" s="22" t="str">
        <x:f>"21 96992-2910"</x:f>
        <x:v>21 96992-2910</x:v>
      </x:c>
      <x:c r="J398" s="23" t="str">
        <x:v>SPOT</x:v>
      </x:c>
      <x:c r="K398" s="23" t="str">
        <x:v>favored_only</x:v>
      </x:c>
      <x:c r="L398" s="24" t="b">
        <x:v>1</x:v>
      </x:c>
      <x:c r="M398" s="23" t="n">
        <x:v>1</x:v>
      </x:c>
      <x:c r="N398" s="28" t="n">
        <x:v>46219.812988715275</x:v>
      </x:c>
      <x:c r="O398" s="28" t="n">
        <x:v>46219.812988715275</x:v>
      </x:c>
      <x:c r="P398" s="23" t="str">
        <x:v>QUEIMADOS</x:v>
      </x:c>
      <x:c r="Q398" s="30" t="n">
        <x:v>36565</x:v>
      </x:c>
      <x:c r="R398" s="22" t="str">
        <x:f>"1637550"</x:f>
        <x:v>1637550</x:v>
      </x:c>
      <x:c r="S398" s="23" t="str">
        <x:v>feminino</x:v>
      </x:c>
      <x:c r="T398" s="22" t="str">
        <x:f>"FNZ4I27"</x:f>
        <x:v>FNZ4I27</x:v>
      </x:c>
      <x:c r="U398" s="23" t="str">
        <x:v>BLENDA DE SOUZA FARIAS</x:v>
      </x:c>
      <x:c r="V398" s="22" t="str">
        <x:f>"133.793.467-48"</x:f>
        <x:v>133.793.467-48</x:v>
      </x:c>
      <x:c r="W398" s="22" t="str">
        <x:f>"13379346748"</x:f>
        <x:v>13379346748</x:v>
      </x:c>
      <x:c r="X398" s="23" t="str">
        <x:v>blendafarias01@gmail.com</x:v>
      </x:c>
      <x:c r="Y398" s="22" t="str">
        <x:f>"21 96992-2910"</x:f>
        <x:v>21 96992-2910</x:v>
      </x:c>
      <x:c r="Z398" s="30" t="n">
        <x:v>46516</x:v>
      </x:c>
    </x:row>
    <x:row r="399" ht="18" customHeight="1">
      <x:c r="A399" s="22" t="str">
        <x:f>"e470d4b3-f63e-4fe0-97c1-0eb58d82043e"</x:f>
        <x:v>e470d4b3-f63e-4fe0-97c1-0eb58d82043e</x:v>
      </x:c>
      <x:c r="B399" s="23" t="str">
        <x:v>BOLIVAR JUNIOR NETO</x:v>
      </x:c>
      <x:c r="C399" s="23" t="str">
        <x:v>bolivar junior neto</x:v>
      </x:c>
      <x:c r="D399" s="22" t="str">
        <x:f>"42.977.353/0001-96"</x:f>
        <x:v>42.977.353/0001-96</x:v>
      </x:c>
      <x:c r="E399" s="22" t="str">
        <x:f>"42977353000196"</x:f>
        <x:v>42977353000196</x:v>
      </x:c>
      <x:c r="F399" s="22" t="str">
        <x:f>"128.031.826-02"</x:f>
        <x:v>128.031.826-02</x:v>
      </x:c>
      <x:c r="G399" s="22" t="str">
        <x:f>"12803182602"</x:f>
        <x:v>12803182602</x:v>
      </x:c>
      <x:c r="H399" s="23" t="str">
        <x:v>bolivartecmaterlandia@gmail.com</x:v>
      </x:c>
      <x:c r="I399" s="22" t="str">
        <x:f>"(33)999723151"</x:f>
        <x:v>(33)999723151</x:v>
      </x:c>
      <x:c r="J399" s="23" t="str">
        <x:v>SPOT</x:v>
      </x:c>
      <x:c r="K399" s="23" t="str">
        <x:v>favored_only</x:v>
      </x:c>
      <x:c r="L399" s="24" t="b">
        <x:v>1</x:v>
      </x:c>
      <x:c r="M399" s="23" t="n">
        <x:v>1</x:v>
      </x:c>
      <x:c r="N399" s="28" t="n">
        <x:v>46203.921824756944</x:v>
      </x:c>
      <x:c r="O399" s="28" t="n">
        <x:v>46219.812988715275</x:v>
      </x:c>
      <x:c r="P399" s="23" t="str">
        <x:v>GUANHAES</x:v>
      </x:c>
      <x:c r="Q399" s="30" t="n">
        <x:v>34751</x:v>
      </x:c>
      <x:c r="R399" s="22" t="str">
        <x:f>"MG19650700"</x:f>
        <x:v>MG19650700</x:v>
      </x:c>
      <x:c r="S399" s="23" t="str">
        <x:v>masculino</x:v>
      </x:c>
      <x:c r="T399" s="22" t="str">
        <x:f>"IVW6E37"</x:f>
        <x:v>IVW6E37</x:v>
      </x:c>
      <x:c r="U399" s="23" t="str">
        <x:v>BOLIVAR JUNIOR NETO</x:v>
      </x:c>
      <x:c r="V399" s="22" t="str">
        <x:f>"128.031.826-02"</x:f>
        <x:v>128.031.826-02</x:v>
      </x:c>
      <x:c r="W399" s="22" t="str">
        <x:f>"12803182602"</x:f>
        <x:v>12803182602</x:v>
      </x:c>
      <x:c r="X399" s="23" t="str">
        <x:v>bolivartecmaterlandia@gmail.com</x:v>
      </x:c>
      <x:c r="Y399" s="22" t="str">
        <x:f>"(33)999723151"</x:f>
        <x:v>(33)999723151</x:v>
      </x:c>
      <x:c r="Z399" s="30" t="n">
        <x:v>46520</x:v>
      </x:c>
    </x:row>
    <x:row r="400" ht="18" customHeight="1">
      <x:c r="A400" s="22" t="str">
        <x:f>"0d512123-4d4d-4945-8a4a-7a731dd46505"</x:f>
        <x:v>0d512123-4d4d-4945-8a4a-7a731dd46505</x:v>
      </x:c>
      <x:c r="B400" s="23" t="str">
        <x:v>BONY MARCELO GREGORIO DE OLIVEIRA</x:v>
      </x:c>
      <x:c r="C400" s="23" t="str">
        <x:v>bony marcelo gregorio de oliveira</x:v>
      </x:c>
      <x:c r="D400" s="22" t="str">
        <x:f>"43.621.104/0001-26"</x:f>
        <x:v>43.621.104/0001-26</x:v>
      </x:c>
      <x:c r="E400" s="22" t="str">
        <x:f>"43621104000126"</x:f>
        <x:v>43621104000126</x:v>
      </x:c>
      <x:c r="F400" s="22" t="str">
        <x:f>"042.195.186-90"</x:f>
        <x:v>042.195.186-90</x:v>
      </x:c>
      <x:c r="G400" s="22" t="str">
        <x:f>"04219518690"</x:f>
        <x:v>04219518690</x:v>
      </x:c>
      <x:c r="H400" s="23" t="str">
        <x:v>bonygergorio@hotmail.com</x:v>
      </x:c>
      <x:c r="I400" s="22" t="str">
        <x:f>"31996202671"</x:f>
        <x:v>31996202671</x:v>
      </x:c>
      <x:c r="J400" s="23" t="str">
        <x:v>SPOT</x:v>
      </x:c>
      <x:c r="K400" s="23" t="str">
        <x:v>favored_only</x:v>
      </x:c>
      <x:c r="L400" s="24" t="b">
        <x:v>1</x:v>
      </x:c>
      <x:c r="M400" s="23" t="n">
        <x:v>1</x:v>
      </x:c>
      <x:c r="N400" s="28" t="n">
        <x:v>46205.60660211805</x:v>
      </x:c>
      <x:c r="O400" s="28" t="n">
        <x:v>46219.812988715275</x:v>
      </x:c>
      <x:c r="P400" s="23" t="str">
        <x:v>CONTAGEM</x:v>
      </x:c>
      <x:c r="Q400" s="30" t="n">
        <x:v>29253</x:v>
      </x:c>
      <x:c r="R400" s="22" t="str">
        <x:f>"MG11264401"</x:f>
        <x:v>MG11264401</x:v>
      </x:c>
      <x:c r="S400" s="23" t="str">
        <x:v>masculino</x:v>
      </x:c>
      <x:c r="T400" s="22" t="str">
        <x:f>"HJC5536"</x:f>
        <x:v>HJC5536</x:v>
      </x:c>
      <x:c r="U400" s="23" t="str">
        <x:v>MATHEUS AGUIAR PILER</x:v>
      </x:c>
      <x:c r="V400" s="22" t="str">
        <x:f>"126.633.896-92"</x:f>
        <x:v>126.633.896-92</x:v>
      </x:c>
      <x:c r="W400" s="22" t="str">
        <x:f>"12663389692"</x:f>
        <x:v>12663389692</x:v>
      </x:c>
      <x:c r="X400" s="23" t="str">
        <x:v>matheus_aguiar01@hotmail.com</x:v>
      </x:c>
      <x:c r="Y400" s="22" t="str">
        <x:f>"31"</x:f>
        <x:v>31</x:v>
      </x:c>
      <x:c r="Z400" s="30" t="n">
        <x:v>46366</x:v>
      </x:c>
    </x:row>
    <x:row r="401" ht="18" customHeight="1">
      <x:c r="A401" s="22" t="str">
        <x:f>"26123947-c7a5-49dd-a5d5-07fc944808df"</x:f>
        <x:v>26123947-c7a5-49dd-a5d5-07fc944808df</x:v>
      </x:c>
      <x:c r="B401" s="23" t="str">
        <x:v>BRENDO CARLOS MARTINS</x:v>
      </x:c>
      <x:c r="C401" s="23" t="str">
        <x:v>brendo carlos martins</x:v>
      </x:c>
      <x:c r="D401" s="22" t="str">
        <x:f>"42.677.173/0001-99"</x:f>
        <x:v>42.677.173/0001-99</x:v>
      </x:c>
      <x:c r="E401" s="22" t="str">
        <x:f>"42677173000199"</x:f>
        <x:v>42677173000199</x:v>
      </x:c>
      <x:c r="F401" s="22" t="str">
        <x:f>"080.239.901-01"</x:f>
        <x:v>080.239.901-01</x:v>
      </x:c>
      <x:c r="G401" s="22" t="str">
        <x:f>"08023990101"</x:f>
        <x:v>08023990101</x:v>
      </x:c>
      <x:c r="H401" s="23" t="str">
        <x:v>brendocarlos64@gmail.com</x:v>
      </x:c>
      <x:c r="I401" s="22" t="str">
        <x:f>"67 9811-1042"</x:f>
        <x:v>67 9811-1042</x:v>
      </x:c>
      <x:c r="J401" s="23" t="str">
        <x:v>SPOT</x:v>
      </x:c>
      <x:c r="K401" s="23" t="str">
        <x:v>favored_only</x:v>
      </x:c>
      <x:c r="L401" s="24" t="b">
        <x:v>1</x:v>
      </x:c>
      <x:c r="M401" s="23" t="n">
        <x:v>2</x:v>
      </x:c>
      <x:c r="N401" s="28" t="n">
        <x:v>46205.604161724536</x:v>
      </x:c>
      <x:c r="O401" s="28" t="n">
        <x:v>46219.812988715275</x:v>
      </x:c>
      <x:c r="P401" s="23" t="str">
        <x:v>CHAPADÃO DO SUL</x:v>
      </x:c>
      <x:c r="Q401" s="30" t="n">
        <x:v>37257</x:v>
      </x:c>
      <x:c r="R401" s="22" t="str">
        <x:f>"2502358"</x:f>
        <x:v>2502358</x:v>
      </x:c>
      <x:c r="S401" s="23" t="str">
        <x:v>masculino</x:v>
      </x:c>
      <x:c r="T401" s="22" t="str">
        <x:f>"ftv2720"</x:f>
        <x:v>ftv2720</x:v>
      </x:c>
      <x:c r="U401" s="23" t="str">
        <x:v>NIXON BRENER MARTINS DA SILVA</x:v>
      </x:c>
      <x:c r="V401" s="22" t="str">
        <x:f>"848.937.291-87"</x:f>
        <x:v>848.937.291-87</x:v>
      </x:c>
      <x:c r="W401" s="22" t="str">
        <x:f>"84893729187"</x:f>
        <x:v>84893729187</x:v>
      </x:c>
      <x:c r="X401" s="23" t="str">
        <x:v>bcmfinancias@gmail.com</x:v>
      </x:c>
      <x:c r="Y401" s="22" t="str">
        <x:f>"67 9811-1042"</x:f>
        <x:v>67 9811-1042</x:v>
      </x:c>
      <x:c r="Z401" s="30" t="n">
        <x:v>46305</x:v>
      </x:c>
    </x:row>
    <x:row r="402" ht="18" customHeight="1">
      <x:c r="A402" s="22" t="str">
        <x:f>"dff53ce9-8a09-42f6-80e7-d28afab9f480"</x:f>
        <x:v>dff53ce9-8a09-42f6-80e7-d28afab9f480</x:v>
      </x:c>
      <x:c r="B402" s="23" t="str">
        <x:v>BRENDO CARLOS MARTINS</x:v>
      </x:c>
      <x:c r="C402" s="23" t="str">
        <x:v>brendo carlos martins</x:v>
      </x:c>
      <x:c r="D402" s="22" t="str">
        <x:f>"66.589.653/0001-66"</x:f>
        <x:v>66.589.653/0001-66</x:v>
      </x:c>
      <x:c r="E402" s="22" t="str">
        <x:f>"66589653000166"</x:f>
        <x:v>66589653000166</x:v>
      </x:c>
      <x:c r="F402" s="22" t="str">
        <x:f>"080.239.901-01"</x:f>
        <x:v>080.239.901-01</x:v>
      </x:c>
      <x:c r="G402" s="22" t="str">
        <x:f>"08023990101"</x:f>
        <x:v>08023990101</x:v>
      </x:c>
      <x:c r="H402" s="23" t="str">
        <x:v>brendocarlos64@gmail.com</x:v>
      </x:c>
      <x:c r="I402" s="22" t="str">
        <x:f>"6798111042"</x:f>
        <x:v>6798111042</x:v>
      </x:c>
      <x:c r="J402" s="23" t="str">
        <x:v>SPOT</x:v>
      </x:c>
      <x:c r="K402" s="23" t="str">
        <x:v>favored_only</x:v>
      </x:c>
      <x:c r="L402" s="24" t="b">
        <x:v>1</x:v>
      </x:c>
      <x:c r="M402" s="23" t="n">
        <x:v>1</x:v>
      </x:c>
      <x:c r="N402" s="28" t="n">
        <x:v>46219.812988715275</x:v>
      </x:c>
      <x:c r="O402" s="28" t="n">
        <x:v>46219.812988715275</x:v>
      </x:c>
      <x:c r="P402" s="23" t="str">
        <x:v>CHAPADÃO DO SUL</x:v>
      </x:c>
      <x:c r="Q402" s="30" t="n">
        <x:v>37256</x:v>
      </x:c>
      <x:c r="R402" s="22" t="str">
        <x:f>"2502358"</x:f>
        <x:v>2502358</x:v>
      </x:c>
      <x:c r="S402" s="23" t="str">
        <x:v>masculino</x:v>
      </x:c>
      <x:c r="T402" s="22" t="str">
        <x:f>"FTV2720"</x:f>
        <x:v>FTV2720</x:v>
      </x:c>
      <x:c r="U402" s="23" t="str">
        <x:v>BRENDO CARLOS MARTINS</x:v>
      </x:c>
      <x:c r="V402" s="22" t="str">
        <x:f>"080.239.901-01"</x:f>
        <x:v>080.239.901-01</x:v>
      </x:c>
      <x:c r="W402" s="22" t="str">
        <x:f>"08023990101"</x:f>
        <x:v>08023990101</x:v>
      </x:c>
      <x:c r="X402" s="23" t="str">
        <x:v>brendocarlos64@gmail.com</x:v>
      </x:c>
      <x:c r="Y402" s="22" t="str">
        <x:f>"6798111042"</x:f>
        <x:v>6798111042</x:v>
      </x:c>
      <x:c r="Z402" s="30" t="n">
        <x:v>46518</x:v>
      </x:c>
    </x:row>
    <x:row r="403" ht="18" customHeight="1">
      <x:c r="A403" s="22" t="str">
        <x:f>"155ea4c3-a2be-4c53-98b2-40f5bd88bea1"</x:f>
        <x:v>155ea4c3-a2be-4c53-98b2-40f5bd88bea1</x:v>
      </x:c>
      <x:c r="B403" s="23" t="str">
        <x:v>BRENDON HENRIQUE MAXIMIANO FERREIRA</x:v>
      </x:c>
      <x:c r="C403" s="23" t="str">
        <x:v>brendon henrique maximiano ferreira</x:v>
      </x:c>
      <x:c r="D403" s="22" t="str">
        <x:f>"62.284.539/0001-77"</x:f>
        <x:v>62.284.539/0001-77</x:v>
      </x:c>
      <x:c r="E403" s="22" t="str">
        <x:f>"62284539000177"</x:f>
        <x:v>62284539000177</x:v>
      </x:c>
      <x:c r="F403" s="22" t="str">
        <x:f>"021.877.976-35"</x:f>
        <x:v>021.877.976-35</x:v>
      </x:c>
      <x:c r="G403" s="22" t="str">
        <x:f>"02187797635"</x:f>
        <x:v>02187797635</x:v>
      </x:c>
      <x:c r="H403" s="23" t="str">
        <x:v>brendonhmf5@gmail.com</x:v>
      </x:c>
      <x:c r="I403" s="22" t="str">
        <x:f>"31996407756"</x:f>
        <x:v>31996407756</x:v>
      </x:c>
      <x:c r="J403" s="23" t="str">
        <x:v>SPOT</x:v>
      </x:c>
      <x:c r="K403" s="23" t="str">
        <x:v>favored_only</x:v>
      </x:c>
      <x:c r="L403" s="24" t="b">
        <x:v>1</x:v>
      </x:c>
      <x:c r="M403" s="23" t="n">
        <x:v>1</x:v>
      </x:c>
      <x:c r="N403" s="28" t="n">
        <x:v>46203.921858726855</x:v>
      </x:c>
      <x:c r="O403" s="28" t="n">
        <x:v>46219.812988715275</x:v>
      </x:c>
      <x:c r="P403" s="23" t="str">
        <x:v>CONTAGEM</x:v>
      </x:c>
      <x:c r="Q403" s="30" t="n">
        <x:v>37111</x:v>
      </x:c>
      <x:c r="R403" s="22" t="str">
        <x:f>"20496128"</x:f>
        <x:v>20496128</x:v>
      </x:c>
      <x:c r="S403" s="23" t="str">
        <x:v>masculino</x:v>
      </x:c>
      <x:c r="T403" s="22" t="str">
        <x:f>"RHK9F75"</x:f>
        <x:v>RHK9F75</x:v>
      </x:c>
      <x:c r="U403" s="23" t="str">
        <x:v>BRENDON HENRIQUE MAXIMIANO FERREIRA</x:v>
      </x:c>
      <x:c r="V403" s="22" t="str">
        <x:f>"021.877.976-35"</x:f>
        <x:v>021.877.976-35</x:v>
      </x:c>
      <x:c r="W403" s="22" t="str">
        <x:f>"02187797635"</x:f>
        <x:v>02187797635</x:v>
      </x:c>
      <x:c r="X403" s="23" t="str">
        <x:v>brendonhmf5@gmail.com</x:v>
      </x:c>
      <x:c r="Y403" s="22" t="str">
        <x:f>"31996407756"</x:f>
        <x:v>31996407756</x:v>
      </x:c>
      <x:c r="Z403" s="30" t="n">
        <x:v>46266</x:v>
      </x:c>
    </x:row>
    <x:row r="404" ht="18" customHeight="1">
      <x:c r="A404" s="22" t="str">
        <x:f>"9231d092-c81f-4560-9a91-702434f4b45c"</x:f>
        <x:v>9231d092-c81f-4560-9a91-702434f4b45c</x:v>
      </x:c>
      <x:c r="B404" s="23" t="str">
        <x:v>BRENDON JUNIO CABRAL FERREIRA ROCHA</x:v>
      </x:c>
      <x:c r="C404" s="23" t="str">
        <x:v>brendon junio cabral ferreira rocha</x:v>
      </x:c>
      <x:c r="D404" s="22" t="str">
        <x:f>"54.956.033/0001-39"</x:f>
        <x:v>54.956.033/0001-39</x:v>
      </x:c>
      <x:c r="E404" s="22" t="str">
        <x:f>"54956033000139"</x:f>
        <x:v>54956033000139</x:v>
      </x:c>
      <x:c r="F404" s="22" t="str">
        <x:f>"164.458.237-69"</x:f>
        <x:v>164.458.237-69</x:v>
      </x:c>
      <x:c r="G404" s="22" t="str">
        <x:f>"16445823769"</x:f>
        <x:v>16445823769</x:v>
      </x:c>
      <x:c r="H404" s="23" t="str">
        <x:v>brrocha1111@gmail.com</x:v>
      </x:c>
      <x:c r="I404" s="22" t="str">
        <x:f>"21981313077"</x:f>
        <x:v>21981313077</x:v>
      </x:c>
      <x:c r="J404" s="23" t="str">
        <x:v>SPOT</x:v>
      </x:c>
      <x:c r="K404" s="23" t="str">
        <x:v>favored_only</x:v>
      </x:c>
      <x:c r="L404" s="24" t="b">
        <x:v>1</x:v>
      </x:c>
      <x:c r="M404" s="23" t="n">
        <x:v>2</x:v>
      </x:c>
      <x:c r="N404" s="28" t="n">
        <x:v>46219.812988715275</x:v>
      </x:c>
      <x:c r="O404" s="28" t="n">
        <x:v>46219.812988715275</x:v>
      </x:c>
      <x:c r="P404" s="23" t="str">
        <x:v>CORDOVIL</x:v>
      </x:c>
      <x:c r="Q404" s="30" t="n">
        <x:v>35726</x:v>
      </x:c>
      <x:c r="R404" s="22" t="str">
        <x:f>"29.282.722-7"</x:f>
        <x:v>29.282.722-7</x:v>
      </x:c>
      <x:c r="S404" s="23" t="str">
        <x:v>masculino</x:v>
      </x:c>
      <x:c r="T404" s="22" t="str">
        <x:f>"LSN3121"</x:f>
        <x:v>LSN3121</x:v>
      </x:c>
      <x:c r="U404" s="23" t="str">
        <x:v>BRENDON JUNIO CABRAL FERREIRA ROCHA</x:v>
      </x:c>
      <x:c r="V404" s="22" t="str">
        <x:f>"164.458.237-69"</x:f>
        <x:v>164.458.237-69</x:v>
      </x:c>
      <x:c r="W404" s="22" t="str">
        <x:f>"16445823769"</x:f>
        <x:v>16445823769</x:v>
      </x:c>
      <x:c r="X404" s="23" t="str">
        <x:v>brrocha1111@gmail.com</x:v>
      </x:c>
      <x:c r="Y404" s="22" t="str">
        <x:f>"21981313077"</x:f>
        <x:v>21981313077</x:v>
      </x:c>
      <x:c r="Z404" s="30" t="n">
        <x:v>46547</x:v>
      </x:c>
    </x:row>
    <x:row r="405" ht="18" customHeight="1">
      <x:c r="A405" s="22" t="str">
        <x:f>"1e444d56-9569-4525-9026-2c1a9bace153"</x:f>
        <x:v>1e444d56-9569-4525-9026-2c1a9bace153</x:v>
      </x:c>
      <x:c r="B405" s="23" t="str">
        <x:v>BRENDON LUIS PEREIRA PADOVAN</x:v>
      </x:c>
      <x:c r="C405" s="23" t="str">
        <x:v>brendon luis pereira padovan</x:v>
      </x:c>
      <x:c r="D405" s="22" t="str">
        <x:f>"67.556.971/0001-93"</x:f>
        <x:v>67.556.971/0001-93</x:v>
      </x:c>
      <x:c r="E405" s="22" t="str">
        <x:f>"67556971000193"</x:f>
        <x:v>67556971000193</x:v>
      </x:c>
      <x:c r="F405" s="22" t="str">
        <x:f>"473.480.878-33"</x:f>
        <x:v>473.480.878-33</x:v>
      </x:c>
      <x:c r="G405" s="22" t="str">
        <x:f>"47348087833"</x:f>
        <x:v>47348087833</x:v>
      </x:c>
      <x:c r="H405" s="23" t="str">
        <x:v>brendonpadovan6@gmail.com</x:v>
      </x:c>
      <x:c r="I405" s="22" t="str">
        <x:f>"(13)99150-2430"</x:f>
        <x:v>(13)99150-2430</x:v>
      </x:c>
      <x:c r="J405" s="23" t="str">
        <x:v>RENTAL</x:v>
      </x:c>
      <x:c r="K405" s="23" t="str">
        <x:v>rental_company</x:v>
      </x:c>
      <x:c r="L405" s="24" t="b">
        <x:v>1</x:v>
      </x:c>
      <x:c r="M405" s="23" t="n">
        <x:v>1</x:v>
      </x:c>
      <x:c r="N405" s="28" t="n">
        <x:v>46219.812988715275</x:v>
      </x:c>
      <x:c r="O405" s="28" t="n">
        <x:v>46219.812988715275</x:v>
      </x:c>
      <x:c r="P405" s="23" t="str">
        <x:v>BARRETOS</x:v>
      </x:c>
      <x:c r="Q405" s="30" t="n">
        <x:v>36972</x:v>
      </x:c>
      <x:c r="R405" s="22" t="str">
        <x:f>"579036005"</x:f>
        <x:v>579036005</x:v>
      </x:c>
      <x:c r="S405" s="23" t="str">
        <x:v>masculino</x:v>
      </x:c>
      <x:c r="T405" s="22" t="str"/>
      <x:c r="U405" s="23" t="str">
        <x:v>BRENDON LUIS PEREIRA PADOVAN</x:v>
      </x:c>
      <x:c r="V405" s="22" t="str">
        <x:f>"473.480.878-33"</x:f>
        <x:v>473.480.878-33</x:v>
      </x:c>
      <x:c r="W405" s="22" t="str">
        <x:f>"47348087833"</x:f>
        <x:v>47348087833</x:v>
      </x:c>
      <x:c r="X405" s="23" t="str">
        <x:v>brendonpadovan6@gmail.com</x:v>
      </x:c>
      <x:c r="Y405" s="22" t="str">
        <x:f>"(13)99150-2430"</x:f>
        <x:v>(13)99150-2430</x:v>
      </x:c>
      <x:c r="Z405" s="30" t="n">
        <x:v>46564</x:v>
      </x:c>
    </x:row>
    <x:row r="406" ht="18" customHeight="1">
      <x:c r="A406" s="22" t="str">
        <x:f>"79c0bbf3-eef2-46f1-8cfa-0a5730085e9b"</x:f>
        <x:v>79c0bbf3-eef2-46f1-8cfa-0a5730085e9b</x:v>
      </x:c>
      <x:c r="B406" s="23" t="str">
        <x:v>BRENDO PADUA GONCALVES</x:v>
      </x:c>
      <x:c r="C406" s="23" t="str">
        <x:v>brendo padua goncalves</x:v>
      </x:c>
      <x:c r="D406" s="22" t="str">
        <x:f>"52.078.462/0001-25"</x:f>
        <x:v>52.078.462/0001-25</x:v>
      </x:c>
      <x:c r="E406" s="22" t="str">
        <x:f>"52078462000125"</x:f>
        <x:v>52078462000125</x:v>
      </x:c>
      <x:c r="F406" s="22" t="str">
        <x:f>"173.287.846-36"</x:f>
        <x:v>173.287.846-36</x:v>
      </x:c>
      <x:c r="G406" s="22" t="str">
        <x:f>"17328784636"</x:f>
        <x:v>17328784636</x:v>
      </x:c>
      <x:c r="H406" s="23" t="str">
        <x:v>brendopadua20@gmail.com</x:v>
      </x:c>
      <x:c r="I406" s="22" t="str">
        <x:f>"34996762538"</x:f>
        <x:v>34996762538</x:v>
      </x:c>
      <x:c r="J406" s="23" t="str">
        <x:v>SPOT</x:v>
      </x:c>
      <x:c r="K406" s="23" t="str">
        <x:v>favored_only</x:v>
      </x:c>
      <x:c r="L406" s="24" t="b">
        <x:v>1</x:v>
      </x:c>
      <x:c r="M406" s="23" t="n">
        <x:v>1</x:v>
      </x:c>
      <x:c r="N406" s="28" t="n">
        <x:v>46203.92183017361</x:v>
      </x:c>
      <x:c r="O406" s="28" t="n">
        <x:v>46219.812988715275</x:v>
      </x:c>
      <x:c r="P406" s="23" t="str">
        <x:v>JALES</x:v>
      </x:c>
      <x:c r="Q406" s="30" t="n">
        <x:v>37127</x:v>
      </x:c>
      <x:c r="R406" s="22" t="str">
        <x:f>"650576469"</x:f>
        <x:v>650576469</x:v>
      </x:c>
      <x:c r="S406" s="23" t="str">
        <x:v>masculino</x:v>
      </x:c>
      <x:c r="T406" s="22" t="str">
        <x:f>"FKT0B35"</x:f>
        <x:v>FKT0B35</x:v>
      </x:c>
      <x:c r="U406" s="23" t="str">
        <x:v>BRENDO PADUA GONCALVES</x:v>
      </x:c>
      <x:c r="V406" s="22" t="str">
        <x:f>"173.287.846-36"</x:f>
        <x:v>173.287.846-36</x:v>
      </x:c>
      <x:c r="W406" s="22" t="str">
        <x:f>"17328784636"</x:f>
        <x:v>17328784636</x:v>
      </x:c>
      <x:c r="X406" s="23" t="str">
        <x:v>brendopadua20@gmail.com</x:v>
      </x:c>
      <x:c r="Y406" s="22" t="str">
        <x:f>"34996762538"</x:f>
        <x:v>34996762538</x:v>
      </x:c>
      <x:c r="Z406" s="30" t="n">
        <x:v>46305</x:v>
      </x:c>
    </x:row>
    <x:row r="407" ht="18" customHeight="1">
      <x:c r="A407" s="22" t="str">
        <x:f>"00d20449-17bb-4215-82be-d1f7a75af395"</x:f>
        <x:v>00d20449-17bb-4215-82be-d1f7a75af395</x:v>
      </x:c>
      <x:c r="B407" s="23" t="str">
        <x:v>BRENO DIEGO MAYRINK</x:v>
      </x:c>
      <x:c r="C407" s="23" t="str">
        <x:v>breno diego mayrink</x:v>
      </x:c>
      <x:c r="D407" s="22" t="str">
        <x:f>"64.513.165/0001-40"</x:f>
        <x:v>64.513.165/0001-40</x:v>
      </x:c>
      <x:c r="E407" s="22" t="str">
        <x:f>"64513165000140"</x:f>
        <x:v>64513165000140</x:v>
      </x:c>
      <x:c r="F407" s="22" t="str">
        <x:f>"072.687.656-90"</x:f>
        <x:v>072.687.656-90</x:v>
      </x:c>
      <x:c r="G407" s="22" t="str">
        <x:f>"07268765690"</x:f>
        <x:v>07268765690</x:v>
      </x:c>
      <x:c r="H407" s="23" t="str">
        <x:v>brenodiegomayrink1987@gamil.com</x:v>
      </x:c>
      <x:c r="I407" s="22" t="str">
        <x:f>"(35) 99123-7888"</x:f>
        <x:v>(35) 99123-7888</x:v>
      </x:c>
      <x:c r="J407" s="23" t="str">
        <x:v>SPOT</x:v>
      </x:c>
      <x:c r="K407" s="23" t="str">
        <x:v>favored_only</x:v>
      </x:c>
      <x:c r="L407" s="24" t="b">
        <x:v>1</x:v>
      </x:c>
      <x:c r="M407" s="23" t="n">
        <x:v>1</x:v>
      </x:c>
      <x:c r="N407" s="28" t="n">
        <x:v>46219.812988715275</x:v>
      </x:c>
      <x:c r="O407" s="28" t="n">
        <x:v>46219.812988715275</x:v>
      </x:c>
      <x:c r="P407" s="23" t="str">
        <x:v>POUSO ALEGRE</x:v>
      </x:c>
      <x:c r="Q407" s="30" t="n">
        <x:v>31940</x:v>
      </x:c>
      <x:c r="R407" s="22" t="str">
        <x:f>"MG15217411 SSP MG"</x:f>
        <x:v>MG15217411 SSP MG</x:v>
      </x:c>
      <x:c r="S407" s="23" t="str">
        <x:v>masculino</x:v>
      </x:c>
      <x:c r="T407" s="22" t="str">
        <x:f>"QOE3J03"</x:f>
        <x:v>QOE3J03</x:v>
      </x:c>
      <x:c r="U407" s="23" t="str">
        <x:v>BRENO DIEGO MAYRINK</x:v>
      </x:c>
      <x:c r="V407" s="22" t="str">
        <x:f>"072.687.656-90"</x:f>
        <x:v>072.687.656-90</x:v>
      </x:c>
      <x:c r="W407" s="22" t="str">
        <x:f>"07268765690"</x:f>
        <x:v>07268765690</x:v>
      </x:c>
      <x:c r="X407" s="23" t="str">
        <x:v>brenodiegomayrink1987@gamil.com</x:v>
      </x:c>
      <x:c r="Y407" s="22" t="str">
        <x:f>"(35) 99123-7888"</x:f>
        <x:v>(35) 99123-7888</x:v>
      </x:c>
      <x:c r="Z407" s="30" t="n">
        <x:v>46403</x:v>
      </x:c>
    </x:row>
    <x:row r="408" ht="18" customHeight="1">
      <x:c r="A408" s="22" t="str">
        <x:f>"d136f00e-7b2c-4474-8ca0-73f7e709ca63"</x:f>
        <x:v>d136f00e-7b2c-4474-8ca0-73f7e709ca63</x:v>
      </x:c>
      <x:c r="B408" s="23" t="str">
        <x:v>BRENO HENRIQUE BARBOSA LIMA</x:v>
      </x:c>
      <x:c r="C408" s="23" t="str">
        <x:v>breno henrique barbosa lima</x:v>
      </x:c>
      <x:c r="D408" s="22" t="str">
        <x:f>"57.885.231/0001-47"</x:f>
        <x:v>57.885.231/0001-47</x:v>
      </x:c>
      <x:c r="E408" s="22" t="str">
        <x:f>"57885231000147"</x:f>
        <x:v>57885231000147</x:v>
      </x:c>
      <x:c r="F408" s="22" t="str">
        <x:f>"476.786.768-16"</x:f>
        <x:v>476.786.768-16</x:v>
      </x:c>
      <x:c r="G408" s="22" t="str">
        <x:f>"47678676816"</x:f>
        <x:v>47678676816</x:v>
      </x:c>
      <x:c r="H408" s="23" t="str">
        <x:v>brenolimaa07@gmail.com</x:v>
      </x:c>
      <x:c r="I408" s="22" t="str">
        <x:f>"‪‬(18)997331611"</x:f>
        <x:v>‪‬(18)997331611</x:v>
      </x:c>
      <x:c r="J408" s="23" t="str">
        <x:v>RENTAL</x:v>
      </x:c>
      <x:c r="K408" s="23" t="str">
        <x:v>rental_company</x:v>
      </x:c>
      <x:c r="L408" s="24" t="b">
        <x:v>1</x:v>
      </x:c>
      <x:c r="M408" s="23" t="n">
        <x:v>1</x:v>
      </x:c>
      <x:c r="N408" s="28" t="n">
        <x:v>46203.92183017361</x:v>
      </x:c>
      <x:c r="O408" s="28" t="n">
        <x:v>46219.812988715275</x:v>
      </x:c>
      <x:c r="P408" s="23" t="str">
        <x:v>ARAÇATUBA</x:v>
      </x:c>
      <x:c r="Q408" s="30" t="n">
        <x:v>37185</x:v>
      </x:c>
      <x:c r="R408" s="22" t="str">
        <x:f>"58637072"</x:f>
        <x:v>58637072</x:v>
      </x:c>
      <x:c r="S408" s="23" t="str">
        <x:v>masculino</x:v>
      </x:c>
      <x:c r="T408" s="22" t="str"/>
      <x:c r="U408" s="23" t="str">
        <x:v>BRENO HENRIQUE BARBOSA LIMA</x:v>
      </x:c>
      <x:c r="V408" s="22" t="str">
        <x:f>"476.786.768-16"</x:f>
        <x:v>476.786.768-16</x:v>
      </x:c>
      <x:c r="W408" s="22" t="str">
        <x:f>"47678676816"</x:f>
        <x:v>47678676816</x:v>
      </x:c>
      <x:c r="X408" s="23" t="str">
        <x:v>brenolimaa07@gmail.com</x:v>
      </x:c>
      <x:c r="Y408" s="22" t="str">
        <x:f>"‪‬(18)997331611"</x:f>
        <x:v>‪‬(18)997331611</x:v>
      </x:c>
      <x:c r="Z408" s="30" t="n">
        <x:v>46345</x:v>
      </x:c>
    </x:row>
    <x:row r="409" ht="18" customHeight="1">
      <x:c r="A409" s="22" t="str">
        <x:f>"8ad3d5c2-f36c-4248-a189-31894ed8f268"</x:f>
        <x:v>8ad3d5c2-f36c-4248-a189-31894ed8f268</x:v>
      </x:c>
      <x:c r="B409" s="23" t="str">
        <x:v>BRENO HENRIQUE PEREIRA TAVARES</x:v>
      </x:c>
      <x:c r="C409" s="23" t="str">
        <x:v>breno henrique pereira tavares</x:v>
      </x:c>
      <x:c r="D409" s="22" t="str">
        <x:f>"59.407.877/0001-44"</x:f>
        <x:v>59.407.877/0001-44</x:v>
      </x:c>
      <x:c r="E409" s="22" t="str">
        <x:f>"59407877000144"</x:f>
        <x:v>59407877000144</x:v>
      </x:c>
      <x:c r="F409" s="22" t="str">
        <x:f>"019.337.986-45"</x:f>
        <x:v>019.337.986-45</x:v>
      </x:c>
      <x:c r="G409" s="22" t="str">
        <x:f>"01933798645"</x:f>
        <x:v>01933798645</x:v>
      </x:c>
      <x:c r="H409" s="23" t="str">
        <x:v>brenotavares18anos@gmail.com</x:v>
      </x:c>
      <x:c r="I409" s="22" t="str">
        <x:f>"31997735666"</x:f>
        <x:v>31997735666</x:v>
      </x:c>
      <x:c r="J409" s="23" t="str">
        <x:v>spot</x:v>
      </x:c>
      <x:c r="K409" s="23" t="str">
        <x:v>favored_only</x:v>
      </x:c>
      <x:c r="L409" s="24" t="b">
        <x:v>1</x:v>
      </x:c>
      <x:c r="M409" s="23" t="n">
        <x:v>1</x:v>
      </x:c>
      <x:c r="N409" s="28" t="n">
        <x:v>46219.812988715275</x:v>
      </x:c>
      <x:c r="O409" s="28" t="n">
        <x:v>46219.812988715275</x:v>
      </x:c>
      <x:c r="P409" s="23" t="str">
        <x:v>VESPASIANO</x:v>
      </x:c>
      <x:c r="Q409" s="30" t="n">
        <x:v>37278</x:v>
      </x:c>
      <x:c r="R409" s="22" t="str">
        <x:f>"MG- 17737537"</x:f>
        <x:v>MG- 17737537</x:v>
      </x:c>
      <x:c r="S409" s="23" t="str">
        <x:v>masculino</x:v>
      </x:c>
      <x:c r="T409" s="22" t="str">
        <x:f>"HFN2H60"</x:f>
        <x:v>HFN2H60</x:v>
      </x:c>
      <x:c r="U409" s="23" t="str">
        <x:v>BRENO HENRIQUE PEREIRA TAVARES</x:v>
      </x:c>
      <x:c r="V409" s="22" t="str">
        <x:f>"019.337.986-45"</x:f>
        <x:v>019.337.986-45</x:v>
      </x:c>
      <x:c r="W409" s="22" t="str">
        <x:f>"01933798645"</x:f>
        <x:v>01933798645</x:v>
      </x:c>
      <x:c r="X409" s="23" t="str">
        <x:v>brenotavares18anos@gmail.com</x:v>
      </x:c>
      <x:c r="Y409" s="22" t="str">
        <x:f>"31997735666"</x:f>
        <x:v>31997735666</x:v>
      </x:c>
      <x:c r="Z409" s="30" t="n">
        <x:v>46479</x:v>
      </x:c>
    </x:row>
    <x:row r="410" ht="18" customHeight="1">
      <x:c r="A410" s="22" t="str">
        <x:f>"f3cd06dd-212b-4b7c-80bc-e05b1fade18a"</x:f>
        <x:v>f3cd06dd-212b-4b7c-80bc-e05b1fade18a</x:v>
      </x:c>
      <x:c r="B410" s="23" t="str">
        <x:v>BRUNA DE AZEVEDO RIBEIRO</x:v>
      </x:c>
      <x:c r="C410" s="23" t="str">
        <x:v>bruna de azevedo ribeiro</x:v>
      </x:c>
      <x:c r="D410" s="22" t="str">
        <x:f>"53.081.289/0001-87"</x:f>
        <x:v>53.081.289/0001-87</x:v>
      </x:c>
      <x:c r="E410" s="22" t="str">
        <x:f>"53081289000187"</x:f>
        <x:v>53081289000187</x:v>
      </x:c>
      <x:c r="F410" s="22" t="str">
        <x:f>"13934881700"</x:f>
        <x:v>13934881700</x:v>
      </x:c>
      <x:c r="G410" s="22" t="str">
        <x:f>"13934881700"</x:f>
        <x:v>13934881700</x:v>
      </x:c>
      <x:c r="H410" s="23" t="str">
        <x:v>brunaazevedoribeiro14@gmail.com</x:v>
      </x:c>
      <x:c r="I410" s="22" t="str">
        <x:f>"22998009374"</x:f>
        <x:v>22998009374</x:v>
      </x:c>
      <x:c r="J410" s="23" t="str">
        <x:v>SPOT</x:v>
      </x:c>
      <x:c r="K410" s="23" t="str">
        <x:v>favored_only</x:v>
      </x:c>
      <x:c r="L410" s="24" t="b">
        <x:v>1</x:v>
      </x:c>
      <x:c r="M410" s="23" t="n">
        <x:v>1</x:v>
      </x:c>
      <x:c r="N410" s="28" t="n">
        <x:v>46203.92184908565</x:v>
      </x:c>
      <x:c r="O410" s="28" t="n">
        <x:v>46203.92184908565</x:v>
      </x:c>
      <x:c r="P410" s="23" t="str"/>
      <x:c r="Q410" s="30" t="str"/>
      <x:c r="R410" s="22" t="str"/>
      <x:c r="S410" s="23" t="str"/>
      <x:c r="T410" s="22" t="str"/>
      <x:c r="U410" s="23" t="str">
        <x:v>BRUNA DE AZEVEDO RIBEIRO</x:v>
      </x:c>
      <x:c r="V410" s="22" t="str">
        <x:f>"13934881700"</x:f>
        <x:v>13934881700</x:v>
      </x:c>
      <x:c r="W410" s="22" t="str">
        <x:f>"13934881700"</x:f>
        <x:v>13934881700</x:v>
      </x:c>
      <x:c r="X410" s="23" t="str">
        <x:v>brunaazevedoribeiro14@gmail.com</x:v>
      </x:c>
      <x:c r="Y410" s="22" t="str">
        <x:f>"22998009374"</x:f>
        <x:v>22998009374</x:v>
      </x:c>
      <x:c r="Z410" s="30" t="str"/>
    </x:row>
    <x:row r="411" ht="18" customHeight="1">
      <x:c r="A411" s="22" t="str">
        <x:f>"d36c52fd-ee16-440a-9a85-c4cf4c1cf6c0"</x:f>
        <x:v>d36c52fd-ee16-440a-9a85-c4cf4c1cf6c0</x:v>
      </x:c>
      <x:c r="B411" s="23" t="str">
        <x:v>BRUNA MONTANARI GONCALVES VITORINO</x:v>
      </x:c>
      <x:c r="C411" s="23" t="str">
        <x:v>bruna montanari goncalves vitorino</x:v>
      </x:c>
      <x:c r="D411" s="22" t="str">
        <x:f>"63.618.703/0001-06"</x:f>
        <x:v>63.618.703/0001-06</x:v>
      </x:c>
      <x:c r="E411" s="22" t="str">
        <x:f>"63618703000106"</x:f>
        <x:v>63618703000106</x:v>
      </x:c>
      <x:c r="F411" s="22" t="str">
        <x:f>"072.911.906-81"</x:f>
        <x:v>072.911.906-81</x:v>
      </x:c>
      <x:c r="G411" s="22" t="str">
        <x:f>"07291190681"</x:f>
        <x:v>07291190681</x:v>
      </x:c>
      <x:c r="H411" s="23" t="str">
        <x:v>montanaribruna@yahoo.com.br</x:v>
      </x:c>
      <x:c r="I411" s="22" t="str">
        <x:f>"(31)994134011"</x:f>
        <x:v>(31)994134011</x:v>
      </x:c>
      <x:c r="J411" s="23" t="str">
        <x:v>SPOT</x:v>
      </x:c>
      <x:c r="K411" s="23" t="str">
        <x:v>favored_only</x:v>
      </x:c>
      <x:c r="L411" s="24" t="b">
        <x:v>1</x:v>
      </x:c>
      <x:c r="M411" s="23" t="n">
        <x:v>1</x:v>
      </x:c>
      <x:c r="N411" s="28" t="n">
        <x:v>46203.92189965278</x:v>
      </x:c>
      <x:c r="O411" s="28" t="n">
        <x:v>46219.812988715275</x:v>
      </x:c>
      <x:c r="P411" s="23" t="str">
        <x:v>VESPASIANO</x:v>
      </x:c>
      <x:c r="Q411" s="30" t="n">
        <x:v>31646</x:v>
      </x:c>
      <x:c r="R411" s="22" t="str">
        <x:f>"RG: MG13410763"</x:f>
        <x:v>RG: MG13410763</x:v>
      </x:c>
      <x:c r="S411" s="23" t="str">
        <x:v>feminino</x:v>
      </x:c>
      <x:c r="T411" s="22" t="str">
        <x:f>"QMU6J09"</x:f>
        <x:v>QMU6J09</x:v>
      </x:c>
      <x:c r="U411" s="23" t="str">
        <x:v>BRUNA MONTANARI GONCALVES VITORINO</x:v>
      </x:c>
      <x:c r="V411" s="22" t="str">
        <x:f>"072.911.906-81"</x:f>
        <x:v>072.911.906-81</x:v>
      </x:c>
      <x:c r="W411" s="22" t="str">
        <x:f>"07291190681"</x:f>
        <x:v>07291190681</x:v>
      </x:c>
      <x:c r="X411" s="23" t="str">
        <x:v>montanaribruna@yahoo.com.br</x:v>
      </x:c>
      <x:c r="Y411" s="22" t="str">
        <x:f>"(31)994134011"</x:f>
        <x:v>(31)994134011</x:v>
      </x:c>
      <x:c r="Z411" s="30" t="n">
        <x:v>46345</x:v>
      </x:c>
    </x:row>
    <x:row r="412" ht="18" customHeight="1">
      <x:c r="A412" s="22" t="str">
        <x:f>"8feab156-8244-4ef9-9d0e-254ba5081533"</x:f>
        <x:v>8feab156-8244-4ef9-9d0e-254ba5081533</x:v>
      </x:c>
      <x:c r="B412" s="23" t="str">
        <x:v>Bruna Rezende Gontijo</x:v>
      </x:c>
      <x:c r="C412" s="23" t="str">
        <x:v>bruna rezende gontijo</x:v>
      </x:c>
      <x:c r="D412" s="22" t="str">
        <x:f>"61.503.431/0001-65"</x:f>
        <x:v>61.503.431/0001-65</x:v>
      </x:c>
      <x:c r="E412" s="22" t="str">
        <x:f>"61503431000165"</x:f>
        <x:v>61503431000165</x:v>
      </x:c>
      <x:c r="F412" s="22" t="str">
        <x:f>"100.636.316-52"</x:f>
        <x:v>100.636.316-52</x:v>
      </x:c>
      <x:c r="G412" s="22" t="str">
        <x:f>"10063631652"</x:f>
        <x:v>10063631652</x:v>
      </x:c>
      <x:c r="H412" s="23" t="str">
        <x:v>caiobraga7@hotmail.com</x:v>
      </x:c>
      <x:c r="I412" s="22" t="str">
        <x:f>"31984108246"</x:f>
        <x:v>31984108246</x:v>
      </x:c>
      <x:c r="J412" s="23" t="str">
        <x:v>SPOT</x:v>
      </x:c>
      <x:c r="K412" s="23" t="str">
        <x:v>favored_only</x:v>
      </x:c>
      <x:c r="L412" s="24" t="b">
        <x:v>1</x:v>
      </x:c>
      <x:c r="M412" s="23" t="n">
        <x:v>1</x:v>
      </x:c>
      <x:c r="N412" s="28" t="n">
        <x:v>46203.92183332176</x:v>
      </x:c>
      <x:c r="O412" s="28" t="n">
        <x:v>46203.92183332176</x:v>
      </x:c>
      <x:c r="P412" s="23" t="str"/>
      <x:c r="Q412" s="30" t="str"/>
      <x:c r="R412" s="22" t="str"/>
      <x:c r="S412" s="23" t="str"/>
      <x:c r="T412" s="22" t="str"/>
      <x:c r="U412" s="23" t="str">
        <x:v>Bruna Rezende Gontijo</x:v>
      </x:c>
      <x:c r="V412" s="22" t="str">
        <x:f>"100.636.316-52"</x:f>
        <x:v>100.636.316-52</x:v>
      </x:c>
      <x:c r="W412" s="22" t="str">
        <x:f>"10063631652"</x:f>
        <x:v>10063631652</x:v>
      </x:c>
      <x:c r="X412" s="23" t="str">
        <x:v>caiobraga7@hotmail.com</x:v>
      </x:c>
      <x:c r="Y412" s="22" t="str">
        <x:f>"31984108246"</x:f>
        <x:v>31984108246</x:v>
      </x:c>
      <x:c r="Z412" s="30" t="str"/>
    </x:row>
    <x:row r="413" ht="18" customHeight="1">
      <x:c r="A413" s="22" t="str">
        <x:f>"bf96b185-2bf4-45aa-8ebc-ce816f280bd1"</x:f>
        <x:v>bf96b185-2bf4-45aa-8ebc-ce816f280bd1</x:v>
      </x:c>
      <x:c r="B413" s="23" t="str">
        <x:v>BRUNA SANTOS DE SOUZA</x:v>
      </x:c>
      <x:c r="C413" s="23" t="str">
        <x:v>bruna santos de souza</x:v>
      </x:c>
      <x:c r="D413" s="22" t="str">
        <x:f>"40.942.019/0001-71"</x:f>
        <x:v>40.942.019/0001-71</x:v>
      </x:c>
      <x:c r="E413" s="22" t="str">
        <x:f>"40942019000171"</x:f>
        <x:v>40942019000171</x:v>
      </x:c>
      <x:c r="F413" s="22" t="str">
        <x:f>"121.369.847-21"</x:f>
        <x:v>121.369.847-21</x:v>
      </x:c>
      <x:c r="G413" s="22" t="str">
        <x:f>"12136984721"</x:f>
        <x:v>12136984721</x:v>
      </x:c>
      <x:c r="H413" s="23" t="str">
        <x:v>bruna_santtos22@hotmail.com</x:v>
      </x:c>
      <x:c r="I413" s="22" t="str">
        <x:f>"21 994397714"</x:f>
        <x:v>21 994397714</x:v>
      </x:c>
      <x:c r="J413" s="23" t="str">
        <x:v>SPOT</x:v>
      </x:c>
      <x:c r="K413" s="23" t="str">
        <x:v>favored_only</x:v>
      </x:c>
      <x:c r="L413" s="24" t="b">
        <x:v>1</x:v>
      </x:c>
      <x:c r="M413" s="23" t="n">
        <x:v>1</x:v>
      </x:c>
      <x:c r="N413" s="28" t="n">
        <x:v>46219.812988715275</x:v>
      </x:c>
      <x:c r="O413" s="28" t="n">
        <x:v>46219.812988715275</x:v>
      </x:c>
      <x:c r="P413" s="23" t="str">
        <x:v>ITABORAI</x:v>
      </x:c>
      <x:c r="Q413" s="30" t="n">
        <x:v>31902</x:v>
      </x:c>
      <x:c r="R413" s="22" t="str">
        <x:f>"222159196"</x:f>
        <x:v>222159196</x:v>
      </x:c>
      <x:c r="S413" s="23" t="str">
        <x:v>feminino</x:v>
      </x:c>
      <x:c r="T413" s="22" t="str">
        <x:f>"KXD9G19"</x:f>
        <x:v>KXD9G19</x:v>
      </x:c>
      <x:c r="U413" s="23" t="str">
        <x:v>BRUNA SANTOS DE SOUZA</x:v>
      </x:c>
      <x:c r="V413" s="22" t="str">
        <x:f>"121.369.847-21"</x:f>
        <x:v>121.369.847-21</x:v>
      </x:c>
      <x:c r="W413" s="22" t="str">
        <x:f>"12136984721"</x:f>
        <x:v>12136984721</x:v>
      </x:c>
      <x:c r="X413" s="23" t="str">
        <x:v>bruna_santtos22@hotmail.com</x:v>
      </x:c>
      <x:c r="Y413" s="22" t="str">
        <x:f>"21 994397714"</x:f>
        <x:v>21 994397714</x:v>
      </x:c>
      <x:c r="Z413" s="30" t="n">
        <x:v>46444</x:v>
      </x:c>
    </x:row>
    <x:row r="414" ht="18" customHeight="1">
      <x:c r="A414" s="22" t="str">
        <x:f>"191a97f2-dc4a-4f7f-a8f2-544a72905217"</x:f>
        <x:v>191a97f2-dc4a-4f7f-a8f2-544a72905217</x:v>
      </x:c>
      <x:c r="B414" s="23" t="str">
        <x:v>BRUNO AMARAL PROCOPIO</x:v>
      </x:c>
      <x:c r="C414" s="23" t="str">
        <x:v>bruno amaral procopio</x:v>
      </x:c>
      <x:c r="D414" s="22" t="str">
        <x:f>"26.820.927/0001-61"</x:f>
        <x:v>26.820.927/0001-61</x:v>
      </x:c>
      <x:c r="E414" s="22" t="str">
        <x:f>"26820927000161"</x:f>
        <x:v>26820927000161</x:v>
      </x:c>
      <x:c r="F414" s="22" t="str">
        <x:f>"013.596.286-22"</x:f>
        <x:v>013.596.286-22</x:v>
      </x:c>
      <x:c r="G414" s="22" t="str">
        <x:f>"01359628622"</x:f>
        <x:v>01359628622</x:v>
      </x:c>
      <x:c r="H414" s="23" t="str">
        <x:v>brunoprocopio@gmail.com</x:v>
      </x:c>
      <x:c r="I414" s="22" t="str">
        <x:f>"33987179272"</x:f>
        <x:v>33987179272</x:v>
      </x:c>
      <x:c r="J414" s="23" t="str">
        <x:v>SPOT</x:v>
      </x:c>
      <x:c r="K414" s="23" t="str">
        <x:v>favored_only</x:v>
      </x:c>
      <x:c r="L414" s="24" t="b">
        <x:v>1</x:v>
      </x:c>
      <x:c r="M414" s="23" t="n">
        <x:v>1</x:v>
      </x:c>
      <x:c r="N414" s="28" t="n">
        <x:v>46219.812988715275</x:v>
      </x:c>
      <x:c r="O414" s="28" t="n">
        <x:v>46219.812988715275</x:v>
      </x:c>
      <x:c r="P414" s="23" t="str">
        <x:v>GUANHAES</x:v>
      </x:c>
      <x:c r="Q414" s="30" t="n">
        <x:v>30056</x:v>
      </x:c>
      <x:c r="R414" s="22" t="str">
        <x:f>"8843441"</x:f>
        <x:v>8843441</x:v>
      </x:c>
      <x:c r="S414" s="23" t="str">
        <x:v>masculino</x:v>
      </x:c>
      <x:c r="T414" s="22" t="str">
        <x:f>"QXD9J43"</x:f>
        <x:v>QXD9J43</x:v>
      </x:c>
      <x:c r="U414" s="23" t="str">
        <x:v>BRUNO AMARAL PROCOPIO</x:v>
      </x:c>
      <x:c r="V414" s="22" t="str">
        <x:f>"013.596.286-22"</x:f>
        <x:v>013.596.286-22</x:v>
      </x:c>
      <x:c r="W414" s="22" t="str">
        <x:f>"01359628622"</x:f>
        <x:v>01359628622</x:v>
      </x:c>
      <x:c r="X414" s="23" t="str">
        <x:v>brunoprocopio@gmail.com</x:v>
      </x:c>
      <x:c r="Y414" s="22" t="str">
        <x:f>"33987179272"</x:f>
        <x:v>33987179272</x:v>
      </x:c>
      <x:c r="Z414" s="30" t="n">
        <x:v>46568</x:v>
      </x:c>
    </x:row>
    <x:row r="415" ht="18" customHeight="1">
      <x:c r="A415" s="22" t="str">
        <x:f>"acdd830d-8fc0-4e95-a8fc-15ca71a48b52"</x:f>
        <x:v>acdd830d-8fc0-4e95-a8fc-15ca71a48b52</x:v>
      </x:c>
      <x:c r="B415" s="23" t="str">
        <x:v>BRUNO CARLOS VALENCIO</x:v>
      </x:c>
      <x:c r="C415" s="23" t="str">
        <x:v>bruno carlos valencio</x:v>
      </x:c>
      <x:c r="D415" s="22" t="str">
        <x:f>"62.925.510/0001-27"</x:f>
        <x:v>62.925.510/0001-27</x:v>
      </x:c>
      <x:c r="E415" s="22" t="str">
        <x:f>"62925510000127"</x:f>
        <x:v>62925510000127</x:v>
      </x:c>
      <x:c r="F415" s="22" t="str">
        <x:f>"380.855.688-96"</x:f>
        <x:v>380.855.688-96</x:v>
      </x:c>
      <x:c r="G415" s="22" t="str">
        <x:f>"38085568896"</x:f>
        <x:v>38085568896</x:v>
      </x:c>
      <x:c r="H415" s="23" t="str">
        <x:v>bruno.valenciio@gmail.com</x:v>
      </x:c>
      <x:c r="I415" s="22" t="str">
        <x:f>"11965469617"</x:f>
        <x:v>11965469617</x:v>
      </x:c>
      <x:c r="J415" s="23" t="str">
        <x:v>RENTAL</x:v>
      </x:c>
      <x:c r="K415" s="23" t="str">
        <x:v>rental_company</x:v>
      </x:c>
      <x:c r="L415" s="24" t="b">
        <x:v>1</x:v>
      </x:c>
      <x:c r="M415" s="23" t="n">
        <x:v>1</x:v>
      </x:c>
      <x:c r="N415" s="28" t="n">
        <x:v>46203.92186888889</x:v>
      </x:c>
      <x:c r="O415" s="28" t="n">
        <x:v>46219.812988715275</x:v>
      </x:c>
      <x:c r="P415" s="23" t="str">
        <x:v>BARUERI</x:v>
      </x:c>
      <x:c r="Q415" s="30" t="n">
        <x:v>32574</x:v>
      </x:c>
      <x:c r="R415" s="22" t="str">
        <x:f>"44809385"</x:f>
        <x:v>44809385</x:v>
      </x:c>
      <x:c r="S415" s="23" t="str">
        <x:v>masculino</x:v>
      </x:c>
      <x:c r="T415" s="22" t="str"/>
      <x:c r="U415" s="23" t="str">
        <x:v>BRUNO CARLOS VALENCIO</x:v>
      </x:c>
      <x:c r="V415" s="22" t="str">
        <x:f>"380.855.688-96"</x:f>
        <x:v>380.855.688-96</x:v>
      </x:c>
      <x:c r="W415" s="22" t="str">
        <x:f>"38085568896"</x:f>
        <x:v>38085568896</x:v>
      </x:c>
      <x:c r="X415" s="23" t="str">
        <x:v>bruno.valenciio@gmail.com</x:v>
      </x:c>
      <x:c r="Y415" s="22" t="str">
        <x:f>"11965469617"</x:f>
        <x:v>11965469617</x:v>
      </x:c>
      <x:c r="Z415" s="30" t="n">
        <x:v>46294</x:v>
      </x:c>
    </x:row>
    <x:row r="416" ht="18" customHeight="1">
      <x:c r="A416" s="22" t="str">
        <x:f>"7d2bac2b-bdc7-46af-81c1-2fc6908046d9"</x:f>
        <x:v>7d2bac2b-bdc7-46af-81c1-2fc6908046d9</x:v>
      </x:c>
      <x:c r="B416" s="23" t="str">
        <x:v>BRUNO CLAVER MAGALHAES</x:v>
      </x:c>
      <x:c r="C416" s="23" t="str">
        <x:v>bruno claver magalhaes</x:v>
      </x:c>
      <x:c r="D416" s="22" t="str">
        <x:f>"48.952.538/0001-22"</x:f>
        <x:v>48.952.538/0001-22</x:v>
      </x:c>
      <x:c r="E416" s="22" t="str">
        <x:f>"48952538000122"</x:f>
        <x:v>48952538000122</x:v>
      </x:c>
      <x:c r="F416" s="22" t="str">
        <x:f>"023.502.881-96"</x:f>
        <x:v>023.502.881-96</x:v>
      </x:c>
      <x:c r="G416" s="22" t="str">
        <x:f>"02350288196"</x:f>
        <x:v>02350288196</x:v>
      </x:c>
      <x:c r="H416" s="23" t="str">
        <x:v>brunoclaver47@gmail.com</x:v>
      </x:c>
      <x:c r="I416" s="22" t="str">
        <x:f>"62995254474"</x:f>
        <x:v>62995254474</x:v>
      </x:c>
      <x:c r="J416" s="23" t="str">
        <x:v>RENTAL</x:v>
      </x:c>
      <x:c r="K416" s="23" t="str">
        <x:v>rental_company</x:v>
      </x:c>
      <x:c r="L416" s="24" t="b">
        <x:v>1</x:v>
      </x:c>
      <x:c r="M416" s="23" t="n">
        <x:v>2</x:v>
      </x:c>
      <x:c r="N416" s="28" t="n">
        <x:v>46203.92186888889</x:v>
      </x:c>
      <x:c r="O416" s="28" t="n">
        <x:v>46219.812988715275</x:v>
      </x:c>
      <x:c r="P416" s="23" t="str">
        <x:v>GOIANIA</x:v>
      </x:c>
      <x:c r="Q416" s="30" t="n">
        <x:v>32306</x:v>
      </x:c>
      <x:c r="R416" s="22" t="str">
        <x:f>"5159818"</x:f>
        <x:v>5159818</x:v>
      </x:c>
      <x:c r="S416" s="23" t="str">
        <x:v>masculino</x:v>
      </x:c>
      <x:c r="T416" s="22" t="str"/>
      <x:c r="U416" s="23" t="str">
        <x:v>BRUNO CLAVER MAGALHAES</x:v>
      </x:c>
      <x:c r="V416" s="22" t="str">
        <x:f>"023.502.881-96"</x:f>
        <x:v>023.502.881-96</x:v>
      </x:c>
      <x:c r="W416" s="22" t="str">
        <x:f>"02350288196"</x:f>
        <x:v>02350288196</x:v>
      </x:c>
      <x:c r="X416" s="23" t="str">
        <x:v>brunoclaver47@gmail.com</x:v>
      </x:c>
      <x:c r="Y416" s="22" t="str">
        <x:f>"62995254474"</x:f>
        <x:v>62995254474</x:v>
      </x:c>
      <x:c r="Z416" s="30" t="n">
        <x:v>46323</x:v>
      </x:c>
    </x:row>
    <x:row r="417" ht="18" customHeight="1">
      <x:c r="A417" s="22" t="str">
        <x:f>"c7cf4968-8937-45fe-9309-e6c375bdff4f"</x:f>
        <x:v>c7cf4968-8937-45fe-9309-e6c375bdff4f</x:v>
      </x:c>
      <x:c r="B417" s="23" t="str">
        <x:v>BRUNO DA SILVA FERNANDES</x:v>
      </x:c>
      <x:c r="C417" s="23" t="str">
        <x:v>bruno da silva fernandes</x:v>
      </x:c>
      <x:c r="D417" s="22" t="str">
        <x:f>"58.180.010/0001-36"</x:f>
        <x:v>58.180.010/0001-36</x:v>
      </x:c>
      <x:c r="E417" s="22" t="str">
        <x:f>"58180010000136"</x:f>
        <x:v>58180010000136</x:v>
      </x:c>
      <x:c r="F417" s="22" t="str">
        <x:f>"035.633.891-60"</x:f>
        <x:v>035.633.891-60</x:v>
      </x:c>
      <x:c r="G417" s="22" t="str">
        <x:f>"03563389160"</x:f>
        <x:v>03563389160</x:v>
      </x:c>
      <x:c r="H417" s="23" t="str">
        <x:v>fernandesbruno625@gmail.com</x:v>
      </x:c>
      <x:c r="I417" s="22" t="str">
        <x:f>"(66) 99610-2602"</x:f>
        <x:v>(66) 99610-2602</x:v>
      </x:c>
      <x:c r="J417" s="23" t="str">
        <x:v>SPOT</x:v>
      </x:c>
      <x:c r="K417" s="23" t="str">
        <x:v>favored_only</x:v>
      </x:c>
      <x:c r="L417" s="24" t="b">
        <x:v>1</x:v>
      </x:c>
      <x:c r="M417" s="23" t="n">
        <x:v>1</x:v>
      </x:c>
      <x:c r="N417" s="28" t="n">
        <x:v>46219.812988715275</x:v>
      </x:c>
      <x:c r="O417" s="28" t="n">
        <x:v>46219.812988715275</x:v>
      </x:c>
      <x:c r="P417" s="23" t="str">
        <x:v>CÁCERES</x:v>
      </x:c>
      <x:c r="Q417" s="30" t="n">
        <x:v>33430</x:v>
      </x:c>
      <x:c r="R417" s="22" t="str">
        <x:f>"21654980"</x:f>
        <x:v>21654980</x:v>
      </x:c>
      <x:c r="S417" s="23" t="str">
        <x:v>masculino</x:v>
      </x:c>
      <x:c r="T417" s="22" t="str">
        <x:f>"AXR7H38"</x:f>
        <x:v>AXR7H38</x:v>
      </x:c>
      <x:c r="U417" s="23" t="str">
        <x:v>BRUNO DA SILVA FERNANDES</x:v>
      </x:c>
      <x:c r="V417" s="22" t="str">
        <x:f>"035.633.891-60"</x:f>
        <x:v>035.633.891-60</x:v>
      </x:c>
      <x:c r="W417" s="22" t="str">
        <x:f>"03563389160"</x:f>
        <x:v>03563389160</x:v>
      </x:c>
      <x:c r="X417" s="23" t="str">
        <x:v>fernandesbruno625@gmail.com</x:v>
      </x:c>
      <x:c r="Y417" s="22" t="str">
        <x:f>"(66) 99610-2602"</x:f>
        <x:v>(66) 99610-2602</x:v>
      </x:c>
      <x:c r="Z417" s="30" t="n">
        <x:v>46424</x:v>
      </x:c>
    </x:row>
    <x:row r="418" ht="18" customHeight="1">
      <x:c r="A418" s="22" t="str">
        <x:f>"c3ff49ad-800f-49c6-b46c-d8d795b59b1a"</x:f>
        <x:v>c3ff49ad-800f-49c6-b46c-d8d795b59b1a</x:v>
      </x:c>
      <x:c r="B418" s="23" t="str">
        <x:v>BRUNO DE CASTRO ALVES</x:v>
      </x:c>
      <x:c r="C418" s="23" t="str">
        <x:v>bruno de castro alves</x:v>
      </x:c>
      <x:c r="D418" s="22" t="str">
        <x:f>"19.865.589/0001-19"</x:f>
        <x:v>19.865.589/0001-19</x:v>
      </x:c>
      <x:c r="E418" s="22" t="str">
        <x:f>"19865589000119"</x:f>
        <x:v>19865589000119</x:v>
      </x:c>
      <x:c r="F418" s="22" t="str">
        <x:f>"143.335.677-50"</x:f>
        <x:v>143.335.677-50</x:v>
      </x:c>
      <x:c r="G418" s="22" t="str">
        <x:f>"14333567750"</x:f>
        <x:v>14333567750</x:v>
      </x:c>
      <x:c r="H418" s="23" t="str">
        <x:v>brunocastro7321@gmail.com</x:v>
      </x:c>
      <x:c r="I418" s="22" t="str">
        <x:f>"21969472954"</x:f>
        <x:v>21969472954</x:v>
      </x:c>
      <x:c r="J418" s="23" t="str">
        <x:v>SPOT</x:v>
      </x:c>
      <x:c r="K418" s="23" t="str">
        <x:v>favored_only</x:v>
      </x:c>
      <x:c r="L418" s="24" t="b">
        <x:v>1</x:v>
      </x:c>
      <x:c r="M418" s="23" t="n">
        <x:v>2</x:v>
      </x:c>
      <x:c r="N418" s="28" t="n">
        <x:v>46203.92188238426</x:v>
      </x:c>
      <x:c r="O418" s="28" t="n">
        <x:v>46219.812988715275</x:v>
      </x:c>
      <x:c r="P418" s="23" t="str">
        <x:v>CORDOVIL</x:v>
      </x:c>
      <x:c r="Q418" s="30" t="n">
        <x:v>32979</x:v>
      </x:c>
      <x:c r="R418" s="22" t="str">
        <x:f>"257089862"</x:f>
        <x:v>257089862</x:v>
      </x:c>
      <x:c r="S418" s="23" t="str">
        <x:v>masculino</x:v>
      </x:c>
      <x:c r="T418" s="22" t="str">
        <x:f>"KRG5G76"</x:f>
        <x:v>KRG5G76</x:v>
      </x:c>
      <x:c r="U418" s="23" t="str">
        <x:v>BRUNO DE CASTRO ALVES</x:v>
      </x:c>
      <x:c r="V418" s="22" t="str">
        <x:f>"143.335.677-50"</x:f>
        <x:v>143.335.677-50</x:v>
      </x:c>
      <x:c r="W418" s="22" t="str">
        <x:f>"14333567750"</x:f>
        <x:v>14333567750</x:v>
      </x:c>
      <x:c r="X418" s="23" t="str">
        <x:v>brunocastro7321@gmail.com</x:v>
      </x:c>
      <x:c r="Y418" s="22" t="str">
        <x:f>"21969472954"</x:f>
        <x:v>21969472954</x:v>
      </x:c>
      <x:c r="Z418" s="30" t="n">
        <x:v>46350</x:v>
      </x:c>
    </x:row>
    <x:row r="419" ht="18" customHeight="1">
      <x:c r="A419" s="22" t="str">
        <x:f>"c9793c62-5c20-4b99-b0a8-1980a4f0edfb"</x:f>
        <x:v>c9793c62-5c20-4b99-b0a8-1980a4f0edfb</x:v>
      </x:c>
      <x:c r="B419" s="23" t="str">
        <x:v>BRUNO DE CASTRO ALVES</x:v>
      </x:c>
      <x:c r="C419" s="23" t="str">
        <x:v>bruno de castro alves</x:v>
      </x:c>
      <x:c r="D419" s="22" t="str">
        <x:f>"62.326.690/0001-20"</x:f>
        <x:v>62.326.690/0001-20</x:v>
      </x:c>
      <x:c r="E419" s="22" t="str">
        <x:f>"62326690000120"</x:f>
        <x:v>62326690000120</x:v>
      </x:c>
      <x:c r="F419" s="22" t="str">
        <x:f>"143.335.677-50"</x:f>
        <x:v>143.335.677-50</x:v>
      </x:c>
      <x:c r="G419" s="22" t="str">
        <x:f>"14333567750"</x:f>
        <x:v>14333567750</x:v>
      </x:c>
      <x:c r="H419" s="23" t="str">
        <x:v>brunocastro7321@gmail.com</x:v>
      </x:c>
      <x:c r="I419" s="22" t="str">
        <x:f>"21969472954"</x:f>
        <x:v>21969472954</x:v>
      </x:c>
      <x:c r="J419" s="23" t="str">
        <x:v>SPOT</x:v>
      </x:c>
      <x:c r="K419" s="23" t="str">
        <x:v>favored_only</x:v>
      </x:c>
      <x:c r="L419" s="24" t="b">
        <x:v>1</x:v>
      </x:c>
      <x:c r="M419" s="23" t="n">
        <x:v>2</x:v>
      </x:c>
      <x:c r="N419" s="28" t="n">
        <x:v>46205.60579707176</x:v>
      </x:c>
      <x:c r="O419" s="28" t="n">
        <x:v>46219.812988715275</x:v>
      </x:c>
      <x:c r="P419" s="23" t="str">
        <x:v>CORDOVIL</x:v>
      </x:c>
      <x:c r="Q419" s="30" t="n">
        <x:v>32979</x:v>
      </x:c>
      <x:c r="R419" s="22" t="str">
        <x:f>"257089862"</x:f>
        <x:v>257089862</x:v>
      </x:c>
      <x:c r="S419" s="23" t="str">
        <x:v>masculino</x:v>
      </x:c>
      <x:c r="T419" s="22" t="str">
        <x:f>"KRY3C12"</x:f>
        <x:v>KRY3C12</x:v>
      </x:c>
      <x:c r="U419" s="23" t="str">
        <x:v>DENIZE DAS NEVES DE CASTRO</x:v>
      </x:c>
      <x:c r="V419" s="22" t="str">
        <x:f>"771.631.687-72"</x:f>
        <x:v>771.631.687-72</x:v>
      </x:c>
      <x:c r="W419" s="22" t="str">
        <x:f>"77163168772"</x:f>
        <x:v>77163168772</x:v>
      </x:c>
      <x:c r="X419" s="23" t="str">
        <x:v>brunocastro7321@gmail.com</x:v>
      </x:c>
      <x:c r="Y419" s="22" t="str">
        <x:f>"21969472954"</x:f>
        <x:v>21969472954</x:v>
      </x:c>
      <x:c r="Z419" s="30" t="n">
        <x:v>46395</x:v>
      </x:c>
    </x:row>
    <x:row r="420" ht="18" customHeight="1">
      <x:c r="A420" s="22" t="str">
        <x:f>"83addc8c-4324-4501-93b6-b2844d344b14"</x:f>
        <x:v>83addc8c-4324-4501-93b6-b2844d344b14</x:v>
      </x:c>
      <x:c r="B420" s="23" t="str">
        <x:v>BRUNO DE OLIVEIRA ALVES</x:v>
      </x:c>
      <x:c r="C420" s="23" t="str">
        <x:v>bruno de oliveira alves</x:v>
      </x:c>
      <x:c r="D420" s="22" t="str">
        <x:f>"06.301.878/0000-11"</x:f>
        <x:v>06.301.878/0000-11</x:v>
      </x:c>
      <x:c r="E420" s="22" t="str">
        <x:f>"06301878000011"</x:f>
        <x:v>06301878000011</x:v>
      </x:c>
      <x:c r="F420" s="22" t="str">
        <x:f>"459.881.868-90"</x:f>
        <x:v>459.881.868-90</x:v>
      </x:c>
      <x:c r="G420" s="22" t="str">
        <x:f>"45988186890"</x:f>
        <x:v>45988186890</x:v>
      </x:c>
      <x:c r="H420" s="23" t="str">
        <x:v>bruno20032020@gmail.com</x:v>
      </x:c>
      <x:c r="I420" s="22" t="str">
        <x:f>"14998090107"</x:f>
        <x:v>14998090107</x:v>
      </x:c>
      <x:c r="J420" s="23" t="str">
        <x:v>RENTAL</x:v>
      </x:c>
      <x:c r="K420" s="23" t="str">
        <x:v>rental_company</x:v>
      </x:c>
      <x:c r="L420" s="24" t="b">
        <x:v>1</x:v>
      </x:c>
      <x:c r="M420" s="23" t="n">
        <x:v>1</x:v>
      </x:c>
      <x:c r="N420" s="28" t="n">
        <x:v>46203.9218771875</x:v>
      </x:c>
      <x:c r="O420" s="28" t="n">
        <x:v>46219.812988715275</x:v>
      </x:c>
      <x:c r="P420" s="23" t="str">
        <x:v>MARILIA</x:v>
      </x:c>
      <x:c r="Q420" s="30" t="n">
        <x:v>37629</x:v>
      </x:c>
      <x:c r="R420" s="22" t="str">
        <x:f>"525792211"</x:f>
        <x:v>525792211</x:v>
      </x:c>
      <x:c r="S420" s="23" t="str">
        <x:v>masculino</x:v>
      </x:c>
      <x:c r="T420" s="22" t="str"/>
      <x:c r="U420" s="23" t="str">
        <x:v>BRUNO DE OLIVEIRA ALVES</x:v>
      </x:c>
      <x:c r="V420" s="22" t="str">
        <x:f>"459.881.868-90"</x:f>
        <x:v>459.881.868-90</x:v>
      </x:c>
      <x:c r="W420" s="22" t="str">
        <x:f>"45988186890"</x:f>
        <x:v>45988186890</x:v>
      </x:c>
      <x:c r="X420" s="23" t="str">
        <x:v>bruno20032020@gmail.com</x:v>
      </x:c>
      <x:c r="Y420" s="22" t="str">
        <x:f>"14998090107"</x:f>
        <x:v>14998090107</x:v>
      </x:c>
      <x:c r="Z420" s="30" t="n">
        <x:v>46315</x:v>
      </x:c>
    </x:row>
    <x:row r="421" ht="18" customHeight="1">
      <x:c r="A421" s="22" t="str">
        <x:f>"ecd8ca1f-3c49-47e9-be6b-4958e8b5a036"</x:f>
        <x:v>ecd8ca1f-3c49-47e9-be6b-4958e8b5a036</x:v>
      </x:c>
      <x:c r="B421" s="23" t="str">
        <x:v>BRUNO DE PAULA FURTADO</x:v>
      </x:c>
      <x:c r="C421" s="23" t="str">
        <x:v>bruno de paula furtado</x:v>
      </x:c>
      <x:c r="D421" s="22" t="str">
        <x:f>"63.041.521/0001-07"</x:f>
        <x:v>63.041.521/0001-07</x:v>
      </x:c>
      <x:c r="E421" s="22" t="str">
        <x:f>"63041521000107"</x:f>
        <x:v>63041521000107</x:v>
      </x:c>
      <x:c r="F421" s="22" t="str">
        <x:f>"075.430.991-60"</x:f>
        <x:v>075.430.991-60</x:v>
      </x:c>
      <x:c r="G421" s="22" t="str">
        <x:f>"07543099160"</x:f>
        <x:v>07543099160</x:v>
      </x:c>
      <x:c r="H421" s="23" t="str">
        <x:v>brunogomes0907@icloud.com</x:v>
      </x:c>
      <x:c r="I421" s="22" t="str">
        <x:f>"65993504539"</x:f>
        <x:v>65993504539</x:v>
      </x:c>
      <x:c r="J421" s="23" t="str">
        <x:v>SPOT</x:v>
      </x:c>
      <x:c r="K421" s="23" t="str">
        <x:v>favored_only</x:v>
      </x:c>
      <x:c r="L421" s="24" t="b">
        <x:v>1</x:v>
      </x:c>
      <x:c r="M421" s="23" t="n">
        <x:v>1</x:v>
      </x:c>
      <x:c r="N421" s="28" t="n">
        <x:v>46219.812988715275</x:v>
      </x:c>
      <x:c r="O421" s="28" t="n">
        <x:v>46219.812988715275</x:v>
      </x:c>
      <x:c r="P421" s="23" t="str">
        <x:v>CUIABA</x:v>
      </x:c>
      <x:c r="Q421" s="30" t="n">
        <x:v>37811</x:v>
      </x:c>
      <x:c r="R421" s="22" t="str">
        <x:f>"28855191"</x:f>
        <x:v>28855191</x:v>
      </x:c>
      <x:c r="S421" s="23" t="str">
        <x:v>masculino</x:v>
      </x:c>
      <x:c r="T421" s="22" t="str">
        <x:f>"RUH6C86 2026"</x:f>
        <x:v>RUH6C86 2026</x:v>
      </x:c>
      <x:c r="U421" s="23" t="str">
        <x:v>RURIQUE THIAGO DOS SANTOS LAURENTINO</x:v>
      </x:c>
      <x:c r="V421" s="22" t="str">
        <x:f>"083.824.141-76"</x:f>
        <x:v>083.824.141-76</x:v>
      </x:c>
      <x:c r="W421" s="22" t="str">
        <x:f>"08382414176"</x:f>
        <x:v>08382414176</x:v>
      </x:c>
      <x:c r="X421" s="23" t="str">
        <x:v>ruriquethiago610@gmail.com</x:v>
      </x:c>
      <x:c r="Y421" s="22" t="str">
        <x:f>"65 996021638"</x:f>
        <x:v>65 996021638</x:v>
      </x:c>
      <x:c r="Z421" s="30" t="n">
        <x:v>46490</x:v>
      </x:c>
    </x:row>
    <x:row r="422" ht="18" customHeight="1">
      <x:c r="A422" s="22" t="str">
        <x:f>"58c33959-b635-4ccc-9e88-95c33cecad9a"</x:f>
        <x:v>58c33959-b635-4ccc-9e88-95c33cecad9a</x:v>
      </x:c>
      <x:c r="B422" s="23" t="str">
        <x:v>BRUNO DONE DE LIMA</x:v>
      </x:c>
      <x:c r="C422" s="23" t="str">
        <x:v>bruno done de lima</x:v>
      </x:c>
      <x:c r="D422" s="22" t="str">
        <x:f>"67.647.714/0001-67"</x:f>
        <x:v>67.647.714/0001-67</x:v>
      </x:c>
      <x:c r="E422" s="22" t="str">
        <x:f>"67647714000167"</x:f>
        <x:v>67647714000167</x:v>
      </x:c>
      <x:c r="F422" s="22" t="str">
        <x:f>"113.965.886-71"</x:f>
        <x:v>113.965.886-71</x:v>
      </x:c>
      <x:c r="G422" s="22" t="str">
        <x:f>"11396588671"</x:f>
        <x:v>11396588671</x:v>
      </x:c>
      <x:c r="H422" s="23" t="str">
        <x:v>brunodone12@gmail.com</x:v>
      </x:c>
      <x:c r="I422" s="22" t="str">
        <x:f>"(35)99905-5954"</x:f>
        <x:v>(35)99905-5954</x:v>
      </x:c>
      <x:c r="J422" s="23" t="str">
        <x:v>RENTAL</x:v>
      </x:c>
      <x:c r="K422" s="23" t="str">
        <x:v>rental_company</x:v>
      </x:c>
      <x:c r="L422" s="24" t="b">
        <x:v>1</x:v>
      </x:c>
      <x:c r="M422" s="23" t="n">
        <x:v>1</x:v>
      </x:c>
      <x:c r="N422" s="28" t="n">
        <x:v>46219.812988715275</x:v>
      </x:c>
      <x:c r="O422" s="28" t="n">
        <x:v>46219.812988715275</x:v>
      </x:c>
      <x:c r="P422" s="23" t="str">
        <x:v>POUSO ALEGRE</x:v>
      </x:c>
      <x:c r="Q422" s="30" t="n">
        <x:v>35522</x:v>
      </x:c>
      <x:c r="R422" s="22" t="str">
        <x:f>"MG17910936 SSP MG"</x:f>
        <x:v>MG17910936 SSP MG</x:v>
      </x:c>
      <x:c r="S422" s="23" t="str">
        <x:v>masculino</x:v>
      </x:c>
      <x:c r="T422" s="22" t="str"/>
      <x:c r="U422" s="23" t="str">
        <x:v>BRUNO DONE DE LIMA</x:v>
      </x:c>
      <x:c r="V422" s="22" t="str">
        <x:f>"113.965.886-71"</x:f>
        <x:v>113.965.886-71</x:v>
      </x:c>
      <x:c r="W422" s="22" t="str">
        <x:f>"11396588671"</x:f>
        <x:v>11396588671</x:v>
      </x:c>
      <x:c r="X422" s="23" t="str">
        <x:v>brunodone12@gmail.com</x:v>
      </x:c>
      <x:c r="Y422" s="22" t="str">
        <x:f>"(35)99905-5954"</x:f>
        <x:v>(35)99905-5954</x:v>
      </x:c>
      <x:c r="Z422" s="30" t="n">
        <x:v>46561</x:v>
      </x:c>
    </x:row>
    <x:row r="423" ht="18" customHeight="1">
      <x:c r="A423" s="22" t="str">
        <x:f>"64636e5e-7150-41b8-bd43-429dd363f498"</x:f>
        <x:v>64636e5e-7150-41b8-bd43-429dd363f498</x:v>
      </x:c>
      <x:c r="B423" s="23" t="str">
        <x:v>BRUNO DONIZETE DA COSTA</x:v>
      </x:c>
      <x:c r="C423" s="23" t="str">
        <x:v>bruno donizete da costa</x:v>
      </x:c>
      <x:c r="D423" s="22" t="str">
        <x:f>"63.376.489/0001-10"</x:f>
        <x:v>63.376.489/0001-10</x:v>
      </x:c>
      <x:c r="E423" s="22" t="str">
        <x:f>"63376489000110"</x:f>
        <x:v>63376489000110</x:v>
      </x:c>
      <x:c r="F423" s="22" t="str">
        <x:f>"104.664.676-13"</x:f>
        <x:v>104.664.676-13</x:v>
      </x:c>
      <x:c r="G423" s="22" t="str">
        <x:f>"10466467613"</x:f>
        <x:v>10466467613</x:v>
      </x:c>
      <x:c r="H423" s="23" t="str">
        <x:v>brunodonizete601@gmail.com</x:v>
      </x:c>
      <x:c r="I423" s="22" t="str">
        <x:f>"34997678399"</x:f>
        <x:v>34997678399</x:v>
      </x:c>
      <x:c r="J423" s="23" t="str">
        <x:v>RENTAL</x:v>
      </x:c>
      <x:c r="K423" s="23" t="str">
        <x:v>rental_company</x:v>
      </x:c>
      <x:c r="L423" s="24" t="b">
        <x:v>1</x:v>
      </x:c>
      <x:c r="M423" s="23" t="n">
        <x:v>1</x:v>
      </x:c>
      <x:c r="N423" s="28" t="n">
        <x:v>46219.812988715275</x:v>
      </x:c>
      <x:c r="O423" s="28" t="n">
        <x:v>46219.812988715275</x:v>
      </x:c>
      <x:c r="P423" s="23" t="str">
        <x:v>UBERLANDIA</x:v>
      </x:c>
      <x:c r="Q423" s="30" t="n">
        <x:v>32696</x:v>
      </x:c>
      <x:c r="R423" s="22" t="str">
        <x:f>"16791880"</x:f>
        <x:v>16791880</x:v>
      </x:c>
      <x:c r="S423" s="23" t="str">
        <x:v>masculino</x:v>
      </x:c>
      <x:c r="T423" s="22" t="str"/>
      <x:c r="U423" s="23" t="str">
        <x:v>BRUNO DONIZETE DA COSTA</x:v>
      </x:c>
      <x:c r="V423" s="22" t="str">
        <x:f>"104.664.676-13"</x:f>
        <x:v>104.664.676-13</x:v>
      </x:c>
      <x:c r="W423" s="22" t="str">
        <x:f>"10466467613"</x:f>
        <x:v>10466467613</x:v>
      </x:c>
      <x:c r="X423" s="23" t="str">
        <x:v>brunodonizete601@gmail.com</x:v>
      </x:c>
      <x:c r="Y423" s="22" t="str">
        <x:f>"34997678399"</x:f>
        <x:v>34997678399</x:v>
      </x:c>
      <x:c r="Z423" s="30" t="n">
        <x:v>46504</x:v>
      </x:c>
    </x:row>
    <x:row r="424" ht="18" customHeight="1">
      <x:c r="A424" s="22" t="str">
        <x:f>"1286b70d-dff6-4809-9812-b49720c1cce9"</x:f>
        <x:v>1286b70d-dff6-4809-9812-b49720c1cce9</x:v>
      </x:c>
      <x:c r="B424" s="23" t="str">
        <x:v>BRUNO DOS REIS NARCIZO</x:v>
      </x:c>
      <x:c r="C424" s="23" t="str">
        <x:v>bruno dos reis narcizo</x:v>
      </x:c>
      <x:c r="D424" s="22" t="str">
        <x:f>"67.318.141/0001-28"</x:f>
        <x:v>67.318.141/0001-28</x:v>
      </x:c>
      <x:c r="E424" s="22" t="str">
        <x:f>"67318141000128"</x:f>
        <x:v>67318141000128</x:v>
      </x:c>
      <x:c r="F424" s="22" t="str">
        <x:f>"065.690.066-75"</x:f>
        <x:v>065.690.066-75</x:v>
      </x:c>
      <x:c r="G424" s="22" t="str">
        <x:f>"06569006675"</x:f>
        <x:v>06569006675</x:v>
      </x:c>
      <x:c r="H424" s="23" t="str">
        <x:v>narcizobruno008@gmail.com</x:v>
      </x:c>
      <x:c r="I424" s="22" t="str">
        <x:f>"31997442750"</x:f>
        <x:v>31997442750</x:v>
      </x:c>
      <x:c r="J424" s="23" t="str">
        <x:v>SPOT</x:v>
      </x:c>
      <x:c r="K424" s="23" t="str">
        <x:v>favored_only</x:v>
      </x:c>
      <x:c r="L424" s="24" t="b">
        <x:v>1</x:v>
      </x:c>
      <x:c r="M424" s="23" t="n">
        <x:v>1</x:v>
      </x:c>
      <x:c r="N424" s="28" t="n">
        <x:v>46219.812988715275</x:v>
      </x:c>
      <x:c r="O424" s="28" t="n">
        <x:v>46219.812988715275</x:v>
      </x:c>
      <x:c r="P424" s="23" t="str">
        <x:v>CONTAGEM</x:v>
      </x:c>
      <x:c r="Q424" s="30" t="n">
        <x:v>30758</x:v>
      </x:c>
      <x:c r="R424" s="22" t="str">
        <x:f>"13499014"</x:f>
        <x:v>13499014</x:v>
      </x:c>
      <x:c r="S424" s="23" t="str">
        <x:v>masculino</x:v>
      </x:c>
      <x:c r="T424" s="22" t="str">
        <x:f>"MQF9E73"</x:f>
        <x:v>MQF9E73</x:v>
      </x:c>
      <x:c r="U424" s="23" t="str">
        <x:v>BRUNO DOS REIS NARCIZO</x:v>
      </x:c>
      <x:c r="V424" s="22" t="str">
        <x:f>"065.690.066-75"</x:f>
        <x:v>065.690.066-75</x:v>
      </x:c>
      <x:c r="W424" s="22" t="str">
        <x:f>"06569006675"</x:f>
        <x:v>06569006675</x:v>
      </x:c>
      <x:c r="X424" s="23" t="str">
        <x:v>narcizobruno008@gmail.com</x:v>
      </x:c>
      <x:c r="Y424" s="22" t="str">
        <x:f>"31997442750"</x:f>
        <x:v>31997442750</x:v>
      </x:c>
      <x:c r="Z424" s="30" t="n">
        <x:v>46556</x:v>
      </x:c>
    </x:row>
    <x:row r="425" ht="18" customHeight="1">
      <x:c r="A425" s="22" t="str">
        <x:f>"011a00ab-d16d-4ef1-84aa-af08e4ff1314"</x:f>
        <x:v>011a00ab-d16d-4ef1-84aa-af08e4ff1314</x:v>
      </x:c>
      <x:c r="B425" s="23" t="str">
        <x:v>BRUNO DOS SANTOS BATISTA</x:v>
      </x:c>
      <x:c r="C425" s="23" t="str">
        <x:v>bruno dos santos batista</x:v>
      </x:c>
      <x:c r="D425" s="22" t="str">
        <x:f>"60.237.940/0001-20"</x:f>
        <x:v>60.237.940/0001-20</x:v>
      </x:c>
      <x:c r="E425" s="22" t="str">
        <x:f>"60237940000120"</x:f>
        <x:v>60237940000120</x:v>
      </x:c>
      <x:c r="F425" s="22" t="str">
        <x:f>"139.953.737-71"</x:f>
        <x:v>139.953.737-71</x:v>
      </x:c>
      <x:c r="G425" s="22" t="str">
        <x:f>"13995373771"</x:f>
        <x:v>13995373771</x:v>
      </x:c>
      <x:c r="H425" s="23" t="str">
        <x:v>santosbruno151819@gmail.com</x:v>
      </x:c>
      <x:c r="I425" s="22" t="str">
        <x:f>"2199999-1454"</x:f>
        <x:v>2199999-1454</x:v>
      </x:c>
      <x:c r="J425" s="23" t="str">
        <x:v>SPOT</x:v>
      </x:c>
      <x:c r="K425" s="23" t="str">
        <x:v>favored_only</x:v>
      </x:c>
      <x:c r="L425" s="24" t="b">
        <x:v>1</x:v>
      </x:c>
      <x:c r="M425" s="23" t="n">
        <x:v>1</x:v>
      </x:c>
      <x:c r="N425" s="28" t="n">
        <x:v>46219.812988715275</x:v>
      </x:c>
      <x:c r="O425" s="28" t="n">
        <x:v>46219.812988715275</x:v>
      </x:c>
      <x:c r="P425" s="23" t="str">
        <x:v>CAMPO GRANDE</x:v>
      </x:c>
      <x:c r="Q425" s="30" t="n">
        <x:v>33322</x:v>
      </x:c>
      <x:c r="R425" s="22" t="str">
        <x:f>"210467965"</x:f>
        <x:v>210467965</x:v>
      </x:c>
      <x:c r="S425" s="23" t="str">
        <x:v>masculino</x:v>
      </x:c>
      <x:c r="T425" s="22" t="str">
        <x:f>"KRG7B94"</x:f>
        <x:v>KRG7B94</x:v>
      </x:c>
      <x:c r="U425" s="23" t="str">
        <x:v>BRUNO DOS SANTOS BATISTA</x:v>
      </x:c>
      <x:c r="V425" s="22" t="str">
        <x:f>"139.953.737-71"</x:f>
        <x:v>139.953.737-71</x:v>
      </x:c>
      <x:c r="W425" s="22" t="str">
        <x:f>"13995373771"</x:f>
        <x:v>13995373771</x:v>
      </x:c>
      <x:c r="X425" s="23" t="str">
        <x:v>santosbruno151819@gmail.com</x:v>
      </x:c>
      <x:c r="Y425" s="22" t="str">
        <x:f>"2199999-1454"</x:f>
        <x:v>2199999-1454</x:v>
      </x:c>
      <x:c r="Z425" s="30" t="n">
        <x:v>46564</x:v>
      </x:c>
    </x:row>
    <x:row r="426" ht="18" customHeight="1">
      <x:c r="A426" s="22" t="str">
        <x:f>"cf37779f-d185-4b9e-b4e5-c11a56055488"</x:f>
        <x:v>cf37779f-d185-4b9e-b4e5-c11a56055488</x:v>
      </x:c>
      <x:c r="B426" s="23" t="str">
        <x:v>BRUNO DOS SANTOS CAVALCANTE NASCIMENTO</x:v>
      </x:c>
      <x:c r="C426" s="23" t="str">
        <x:v>bruno dos santos cavalcante nascimento</x:v>
      </x:c>
      <x:c r="D426" s="22" t="str">
        <x:f>"38.213.947/0001-53"</x:f>
        <x:v>38.213.947/0001-53</x:v>
      </x:c>
      <x:c r="E426" s="22" t="str">
        <x:f>"38213947000153"</x:f>
        <x:v>38213947000153</x:v>
      </x:c>
      <x:c r="F426" s="22" t="str">
        <x:f>"091.331.687-33"</x:f>
        <x:v>091.331.687-33</x:v>
      </x:c>
      <x:c r="G426" s="22" t="str">
        <x:f>"09133168733"</x:f>
        <x:v>09133168733</x:v>
      </x:c>
      <x:c r="H426" s="23" t="str">
        <x:v>bruno.rjo@hotmail.com</x:v>
      </x:c>
      <x:c r="I426" s="22" t="str">
        <x:f>"21967728769"</x:f>
        <x:v>21967728769</x:v>
      </x:c>
      <x:c r="J426" s="23" t="str">
        <x:v>SPOT</x:v>
      </x:c>
      <x:c r="K426" s="23" t="str">
        <x:v>favored_only</x:v>
      </x:c>
      <x:c r="L426" s="24" t="b">
        <x:v>1</x:v>
      </x:c>
      <x:c r="M426" s="23" t="n">
        <x:v>1</x:v>
      </x:c>
      <x:c r="N426" s="28" t="n">
        <x:v>46205.60541400463</x:v>
      </x:c>
      <x:c r="O426" s="28" t="n">
        <x:v>46219.812988715275</x:v>
      </x:c>
      <x:c r="P426" s="23" t="str">
        <x:v>CORDOVIL</x:v>
      </x:c>
      <x:c r="Q426" s="30" t="n">
        <x:v>30399</x:v>
      </x:c>
      <x:c r="R426" s="22" t="str">
        <x:f>"128123213"</x:f>
        <x:v>128123213</x:v>
      </x:c>
      <x:c r="S426" s="23" t="str">
        <x:v>masculino</x:v>
      </x:c>
      <x:c r="T426" s="22" t="str">
        <x:f>"QOJ1A95"</x:f>
        <x:v>QOJ1A95</x:v>
      </x:c>
      <x:c r="U426" s="23" t="str">
        <x:v>KATIUCIA MANOELA MOUTA CAMACHO NASCIMENTO</x:v>
      </x:c>
      <x:c r="V426" s="22" t="str">
        <x:f>"115.624.967-86"</x:f>
        <x:v>115.624.967-86</x:v>
      </x:c>
      <x:c r="W426" s="22" t="str">
        <x:f>"11562496786"</x:f>
        <x:v>11562496786</x:v>
      </x:c>
      <x:c r="X426" s="23" t="str">
        <x:v>katiucianascimento17@gmail.com</x:v>
      </x:c>
      <x:c r="Y426" s="22" t="str">
        <x:f>"21996376912"</x:f>
        <x:v>21996376912</x:v>
      </x:c>
      <x:c r="Z426" s="30" t="n">
        <x:v>46323</x:v>
      </x:c>
    </x:row>
    <x:row r="427" ht="18" customHeight="1">
      <x:c r="A427" s="22" t="str">
        <x:f>"d58a9d03-0df9-485b-b646-de7ab54c3eec"</x:f>
        <x:v>d58a9d03-0df9-485b-b646-de7ab54c3eec</x:v>
      </x:c>
      <x:c r="B427" s="23" t="str">
        <x:v>BRUNO DOS SANTOS CAVALCANTE NASCIMENTO</x:v>
      </x:c>
      <x:c r="C427" s="23" t="str">
        <x:v>bruno dos santos cavalcante nascimento</x:v>
      </x:c>
      <x:c r="D427" s="22" t="str">
        <x:f>"64.135.054/0001-47"</x:f>
        <x:v>64.135.054/0001-47</x:v>
      </x:c>
      <x:c r="E427" s="22" t="str">
        <x:f>"64135054000147"</x:f>
        <x:v>64135054000147</x:v>
      </x:c>
      <x:c r="F427" s="22" t="str">
        <x:f>"091.331.687-33"</x:f>
        <x:v>091.331.687-33</x:v>
      </x:c>
      <x:c r="G427" s="22" t="str">
        <x:f>"09133168733"</x:f>
        <x:v>09133168733</x:v>
      </x:c>
      <x:c r="H427" s="23" t="str">
        <x:v>bruno.rjo@hotmail.com</x:v>
      </x:c>
      <x:c r="I427" s="22" t="str">
        <x:f>"21967728769"</x:f>
        <x:v>21967728769</x:v>
      </x:c>
      <x:c r="J427" s="23" t="str">
        <x:v>SPOT</x:v>
      </x:c>
      <x:c r="K427" s="23" t="str">
        <x:v>favored_only</x:v>
      </x:c>
      <x:c r="L427" s="24" t="b">
        <x:v>1</x:v>
      </x:c>
      <x:c r="M427" s="23" t="n">
        <x:v>1</x:v>
      </x:c>
      <x:c r="N427" s="28" t="n">
        <x:v>46203.9219084375</x:v>
      </x:c>
      <x:c r="O427" s="28" t="n">
        <x:v>46219.812988715275</x:v>
      </x:c>
      <x:c r="P427" s="23" t="str">
        <x:v>CORDOVIL</x:v>
      </x:c>
      <x:c r="Q427" s="30" t="n">
        <x:v>30399</x:v>
      </x:c>
      <x:c r="R427" s="22" t="str">
        <x:f>"128123213"</x:f>
        <x:v>128123213</x:v>
      </x:c>
      <x:c r="S427" s="23" t="str">
        <x:v>masculino</x:v>
      </x:c>
      <x:c r="T427" s="22" t="str">
        <x:f>"QOJ1A95"</x:f>
        <x:v>QOJ1A95</x:v>
      </x:c>
      <x:c r="U427" s="23" t="str">
        <x:v>BRUNO DOS SANTOS CAVALCANTE NASCIMENTO</x:v>
      </x:c>
      <x:c r="V427" s="22" t="str">
        <x:f>"091.331.687-33"</x:f>
        <x:v>091.331.687-33</x:v>
      </x:c>
      <x:c r="W427" s="22" t="str">
        <x:f>"09133168733"</x:f>
        <x:v>09133168733</x:v>
      </x:c>
      <x:c r="X427" s="23" t="str">
        <x:v>bruno.rjo@hotmail.com</x:v>
      </x:c>
      <x:c r="Y427" s="22" t="str">
        <x:f>"21967728769"</x:f>
        <x:v>21967728769</x:v>
      </x:c>
      <x:c r="Z427" s="30" t="n">
        <x:v>46385</x:v>
      </x:c>
    </x:row>
    <x:row r="428" ht="18" customHeight="1">
      <x:c r="A428" s="22" t="str">
        <x:f>"42d3a57d-21fb-4583-b53b-5e5af86819fa"</x:f>
        <x:v>42d3a57d-21fb-4583-b53b-5e5af86819fa</x:v>
      </x:c>
      <x:c r="B428" s="23" t="str">
        <x:v>BRUNO DUARTE LEAO</x:v>
      </x:c>
      <x:c r="C428" s="23" t="str">
        <x:v>bruno duarte leao</x:v>
      </x:c>
      <x:c r="D428" s="22" t="str">
        <x:f>"64.477.053/0001-80"</x:f>
        <x:v>64.477.053/0001-80</x:v>
      </x:c>
      <x:c r="E428" s="22" t="str">
        <x:f>"64477053000180"</x:f>
        <x:v>64477053000180</x:v>
      </x:c>
      <x:c r="F428" s="22" t="str">
        <x:f>"126.376.196-86"</x:f>
        <x:v>126.376.196-86</x:v>
      </x:c>
      <x:c r="G428" s="22" t="str">
        <x:f>"12637619686"</x:f>
        <x:v>12637619686</x:v>
      </x:c>
      <x:c r="H428" s="23" t="str">
        <x:v>bmservice2026@gmail.com</x:v>
      </x:c>
      <x:c r="I428" s="22" t="str">
        <x:f>"31985519778"</x:f>
        <x:v>31985519778</x:v>
      </x:c>
      <x:c r="J428" s="23" t="str">
        <x:v>RENTAL</x:v>
      </x:c>
      <x:c r="K428" s="23" t="str">
        <x:v>rental_company</x:v>
      </x:c>
      <x:c r="L428" s="24" t="b">
        <x:v>1</x:v>
      </x:c>
      <x:c r="M428" s="23" t="n">
        <x:v>1</x:v>
      </x:c>
      <x:c r="N428" s="28" t="n">
        <x:v>46203.92191240741</x:v>
      </x:c>
      <x:c r="O428" s="28" t="n">
        <x:v>46219.812988715275</x:v>
      </x:c>
      <x:c r="P428" s="23" t="str">
        <x:v>NOVA LIMA</x:v>
      </x:c>
      <x:c r="Q428" s="30" t="n">
        <x:v>34862</x:v>
      </x:c>
      <x:c r="R428" s="22" t="str">
        <x:f>"17728839"</x:f>
        <x:v>17728839</x:v>
      </x:c>
      <x:c r="S428" s="23" t="str">
        <x:v>masculino</x:v>
      </x:c>
      <x:c r="T428" s="22" t="str"/>
      <x:c r="U428" s="23" t="str">
        <x:v>BRUNO DUARTE LEAO</x:v>
      </x:c>
      <x:c r="V428" s="22" t="str">
        <x:f>"126.376.196-86"</x:f>
        <x:v>126.376.196-86</x:v>
      </x:c>
      <x:c r="W428" s="22" t="str">
        <x:f>"12637619686"</x:f>
        <x:v>12637619686</x:v>
      </x:c>
      <x:c r="X428" s="23" t="str">
        <x:v>bmservice2026@gmail.com</x:v>
      </x:c>
      <x:c r="Y428" s="22" t="str">
        <x:f>"31985519778"</x:f>
        <x:v>31985519778</x:v>
      </x:c>
      <x:c r="Z428" s="30" t="n">
        <x:v>46402</x:v>
      </x:c>
    </x:row>
    <x:row r="429" ht="18" customHeight="1">
      <x:c r="A429" s="22" t="str">
        <x:f>"99cedf4a-d795-4f9c-82b9-412ddd2d4e2a"</x:f>
        <x:v>99cedf4a-d795-4f9c-82b9-412ddd2d4e2a</x:v>
      </x:c>
      <x:c r="B429" s="23" t="str">
        <x:v>BRUNO DUARTE LEAO</x:v>
      </x:c>
      <x:c r="C429" s="23" t="str">
        <x:v>bruno duarte leao</x:v>
      </x:c>
      <x:c r="D429" s="22" t="str">
        <x:f>"64.516.369/0001-34"</x:f>
        <x:v>64.516.369/0001-34</x:v>
      </x:c>
      <x:c r="E429" s="22" t="str">
        <x:f>"64516369000134"</x:f>
        <x:v>64516369000134</x:v>
      </x:c>
      <x:c r="F429" s="22" t="str">
        <x:f>"126.376.196-86"</x:f>
        <x:v>126.376.196-86</x:v>
      </x:c>
      <x:c r="G429" s="22" t="str">
        <x:f>"12637619686"</x:f>
        <x:v>12637619686</x:v>
      </x:c>
      <x:c r="H429" s="23" t="str">
        <x:v>bmservice2026@gmail.com</x:v>
      </x:c>
      <x:c r="I429" s="22" t="str">
        <x:f>"31985519778"</x:f>
        <x:v>31985519778</x:v>
      </x:c>
      <x:c r="J429" s="23" t="str">
        <x:v>RENTAL</x:v>
      </x:c>
      <x:c r="K429" s="23" t="str">
        <x:v>rental_company</x:v>
      </x:c>
      <x:c r="L429" s="24" t="b">
        <x:v>1</x:v>
      </x:c>
      <x:c r="M429" s="23" t="n">
        <x:v>1</x:v>
      </x:c>
      <x:c r="N429" s="28" t="n">
        <x:v>46219.812988715275</x:v>
      </x:c>
      <x:c r="O429" s="28" t="n">
        <x:v>46219.812988715275</x:v>
      </x:c>
      <x:c r="P429" s="23" t="str">
        <x:v>NOVA LIMA</x:v>
      </x:c>
      <x:c r="Q429" s="30" t="n">
        <x:v>34862</x:v>
      </x:c>
      <x:c r="R429" s="22" t="str">
        <x:f>"17728839"</x:f>
        <x:v>17728839</x:v>
      </x:c>
      <x:c r="S429" s="23" t="str">
        <x:v>masculino</x:v>
      </x:c>
      <x:c r="T429" s="22" t="str"/>
      <x:c r="U429" s="23" t="str">
        <x:v>BRUNO DUARTE LEAO</x:v>
      </x:c>
      <x:c r="V429" s="22" t="str">
        <x:f>"126.376.196-86"</x:f>
        <x:v>126.376.196-86</x:v>
      </x:c>
      <x:c r="W429" s="22" t="str">
        <x:f>"12637619686"</x:f>
        <x:v>12637619686</x:v>
      </x:c>
      <x:c r="X429" s="23" t="str">
        <x:v>bmservice2026@gmail.com</x:v>
      </x:c>
      <x:c r="Y429" s="22" t="str">
        <x:f>"31985519778"</x:f>
        <x:v>31985519778</x:v>
      </x:c>
      <x:c r="Z429" s="30" t="n">
        <x:v>46402</x:v>
      </x:c>
    </x:row>
    <x:row r="430" ht="18" customHeight="1">
      <x:c r="A430" s="22" t="str">
        <x:f>"65642dec-872c-41db-a23d-ca84f2fc5106"</x:f>
        <x:v>65642dec-872c-41db-a23d-ca84f2fc5106</x:v>
      </x:c>
      <x:c r="B430" s="23" t="str">
        <x:v>BRUNO ENRIQUE DE LIMA</x:v>
      </x:c>
      <x:c r="C430" s="23" t="str">
        <x:v>bruno enrique de lima</x:v>
      </x:c>
      <x:c r="D430" s="22" t="str">
        <x:f>"54.770.572/0001-89"</x:f>
        <x:v>54.770.572/0001-89</x:v>
      </x:c>
      <x:c r="E430" s="22" t="str">
        <x:f>"54770572000189"</x:f>
        <x:v>54770572000189</x:v>
      </x:c>
      <x:c r="F430" s="22" t="str">
        <x:f>"414.280.408-11"</x:f>
        <x:v>414.280.408-11</x:v>
      </x:c>
      <x:c r="G430" s="22" t="str">
        <x:f>"41428040811"</x:f>
        <x:v>41428040811</x:v>
      </x:c>
      <x:c r="H430" s="23" t="str">
        <x:v>Brunolimatadashi@gmail.com</x:v>
      </x:c>
      <x:c r="I430" s="22" t="str">
        <x:f>"16-991748832"</x:f>
        <x:v>16-991748832</x:v>
      </x:c>
      <x:c r="J430" s="23" t="str">
        <x:v>SPOT</x:v>
      </x:c>
      <x:c r="K430" s="23" t="str">
        <x:v>favored_only</x:v>
      </x:c>
      <x:c r="L430" s="24" t="b">
        <x:v>1</x:v>
      </x:c>
      <x:c r="M430" s="23" t="n">
        <x:v>1</x:v>
      </x:c>
      <x:c r="N430" s="28" t="n">
        <x:v>46219.812988715275</x:v>
      </x:c>
      <x:c r="O430" s="28" t="n">
        <x:v>46219.812988715275</x:v>
      </x:c>
      <x:c r="P430" s="23" t="str">
        <x:v>SÃO CARLOS</x:v>
      </x:c>
      <x:c r="Q430" s="30" t="n">
        <x:v>33850</x:v>
      </x:c>
      <x:c r="R430" s="22" t="str">
        <x:f>"48784865-2"</x:f>
        <x:v>48784865-2</x:v>
      </x:c>
      <x:c r="S430" s="23" t="str">
        <x:v>masculino</x:v>
      </x:c>
      <x:c r="T430" s="22" t="str">
        <x:f>"EEP8B07"</x:f>
        <x:v>EEP8B07</x:v>
      </x:c>
      <x:c r="U430" s="23" t="str">
        <x:v>BRUNO ENRIQUE DE LIMA</x:v>
      </x:c>
      <x:c r="V430" s="22" t="str">
        <x:f>"414.280.408-11"</x:f>
        <x:v>414.280.408-11</x:v>
      </x:c>
      <x:c r="W430" s="22" t="str">
        <x:f>"41428040811"</x:f>
        <x:v>41428040811</x:v>
      </x:c>
      <x:c r="X430" s="23" t="str">
        <x:v>Brunolimatadashi@gmail.com</x:v>
      </x:c>
      <x:c r="Y430" s="22" t="str">
        <x:f>"16-991748832"</x:f>
        <x:v>16-991748832</x:v>
      </x:c>
      <x:c r="Z430" s="30" t="n">
        <x:v>46403</x:v>
      </x:c>
    </x:row>
    <x:row r="431" ht="18" customHeight="1">
      <x:c r="A431" s="22" t="str">
        <x:f>"20f2023a-1fa0-406d-8f62-c6c965289459"</x:f>
        <x:v>20f2023a-1fa0-406d-8f62-c6c965289459</x:v>
      </x:c>
      <x:c r="B431" s="23" t="str">
        <x:v>BRUNO FELIPE DEL VALE BRITO</x:v>
      </x:c>
      <x:c r="C431" s="23" t="str">
        <x:v>bruno felipe del vale brito</x:v>
      </x:c>
      <x:c r="D431" s="22" t="str">
        <x:f>"61.808.094/0001-14"</x:f>
        <x:v>61.808.094/0001-14</x:v>
      </x:c>
      <x:c r="E431" s="22" t="str">
        <x:f>"61808094000114"</x:f>
        <x:v>61808094000114</x:v>
      </x:c>
      <x:c r="F431" s="22" t="str">
        <x:f>"089.901.186-11"</x:f>
        <x:v>089.901.186-11</x:v>
      </x:c>
      <x:c r="G431" s="22" t="str">
        <x:f>"08990118611"</x:f>
        <x:v>08990118611</x:v>
      </x:c>
      <x:c r="H431" s="23" t="str">
        <x:v>brunopamonhasdelvale@gmail.com</x:v>
      </x:c>
      <x:c r="I431" s="22" t="str">
        <x:f>"35 9929-3103"</x:f>
        <x:v>35 9929-3103</x:v>
      </x:c>
      <x:c r="J431" s="23" t="str">
        <x:v>SPOT</x:v>
      </x:c>
      <x:c r="K431" s="23" t="str">
        <x:v>favored_only</x:v>
      </x:c>
      <x:c r="L431" s="24" t="b">
        <x:v>1</x:v>
      </x:c>
      <x:c r="M431" s="23" t="n">
        <x:v>1</x:v>
      </x:c>
      <x:c r="N431" s="28" t="n">
        <x:v>46219.812988715275</x:v>
      </x:c>
      <x:c r="O431" s="28" t="n">
        <x:v>46219.812988715275</x:v>
      </x:c>
      <x:c r="P431" s="23" t="str">
        <x:v>GUAXUPE</x:v>
      </x:c>
      <x:c r="Q431" s="30" t="n">
        <x:v>32457</x:v>
      </x:c>
      <x:c r="R431" s="22" t="str">
        <x:f>"15561804"</x:f>
        <x:v>15561804</x:v>
      </x:c>
      <x:c r="S431" s="23" t="str">
        <x:v>masculino</x:v>
      </x:c>
      <x:c r="T431" s="22" t="str">
        <x:f>"ENF7D70"</x:f>
        <x:v>ENF7D70</x:v>
      </x:c>
      <x:c r="U431" s="23" t="str">
        <x:v>BRUNO FELIPE DEL VALE BRITO</x:v>
      </x:c>
      <x:c r="V431" s="22" t="str">
        <x:f>"089.901.186-11"</x:f>
        <x:v>089.901.186-11</x:v>
      </x:c>
      <x:c r="W431" s="22" t="str">
        <x:f>"08990118611"</x:f>
        <x:v>08990118611</x:v>
      </x:c>
      <x:c r="X431" s="23" t="str">
        <x:v>brunopamonhasdelvale@gmail.com</x:v>
      </x:c>
      <x:c r="Y431" s="22" t="str">
        <x:f>"35 9929-3103"</x:f>
        <x:v>35 9929-3103</x:v>
      </x:c>
      <x:c r="Z431" s="30" t="n">
        <x:v>46554</x:v>
      </x:c>
    </x:row>
    <x:row r="432" ht="18" customHeight="1">
      <x:c r="A432" s="22" t="str">
        <x:f>"cbb109ce-366f-423c-b415-5f39f1853a49"</x:f>
        <x:v>cbb109ce-366f-423c-b415-5f39f1853a49</x:v>
      </x:c>
      <x:c r="B432" s="23" t="str">
        <x:v>BRUNO FERNANDES DA SILVA</x:v>
      </x:c>
      <x:c r="C432" s="23" t="str">
        <x:v>bruno fernandes da silva</x:v>
      </x:c>
      <x:c r="D432" s="22" t="str">
        <x:f>"59.199.049/0001-68"</x:f>
        <x:v>59.199.049/0001-68</x:v>
      </x:c>
      <x:c r="E432" s="22" t="str">
        <x:f>"59199049000168"</x:f>
        <x:v>59199049000168</x:v>
      </x:c>
      <x:c r="F432" s="22" t="str">
        <x:f>"087.380.716-22"</x:f>
        <x:v>087.380.716-22</x:v>
      </x:c>
      <x:c r="G432" s="22" t="str">
        <x:f>"08738071622"</x:f>
        <x:v>08738071622</x:v>
      </x:c>
      <x:c r="H432" s="23" t="str">
        <x:v>bc132333@gmail.com</x:v>
      </x:c>
      <x:c r="I432" s="22" t="str">
        <x:f>"37991588500"</x:f>
        <x:v>37991588500</x:v>
      </x:c>
      <x:c r="J432" s="23" t="str">
        <x:v>RENTAL</x:v>
      </x:c>
      <x:c r="K432" s="23" t="str">
        <x:v>rental_company</x:v>
      </x:c>
      <x:c r="L432" s="24" t="b">
        <x:v>1</x:v>
      </x:c>
      <x:c r="M432" s="23" t="n">
        <x:v>1</x:v>
      </x:c>
      <x:c r="N432" s="28" t="n">
        <x:v>46203.921904421295</x:v>
      </x:c>
      <x:c r="O432" s="28" t="n">
        <x:v>46219.812988715275</x:v>
      </x:c>
      <x:c r="P432" s="23" t="str">
        <x:v>NOVA LIMA</x:v>
      </x:c>
      <x:c r="Q432" s="30" t="n">
        <x:v>33252</x:v>
      </x:c>
      <x:c r="R432" s="22" t="str">
        <x:f>"15632717"</x:f>
        <x:v>15632717</x:v>
      </x:c>
      <x:c r="S432" s="23" t="str">
        <x:v>masculino</x:v>
      </x:c>
      <x:c r="T432" s="22" t="str"/>
      <x:c r="U432" s="23" t="str">
        <x:v>BRUNO FERNANDES DA SILVA</x:v>
      </x:c>
      <x:c r="V432" s="22" t="str">
        <x:f>"087.380.716-22"</x:f>
        <x:v>087.380.716-22</x:v>
      </x:c>
      <x:c r="W432" s="22" t="str">
        <x:f>"08738071622"</x:f>
        <x:v>08738071622</x:v>
      </x:c>
      <x:c r="X432" s="23" t="str">
        <x:v>bc132333@gmail.com</x:v>
      </x:c>
      <x:c r="Y432" s="22" t="str">
        <x:f>"37991588500"</x:f>
        <x:v>37991588500</x:v>
      </x:c>
      <x:c r="Z432" s="30" t="n">
        <x:v>46367</x:v>
      </x:c>
    </x:row>
    <x:row r="433" ht="18" customHeight="1">
      <x:c r="A433" s="22" t="str">
        <x:f>"5ae7fae8-5a83-4ec3-9d99-b80ce8962544"</x:f>
        <x:v>5ae7fae8-5a83-4ec3-9d99-b80ce8962544</x:v>
      </x:c>
      <x:c r="B433" s="23" t="str">
        <x:v>BRUNO GUSTAVO LIMA</x:v>
      </x:c>
      <x:c r="C433" s="23" t="str">
        <x:v>bruno gustavo lima</x:v>
      </x:c>
      <x:c r="D433" s="22" t="str">
        <x:f>"45.552.178/0001-83"</x:f>
        <x:v>45.552.178/0001-83</x:v>
      </x:c>
      <x:c r="E433" s="22" t="str">
        <x:f>"45552178000183"</x:f>
        <x:v>45552178000183</x:v>
      </x:c>
      <x:c r="F433" s="22" t="str">
        <x:f>"093.556.496-90"</x:f>
        <x:v>093.556.496-90</x:v>
      </x:c>
      <x:c r="G433" s="22" t="str">
        <x:f>"09355649690"</x:f>
        <x:v>09355649690</x:v>
      </x:c>
      <x:c r="H433" s="23" t="str">
        <x:v>b.gustavolima@gmail.com</x:v>
      </x:c>
      <x:c r="I433" s="22" t="str">
        <x:f>"35997789758"</x:f>
        <x:v>35997789758</x:v>
      </x:c>
      <x:c r="J433" s="23" t="str">
        <x:v>SPOT</x:v>
      </x:c>
      <x:c r="K433" s="23" t="str">
        <x:v>favored_only</x:v>
      </x:c>
      <x:c r="L433" s="24" t="b">
        <x:v>1</x:v>
      </x:c>
      <x:c r="M433" s="23" t="n">
        <x:v>1</x:v>
      </x:c>
      <x:c r="N433" s="28" t="n">
        <x:v>46205.60681105324</x:v>
      </x:c>
      <x:c r="O433" s="28" t="n">
        <x:v>46219.812988715275</x:v>
      </x:c>
      <x:c r="P433" s="23" t="str">
        <x:v>GUAXUPE</x:v>
      </x:c>
      <x:c r="Q433" s="30" t="n">
        <x:v>33290</x:v>
      </x:c>
      <x:c r="R433" s="22" t="str">
        <x:f>"12856759"</x:f>
        <x:v>12856759</x:v>
      </x:c>
      <x:c r="S433" s="23" t="str">
        <x:v>masculino</x:v>
      </x:c>
      <x:c r="T433" s="22" t="str">
        <x:f>"FNG8B62"</x:f>
        <x:v>FNG8B62</x:v>
      </x:c>
      <x:c r="U433" s="23" t="str">
        <x:v>GABRIELA MARIA ALIPIO DE SOUZA</x:v>
      </x:c>
      <x:c r="V433" s="22" t="str">
        <x:f>"125.463.496-78"</x:f>
        <x:v>125.463.496-78</x:v>
      </x:c>
      <x:c r="W433" s="22" t="str">
        <x:f>"12546349678"</x:f>
        <x:v>12546349678</x:v>
      </x:c>
      <x:c r="X433" s="23" t="str">
        <x:v>gabialipio878@gmail.com</x:v>
      </x:c>
      <x:c r="Y433" s="22" t="str">
        <x:f>"35397287054"</x:f>
        <x:v>35397287054</x:v>
      </x:c>
      <x:c r="Z433" s="30" t="n">
        <x:v>46378</x:v>
      </x:c>
    </x:row>
    <x:row r="434" ht="18" customHeight="1">
      <x:c r="A434" s="22" t="str">
        <x:f>"642163ba-37ad-47e9-8884-068d54c78fd2"</x:f>
        <x:v>642163ba-37ad-47e9-8884-068d54c78fd2</x:v>
      </x:c>
      <x:c r="B434" s="23" t="str">
        <x:v>BRUNO HENRIQUE DE SOUZA TEIXEIRA</x:v>
      </x:c>
      <x:c r="C434" s="23" t="str">
        <x:v>bruno henrique de souza teixeira</x:v>
      </x:c>
      <x:c r="D434" s="22" t="str">
        <x:f>"37.624.531/0001-65"</x:f>
        <x:v>37.624.531/0001-65</x:v>
      </x:c>
      <x:c r="E434" s="22" t="str">
        <x:f>"37624531000165"</x:f>
        <x:v>37624531000165</x:v>
      </x:c>
      <x:c r="F434" s="22" t="str">
        <x:f>"066.663.391-69"</x:f>
        <x:v>066.663.391-69</x:v>
      </x:c>
      <x:c r="G434" s="22" t="str">
        <x:f>"06666339169"</x:f>
        <x:v>06666339169</x:v>
      </x:c>
      <x:c r="H434" s="23" t="str">
        <x:v>brunogatao92@gmail.com</x:v>
      </x:c>
      <x:c r="I434" s="22" t="str">
        <x:f>"65992222141"</x:f>
        <x:v>65992222141</x:v>
      </x:c>
      <x:c r="J434" s="23" t="str">
        <x:v>SPOT</x:v>
      </x:c>
      <x:c r="K434" s="23" t="str">
        <x:v>favored_only</x:v>
      </x:c>
      <x:c r="L434" s="24" t="b">
        <x:v>1</x:v>
      </x:c>
      <x:c r="M434" s="23" t="n">
        <x:v>1</x:v>
      </x:c>
      <x:c r="N434" s="28" t="n">
        <x:v>46219.812988715275</x:v>
      </x:c>
      <x:c r="O434" s="28" t="n">
        <x:v>46219.812988715275</x:v>
      </x:c>
      <x:c r="P434" s="23" t="str">
        <x:v>PONTES E LACERDA</x:v>
      </x:c>
      <x:c r="Q434" s="30" t="n">
        <x:v>35252</x:v>
      </x:c>
      <x:c r="R434" s="22" t="str">
        <x:f>"23404280"</x:f>
        <x:v>23404280</x:v>
      </x:c>
      <x:c r="S434" s="23" t="str">
        <x:v>masculino</x:v>
      </x:c>
      <x:c r="T434" s="22" t="str">
        <x:f>"OOS7I91"</x:f>
        <x:v>OOS7I91</x:v>
      </x:c>
      <x:c r="U434" s="23" t="str">
        <x:v>OLDAIR JOSE RIBEIRO MATOS</x:v>
      </x:c>
      <x:c r="V434" s="22" t="str">
        <x:f>"901.012.430-49"</x:f>
        <x:v>901.012.430-49</x:v>
      </x:c>
      <x:c r="W434" s="22" t="str">
        <x:f>"90101243049"</x:f>
        <x:v>90101243049</x:v>
      </x:c>
      <x:c r="X434" s="23" t="str">
        <x:v>oldairmatos73@gmail.com</x:v>
      </x:c>
      <x:c r="Y434" s="22" t="str">
        <x:f>"67996224877"</x:f>
        <x:v>67996224877</x:v>
      </x:c>
      <x:c r="Z434" s="30" t="n">
        <x:v>46406</x:v>
      </x:c>
    </x:row>
    <x:row r="435" ht="18" customHeight="1">
      <x:c r="A435" s="22" t="str">
        <x:f>"31dcf179-5788-4040-b463-ed8d2508a1a0"</x:f>
        <x:v>31dcf179-5788-4040-b463-ed8d2508a1a0</x:v>
      </x:c>
      <x:c r="B435" s="23" t="str">
        <x:v>BRUNO HENRIQUE FERREIRA</x:v>
      </x:c>
      <x:c r="C435" s="23" t="str">
        <x:v>bruno henrique ferreira</x:v>
      </x:c>
      <x:c r="D435" s="22" t="str">
        <x:f>"47.791.170/0001-03"</x:f>
        <x:v>47.791.170/0001-03</x:v>
      </x:c>
      <x:c r="E435" s="22" t="str">
        <x:f>"47791170000103"</x:f>
        <x:v>47791170000103</x:v>
      </x:c>
      <x:c r="F435" s="22" t="str">
        <x:f>"107.013.566-69"</x:f>
        <x:v>107.013.566-69</x:v>
      </x:c>
      <x:c r="G435" s="22" t="str">
        <x:f>"10701356669"</x:f>
        <x:v>10701356669</x:v>
      </x:c>
      <x:c r="H435" s="23" t="str">
        <x:v>texascellpatos@gmail.com</x:v>
      </x:c>
      <x:c r="I435" s="22" t="str">
        <x:f>"34 9963-1768"</x:f>
        <x:v>34 9963-1768</x:v>
      </x:c>
      <x:c r="J435" s="23" t="str">
        <x:v>SPOT</x:v>
      </x:c>
      <x:c r="K435" s="23" t="str">
        <x:v>favored_only</x:v>
      </x:c>
      <x:c r="L435" s="24" t="b">
        <x:v>1</x:v>
      </x:c>
      <x:c r="M435" s="23" t="n">
        <x:v>1</x:v>
      </x:c>
      <x:c r="N435" s="28" t="n">
        <x:v>46219.812988715275</x:v>
      </x:c>
      <x:c r="O435" s="28" t="n">
        <x:v>46219.812988715275</x:v>
      </x:c>
      <x:c r="P435" s="23" t="str">
        <x:v>PATOS DE MINAS</x:v>
      </x:c>
      <x:c r="Q435" s="30" t="n">
        <x:v>33555</x:v>
      </x:c>
      <x:c r="R435" s="22" t="str">
        <x:f>"MG17226022"</x:f>
        <x:v>MG17226022</x:v>
      </x:c>
      <x:c r="S435" s="23" t="str">
        <x:v>masculino</x:v>
      </x:c>
      <x:c r="T435" s="22" t="str">
        <x:f>"TCT2H39"</x:f>
        <x:v>TCT2H39</x:v>
      </x:c>
      <x:c r="U435" s="23" t="str">
        <x:v>MATHEUS HENRIQUE HAUEISEN CARDOSO</x:v>
      </x:c>
      <x:c r="V435" s="22" t="str">
        <x:f>"131.277.686-21"</x:f>
        <x:v>131.277.686-21</x:v>
      </x:c>
      <x:c r="W435" s="22" t="str">
        <x:f>"13127768621"</x:f>
        <x:v>13127768621</x:v>
      </x:c>
      <x:c r="X435" s="23" t="str">
        <x:v>mhenryhc@gmail.com</x:v>
      </x:c>
      <x:c r="Y435" s="22" t="str">
        <x:f>"34998750403"</x:f>
        <x:v>34998750403</x:v>
      </x:c>
      <x:c r="Z435" s="30" t="n">
        <x:v>46504</x:v>
      </x:c>
    </x:row>
    <x:row r="436" ht="18" customHeight="1">
      <x:c r="A436" s="22" t="str">
        <x:f>"87f45324-900f-4f8b-b51e-399f1e3caf7d"</x:f>
        <x:v>87f45324-900f-4f8b-b51e-399f1e3caf7d</x:v>
      </x:c>
      <x:c r="B436" s="23" t="str">
        <x:v>BRUNO HENRIQUE FRANCO DA SILVA</x:v>
      </x:c>
      <x:c r="C436" s="23" t="str">
        <x:v>bruno henrique franco da silva</x:v>
      </x:c>
      <x:c r="D436" s="22" t="str">
        <x:f>"57.850.731/0001-43"</x:f>
        <x:v>57.850.731/0001-43</x:v>
      </x:c>
      <x:c r="E436" s="22" t="str">
        <x:f>"57850731000143"</x:f>
        <x:v>57850731000143</x:v>
      </x:c>
      <x:c r="F436" s="22" t="str">
        <x:f>"513.568.328-30"</x:f>
        <x:v>513.568.328-30</x:v>
      </x:c>
      <x:c r="G436" s="22" t="str">
        <x:f>"51356832830"</x:f>
        <x:v>51356832830</x:v>
      </x:c>
      <x:c r="H436" s="23" t="str">
        <x:v>brunohenriquefranco14@gmail.com</x:v>
      </x:c>
      <x:c r="I436" s="22" t="str">
        <x:f>"14997594225"</x:f>
        <x:v>14997594225</x:v>
      </x:c>
      <x:c r="J436" s="23" t="str">
        <x:v>RENTAL</x:v>
      </x:c>
      <x:c r="K436" s="23" t="str">
        <x:v>rental_company</x:v>
      </x:c>
      <x:c r="L436" s="24" t="b">
        <x:v>1</x:v>
      </x:c>
      <x:c r="M436" s="23" t="n">
        <x:v>1</x:v>
      </x:c>
      <x:c r="N436" s="28" t="n">
        <x:v>46203.92183017361</x:v>
      </x:c>
      <x:c r="O436" s="28" t="n">
        <x:v>46219.812988715275</x:v>
      </x:c>
      <x:c r="P436" s="23" t="str">
        <x:v>MARILIA</x:v>
      </x:c>
      <x:c r="Q436" s="30" t="n">
        <x:v>36749</x:v>
      </x:c>
      <x:c r="R436" s="22" t="str">
        <x:f>"57129508 3"</x:f>
        <x:v>57129508 3</x:v>
      </x:c>
      <x:c r="S436" s="23" t="str">
        <x:v>masculino</x:v>
      </x:c>
      <x:c r="T436" s="22" t="str"/>
      <x:c r="U436" s="23" t="str">
        <x:v>BRUNO HENRIQUE FRANCO DA SILVA</x:v>
      </x:c>
      <x:c r="V436" s="22" t="str">
        <x:f>"513.568.328-30"</x:f>
        <x:v>513.568.328-30</x:v>
      </x:c>
      <x:c r="W436" s="22" t="str">
        <x:f>"51356832830"</x:f>
        <x:v>51356832830</x:v>
      </x:c>
      <x:c r="X436" s="23" t="str">
        <x:v>brunohenriquefranco14@gmail.com</x:v>
      </x:c>
      <x:c r="Y436" s="22" t="str">
        <x:f>"14997594225"</x:f>
        <x:v>14997594225</x:v>
      </x:c>
      <x:c r="Z436" s="30" t="n">
        <x:v>46294</x:v>
      </x:c>
    </x:row>
    <x:row r="437" ht="18" customHeight="1">
      <x:c r="A437" s="22" t="str">
        <x:f>"e85488ea-d74f-4259-b1ec-33b8fbe4be1c"</x:f>
        <x:v>e85488ea-d74f-4259-b1ec-33b8fbe4be1c</x:v>
      </x:c>
      <x:c r="B437" s="23" t="str">
        <x:v>BRUNO HENRIQUE RIBEIRO TIBURCIO</x:v>
      </x:c>
      <x:c r="C437" s="23" t="str">
        <x:v>bruno henrique ribeiro tiburcio</x:v>
      </x:c>
      <x:c r="D437" s="22" t="str">
        <x:f>"65.956.538/0001-10"</x:f>
        <x:v>65.956.538/0001-10</x:v>
      </x:c>
      <x:c r="E437" s="22" t="str">
        <x:f>"65956538000110"</x:f>
        <x:v>65956538000110</x:v>
      </x:c>
      <x:c r="F437" s="22" t="str">
        <x:f>"176.660.247-97"</x:f>
        <x:v>176.660.247-97</x:v>
      </x:c>
      <x:c r="G437" s="22" t="str">
        <x:f>"17666024797"</x:f>
        <x:v>17666024797</x:v>
      </x:c>
      <x:c r="H437" s="23" t="str">
        <x:v>brunohenriquebh.bh38@gmai.com</x:v>
      </x:c>
      <x:c r="I437" s="22" t="str">
        <x:f>"21966632069"</x:f>
        <x:v>21966632069</x:v>
      </x:c>
      <x:c r="J437" s="23" t="str">
        <x:v>SPOT</x:v>
      </x:c>
      <x:c r="K437" s="23" t="str">
        <x:v>favored_only</x:v>
      </x:c>
      <x:c r="L437" s="24" t="b">
        <x:v>1</x:v>
      </x:c>
      <x:c r="M437" s="23" t="n">
        <x:v>1</x:v>
      </x:c>
      <x:c r="N437" s="28" t="n">
        <x:v>46219.812988715275</x:v>
      </x:c>
      <x:c r="O437" s="28" t="n">
        <x:v>46219.812988715275</x:v>
      </x:c>
      <x:c r="P437" s="23" t="str">
        <x:v>QUEIMADOS</x:v>
      </x:c>
      <x:c r="Q437" s="30" t="n">
        <x:v>35572</x:v>
      </x:c>
      <x:c r="R437" s="22" t="str">
        <x:f>"302049564"</x:f>
        <x:v>302049564</x:v>
      </x:c>
      <x:c r="S437" s="23" t="str">
        <x:v>masculino</x:v>
      </x:c>
      <x:c r="T437" s="22" t="str">
        <x:f>"FDP1C93"</x:f>
        <x:v>FDP1C93</x:v>
      </x:c>
      <x:c r="U437" s="23" t="str">
        <x:v>BRUNO HENRIQUE RIBEIRO TIBURCIO</x:v>
      </x:c>
      <x:c r="V437" s="22" t="str">
        <x:f>"176.660.247-97"</x:f>
        <x:v>176.660.247-97</x:v>
      </x:c>
      <x:c r="W437" s="22" t="str">
        <x:f>"17666024797"</x:f>
        <x:v>17666024797</x:v>
      </x:c>
      <x:c r="X437" s="23" t="str">
        <x:v>brunohenriquebh.bh38@gmai.com</x:v>
      </x:c>
      <x:c r="Y437" s="22" t="str">
        <x:f>"21966632069"</x:f>
        <x:v>21966632069</x:v>
      </x:c>
      <x:c r="Z437" s="30" t="n">
        <x:v>46474</x:v>
      </x:c>
    </x:row>
    <x:row r="438" ht="18" customHeight="1">
      <x:c r="A438" s="22" t="str">
        <x:f>"34bfa47a-bfa6-4d55-a19a-43b5bf857016"</x:f>
        <x:v>34bfa47a-bfa6-4d55-a19a-43b5bf857016</x:v>
      </x:c>
      <x:c r="B438" s="23" t="str">
        <x:v>BRUNO HENRIQUE VIEIRA FERREIRA</x:v>
      </x:c>
      <x:c r="C438" s="23" t="str">
        <x:v>bruno henrique vieira ferreira</x:v>
      </x:c>
      <x:c r="D438" s="22" t="str">
        <x:f>"46.043.061/0001-37"</x:f>
        <x:v>46.043.061/0001-37</x:v>
      </x:c>
      <x:c r="E438" s="22" t="str">
        <x:f>"46043061000137"</x:f>
        <x:v>46043061000137</x:v>
      </x:c>
      <x:c r="F438" s="22" t="str">
        <x:f>"483.855.178-98"</x:f>
        <x:v>483.855.178-98</x:v>
      </x:c>
      <x:c r="G438" s="22" t="str">
        <x:f>"48385517898"</x:f>
        <x:v>48385517898</x:v>
      </x:c>
      <x:c r="H438" s="23" t="str">
        <x:v>Brunovieiraferreira25@gmail.com</x:v>
      </x:c>
      <x:c r="I438" s="22" t="str">
        <x:f>"16991899863"</x:f>
        <x:v>16991899863</x:v>
      </x:c>
      <x:c r="J438" s="23" t="str">
        <x:v>RENTAL</x:v>
      </x:c>
      <x:c r="K438" s="23" t="str">
        <x:v>rental_company</x:v>
      </x:c>
      <x:c r="L438" s="24" t="b">
        <x:v>1</x:v>
      </x:c>
      <x:c r="M438" s="23" t="n">
        <x:v>1</x:v>
      </x:c>
      <x:c r="N438" s="28" t="n">
        <x:v>46203.921887453704</x:v>
      </x:c>
      <x:c r="O438" s="28" t="n">
        <x:v>46219.812988715275</x:v>
      </x:c>
      <x:c r="P438" s="23" t="str">
        <x:v>RIBEIRAO PRETO</x:v>
      </x:c>
      <x:c r="Q438" s="30" t="n">
        <x:v>36448</x:v>
      </x:c>
      <x:c r="R438" s="22" t="str">
        <x:f>"586552406"</x:f>
        <x:v>586552406</x:v>
      </x:c>
      <x:c r="S438" s="23" t="str">
        <x:v>masculino</x:v>
      </x:c>
      <x:c r="T438" s="22" t="str"/>
      <x:c r="U438" s="23" t="str">
        <x:v>BRUNO HENRIQUE VIEIRA FERREIRA</x:v>
      </x:c>
      <x:c r="V438" s="22" t="str">
        <x:f>"483.855.178-98"</x:f>
        <x:v>483.855.178-98</x:v>
      </x:c>
      <x:c r="W438" s="22" t="str">
        <x:f>"48385517898"</x:f>
        <x:v>48385517898</x:v>
      </x:c>
      <x:c r="X438" s="23" t="str">
        <x:v>Brunovieiraferreira25@gmail.com</x:v>
      </x:c>
      <x:c r="Y438" s="22" t="str">
        <x:f>"16991899863"</x:f>
        <x:v>16991899863</x:v>
      </x:c>
      <x:c r="Z438" s="30" t="n">
        <x:v>46330</x:v>
      </x:c>
    </x:row>
    <x:row r="439" ht="18" customHeight="1">
      <x:c r="A439" s="22" t="str">
        <x:f>"9d7fce82-1e92-419f-9426-10250ca72f1b"</x:f>
        <x:v>9d7fce82-1e92-419f-9426-10250ca72f1b</x:v>
      </x:c>
      <x:c r="B439" s="23" t="str">
        <x:v>BRUNO JESUS RIBEIRO</x:v>
      </x:c>
      <x:c r="C439" s="23" t="str">
        <x:v>bruno jesus ribeiro</x:v>
      </x:c>
      <x:c r="D439" s="22" t="str">
        <x:f>"60.445.555/0001-79"</x:f>
        <x:v>60.445.555/0001-79</x:v>
      </x:c>
      <x:c r="E439" s="22" t="str">
        <x:f>"60445555000179"</x:f>
        <x:v>60445555000179</x:v>
      </x:c>
      <x:c r="F439" s="22" t="str">
        <x:f>"389.133.538-57"</x:f>
        <x:v>389.133.538-57</x:v>
      </x:c>
      <x:c r="G439" s="22" t="str">
        <x:f>"38913353857"</x:f>
        <x:v>38913353857</x:v>
      </x:c>
      <x:c r="H439" s="23" t="str">
        <x:v>brunoomarion66@gmail.com</x:v>
      </x:c>
      <x:c r="I439" s="22" t="str">
        <x:f>"11993525928"</x:f>
        <x:v>11993525928</x:v>
      </x:c>
      <x:c r="J439" s="23" t="str">
        <x:v>SPOT</x:v>
      </x:c>
      <x:c r="K439" s="23" t="str">
        <x:v>favored_only</x:v>
      </x:c>
      <x:c r="L439" s="24" t="b">
        <x:v>1</x:v>
      </x:c>
      <x:c r="M439" s="23" t="n">
        <x:v>1</x:v>
      </x:c>
      <x:c r="N439" s="28" t="n">
        <x:v>46219.812988715275</x:v>
      </x:c>
      <x:c r="O439" s="28" t="n">
        <x:v>46219.812988715275</x:v>
      </x:c>
      <x:c r="P439" s="23" t="str">
        <x:v>BARUERI</x:v>
      </x:c>
      <x:c r="Q439" s="30" t="n">
        <x:v>33670</x:v>
      </x:c>
      <x:c r="R439" s="22" t="str">
        <x:f>"357189036"</x:f>
        <x:v>357189036</x:v>
      </x:c>
      <x:c r="S439" s="23" t="str">
        <x:v>masculino</x:v>
      </x:c>
      <x:c r="T439" s="22" t="str">
        <x:f>"FUT4G35"</x:f>
        <x:v>FUT4G35</x:v>
      </x:c>
      <x:c r="U439" s="23" t="str">
        <x:v>BRUNO JESUS RIBEIRO</x:v>
      </x:c>
      <x:c r="V439" s="22" t="str">
        <x:f>"389.133.538-57"</x:f>
        <x:v>389.133.538-57</x:v>
      </x:c>
      <x:c r="W439" s="22" t="str">
        <x:f>"38913353857"</x:f>
        <x:v>38913353857</x:v>
      </x:c>
      <x:c r="X439" s="23" t="str">
        <x:v>brunoomarion66@gmail.com</x:v>
      </x:c>
      <x:c r="Y439" s="22" t="str">
        <x:f>"11993525928"</x:f>
        <x:v>11993525928</x:v>
      </x:c>
      <x:c r="Z439" s="30" t="n">
        <x:v>46569</x:v>
      </x:c>
    </x:row>
    <x:row r="440" ht="18" customHeight="1">
      <x:c r="A440" s="22" t="str">
        <x:f>"857a3975-beb0-4901-9694-b78ae2bfa9af"</x:f>
        <x:v>857a3975-beb0-4901-9694-b78ae2bfa9af</x:v>
      </x:c>
      <x:c r="B440" s="23" t="str">
        <x:v>BRUNO LUIS CRISPIM</x:v>
      </x:c>
      <x:c r="C440" s="23" t="str">
        <x:v>bruno luis crispim</x:v>
      </x:c>
      <x:c r="D440" s="22" t="str">
        <x:f>"67.638.893/0001-76"</x:f>
        <x:v>67.638.893/0001-76</x:v>
      </x:c>
      <x:c r="E440" s="22" t="str">
        <x:f>"67638893000176"</x:f>
        <x:v>67638893000176</x:v>
      </x:c>
      <x:c r="F440" s="22" t="str">
        <x:f>"098.822.736-37"</x:f>
        <x:v>098.822.736-37</x:v>
      </x:c>
      <x:c r="G440" s="22" t="str">
        <x:f>"09882273637"</x:f>
        <x:v>09882273637</x:v>
      </x:c>
      <x:c r="H440" s="23" t="str">
        <x:v>brunocrispim21@gmail.com</x:v>
      </x:c>
      <x:c r="I440" s="22" t="str">
        <x:f>"34984048115"</x:f>
        <x:v>34984048115</x:v>
      </x:c>
      <x:c r="J440" s="23" t="str">
        <x:v>RENTAL</x:v>
      </x:c>
      <x:c r="K440" s="23" t="str">
        <x:v>rental_company</x:v>
      </x:c>
      <x:c r="L440" s="24" t="b">
        <x:v>1</x:v>
      </x:c>
      <x:c r="M440" s="23" t="n">
        <x:v>1</x:v>
      </x:c>
      <x:c r="N440" s="28" t="n">
        <x:v>46219.812988715275</x:v>
      </x:c>
      <x:c r="O440" s="28" t="n">
        <x:v>46219.812988715275</x:v>
      </x:c>
      <x:c r="P440" s="23" t="str">
        <x:v>UBERABA</x:v>
      </x:c>
      <x:c r="Q440" s="30" t="n">
        <x:v>33677</x:v>
      </x:c>
      <x:c r="R440" s="22" t="str">
        <x:f>"16502664"</x:f>
        <x:v>16502664</x:v>
      </x:c>
      <x:c r="S440" s="23" t="str">
        <x:v>masculino</x:v>
      </x:c>
      <x:c r="T440" s="22" t="str"/>
      <x:c r="U440" s="23" t="str">
        <x:v>BRUNO LUIS CRISPIM</x:v>
      </x:c>
      <x:c r="V440" s="22" t="str">
        <x:f>"098.822.736-37"</x:f>
        <x:v>098.822.736-37</x:v>
      </x:c>
      <x:c r="W440" s="22" t="str">
        <x:f>"09882273637"</x:f>
        <x:v>09882273637</x:v>
      </x:c>
      <x:c r="X440" s="23" t="str">
        <x:v>brunocrispim21@gmail.com</x:v>
      </x:c>
      <x:c r="Y440" s="22" t="str">
        <x:f>"34984048115"</x:f>
        <x:v>34984048115</x:v>
      </x:c>
      <x:c r="Z440" s="30" t="n">
        <x:v>46562</x:v>
      </x:c>
    </x:row>
    <x:row r="441" ht="18" customHeight="1">
      <x:c r="A441" s="22" t="str">
        <x:f>"899fb40e-b285-4278-a2aa-2749696e1bea"</x:f>
        <x:v>899fb40e-b285-4278-a2aa-2749696e1bea</x:v>
      </x:c>
      <x:c r="B441" s="23" t="str">
        <x:v>BRUNO MENDES DOS SANTOS</x:v>
      </x:c>
      <x:c r="C441" s="23" t="str">
        <x:v>bruno mendes dos santos</x:v>
      </x:c>
      <x:c r="D441" s="22" t="str">
        <x:f>"62.089.634/0001-10"</x:f>
        <x:v>62.089.634/0001-10</x:v>
      </x:c>
      <x:c r="E441" s="22" t="str">
        <x:f>"62089634000110"</x:f>
        <x:v>62089634000110</x:v>
      </x:c>
      <x:c r="F441" s="22" t="str">
        <x:f>"132.231.206-02"</x:f>
        <x:v>132.231.206-02</x:v>
      </x:c>
      <x:c r="G441" s="22" t="str">
        <x:f>"13223120602"</x:f>
        <x:v>13223120602</x:v>
      </x:c>
      <x:c r="H441" s="23" t="str">
        <x:v>brusamendess@gmail.com</x:v>
      </x:c>
      <x:c r="I441" s="22" t="str">
        <x:f>"34992352886"</x:f>
        <x:v>34992352886</x:v>
      </x:c>
      <x:c r="J441" s="23" t="str">
        <x:v>RENTAL</x:v>
      </x:c>
      <x:c r="K441" s="23" t="str">
        <x:v>rental_company</x:v>
      </x:c>
      <x:c r="L441" s="24" t="b">
        <x:v>1</x:v>
      </x:c>
      <x:c r="M441" s="23" t="n">
        <x:v>1</x:v>
      </x:c>
      <x:c r="N441" s="28" t="n">
        <x:v>46203.921852962965</x:v>
      </x:c>
      <x:c r="O441" s="28" t="n">
        <x:v>46219.812988715275</x:v>
      </x:c>
      <x:c r="P441" s="23" t="str">
        <x:v>UBERLANDIA</x:v>
      </x:c>
      <x:c r="Q441" s="30" t="n">
        <x:v>36268</x:v>
      </x:c>
      <x:c r="R441" s="22" t="str">
        <x:f>"MG19555190"</x:f>
        <x:v>MG19555190</x:v>
      </x:c>
      <x:c r="S441" s="23" t="str">
        <x:v>masculino</x:v>
      </x:c>
      <x:c r="T441" s="22" t="str"/>
      <x:c r="U441" s="23" t="str">
        <x:v>BRUNO MENDES DOS SANTOS</x:v>
      </x:c>
      <x:c r="V441" s="22" t="str">
        <x:f>"132.231.206-02"</x:f>
        <x:v>132.231.206-02</x:v>
      </x:c>
      <x:c r="W441" s="22" t="str">
        <x:f>"13223120602"</x:f>
        <x:v>13223120602</x:v>
      </x:c>
      <x:c r="X441" s="23" t="str">
        <x:v>brusamendess@gmail.com</x:v>
      </x:c>
      <x:c r="Y441" s="22" t="str">
        <x:f>"34992352886"</x:f>
        <x:v>34992352886</x:v>
      </x:c>
      <x:c r="Z441" s="30" t="n">
        <x:v>46242</x:v>
      </x:c>
    </x:row>
    <x:row r="442" ht="18" customHeight="1">
      <x:c r="A442" s="22" t="str">
        <x:f>"91d8de3b-83cf-4c58-8269-cf3445f5b2e5"</x:f>
        <x:v>91d8de3b-83cf-4c58-8269-cf3445f5b2e5</x:v>
      </x:c>
      <x:c r="B442" s="23" t="str">
        <x:v>BRUNO MENDES FERREIRA</x:v>
      </x:c>
      <x:c r="C442" s="23" t="str">
        <x:v>bruno mendes ferreira</x:v>
      </x:c>
      <x:c r="D442" s="22" t="str">
        <x:f>"64.018.986/0001-00"</x:f>
        <x:v>64.018.986/0001-00</x:v>
      </x:c>
      <x:c r="E442" s="22" t="str">
        <x:f>"64018986000100"</x:f>
        <x:v>64018986000100</x:v>
      </x:c>
      <x:c r="F442" s="22" t="str">
        <x:f>"459.558.448-21"</x:f>
        <x:v>459.558.448-21</x:v>
      </x:c>
      <x:c r="G442" s="22" t="str">
        <x:f>"45955844821"</x:f>
        <x:v>45955844821</x:v>
      </x:c>
      <x:c r="H442" s="23" t="str">
        <x:v>brunomendesferreira1@gmail.com</x:v>
      </x:c>
      <x:c r="I442" s="22" t="str">
        <x:f>"18 997287638"</x:f>
        <x:v>18 997287638</x:v>
      </x:c>
      <x:c r="J442" s="23" t="str">
        <x:v>RENTAL</x:v>
      </x:c>
      <x:c r="K442" s="23" t="str">
        <x:v>rental_company</x:v>
      </x:c>
      <x:c r="L442" s="24" t="b">
        <x:v>1</x:v>
      </x:c>
      <x:c r="M442" s="23" t="n">
        <x:v>1</x:v>
      </x:c>
      <x:c r="N442" s="28" t="n">
        <x:v>46203.921904421295</x:v>
      </x:c>
      <x:c r="O442" s="28" t="n">
        <x:v>46219.812988715275</x:v>
      </x:c>
      <x:c r="P442" s="23" t="str">
        <x:v>PRESIDENTE PRUDENTE</x:v>
      </x:c>
      <x:c r="Q442" s="30" t="n">
        <x:v>34546</x:v>
      </x:c>
      <x:c r="R442" s="22" t="str">
        <x:f>"40850600"</x:f>
        <x:v>40850600</x:v>
      </x:c>
      <x:c r="S442" s="23" t="str">
        <x:v>masculino</x:v>
      </x:c>
      <x:c r="T442" s="22" t="str"/>
      <x:c r="U442" s="23" t="str">
        <x:v>BRUNO MENDES FERREIRA</x:v>
      </x:c>
      <x:c r="V442" s="22" t="str">
        <x:f>"459.558.448-21"</x:f>
        <x:v>459.558.448-21</x:v>
      </x:c>
      <x:c r="W442" s="22" t="str">
        <x:f>"45955844821"</x:f>
        <x:v>45955844821</x:v>
      </x:c>
      <x:c r="X442" s="23" t="str">
        <x:v>brunomendesferreira1@gmail.com</x:v>
      </x:c>
      <x:c r="Y442" s="22" t="str">
        <x:f>"18 997287638"</x:f>
        <x:v>18 997287638</x:v>
      </x:c>
      <x:c r="Z442" s="30" t="n">
        <x:v>46371</x:v>
      </x:c>
    </x:row>
    <x:row r="443" ht="18" customHeight="1">
      <x:c r="A443" s="22" t="str">
        <x:f>"7fd6a265-c64b-48e6-931c-1cb1df534a71"</x:f>
        <x:v>7fd6a265-c64b-48e6-931c-1cb1df534a71</x:v>
      </x:c>
      <x:c r="B443" s="23" t="str">
        <x:v>BRUNO MOTA LIMA</x:v>
      </x:c>
      <x:c r="C443" s="23" t="str">
        <x:v>bruno mota lima</x:v>
      </x:c>
      <x:c r="D443" s="22" t="str">
        <x:f>"62.281.599/0001-36"</x:f>
        <x:v>62.281.599/0001-36</x:v>
      </x:c>
      <x:c r="E443" s="22" t="str">
        <x:f>"62281599000136"</x:f>
        <x:v>62281599000136</x:v>
      </x:c>
      <x:c r="F443" s="22" t="str">
        <x:f>"456.718.898-55"</x:f>
        <x:v>456.718.898-55</x:v>
      </x:c>
      <x:c r="G443" s="22" t="str">
        <x:f>"45671889855"</x:f>
        <x:v>45671889855</x:v>
      </x:c>
      <x:c r="H443" s="23" t="str">
        <x:v>bruno.mota.limaa@gmail.com</x:v>
      </x:c>
      <x:c r="I443" s="22" t="str">
        <x:f>"17 98804-2507"</x:f>
        <x:v>17 98804-2507</x:v>
      </x:c>
      <x:c r="J443" s="23" t="str">
        <x:v>SPOT</x:v>
      </x:c>
      <x:c r="K443" s="23" t="str">
        <x:v>favored_only</x:v>
      </x:c>
      <x:c r="L443" s="24" t="b">
        <x:v>1</x:v>
      </x:c>
      <x:c r="M443" s="23" t="n">
        <x:v>1</x:v>
      </x:c>
      <x:c r="N443" s="28" t="n">
        <x:v>46205.60604075232</x:v>
      </x:c>
      <x:c r="O443" s="28" t="n">
        <x:v>46219.812988715275</x:v>
      </x:c>
      <x:c r="P443" s="23" t="str">
        <x:v>BARRETOS</x:v>
      </x:c>
      <x:c r="Q443" s="30" t="n">
        <x:v>35208</x:v>
      </x:c>
      <x:c r="R443" s="22" t="str">
        <x:f>"45715072"</x:f>
        <x:v>45715072</x:v>
      </x:c>
      <x:c r="S443" s="23" t="str">
        <x:v>masculino</x:v>
      </x:c>
      <x:c r="T443" s="22" t="str">
        <x:f>"FYS4D45"</x:f>
        <x:v>FYS4D45</x:v>
      </x:c>
      <x:c r="U443" s="23" t="str">
        <x:v>FELIPE MOTA LIMA</x:v>
      </x:c>
      <x:c r="V443" s="22" t="str">
        <x:f>"418.877.768-00"</x:f>
        <x:v>418.877.768-00</x:v>
      </x:c>
      <x:c r="W443" s="22" t="str">
        <x:f>"41887776800"</x:f>
        <x:v>41887776800</x:v>
      </x:c>
      <x:c r="X443" s="23" t="str">
        <x:v>felipe.mota.lima@hotmail.com</x:v>
      </x:c>
      <x:c r="Y443" s="22" t="str">
        <x:f>"16 99176-0569"</x:f>
        <x:v>16 99176-0569</x:v>
      </x:c>
      <x:c r="Z443" s="30" t="n">
        <x:v>46340</x:v>
      </x:c>
    </x:row>
    <x:row r="444" ht="18" customHeight="1">
      <x:c r="A444" s="22" t="str">
        <x:f>"0a76524e-d48d-4c35-b726-61ce8420de10"</x:f>
        <x:v>0a76524e-d48d-4c35-b726-61ce8420de10</x:v>
      </x:c>
      <x:c r="B444" s="23" t="str">
        <x:v>BRUNO NUNES DA SILVA</x:v>
      </x:c>
      <x:c r="C444" s="23" t="str">
        <x:v>bruno nunes da silva</x:v>
      </x:c>
      <x:c r="D444" s="22" t="str">
        <x:f>"63.066.969/0001-85"</x:f>
        <x:v>63.066.969/0001-85</x:v>
      </x:c>
      <x:c r="E444" s="22" t="str">
        <x:f>"63066969000185"</x:f>
        <x:v>63066969000185</x:v>
      </x:c>
      <x:c r="F444" s="22" t="str">
        <x:f>"152.822.537-63"</x:f>
        <x:v>152.822.537-63</x:v>
      </x:c>
      <x:c r="G444" s="22" t="str">
        <x:f>"15282253763"</x:f>
        <x:v>15282253763</x:v>
      </x:c>
      <x:c r="H444" s="23" t="str">
        <x:v>brunonunes602@gmail.com</x:v>
      </x:c>
      <x:c r="I444" s="22" t="str">
        <x:f>"2196929-5863"</x:f>
        <x:v>2196929-5863</x:v>
      </x:c>
      <x:c r="J444" s="23" t="str">
        <x:v>SPOT</x:v>
      </x:c>
      <x:c r="K444" s="23" t="str">
        <x:v>favored_only</x:v>
      </x:c>
      <x:c r="L444" s="24" t="b">
        <x:v>1</x:v>
      </x:c>
      <x:c r="M444" s="23" t="n">
        <x:v>1</x:v>
      </x:c>
      <x:c r="N444" s="28" t="n">
        <x:v>46219.812988715275</x:v>
      </x:c>
      <x:c r="O444" s="28" t="n">
        <x:v>46219.812988715275</x:v>
      </x:c>
      <x:c r="P444" s="23" t="str">
        <x:v>SÃO JOAO DE MERITI</x:v>
      </x:c>
      <x:c r="Q444" s="30" t="n">
        <x:v>33951</x:v>
      </x:c>
      <x:c r="R444" s="22" t="str">
        <x:f>"21420775-5"</x:f>
        <x:v>21420775-5</x:v>
      </x:c>
      <x:c r="S444" s="23" t="str">
        <x:v>masculino</x:v>
      </x:c>
      <x:c r="T444" s="22" t="str">
        <x:f>"NKV8F76"</x:f>
        <x:v>NKV8F76</x:v>
      </x:c>
      <x:c r="U444" s="23" t="str">
        <x:v>BRUNO NUNES DA SILVA</x:v>
      </x:c>
      <x:c r="V444" s="22" t="str">
        <x:f>"152.822.537-63"</x:f>
        <x:v>152.822.537-63</x:v>
      </x:c>
      <x:c r="W444" s="22" t="str">
        <x:f>"15282253763"</x:f>
        <x:v>15282253763</x:v>
      </x:c>
      <x:c r="X444" s="23" t="str">
        <x:v>brunonunes602@gmail.com</x:v>
      </x:c>
      <x:c r="Y444" s="22" t="str">
        <x:f>"2196929-5863"</x:f>
        <x:v>2196929-5863</x:v>
      </x:c>
      <x:c r="Z444" s="30" t="n">
        <x:v>46452</x:v>
      </x:c>
    </x:row>
    <x:row r="445" ht="18" customHeight="1">
      <x:c r="A445" s="22" t="str">
        <x:f>"409bc555-ebf9-4f9a-ac9d-bbf7eb114c9e"</x:f>
        <x:v>409bc555-ebf9-4f9a-ac9d-bbf7eb114c9e</x:v>
      </x:c>
      <x:c r="B445" s="23" t="str">
        <x:v>BRUNO RAFAEL LIMA DE JESUS</x:v>
      </x:c>
      <x:c r="C445" s="23" t="str">
        <x:v>bruno rafael lima de jesus</x:v>
      </x:c>
      <x:c r="D445" s="22" t="str">
        <x:f>"54.399.729/0001-01"</x:f>
        <x:v>54.399.729/0001-01</x:v>
      </x:c>
      <x:c r="E445" s="22" t="str">
        <x:f>"54399729000101"</x:f>
        <x:v>54399729000101</x:v>
      </x:c>
      <x:c r="F445" s="22" t="str">
        <x:f>"053.067.651-65"</x:f>
        <x:v>053.067.651-65</x:v>
      </x:c>
      <x:c r="G445" s="22" t="str">
        <x:f>"05306765165"</x:f>
        <x:v>05306765165</x:v>
      </x:c>
      <x:c r="H445" s="23" t="str">
        <x:v>bruno200rafael9@gmail.com</x:v>
      </x:c>
      <x:c r="I445" s="22" t="str">
        <x:f>"65 99328-6997"</x:f>
        <x:v>65 99328-6997</x:v>
      </x:c>
      <x:c r="J445" s="23" t="str">
        <x:v>RENTAL</x:v>
      </x:c>
      <x:c r="K445" s="23" t="str">
        <x:v>rental_company</x:v>
      </x:c>
      <x:c r="L445" s="24" t="b">
        <x:v>1</x:v>
      </x:c>
      <x:c r="M445" s="23" t="n">
        <x:v>1</x:v>
      </x:c>
      <x:c r="N445" s="28" t="n">
        <x:v>46219.812988715275</x:v>
      </x:c>
      <x:c r="O445" s="28" t="n">
        <x:v>46219.812988715275</x:v>
      </x:c>
      <x:c r="P445" s="23" t="str">
        <x:v>CUIABA</x:v>
      </x:c>
      <x:c r="Q445" s="30" t="n">
        <x:v>36581</x:v>
      </x:c>
      <x:c r="R445" s="22" t="str">
        <x:f>"26392364"</x:f>
        <x:v>26392364</x:v>
      </x:c>
      <x:c r="S445" s="23" t="str">
        <x:v>masculino</x:v>
      </x:c>
      <x:c r="T445" s="22" t="str"/>
      <x:c r="U445" s="23" t="str">
        <x:v>BRUNO RAFAEL LIMA DE JESUS</x:v>
      </x:c>
      <x:c r="V445" s="22" t="str">
        <x:f>"053.067.651-65"</x:f>
        <x:v>053.067.651-65</x:v>
      </x:c>
      <x:c r="W445" s="22" t="str">
        <x:f>"05306765165"</x:f>
        <x:v>05306765165</x:v>
      </x:c>
      <x:c r="X445" s="23" t="str">
        <x:v>bruno200rafael9@gmail.com</x:v>
      </x:c>
      <x:c r="Y445" s="22" t="str">
        <x:f>"65 99328-6997"</x:f>
        <x:v>65 99328-6997</x:v>
      </x:c>
      <x:c r="Z445" s="30" t="n">
        <x:v>46449</x:v>
      </x:c>
    </x:row>
    <x:row r="446" ht="18" customHeight="1">
      <x:c r="A446" s="22" t="str">
        <x:f>"c73e0343-8069-4d41-b82e-5847ee0c8132"</x:f>
        <x:v>c73e0343-8069-4d41-b82e-5847ee0c8132</x:v>
      </x:c>
      <x:c r="B446" s="23" t="str">
        <x:v>BRUNO RITHIELLE GARCIA MARIANO</x:v>
      </x:c>
      <x:c r="C446" s="23" t="str">
        <x:v>bruno rithielle garcia mariano</x:v>
      </x:c>
      <x:c r="D446" s="22" t="str">
        <x:f>"65.553.777/0001-29"</x:f>
        <x:v>65.553.777/0001-29</x:v>
      </x:c>
      <x:c r="E446" s="22" t="str">
        <x:f>"65553777000129"</x:f>
        <x:v>65553777000129</x:v>
      </x:c>
      <x:c r="F446" s="22" t="str">
        <x:f>"462.619.538-56"</x:f>
        <x:v>462.619.538-56</x:v>
      </x:c>
      <x:c r="G446" s="22" t="str">
        <x:f>"46261953856"</x:f>
        <x:v>46261953856</x:v>
      </x:c>
      <x:c r="H446" s="23" t="str">
        <x:v>rithiellebruno@gmail.com</x:v>
      </x:c>
      <x:c r="I446" s="22" t="str">
        <x:f>"16 99724-0991"</x:f>
        <x:v>16 99724-0991</x:v>
      </x:c>
      <x:c r="J446" s="23" t="str">
        <x:v>RENTAL</x:v>
      </x:c>
      <x:c r="K446" s="23" t="str">
        <x:v>rental_company</x:v>
      </x:c>
      <x:c r="L446" s="24" t="b">
        <x:v>1</x:v>
      </x:c>
      <x:c r="M446" s="23" t="n">
        <x:v>1</x:v>
      </x:c>
      <x:c r="N446" s="28" t="n">
        <x:v>46219.812988715275</x:v>
      </x:c>
      <x:c r="O446" s="28" t="n">
        <x:v>46219.812988715275</x:v>
      </x:c>
      <x:c r="P446" s="23" t="str">
        <x:v>SÃO CARLOS</x:v>
      </x:c>
      <x:c r="Q446" s="30" t="n">
        <x:v>35044</x:v>
      </x:c>
      <x:c r="R446" s="22" t="str">
        <x:f>"45.094.494-3"</x:f>
        <x:v>45.094.494-3</x:v>
      </x:c>
      <x:c r="S446" s="23" t="str">
        <x:v>masculino</x:v>
      </x:c>
      <x:c r="T446" s="22" t="str"/>
      <x:c r="U446" s="23" t="str">
        <x:v>BRUNO RITHIELLE GARCIA MARIANO</x:v>
      </x:c>
      <x:c r="V446" s="22" t="str">
        <x:f>"462.619.538-56"</x:f>
        <x:v>462.619.538-56</x:v>
      </x:c>
      <x:c r="W446" s="22" t="str">
        <x:f>"46261953856"</x:f>
        <x:v>46261953856</x:v>
      </x:c>
      <x:c r="X446" s="23" t="str">
        <x:v>rithiellebruno@gmail.com</x:v>
      </x:c>
      <x:c r="Y446" s="22" t="str">
        <x:f>"16 99724-0991"</x:f>
        <x:v>16 99724-0991</x:v>
      </x:c>
      <x:c r="Z446" s="30" t="n">
        <x:v>46456</x:v>
      </x:c>
    </x:row>
    <x:row r="447" ht="18" customHeight="1">
      <x:c r="A447" s="22" t="str">
        <x:f>"07cd9165-fc56-4a91-bd61-d8275bb9a6e2"</x:f>
        <x:v>07cd9165-fc56-4a91-bd61-d8275bb9a6e2</x:v>
      </x:c>
      <x:c r="B447" s="23" t="str">
        <x:v>BRUNO ROMUALDO MACHADO RIBEIRO</x:v>
      </x:c>
      <x:c r="C447" s="23" t="str">
        <x:v>bruno romualdo machado ribeiro</x:v>
      </x:c>
      <x:c r="D447" s="22" t="str">
        <x:f>"44.182.409/0001-41"</x:f>
        <x:v>44.182.409/0001-41</x:v>
      </x:c>
      <x:c r="E447" s="22" t="str">
        <x:f>"44182409000141"</x:f>
        <x:v>44182409000141</x:v>
      </x:c>
      <x:c r="F447" s="22" t="str">
        <x:f>"110.159.276-10"</x:f>
        <x:v>110.159.276-10</x:v>
      </x:c>
      <x:c r="G447" s="22" t="str">
        <x:f>"11015927610"</x:f>
        <x:v>11015927610</x:v>
      </x:c>
      <x:c r="H447" s="23" t="str">
        <x:v>brunoromualdomachadoribeiro@gmail.com</x:v>
      </x:c>
      <x:c r="I447" s="22" t="str">
        <x:f>"35998101319"</x:f>
        <x:v>35998101319</x:v>
      </x:c>
      <x:c r="J447" s="23" t="str">
        <x:v>RENTAL</x:v>
      </x:c>
      <x:c r="K447" s="23" t="str">
        <x:v>rental_company</x:v>
      </x:c>
      <x:c r="L447" s="24" t="b">
        <x:v>1</x:v>
      </x:c>
      <x:c r="M447" s="23" t="n">
        <x:v>1</x:v>
      </x:c>
      <x:c r="N447" s="28" t="n">
        <x:v>46219.812988715275</x:v>
      </x:c>
      <x:c r="O447" s="28" t="n">
        <x:v>46219.812988715275</x:v>
      </x:c>
      <x:c r="P447" s="23" t="str">
        <x:v>POUSO ALEGRE</x:v>
      </x:c>
      <x:c r="Q447" s="30" t="n">
        <x:v>36617</x:v>
      </x:c>
      <x:c r="R447" s="22" t="str">
        <x:f>"19143139"</x:f>
        <x:v>19143139</x:v>
      </x:c>
      <x:c r="S447" s="23" t="str">
        <x:v>masculino</x:v>
      </x:c>
      <x:c r="T447" s="22" t="str"/>
      <x:c r="U447" s="23" t="str">
        <x:v>BRUNO ROMUALDO MACHADO RIBEIRO</x:v>
      </x:c>
      <x:c r="V447" s="22" t="str">
        <x:f>"110.159.276-10"</x:f>
        <x:v>110.159.276-10</x:v>
      </x:c>
      <x:c r="W447" s="22" t="str">
        <x:f>"11015927610"</x:f>
        <x:v>11015927610</x:v>
      </x:c>
      <x:c r="X447" s="23" t="str">
        <x:v>brunoromualdomachadoribeiro@gmail.com</x:v>
      </x:c>
      <x:c r="Y447" s="22" t="str">
        <x:f>"35998101319"</x:f>
        <x:v>35998101319</x:v>
      </x:c>
      <x:c r="Z447" s="30" t="n">
        <x:v>46542</x:v>
      </x:c>
    </x:row>
    <x:row r="448" ht="18" customHeight="1">
      <x:c r="A448" s="22" t="str">
        <x:f>"252f4c1d-f320-4080-b37a-5abf142299cc"</x:f>
        <x:v>252f4c1d-f320-4080-b37a-5abf142299cc</x:v>
      </x:c>
      <x:c r="B448" s="23" t="str">
        <x:v>BRUNO RUELA DA SILVA</x:v>
      </x:c>
      <x:c r="C448" s="23" t="str">
        <x:v>bruno ruela da silva</x:v>
      </x:c>
      <x:c r="D448" s="22" t="str">
        <x:f>"64.861.798/0001-49"</x:f>
        <x:v>64.861.798/0001-49</x:v>
      </x:c>
      <x:c r="E448" s="22" t="str">
        <x:f>"64861798000149"</x:f>
        <x:v>64861798000149</x:v>
      </x:c>
      <x:c r="F448" s="22" t="str">
        <x:f>"149.032.976-59"</x:f>
        <x:v>149.032.976-59</x:v>
      </x:c>
      <x:c r="G448" s="22" t="str">
        <x:f>"14903297659"</x:f>
        <x:v>14903297659</x:v>
      </x:c>
      <x:c r="H448" s="23" t="str">
        <x:v>brunosilvaareado2024@gmail.com</x:v>
      </x:c>
      <x:c r="I448" s="22" t="str">
        <x:f>"35997242396"</x:f>
        <x:v>35997242396</x:v>
      </x:c>
      <x:c r="J448" s="23" t="str">
        <x:v>SPOT</x:v>
      </x:c>
      <x:c r="K448" s="23" t="str">
        <x:v>favored_only</x:v>
      </x:c>
      <x:c r="L448" s="24" t="b">
        <x:v>1</x:v>
      </x:c>
      <x:c r="M448" s="23" t="n">
        <x:v>1</x:v>
      </x:c>
      <x:c r="N448" s="28" t="n">
        <x:v>46219.812988715275</x:v>
      </x:c>
      <x:c r="O448" s="28" t="n">
        <x:v>46219.812988715275</x:v>
      </x:c>
      <x:c r="P448" s="23" t="str">
        <x:v>GUAXUPE</x:v>
      </x:c>
      <x:c r="Q448" s="30" t="n">
        <x:v>35754</x:v>
      </x:c>
      <x:c r="R448" s="22" t="str">
        <x:f>"20438327"</x:f>
        <x:v>20438327</x:v>
      </x:c>
      <x:c r="S448" s="23" t="str">
        <x:v>masculino</x:v>
      </x:c>
      <x:c r="T448" s="22" t="str">
        <x:f>"FXB5800"</x:f>
        <x:v>FXB5800</x:v>
      </x:c>
      <x:c r="U448" s="23" t="str">
        <x:v>BRUNO RUELA DA SILVA</x:v>
      </x:c>
      <x:c r="V448" s="22" t="str">
        <x:f>"149.032.976-59"</x:f>
        <x:v>149.032.976-59</x:v>
      </x:c>
      <x:c r="W448" s="22" t="str">
        <x:f>"14903297659"</x:f>
        <x:v>14903297659</x:v>
      </x:c>
      <x:c r="X448" s="23" t="str">
        <x:v>brunosilvaareado2024@gmail.com</x:v>
      </x:c>
      <x:c r="Y448" s="22" t="str">
        <x:f>"35997242396"</x:f>
        <x:v>35997242396</x:v>
      </x:c>
      <x:c r="Z448" s="30" t="n">
        <x:v>46574</x:v>
      </x:c>
    </x:row>
    <x:row r="449" ht="18" customHeight="1">
      <x:c r="A449" s="22" t="str">
        <x:f>"c59bacf1-1b84-4cce-a509-c465ca46d121"</x:f>
        <x:v>c59bacf1-1b84-4cce-a509-c465ca46d121</x:v>
      </x:c>
      <x:c r="B449" s="23" t="str">
        <x:v>BRUNO SANDOL SILVA</x:v>
      </x:c>
      <x:c r="C449" s="23" t="str">
        <x:v>bruno sandol silva</x:v>
      </x:c>
      <x:c r="D449" s="22" t="str">
        <x:f>"63.026.406/0001-63"</x:f>
        <x:v>63.026.406/0001-63</x:v>
      </x:c>
      <x:c r="E449" s="22" t="str">
        <x:f>"63026406000163"</x:f>
        <x:v>63026406000163</x:v>
      </x:c>
      <x:c r="F449" s="22" t="str">
        <x:f>"004.954.711-93"</x:f>
        <x:v>004.954.711-93</x:v>
      </x:c>
      <x:c r="G449" s="22" t="str">
        <x:f>"00495471193"</x:f>
        <x:v>00495471193</x:v>
      </x:c>
      <x:c r="H449" s="23" t="str">
        <x:v>BRUNOSANDOL15@GMAIL.COM</x:v>
      </x:c>
      <x:c r="I449" s="22" t="str">
        <x:f>"65993557536"</x:f>
        <x:v>65993557536</x:v>
      </x:c>
      <x:c r="J449" s="23" t="str">
        <x:v>SPOT</x:v>
      </x:c>
      <x:c r="K449" s="23" t="str">
        <x:v>favored_only</x:v>
      </x:c>
      <x:c r="L449" s="24" t="b">
        <x:v>1</x:v>
      </x:c>
      <x:c r="M449" s="23" t="n">
        <x:v>1</x:v>
      </x:c>
      <x:c r="N449" s="28" t="n">
        <x:v>46219.812988715275</x:v>
      </x:c>
      <x:c r="O449" s="28" t="n">
        <x:v>46219.812988715275</x:v>
      </x:c>
      <x:c r="P449" s="23" t="str">
        <x:v>PONTES E LACERDA</x:v>
      </x:c>
      <x:c r="Q449" s="30" t="n">
        <x:v>37167</x:v>
      </x:c>
      <x:c r="R449" s="22" t="str">
        <x:f>"30461756"</x:f>
        <x:v>30461756</x:v>
      </x:c>
      <x:c r="S449" s="23" t="str">
        <x:v>masculino</x:v>
      </x:c>
      <x:c r="T449" s="22" t="str">
        <x:f>"QCW6B16"</x:f>
        <x:v>QCW6B16</x:v>
      </x:c>
      <x:c r="U449" s="23" t="str">
        <x:v>BRUNO SANDOL SILVA</x:v>
      </x:c>
      <x:c r="V449" s="22" t="str">
        <x:f>"004.954.711-93"</x:f>
        <x:v>004.954.711-93</x:v>
      </x:c>
      <x:c r="W449" s="22" t="str">
        <x:f>"00495471193"</x:f>
        <x:v>00495471193</x:v>
      </x:c>
      <x:c r="X449" s="23" t="str">
        <x:v>BRUNOSANDOL15@GMAIL.COM</x:v>
      </x:c>
      <x:c r="Y449" s="22" t="str">
        <x:f>"65993557536"</x:f>
        <x:v>65993557536</x:v>
      </x:c>
      <x:c r="Z449" s="30" t="n">
        <x:v>46500</x:v>
      </x:c>
    </x:row>
    <x:row r="450" ht="18" customHeight="1">
      <x:c r="A450" s="22" t="str">
        <x:f>"b3a0258c-dca8-4782-a65e-d7171cf8485c"</x:f>
        <x:v>b3a0258c-dca8-4782-a65e-d7171cf8485c</x:v>
      </x:c>
      <x:c r="B450" s="23" t="str">
        <x:v>BRUNO SOUZA DE OLIVEIRA</x:v>
      </x:c>
      <x:c r="C450" s="23" t="str">
        <x:v>bruno souza de oliveira</x:v>
      </x:c>
      <x:c r="D450" s="22" t="str">
        <x:f>"56.920.430/0001-86"</x:f>
        <x:v>56.920.430/0001-86</x:v>
      </x:c>
      <x:c r="E450" s="22" t="str">
        <x:f>"56920430000186"</x:f>
        <x:v>56920430000186</x:v>
      </x:c>
      <x:c r="F450" s="22" t="str">
        <x:f>"383.287.758-40"</x:f>
        <x:v>383.287.758-40</x:v>
      </x:c>
      <x:c r="G450" s="22" t="str">
        <x:f>"38328775840"</x:f>
        <x:v>38328775840</x:v>
      </x:c>
      <x:c r="H450" s="23" t="str">
        <x:v>bruno.oliveira.sp@hotmail.com.br</x:v>
      </x:c>
      <x:c r="I450" s="22" t="str">
        <x:f>"16 99638-4706"</x:f>
        <x:v>16 99638-4706</x:v>
      </x:c>
      <x:c r="J450" s="23" t="str">
        <x:v>RENTAL</x:v>
      </x:c>
      <x:c r="K450" s="23" t="str">
        <x:v>rental_company</x:v>
      </x:c>
      <x:c r="L450" s="24" t="b">
        <x:v>1</x:v>
      </x:c>
      <x:c r="M450" s="23" t="n">
        <x:v>1</x:v>
      </x:c>
      <x:c r="N450" s="28" t="n">
        <x:v>46203.9219084375</x:v>
      </x:c>
      <x:c r="O450" s="28" t="n">
        <x:v>46219.812988715275</x:v>
      </x:c>
      <x:c r="P450" s="23" t="str">
        <x:v>SÃO CARLOS</x:v>
      </x:c>
      <x:c r="Q450" s="30" t="n">
        <x:v>32938</x:v>
      </x:c>
      <x:c r="R450" s="22" t="str">
        <x:f>"463223792"</x:f>
        <x:v>463223792</x:v>
      </x:c>
      <x:c r="S450" s="23" t="str">
        <x:v>masculino</x:v>
      </x:c>
      <x:c r="T450" s="22" t="str"/>
      <x:c r="U450" s="23" t="str">
        <x:v>BRUNO SOUZA DE OLIVEIRA</x:v>
      </x:c>
      <x:c r="V450" s="22" t="str">
        <x:f>"383.287.758-40"</x:f>
        <x:v>383.287.758-40</x:v>
      </x:c>
      <x:c r="W450" s="22" t="str">
        <x:f>"38328775840"</x:f>
        <x:v>38328775840</x:v>
      </x:c>
      <x:c r="X450" s="23" t="str">
        <x:v>bruno.oliveira.sp@hotmail.com.br</x:v>
      </x:c>
      <x:c r="Y450" s="22" t="str">
        <x:f>"16 99638-4706"</x:f>
        <x:v>16 99638-4706</x:v>
      </x:c>
      <x:c r="Z450" s="30" t="n">
        <x:v>46389</x:v>
      </x:c>
    </x:row>
    <x:row r="451" ht="18" customHeight="1">
      <x:c r="A451" s="22" t="str">
        <x:f>"e7066449-2f73-45b1-a039-e04304587211"</x:f>
        <x:v>e7066449-2f73-45b1-a039-e04304587211</x:v>
      </x:c>
      <x:c r="B451" s="23" t="str">
        <x:v>BRUNO TADEU DOS SANTOS</x:v>
      </x:c>
      <x:c r="C451" s="23" t="str">
        <x:v>bruno tadeu dos santos</x:v>
      </x:c>
      <x:c r="D451" s="22" t="str">
        <x:f>"53.844.048/0001-42"</x:f>
        <x:v>53.844.048/0001-42</x:v>
      </x:c>
      <x:c r="E451" s="22" t="str">
        <x:f>"53844048000142"</x:f>
        <x:v>53844048000142</x:v>
      </x:c>
      <x:c r="F451" s="22" t="str">
        <x:f>"463.997.658-54"</x:f>
        <x:v>463.997.658-54</x:v>
      </x:c>
      <x:c r="G451" s="22" t="str">
        <x:f>"46399765854"</x:f>
        <x:v>46399765854</x:v>
      </x:c>
      <x:c r="H451" s="23" t="str">
        <x:v>brunotadeu0207@gmail.com</x:v>
      </x:c>
      <x:c r="I451" s="22" t="str">
        <x:f>"(17) 99624-5486"</x:f>
        <x:v>(17) 99624-5486</x:v>
      </x:c>
      <x:c r="J451" s="23" t="str">
        <x:v>SPOT</x:v>
      </x:c>
      <x:c r="K451" s="23" t="str">
        <x:v>favored_only</x:v>
      </x:c>
      <x:c r="L451" s="24" t="b">
        <x:v>1</x:v>
      </x:c>
      <x:c r="M451" s="23" t="n">
        <x:v>1</x:v>
      </x:c>
      <x:c r="N451" s="28" t="n">
        <x:v>46219.812988715275</x:v>
      </x:c>
      <x:c r="O451" s="28" t="n">
        <x:v>46219.812988715275</x:v>
      </x:c>
      <x:c r="P451" s="23" t="str">
        <x:v>JALES</x:v>
      </x:c>
      <x:c r="Q451" s="30" t="n">
        <x:v>35522</x:v>
      </x:c>
      <x:c r="R451" s="22" t="str">
        <x:f>"528454286"</x:f>
        <x:v>528454286</x:v>
      </x:c>
      <x:c r="S451" s="23" t="str">
        <x:v>masculino</x:v>
      </x:c>
      <x:c r="T451" s="22" t="str">
        <x:f>"GJW5G38"</x:f>
        <x:v>GJW5G38</x:v>
      </x:c>
      <x:c r="U451" s="23" t="str">
        <x:v>BRUNO TADEU DOS SANTOS</x:v>
      </x:c>
      <x:c r="V451" s="22" t="str">
        <x:f>"463.997.658-54"</x:f>
        <x:v>463.997.658-54</x:v>
      </x:c>
      <x:c r="W451" s="22" t="str">
        <x:f>"46399765854"</x:f>
        <x:v>46399765854</x:v>
      </x:c>
      <x:c r="X451" s="23" t="str">
        <x:v>brunotadeu0207@gmail.com</x:v>
      </x:c>
      <x:c r="Y451" s="22" t="str">
        <x:f>"(17) 99624-5486"</x:f>
        <x:v>(17) 99624-5486</x:v>
      </x:c>
      <x:c r="Z451" s="30" t="n">
        <x:v>46485</x:v>
      </x:c>
    </x:row>
    <x:row r="452" ht="18" customHeight="1">
      <x:c r="A452" s="22" t="str">
        <x:f>"b09dadd1-090c-4090-8381-040d615c7f6f"</x:f>
        <x:v>b09dadd1-090c-4090-8381-040d615c7f6f</x:v>
      </x:c>
      <x:c r="B452" s="23" t="str">
        <x:v>BRUNO TEIXEIRA DOMICIANO</x:v>
      </x:c>
      <x:c r="C452" s="23" t="str">
        <x:v>bruno teixeira domiciano</x:v>
      </x:c>
      <x:c r="D452" s="22" t="str">
        <x:f>"60.492.248/0001-49"</x:f>
        <x:v>60.492.248/0001-49</x:v>
      </x:c>
      <x:c r="E452" s="22" t="str">
        <x:f>"60492248000149"</x:f>
        <x:v>60492248000149</x:v>
      </x:c>
      <x:c r="F452" s="22" t="str">
        <x:f>"097.380.391-69"</x:f>
        <x:v>097.380.391-69</x:v>
      </x:c>
      <x:c r="G452" s="22" t="str">
        <x:f>"09738039169"</x:f>
        <x:v>09738039169</x:v>
      </x:c>
      <x:c r="H452" s="23" t="str">
        <x:v>brunodomicianoteixeira@gmail.com</x:v>
      </x:c>
      <x:c r="I452" s="22" t="str">
        <x:f>"65992138847"</x:f>
        <x:v>65992138847</x:v>
      </x:c>
      <x:c r="J452" s="23" t="str">
        <x:v>SPOT</x:v>
      </x:c>
      <x:c r="K452" s="23" t="str">
        <x:v>favored_only</x:v>
      </x:c>
      <x:c r="L452" s="24" t="b">
        <x:v>1</x:v>
      </x:c>
      <x:c r="M452" s="23" t="n">
        <x:v>1</x:v>
      </x:c>
      <x:c r="N452" s="28" t="n">
        <x:v>46205.60663650463</x:v>
      </x:c>
      <x:c r="O452" s="28" t="n">
        <x:v>46219.812988715275</x:v>
      </x:c>
      <x:c r="P452" s="23" t="str">
        <x:v>CUIABA</x:v>
      </x:c>
      <x:c r="Q452" s="30" t="n">
        <x:v>38406</x:v>
      </x:c>
      <x:c r="R452" s="22" t="str">
        <x:f>"31927157"</x:f>
        <x:v>31927157</x:v>
      </x:c>
      <x:c r="S452" s="23" t="str">
        <x:v>masculino</x:v>
      </x:c>
      <x:c r="T452" s="22" t="str">
        <x:f>"SIJ0A78"</x:f>
        <x:v>SIJ0A78</x:v>
      </x:c>
      <x:c r="U452" s="23" t="str">
        <x:v>VICTOR HUGO ANTUNES VIEIRA</x:v>
      </x:c>
      <x:c r="V452" s="22" t="str">
        <x:f>"039.196.241-81"</x:f>
        <x:v>039.196.241-81</x:v>
      </x:c>
      <x:c r="W452" s="22" t="str">
        <x:f>"03919624181"</x:f>
        <x:v>03919624181</x:v>
      </x:c>
      <x:c r="X452" s="23" t="str">
        <x:v>victor_antunes23@hotmail.com</x:v>
      </x:c>
      <x:c r="Y452" s="22" t="str">
        <x:f>"65998197307"</x:f>
        <x:v>65998197307</x:v>
      </x:c>
      <x:c r="Z452" s="30" t="n">
        <x:v>46367</x:v>
      </x:c>
    </x:row>
    <x:row r="453" ht="18" customHeight="1">
      <x:c r="A453" s="22" t="str">
        <x:f>"befc02d1-b704-4088-8339-5f3281e08d5c"</x:f>
        <x:v>befc02d1-b704-4088-8339-5f3281e08d5c</x:v>
      </x:c>
      <x:c r="B453" s="23" t="str">
        <x:v>BRUNO VIEIRA DOS SANTOS</x:v>
      </x:c>
      <x:c r="C453" s="23" t="str">
        <x:v>bruno vieira dos santos</x:v>
      </x:c>
      <x:c r="D453" s="22" t="str">
        <x:f>"60.673.905/0001-54"</x:f>
        <x:v>60.673.905/0001-54</x:v>
      </x:c>
      <x:c r="E453" s="22" t="str">
        <x:f>"60673905000154"</x:f>
        <x:v>60673905000154</x:v>
      </x:c>
      <x:c r="F453" s="22" t="str">
        <x:f>"023.569.641-26"</x:f>
        <x:v>023.569.641-26</x:v>
      </x:c>
      <x:c r="G453" s="22" t="str">
        <x:f>"02356964126"</x:f>
        <x:v>02356964126</x:v>
      </x:c>
      <x:c r="H453" s="23" t="str">
        <x:v>bv6004713@gmail.com</x:v>
      </x:c>
      <x:c r="I453" s="22" t="str">
        <x:f>"6499240-8496"</x:f>
        <x:v>6499240-8496</x:v>
      </x:c>
      <x:c r="J453" s="23" t="str">
        <x:v>RENTAL</x:v>
      </x:c>
      <x:c r="K453" s="23" t="str">
        <x:v>rental_company</x:v>
      </x:c>
      <x:c r="L453" s="24" t="b">
        <x:v>1</x:v>
      </x:c>
      <x:c r="M453" s="23" t="n">
        <x:v>1</x:v>
      </x:c>
      <x:c r="N453" s="28" t="n">
        <x:v>46203.92183332176</x:v>
      </x:c>
      <x:c r="O453" s="28" t="n">
        <x:v>46219.812988715275</x:v>
      </x:c>
      <x:c r="P453" s="23" t="str">
        <x:v>RIO VERDE</x:v>
      </x:c>
      <x:c r="Q453" s="30" t="n">
        <x:v>32648</x:v>
      </x:c>
      <x:c r="R453" s="22" t="str">
        <x:f>"5146225"</x:f>
        <x:v>5146225</x:v>
      </x:c>
      <x:c r="S453" s="23" t="str">
        <x:v>masculino</x:v>
      </x:c>
      <x:c r="T453" s="22" t="str"/>
      <x:c r="U453" s="23" t="str">
        <x:v>BRUNO VIEIRA DOS SANTOS</x:v>
      </x:c>
      <x:c r="V453" s="22" t="str">
        <x:f>"023.569.641-26"</x:f>
        <x:v>023.569.641-26</x:v>
      </x:c>
      <x:c r="W453" s="22" t="str">
        <x:f>"02356964126"</x:f>
        <x:v>02356964126</x:v>
      </x:c>
      <x:c r="X453" s="23" t="str">
        <x:v>bv6004713@gmail.com</x:v>
      </x:c>
      <x:c r="Y453" s="22" t="str">
        <x:f>"6499240-8496"</x:f>
        <x:v>6499240-8496</x:v>
      </x:c>
      <x:c r="Z453" s="30" t="n">
        <x:v>46392</x:v>
      </x:c>
    </x:row>
    <x:row r="454" ht="18" customHeight="1">
      <x:c r="A454" s="22" t="str">
        <x:f>"2fa81b73-c25a-4838-a656-8c102b8f8ee5"</x:f>
        <x:v>2fa81b73-c25a-4838-a656-8c102b8f8ee5</x:v>
      </x:c>
      <x:c r="B454" s="23" t="str">
        <x:v>BRUNO XAVIER ROZENDO DA SILVA</x:v>
      </x:c>
      <x:c r="C454" s="23" t="str">
        <x:v>bruno xavier rozendo da silva</x:v>
      </x:c>
      <x:c r="D454" s="22" t="str">
        <x:f>"36.799.231/0001-54"</x:f>
        <x:v>36.799.231/0001-54</x:v>
      </x:c>
      <x:c r="E454" s="22" t="str">
        <x:f>"36799231000154"</x:f>
        <x:v>36799231000154</x:v>
      </x:c>
      <x:c r="F454" s="22" t="str">
        <x:f>"152.752.277-60"</x:f>
        <x:v>152.752.277-60</x:v>
      </x:c>
      <x:c r="G454" s="22" t="str">
        <x:f>"15275227760"</x:f>
        <x:v>15275227760</x:v>
      </x:c>
      <x:c r="H454" s="23" t="str">
        <x:v>xbruno069@gmail.com</x:v>
      </x:c>
      <x:c r="I454" s="22" t="str">
        <x:f>"21964717742"</x:f>
        <x:v>21964717742</x:v>
      </x:c>
      <x:c r="J454" s="23" t="str">
        <x:v>SPOT</x:v>
      </x:c>
      <x:c r="K454" s="23" t="str">
        <x:v>favored_only</x:v>
      </x:c>
      <x:c r="L454" s="24" t="b">
        <x:v>1</x:v>
      </x:c>
      <x:c r="M454" s="23" t="n">
        <x:v>1</x:v>
      </x:c>
      <x:c r="N454" s="28" t="n">
        <x:v>46203.92186462963</x:v>
      </x:c>
      <x:c r="O454" s="28" t="n">
        <x:v>46219.812988715275</x:v>
      </x:c>
      <x:c r="P454" s="23" t="str">
        <x:v>QUEIMADOS</x:v>
      </x:c>
      <x:c r="Q454" s="30" t="n">
        <x:v>34992</x:v>
      </x:c>
      <x:c r="R454" s="22" t="str">
        <x:f>"265564112"</x:f>
        <x:v>265564112</x:v>
      </x:c>
      <x:c r="S454" s="23" t="str">
        <x:v>masculino</x:v>
      </x:c>
      <x:c r="T454" s="22" t="str">
        <x:f>"kxz4d69"</x:f>
        <x:v>kxz4d69</x:v>
      </x:c>
      <x:c r="U454" s="23" t="str">
        <x:v>BRUNO XAVIER ROZENDO DA SILVA</x:v>
      </x:c>
      <x:c r="V454" s="22" t="str">
        <x:f>"152.752.277-60"</x:f>
        <x:v>152.752.277-60</x:v>
      </x:c>
      <x:c r="W454" s="22" t="str">
        <x:f>"15275227760"</x:f>
        <x:v>15275227760</x:v>
      </x:c>
      <x:c r="X454" s="23" t="str">
        <x:v>xbruno069@gmail.com</x:v>
      </x:c>
      <x:c r="Y454" s="22" t="str">
        <x:f>"21964717742"</x:f>
        <x:v>21964717742</x:v>
      </x:c>
      <x:c r="Z454" s="30" t="n">
        <x:v>46281</x:v>
      </x:c>
    </x:row>
    <x:row r="455" ht="18" customHeight="1">
      <x:c r="A455" s="22" t="str">
        <x:f>"733bc19d-c0f4-4e14-9e98-0786a0809b22"</x:f>
        <x:v>733bc19d-c0f4-4e14-9e98-0786a0809b22</x:v>
      </x:c>
      <x:c r="B455" s="23" t="str">
        <x:v>BRYAN DA SILVA ALIAGA</x:v>
      </x:c>
      <x:c r="C455" s="23" t="str">
        <x:v>bryan da silva aliaga</x:v>
      </x:c>
      <x:c r="D455" s="22" t="str">
        <x:f>"64.650.277/0001-42"</x:f>
        <x:v>64.650.277/0001-42</x:v>
      </x:c>
      <x:c r="E455" s="22" t="str">
        <x:f>"64650277000142"</x:f>
        <x:v>64650277000142</x:v>
      </x:c>
      <x:c r="F455" s="22" t="str">
        <x:f>"701.869.836-70"</x:f>
        <x:v>701.869.836-70</x:v>
      </x:c>
      <x:c r="G455" s="22" t="str">
        <x:f>"70186983670"</x:f>
        <x:v>70186983670</x:v>
      </x:c>
      <x:c r="H455" s="23" t="str">
        <x:v>bryansilvah576@gmail.com</x:v>
      </x:c>
      <x:c r="I455" s="22" t="str">
        <x:f>"(35) 99143-8272"</x:f>
        <x:v>(35) 99143-8272</x:v>
      </x:c>
      <x:c r="J455" s="23" t="str">
        <x:v>rental</x:v>
      </x:c>
      <x:c r="K455" s="23" t="str">
        <x:v>rental_company</x:v>
      </x:c>
      <x:c r="L455" s="24" t="b">
        <x:v>1</x:v>
      </x:c>
      <x:c r="M455" s="23" t="n">
        <x:v>1</x:v>
      </x:c>
      <x:c r="N455" s="28" t="n">
        <x:v>46219.812988715275</x:v>
      </x:c>
      <x:c r="O455" s="28" t="n">
        <x:v>46219.812988715275</x:v>
      </x:c>
      <x:c r="P455" s="23" t="str">
        <x:v>POUSO ALEGRE</x:v>
      </x:c>
      <x:c r="Q455" s="30" t="n">
        <x:v>36903</x:v>
      </x:c>
      <x:c r="R455" s="22" t="str">
        <x:f>"701.869.836-70"</x:f>
        <x:v>701.869.836-70</x:v>
      </x:c>
      <x:c r="S455" s="23" t="str">
        <x:v>masculino</x:v>
      </x:c>
      <x:c r="T455" s="22" t="str"/>
      <x:c r="U455" s="23" t="str">
        <x:v>BRYAN DA SILVA ALIAGA</x:v>
      </x:c>
      <x:c r="V455" s="22" t="str">
        <x:f>"701.869.836-70"</x:f>
        <x:v>701.869.836-70</x:v>
      </x:c>
      <x:c r="W455" s="22" t="str">
        <x:f>"70186983670"</x:f>
        <x:v>70186983670</x:v>
      </x:c>
      <x:c r="X455" s="23" t="str">
        <x:v>bryansilvah576@gmail.com</x:v>
      </x:c>
      <x:c r="Y455" s="22" t="str">
        <x:f>"(35) 99143-8272"</x:f>
        <x:v>(35) 99143-8272</x:v>
      </x:c>
      <x:c r="Z455" s="30" t="n">
        <x:v>46570</x:v>
      </x:c>
    </x:row>
    <x:row r="456" ht="18" customHeight="1">
      <x:c r="A456" s="22" t="str">
        <x:f>"42f647b9-6f7c-46b6-a4a4-473defb33cdd"</x:f>
        <x:v>42f647b9-6f7c-46b6-a4a4-473defb33cdd</x:v>
      </x:c>
      <x:c r="B456" s="23" t="str">
        <x:v>CAIKE HENRIQUE MOREIRA DO NASCIMENTO</x:v>
      </x:c>
      <x:c r="C456" s="23" t="str">
        <x:v>caike henrique moreira do nascimento</x:v>
      </x:c>
      <x:c r="D456" s="22" t="str">
        <x:f>"64.798.527/0001-96"</x:f>
        <x:v>64.798.527/0001-96</x:v>
      </x:c>
      <x:c r="E456" s="22" t="str">
        <x:f>"64798527000196"</x:f>
        <x:v>64798527000196</x:v>
      </x:c>
      <x:c r="F456" s="22" t="str">
        <x:f>"135.180.296-81"</x:f>
        <x:v>135.180.296-81</x:v>
      </x:c>
      <x:c r="G456" s="22" t="str">
        <x:f>"13518029681"</x:f>
        <x:v>13518029681</x:v>
      </x:c>
      <x:c r="H456" s="23" t="str">
        <x:v>caikenascimento2@gmail.com</x:v>
      </x:c>
      <x:c r="I456" s="22" t="str">
        <x:f>"31994356989"</x:f>
        <x:v>31994356989</x:v>
      </x:c>
      <x:c r="J456" s="23" t="str">
        <x:v>RENTAL</x:v>
      </x:c>
      <x:c r="K456" s="23" t="str">
        <x:v>rental_company</x:v>
      </x:c>
      <x:c r="L456" s="24" t="b">
        <x:v>1</x:v>
      </x:c>
      <x:c r="M456" s="23" t="n">
        <x:v>1</x:v>
      </x:c>
      <x:c r="N456" s="28" t="n">
        <x:v>46219.812988715275</x:v>
      </x:c>
      <x:c r="O456" s="28" t="n">
        <x:v>46219.812988715275</x:v>
      </x:c>
      <x:c r="P456" s="23" t="str">
        <x:v>NOVA LIMA</x:v>
      </x:c>
      <x:c r="Q456" s="30" t="n">
        <x:v>35747</x:v>
      </x:c>
      <x:c r="R456" s="22" t="str">
        <x:f>"17682739"</x:f>
        <x:v>17682739</x:v>
      </x:c>
      <x:c r="S456" s="23" t="str">
        <x:v>masculino</x:v>
      </x:c>
      <x:c r="T456" s="22" t="str"/>
      <x:c r="U456" s="23" t="str">
        <x:v>CAIKE HENRIQUE MOREIRA DO NASCIMENTO</x:v>
      </x:c>
      <x:c r="V456" s="22" t="str">
        <x:f>"135.180.296-81"</x:f>
        <x:v>135.180.296-81</x:v>
      </x:c>
      <x:c r="W456" s="22" t="str">
        <x:f>"13518029681"</x:f>
        <x:v>13518029681</x:v>
      </x:c>
      <x:c r="X456" s="23" t="str">
        <x:v>caikenascimento2@gmail.com</x:v>
      </x:c>
      <x:c r="Y456" s="22" t="str">
        <x:f>"31994356989"</x:f>
        <x:v>31994356989</x:v>
      </x:c>
      <x:c r="Z456" s="30" t="n">
        <x:v>46446</x:v>
      </x:c>
    </x:row>
    <x:row r="457" ht="18" customHeight="1">
      <x:c r="A457" s="22" t="str">
        <x:f>"e78ae39f-3d00-4e2e-9b29-0763bbfe8bba"</x:f>
        <x:v>e78ae39f-3d00-4e2e-9b29-0763bbfe8bba</x:v>
      </x:c>
      <x:c r="B457" s="23" t="str">
        <x:v>CAIO ALEXANDRE PACHECO DA CRUZ</x:v>
      </x:c>
      <x:c r="C457" s="23" t="str">
        <x:v>caio alexandre pacheco da cruz</x:v>
      </x:c>
      <x:c r="D457" s="22" t="str">
        <x:f>"64.340.586/0001-16"</x:f>
        <x:v>64.340.586/0001-16</x:v>
      </x:c>
      <x:c r="E457" s="22" t="str">
        <x:f>"64340586000116"</x:f>
        <x:v>64340586000116</x:v>
      </x:c>
      <x:c r="F457" s="22" t="str">
        <x:f>"074.602.051-17"</x:f>
        <x:v>074.602.051-17</x:v>
      </x:c>
      <x:c r="G457" s="22" t="str">
        <x:f>"07460205117"</x:f>
        <x:v>07460205117</x:v>
      </x:c>
      <x:c r="H457" s="23" t="str">
        <x:v>alesburger2017@gmail.com</x:v>
      </x:c>
      <x:c r="I457" s="22" t="str">
        <x:f>"62992955166"</x:f>
        <x:v>62992955166</x:v>
      </x:c>
      <x:c r="J457" s="23" t="str">
        <x:v>SPOT</x:v>
      </x:c>
      <x:c r="K457" s="23" t="str">
        <x:v>favored_only</x:v>
      </x:c>
      <x:c r="L457" s="24" t="b">
        <x:v>1</x:v>
      </x:c>
      <x:c r="M457" s="23" t="n">
        <x:v>1</x:v>
      </x:c>
      <x:c r="N457" s="28" t="n">
        <x:v>46219.812988715275</x:v>
      </x:c>
      <x:c r="O457" s="28" t="n">
        <x:v>46219.812988715275</x:v>
      </x:c>
      <x:c r="P457" s="23" t="str">
        <x:v>MOZARLANDIA</x:v>
      </x:c>
      <x:c r="Q457" s="30" t="n">
        <x:v>35696</x:v>
      </x:c>
      <x:c r="R457" s="22" t="str">
        <x:f>"575816920155"</x:f>
        <x:v>575816920155</x:v>
      </x:c>
      <x:c r="S457" s="23" t="str">
        <x:v>masculino</x:v>
      </x:c>
      <x:c r="T457" s="22" t="str">
        <x:f>"PSS1E33"</x:f>
        <x:v>PSS1E33</x:v>
      </x:c>
      <x:c r="U457" s="23" t="str">
        <x:v>3A EMPREENDIMENTOS LTDA</x:v>
      </x:c>
      <x:c r="V457" s="22" t="str">
        <x:f>"842.081.201-34"</x:f>
        <x:v>842.081.201-34</x:v>
      </x:c>
      <x:c r="W457" s="22" t="str">
        <x:f>"84208120134"</x:f>
        <x:v>84208120134</x:v>
      </x:c>
      <x:c r="X457" s="23" t="str">
        <x:v>alesburger2017@gmail.com</x:v>
      </x:c>
      <x:c r="Y457" s="22" t="str">
        <x:f>"62992955166"</x:f>
        <x:v>62992955166</x:v>
      </x:c>
      <x:c r="Z457" s="30" t="n">
        <x:v>46565</x:v>
      </x:c>
    </x:row>
    <x:row r="458" ht="18" customHeight="1">
      <x:c r="A458" s="22" t="str">
        <x:f>"5a9dbecb-435c-431b-8f1a-cf437fc77f69"</x:f>
        <x:v>5a9dbecb-435c-431b-8f1a-cf437fc77f69</x:v>
      </x:c>
      <x:c r="B458" s="23" t="str">
        <x:v>CAIO ANTONIO COZZA</x:v>
      </x:c>
      <x:c r="C458" s="23" t="str">
        <x:v>caio antonio cozza</x:v>
      </x:c>
      <x:c r="D458" s="22" t="str">
        <x:f>"10.406.310/0001-64"</x:f>
        <x:v>10.406.310/0001-64</x:v>
      </x:c>
      <x:c r="E458" s="22" t="str">
        <x:f>"10406310000164"</x:f>
        <x:v>10406310000164</x:v>
      </x:c>
      <x:c r="F458" s="22" t="str">
        <x:f>"323.791.248-41"</x:f>
        <x:v>323.791.248-41</x:v>
      </x:c>
      <x:c r="G458" s="22" t="str">
        <x:f>"32379124841"</x:f>
        <x:v>32379124841</x:v>
      </x:c>
      <x:c r="H458" s="23" t="str">
        <x:v>ccozza22@gmail.com</x:v>
      </x:c>
      <x:c r="I458" s="22" t="str">
        <x:f>"16974015658"</x:f>
        <x:v>16974015658</x:v>
      </x:c>
      <x:c r="J458" s="23" t="str">
        <x:v>RENTAL</x:v>
      </x:c>
      <x:c r="K458" s="23" t="str">
        <x:v>rental_company</x:v>
      </x:c>
      <x:c r="L458" s="24" t="b">
        <x:v>1</x:v>
      </x:c>
      <x:c r="M458" s="23" t="n">
        <x:v>1</x:v>
      </x:c>
      <x:c r="N458" s="28" t="n">
        <x:v>46219.812988715275</x:v>
      </x:c>
      <x:c r="O458" s="28" t="n">
        <x:v>46219.812988715275</x:v>
      </x:c>
      <x:c r="P458" s="23" t="str">
        <x:v>SÃO CARLOS</x:v>
      </x:c>
      <x:c r="Q458" s="30" t="n">
        <x:v>30672</x:v>
      </x:c>
      <x:c r="R458" s="22" t="str">
        <x:f>"416024440"</x:f>
        <x:v>416024440</x:v>
      </x:c>
      <x:c r="S458" s="23" t="str">
        <x:v>masculino</x:v>
      </x:c>
      <x:c r="T458" s="22" t="str"/>
      <x:c r="U458" s="23" t="str">
        <x:v>CAIO ANTONIO COZZA</x:v>
      </x:c>
      <x:c r="V458" s="22" t="str">
        <x:f>"323.791.248-41"</x:f>
        <x:v>323.791.248-41</x:v>
      </x:c>
      <x:c r="W458" s="22" t="str">
        <x:f>"32379124841"</x:f>
        <x:v>32379124841</x:v>
      </x:c>
      <x:c r="X458" s="23" t="str">
        <x:v>ccozza22@gmail.com</x:v>
      </x:c>
      <x:c r="Y458" s="22" t="str">
        <x:f>"16974015658"</x:f>
        <x:v>16974015658</x:v>
      </x:c>
      <x:c r="Z458" s="30" t="n">
        <x:v>46582</x:v>
      </x:c>
    </x:row>
    <x:row r="459" ht="18" customHeight="1">
      <x:c r="A459" s="22" t="str">
        <x:f>"127efe6f-b10d-4852-88a6-c1e8f43a2608"</x:f>
        <x:v>127efe6f-b10d-4852-88a6-c1e8f43a2608</x:v>
      </x:c>
      <x:c r="B459" s="23" t="str">
        <x:v>CAIO AUGUSTO DA CONCEICAO</x:v>
      </x:c>
      <x:c r="C459" s="23" t="str">
        <x:v>caio augusto da conceicao</x:v>
      </x:c>
      <x:c r="D459" s="22" t="str">
        <x:f>"64.304.484/0001-45"</x:f>
        <x:v>64.304.484/0001-45</x:v>
      </x:c>
      <x:c r="E459" s="22" t="str">
        <x:f>"64304484000145"</x:f>
        <x:v>64304484000145</x:v>
      </x:c>
      <x:c r="F459" s="22" t="str">
        <x:f>"107.940.026-50"</x:f>
        <x:v>107.940.026-50</x:v>
      </x:c>
      <x:c r="G459" s="22" t="str">
        <x:f>"10794002650"</x:f>
        <x:v>10794002650</x:v>
      </x:c>
      <x:c r="H459" s="23" t="str">
        <x:v>jcvidal156@gmail.com</x:v>
      </x:c>
      <x:c r="I459" s="22" t="str">
        <x:f>"35991396881"</x:f>
        <x:v>35991396881</x:v>
      </x:c>
      <x:c r="J459" s="23" t="str">
        <x:v>RENTALS</x:v>
      </x:c>
      <x:c r="K459" s="23" t="str">
        <x:v>rental_company</x:v>
      </x:c>
      <x:c r="L459" s="24" t="b">
        <x:v>1</x:v>
      </x:c>
      <x:c r="M459" s="23" t="n">
        <x:v>1</x:v>
      </x:c>
      <x:c r="N459" s="28" t="n">
        <x:v>46219.812988715275</x:v>
      </x:c>
      <x:c r="O459" s="28" t="n">
        <x:v>46219.812988715275</x:v>
      </x:c>
      <x:c r="P459" s="23" t="str">
        <x:v>POUSO ALEGRE</x:v>
      </x:c>
      <x:c r="Q459" s="30" t="n">
        <x:v>33541</x:v>
      </x:c>
      <x:c r="R459" s="22" t="str">
        <x:f>"15857851"</x:f>
        <x:v>15857851</x:v>
      </x:c>
      <x:c r="S459" s="23" t="str">
        <x:v>masculino</x:v>
      </x:c>
      <x:c r="T459" s="22" t="str"/>
      <x:c r="U459" s="23" t="str">
        <x:v>CAIO AUGUSTO DA CONCEICAO</x:v>
      </x:c>
      <x:c r="V459" s="22" t="str">
        <x:f>"107.940.026-50"</x:f>
        <x:v>107.940.026-50</x:v>
      </x:c>
      <x:c r="W459" s="22" t="str">
        <x:f>"10794002650"</x:f>
        <x:v>10794002650</x:v>
      </x:c>
      <x:c r="X459" s="23" t="str">
        <x:v>jcvidal156@gmail.com</x:v>
      </x:c>
      <x:c r="Y459" s="22" t="str">
        <x:f>"35991396881"</x:f>
        <x:v>35991396881</x:v>
      </x:c>
      <x:c r="Z459" s="30" t="n">
        <x:v>46521</x:v>
      </x:c>
    </x:row>
    <x:row r="460" ht="18" customHeight="1">
      <x:c r="A460" s="22" t="str">
        <x:f>"5c0d92e6-cc81-4e55-bcbf-a704d37a9407"</x:f>
        <x:v>5c0d92e6-cc81-4e55-bcbf-a704d37a9407</x:v>
      </x:c>
      <x:c r="B460" s="23" t="str">
        <x:v>CAIO CAMACHO DAS CHAGAS</x:v>
      </x:c>
      <x:c r="C460" s="23" t="str">
        <x:v>caio camacho das chagas</x:v>
      </x:c>
      <x:c r="D460" s="22" t="str">
        <x:f>"61.711.167/0001-55"</x:f>
        <x:v>61.711.167/0001-55</x:v>
      </x:c>
      <x:c r="E460" s="22" t="str">
        <x:f>"61711167000155"</x:f>
        <x:v>61711167000155</x:v>
      </x:c>
      <x:c r="F460" s="22" t="str">
        <x:f>"189.655.377-03"</x:f>
        <x:v>189.655.377-03</x:v>
      </x:c>
      <x:c r="G460" s="22" t="str">
        <x:f>"18965537703"</x:f>
        <x:v>18965537703</x:v>
      </x:c>
      <x:c r="H460" s="23" t="str">
        <x:v>caiochagas50@gmail.com</x:v>
      </x:c>
      <x:c r="I460" s="22" t="str">
        <x:f>"21 98411-8457"</x:f>
        <x:v>21 98411-8457</x:v>
      </x:c>
      <x:c r="J460" s="23" t="str">
        <x:v>SPOT</x:v>
      </x:c>
      <x:c r="K460" s="23" t="str">
        <x:v>favored_only</x:v>
      </x:c>
      <x:c r="L460" s="24" t="b">
        <x:v>1</x:v>
      </x:c>
      <x:c r="M460" s="23" t="n">
        <x:v>1</x:v>
      </x:c>
      <x:c r="N460" s="28" t="n">
        <x:v>46219.812988715275</x:v>
      </x:c>
      <x:c r="O460" s="28" t="n">
        <x:v>46219.812988715275</x:v>
      </x:c>
      <x:c r="P460" s="23" t="str">
        <x:v>SÃO JOSE DO RIO PRETO</x:v>
      </x:c>
      <x:c r="Q460" s="30" t="n">
        <x:v>36875</x:v>
      </x:c>
      <x:c r="R460" s="22" t="str">
        <x:f>"305802738"</x:f>
        <x:v>305802738</x:v>
      </x:c>
      <x:c r="S460" s="23" t="str">
        <x:v>masculino</x:v>
      </x:c>
      <x:c r="T460" s="22" t="str">
        <x:f>"KWB4J61"</x:f>
        <x:v>KWB4J61</x:v>
      </x:c>
      <x:c r="U460" s="23" t="str">
        <x:v>CAIO CAMACHO DAS CHAGAS</x:v>
      </x:c>
      <x:c r="V460" s="22" t="str">
        <x:f>"189.655.377-03"</x:f>
        <x:v>189.655.377-03</x:v>
      </x:c>
      <x:c r="W460" s="22" t="str">
        <x:f>"18965537703"</x:f>
        <x:v>18965537703</x:v>
      </x:c>
      <x:c r="X460" s="23" t="str">
        <x:v>caiochagas50@gmail.com</x:v>
      </x:c>
      <x:c r="Y460" s="22" t="str">
        <x:f>"21 98411-8457"</x:f>
        <x:v>21 98411-8457</x:v>
      </x:c>
      <x:c r="Z460" s="30" t="n">
        <x:v>46570</x:v>
      </x:c>
    </x:row>
    <x:row r="461" ht="18" customHeight="1">
      <x:c r="A461" s="22" t="str">
        <x:f>"7ebcf6c5-3565-4b32-8db1-5702eb52755a"</x:f>
        <x:v>7ebcf6c5-3565-4b32-8db1-5702eb52755a</x:v>
      </x:c>
      <x:c r="B461" s="23" t="str">
        <x:v>CAIO CESAR PEREIRA FONTES</x:v>
      </x:c>
      <x:c r="C461" s="23" t="str">
        <x:v>caio cesar pereira fontes</x:v>
      </x:c>
      <x:c r="D461" s="22" t="str">
        <x:f>"60.300.873/0001-41"</x:f>
        <x:v>60.300.873/0001-41</x:v>
      </x:c>
      <x:c r="E461" s="22" t="str">
        <x:f>"60300873000141"</x:f>
        <x:v>60300873000141</x:v>
      </x:c>
      <x:c r="F461" s="22" t="str">
        <x:f>"035.803.161-33"</x:f>
        <x:v>035.803.161-33</x:v>
      </x:c>
      <x:c r="G461" s="22" t="str">
        <x:f>"03580316133"</x:f>
        <x:v>03580316133</x:v>
      </x:c>
      <x:c r="H461" s="23" t="str">
        <x:v>caiofontes90@gmail.com</x:v>
      </x:c>
      <x:c r="I461" s="22" t="str">
        <x:f>"65 9917-7071"</x:f>
        <x:v>65 9917-7071</x:v>
      </x:c>
      <x:c r="J461" s="23" t="str">
        <x:v>SPOT</x:v>
      </x:c>
      <x:c r="K461" s="23" t="str">
        <x:v>favored_only</x:v>
      </x:c>
      <x:c r="L461" s="24" t="b">
        <x:v>1</x:v>
      </x:c>
      <x:c r="M461" s="23" t="n">
        <x:v>1</x:v>
      </x:c>
      <x:c r="N461" s="28" t="n">
        <x:v>46219.812988715275</x:v>
      </x:c>
      <x:c r="O461" s="28" t="n">
        <x:v>46219.812988715275</x:v>
      </x:c>
      <x:c r="P461" s="23" t="str">
        <x:v>CÁCERES</x:v>
      </x:c>
      <x:c r="Q461" s="30" t="n">
        <x:v>32933</x:v>
      </x:c>
      <x:c r="R461" s="22" t="str">
        <x:f>"23048093"</x:f>
        <x:v>23048093</x:v>
      </x:c>
      <x:c r="S461" s="23" t="str">
        <x:v>masculino</x:v>
      </x:c>
      <x:c r="T461" s="22" t="str">
        <x:f>"RRP7J39"</x:f>
        <x:v>RRP7J39</x:v>
      </x:c>
      <x:c r="U461" s="23" t="str">
        <x:v>CAIO CESAR PEREIRA FONTES</x:v>
      </x:c>
      <x:c r="V461" s="22" t="str">
        <x:f>"035.803.161-33"</x:f>
        <x:v>035.803.161-33</x:v>
      </x:c>
      <x:c r="W461" s="22" t="str">
        <x:f>"03580316133"</x:f>
        <x:v>03580316133</x:v>
      </x:c>
      <x:c r="X461" s="23" t="str">
        <x:v>caiofontes90@gmail.com</x:v>
      </x:c>
      <x:c r="Y461" s="22" t="str">
        <x:f>"65 9917-7071"</x:f>
        <x:v>65 9917-7071</x:v>
      </x:c>
      <x:c r="Z461" s="30" t="n">
        <x:v>46463</x:v>
      </x:c>
    </x:row>
    <x:row r="462" ht="18" customHeight="1">
      <x:c r="A462" s="22" t="str">
        <x:f>"244ca68b-0d89-4574-aeb0-db55e7a2cd59"</x:f>
        <x:v>244ca68b-0d89-4574-aeb0-db55e7a2cd59</x:v>
      </x:c>
      <x:c r="B462" s="23" t="str">
        <x:v>CAIO DA SILVA RIBEIRO</x:v>
      </x:c>
      <x:c r="C462" s="23" t="str">
        <x:v>caio da silva ribeiro</x:v>
      </x:c>
      <x:c r="D462" s="22" t="str">
        <x:f>"66.558.376/0001-24"</x:f>
        <x:v>66.558.376/0001-24</x:v>
      </x:c>
      <x:c r="E462" s="22" t="str">
        <x:f>"66558376000124"</x:f>
        <x:v>66558376000124</x:v>
      </x:c>
      <x:c r="F462" s="22" t="str">
        <x:f>"217.249.607-33"</x:f>
        <x:v>217.249.607-33</x:v>
      </x:c>
      <x:c r="G462" s="22" t="str">
        <x:f>"21724960733"</x:f>
        <x:v>21724960733</x:v>
      </x:c>
      <x:c r="H462" s="23" t="str">
        <x:v>caiorib2565@gmail.com</x:v>
      </x:c>
      <x:c r="I462" s="22" t="str">
        <x:f>"21974882104"</x:f>
        <x:v>21974882104</x:v>
      </x:c>
      <x:c r="J462" s="23" t="str">
        <x:v>SPOT</x:v>
      </x:c>
      <x:c r="K462" s="23" t="str">
        <x:v>favored_only</x:v>
      </x:c>
      <x:c r="L462" s="24" t="b">
        <x:v>1</x:v>
      </x:c>
      <x:c r="M462" s="23" t="n">
        <x:v>1</x:v>
      </x:c>
      <x:c r="N462" s="28" t="n">
        <x:v>46219.812988715275</x:v>
      </x:c>
      <x:c r="O462" s="28" t="n">
        <x:v>46219.812988715275</x:v>
      </x:c>
      <x:c r="P462" s="23" t="str">
        <x:v>ITABORAI</x:v>
      </x:c>
      <x:c r="Q462" s="30" t="n">
        <x:v>38455</x:v>
      </x:c>
      <x:c r="R462" s="22" t="str">
        <x:f>"258647650"</x:f>
        <x:v>258647650</x:v>
      </x:c>
      <x:c r="S462" s="23" t="str">
        <x:v>masculino</x:v>
      </x:c>
      <x:c r="T462" s="22" t="str">
        <x:f>"LLF1H95"</x:f>
        <x:v>LLF1H95</x:v>
      </x:c>
      <x:c r="U462" s="23" t="str">
        <x:v>CAIO DA SILVA RIBEIRO</x:v>
      </x:c>
      <x:c r="V462" s="22" t="str">
        <x:f>"217.249.650-33"</x:f>
        <x:v>217.249.650-33</x:v>
      </x:c>
      <x:c r="W462" s="22" t="str">
        <x:f>"21724965033"</x:f>
        <x:v>21724965033</x:v>
      </x:c>
      <x:c r="X462" s="23" t="str">
        <x:v>caiorib2565@gmail.com</x:v>
      </x:c>
      <x:c r="Y462" s="22" t="str">
        <x:f>"21974882104"</x:f>
        <x:v>21974882104</x:v>
      </x:c>
      <x:c r="Z462" s="30" t="n">
        <x:v>46242</x:v>
      </x:c>
    </x:row>
    <x:row r="463" ht="18" customHeight="1">
      <x:c r="A463" s="22" t="str">
        <x:f>"0a576e5b-5ceb-47a3-afb2-af4ec0e4a352"</x:f>
        <x:v>0a576e5b-5ceb-47a3-afb2-af4ec0e4a352</x:v>
      </x:c>
      <x:c r="B463" s="23" t="str">
        <x:v>CAIO DO NASCIMENTO LIMA</x:v>
      </x:c>
      <x:c r="C463" s="23" t="str">
        <x:v>caio do nascimento lima</x:v>
      </x:c>
      <x:c r="D463" s="22" t="str">
        <x:f>"41.479.302/0001-71"</x:f>
        <x:v>41.479.302/0001-71</x:v>
      </x:c>
      <x:c r="E463" s="22" t="str">
        <x:f>"41479302000171"</x:f>
        <x:v>41479302000171</x:v>
      </x:c>
      <x:c r="F463" s="22" t="str">
        <x:f>"092.697.171-94"</x:f>
        <x:v>092.697.171-94</x:v>
      </x:c>
      <x:c r="G463" s="22" t="str">
        <x:f>"09269717194"</x:f>
        <x:v>09269717194</x:v>
      </x:c>
      <x:c r="H463" s="23" t="str">
        <x:v>caionascimentolima8@gmail.com</x:v>
      </x:c>
      <x:c r="I463" s="22" t="str">
        <x:f>"+55 66 9959-2676"</x:f>
        <x:v>+55 66 9959-2676</x:v>
      </x:c>
      <x:c r="J463" s="23" t="str">
        <x:v>SPOT</x:v>
      </x:c>
      <x:c r="K463" s="23" t="str">
        <x:v>favored_only</x:v>
      </x:c>
      <x:c r="L463" s="24" t="b">
        <x:v>1</x:v>
      </x:c>
      <x:c r="M463" s="23" t="n">
        <x:v>1</x:v>
      </x:c>
      <x:c r="N463" s="28" t="n">
        <x:v>46205.607070081016</x:v>
      </x:c>
      <x:c r="O463" s="28" t="n">
        <x:v>46219.812988715275</x:v>
      </x:c>
      <x:c r="P463" s="23" t="str">
        <x:v>SINOP</x:v>
      </x:c>
      <x:c r="Q463" s="30" t="n">
        <x:v>37905</x:v>
      </x:c>
      <x:c r="R463" s="22" t="str">
        <x:f>"539908721"</x:f>
        <x:v>539908721</x:v>
      </x:c>
      <x:c r="S463" s="23" t="str">
        <x:v>masculino</x:v>
      </x:c>
      <x:c r="T463" s="22" t="str">
        <x:f>"OBM1D64"</x:f>
        <x:v>OBM1D64</x:v>
      </x:c>
      <x:c r="U463" s="23" t="str">
        <x:v>LUIS CARLOS DA CRUZ</x:v>
      </x:c>
      <x:c r="V463" s="22" t="str">
        <x:f>"042.647.021-43"</x:f>
        <x:v>042.647.021-43</x:v>
      </x:c>
      <x:c r="W463" s="22" t="str">
        <x:f>"04264702143"</x:f>
        <x:v>04264702143</x:v>
      </x:c>
      <x:c r="X463" s="23" t="str">
        <x:v>lccruz4512@gmail.com</x:v>
      </x:c>
      <x:c r="Y463" s="22" t="str">
        <x:f>"+55 66 9281-2478"</x:f>
        <x:v>+55 66 9281-2478</x:v>
      </x:c>
      <x:c r="Z463" s="30" t="n">
        <x:v>46397</x:v>
      </x:c>
    </x:row>
    <x:row r="464" ht="18" customHeight="1">
      <x:c r="A464" s="22" t="str">
        <x:f>"de821fee-3239-48a1-88cd-cd40f51a8f9c"</x:f>
        <x:v>de821fee-3239-48a1-88cd-cd40f51a8f9c</x:v>
      </x:c>
      <x:c r="B464" s="23" t="str">
        <x:v>CAIO FELIPE NUNES BUCHINO</x:v>
      </x:c>
      <x:c r="C464" s="23" t="str">
        <x:v>caio felipe nunes buchino</x:v>
      </x:c>
      <x:c r="D464" s="22" t="str">
        <x:f>"64.386.274/0001-43"</x:f>
        <x:v>64.386.274/0001-43</x:v>
      </x:c>
      <x:c r="E464" s="22" t="str">
        <x:f>"64386274000143"</x:f>
        <x:v>64386274000143</x:v>
      </x:c>
      <x:c r="F464" s="22" t="str">
        <x:f>"439.984.578-36"</x:f>
        <x:v>439.984.578-36</x:v>
      </x:c>
      <x:c r="G464" s="22" t="str">
        <x:f>"43998457836"</x:f>
        <x:v>43998457836</x:v>
      </x:c>
      <x:c r="H464" s="23" t="str">
        <x:v>caionunes3001@gmail.com</x:v>
      </x:c>
      <x:c r="I464" s="22" t="str">
        <x:f>"17 99131-2648"</x:f>
        <x:v>17 99131-2648</x:v>
      </x:c>
      <x:c r="J464" s="23" t="str">
        <x:v>RENTAL</x:v>
      </x:c>
      <x:c r="K464" s="23" t="str">
        <x:v>rental_company</x:v>
      </x:c>
      <x:c r="L464" s="24" t="b">
        <x:v>1</x:v>
      </x:c>
      <x:c r="M464" s="23" t="n">
        <x:v>1</x:v>
      </x:c>
      <x:c r="N464" s="28" t="n">
        <x:v>46203.9219084375</x:v>
      </x:c>
      <x:c r="O464" s="28" t="n">
        <x:v>46219.812988715275</x:v>
      </x:c>
      <x:c r="P464" s="23" t="str">
        <x:v>SÃO JOSE DO RIO PRETO</x:v>
      </x:c>
      <x:c r="Q464" s="30" t="n">
        <x:v>35461</x:v>
      </x:c>
      <x:c r="R464" s="22" t="str">
        <x:f>"45547281"</x:f>
        <x:v>45547281</x:v>
      </x:c>
      <x:c r="S464" s="23" t="str">
        <x:v>masculino</x:v>
      </x:c>
      <x:c r="T464" s="22" t="str"/>
      <x:c r="U464" s="23" t="str">
        <x:v>CAIO FELIPE NUNES BUCHINO</x:v>
      </x:c>
      <x:c r="V464" s="22" t="str">
        <x:f>"439.984.578-36"</x:f>
        <x:v>439.984.578-36</x:v>
      </x:c>
      <x:c r="W464" s="22" t="str">
        <x:f>"43998457836"</x:f>
        <x:v>43998457836</x:v>
      </x:c>
      <x:c r="X464" s="23" t="str">
        <x:v>caionunes3001@gmail.com</x:v>
      </x:c>
      <x:c r="Y464" s="22" t="str">
        <x:f>"17 99131-2648"</x:f>
        <x:v>17 99131-2648</x:v>
      </x:c>
      <x:c r="Z464" s="30" t="n">
        <x:v>46397</x:v>
      </x:c>
    </x:row>
    <x:row r="465" ht="18" customHeight="1">
      <x:c r="A465" s="22" t="str">
        <x:f>"9c7c172d-7864-448b-9f5e-3d7f6cb68d8a"</x:f>
        <x:v>9c7c172d-7864-448b-9f5e-3d7f6cb68d8a</x:v>
      </x:c>
      <x:c r="B465" s="23" t="str">
        <x:v>CAIO FERNANDO DE OLIVEIRA DINIZ</x:v>
      </x:c>
      <x:c r="C465" s="23" t="str">
        <x:v>caio fernando de oliveira diniz</x:v>
      </x:c>
      <x:c r="D465" s="22" t="str">
        <x:f>"05.708.235/0000-16"</x:f>
        <x:v>05.708.235/0000-16</x:v>
      </x:c>
      <x:c r="E465" s="22" t="str">
        <x:f>"05708235000016"</x:f>
        <x:v>05708235000016</x:v>
      </x:c>
      <x:c r="F465" s="22" t="str">
        <x:f>"047.291.791-96"</x:f>
        <x:v>047.291.791-96</x:v>
      </x:c>
      <x:c r="G465" s="22" t="str">
        <x:f>"04729179196"</x:f>
        <x:v>04729179196</x:v>
      </x:c>
      <x:c r="H465" s="23" t="str">
        <x:v>caio.diniz10@icloud.com</x:v>
      </x:c>
      <x:c r="I465" s="22" t="str">
        <x:f>"6599693-1393"</x:f>
        <x:v>6599693-1393</x:v>
      </x:c>
      <x:c r="J465" s="23" t="str">
        <x:v>SPOT</x:v>
      </x:c>
      <x:c r="K465" s="23" t="str">
        <x:v>favored_only</x:v>
      </x:c>
      <x:c r="L465" s="24" t="b">
        <x:v>1</x:v>
      </x:c>
      <x:c r="M465" s="23" t="n">
        <x:v>1</x:v>
      </x:c>
      <x:c r="N465" s="28" t="n">
        <x:v>46219.812988715275</x:v>
      </x:c>
      <x:c r="O465" s="28" t="n">
        <x:v>46219.812988715275</x:v>
      </x:c>
      <x:c r="P465" s="23" t="str">
        <x:v>CUIABA</x:v>
      </x:c>
      <x:c r="Q465" s="30" t="n">
        <x:v>35000</x:v>
      </x:c>
      <x:c r="R465" s="22" t="str">
        <x:f>"21962510"</x:f>
        <x:v>21962510</x:v>
      </x:c>
      <x:c r="S465" s="23" t="str">
        <x:v>masculino</x:v>
      </x:c>
      <x:c r="T465" s="22" t="str">
        <x:f>"QCY6A62"</x:f>
        <x:v>QCY6A62</x:v>
      </x:c>
      <x:c r="U465" s="23" t="str">
        <x:v>NOME EMPRESARIAL CEMAQ MAQUINAS E SERVICOS LTDA</x:v>
      </x:c>
      <x:c r="V465" s="22" t="str">
        <x:f>"047.291.791-96"</x:f>
        <x:v>047.291.791-96</x:v>
      </x:c>
      <x:c r="W465" s="22" t="str">
        <x:f>"04729179196"</x:f>
        <x:v>04729179196</x:v>
      </x:c>
      <x:c r="X465" s="23" t="str">
        <x:v>caio.diniz10@icloud.com</x:v>
      </x:c>
      <x:c r="Y465" s="22" t="str">
        <x:f>"6599693-1393"</x:f>
        <x:v>6599693-1393</x:v>
      </x:c>
      <x:c r="Z465" s="30" t="n">
        <x:v>46508</x:v>
      </x:c>
    </x:row>
    <x:row r="466" ht="18" customHeight="1">
      <x:c r="A466" s="22" t="str">
        <x:f>"f95f26da-ddc5-47af-85aa-0b9933962ff0"</x:f>
        <x:v>f95f26da-ddc5-47af-85aa-0b9933962ff0</x:v>
      </x:c>
      <x:c r="B466" s="23" t="str">
        <x:v>CAIO FERNANDO DE OLIVEIRA DINIZ</x:v>
      </x:c>
      <x:c r="C466" s="23" t="str">
        <x:v>caio fernando de oliveira diniz</x:v>
      </x:c>
      <x:c r="D466" s="22" t="str">
        <x:f>"57.082.350/0001-61"</x:f>
        <x:v>57.082.350/0001-61</x:v>
      </x:c>
      <x:c r="E466" s="22" t="str">
        <x:f>"57082350000161"</x:f>
        <x:v>57082350000161</x:v>
      </x:c>
      <x:c r="F466" s="22" t="str">
        <x:f>"047.291.791-96"</x:f>
        <x:v>047.291.791-96</x:v>
      </x:c>
      <x:c r="G466" s="22" t="str">
        <x:f>"04729179196"</x:f>
        <x:v>04729179196</x:v>
      </x:c>
      <x:c r="H466" s="23" t="str">
        <x:v>caio.diniz10@icloud.com</x:v>
      </x:c>
      <x:c r="I466" s="22" t="str">
        <x:f>"6599693-1393"</x:f>
        <x:v>6599693-1393</x:v>
      </x:c>
      <x:c r="J466" s="23" t="str">
        <x:v>SPOT</x:v>
      </x:c>
      <x:c r="K466" s="23" t="str">
        <x:v>favored_only</x:v>
      </x:c>
      <x:c r="L466" s="24" t="b">
        <x:v>1</x:v>
      </x:c>
      <x:c r="M466" s="23" t="n">
        <x:v>1</x:v>
      </x:c>
      <x:c r="N466" s="28" t="n">
        <x:v>46219.812988715275</x:v>
      </x:c>
      <x:c r="O466" s="28" t="n">
        <x:v>46219.812988715275</x:v>
      </x:c>
      <x:c r="P466" s="23" t="str">
        <x:v>CUIABA</x:v>
      </x:c>
      <x:c r="Q466" s="30" t="n">
        <x:v>35000</x:v>
      </x:c>
      <x:c r="R466" s="22" t="str">
        <x:f>"21962510"</x:f>
        <x:v>21962510</x:v>
      </x:c>
      <x:c r="S466" s="23" t="str">
        <x:v>masculino</x:v>
      </x:c>
      <x:c r="T466" s="22" t="str">
        <x:f>"QCY6A62"</x:f>
        <x:v>QCY6A62</x:v>
      </x:c>
      <x:c r="U466" s="23" t="str">
        <x:v>CAIO FERNANDO DE OLIVEIRA DINIZ</x:v>
      </x:c>
      <x:c r="V466" s="22" t="str">
        <x:f>"047.291.791-96"</x:f>
        <x:v>047.291.791-96</x:v>
      </x:c>
      <x:c r="W466" s="22" t="str">
        <x:f>"04729179196"</x:f>
        <x:v>04729179196</x:v>
      </x:c>
      <x:c r="X466" s="23" t="str">
        <x:v>caio.diniz10@icloud.com</x:v>
      </x:c>
      <x:c r="Y466" s="22" t="str">
        <x:f>"6599693-1393"</x:f>
        <x:v>6599693-1393</x:v>
      </x:c>
      <x:c r="Z466" s="30" t="n">
        <x:v>46518</x:v>
      </x:c>
    </x:row>
    <x:row r="467" ht="18" customHeight="1">
      <x:c r="A467" s="22" t="str">
        <x:f>"e226c8fc-d263-4cb3-b30d-c9bbcfb5c34c"</x:f>
        <x:v>e226c8fc-d263-4cb3-b30d-c9bbcfb5c34c</x:v>
      </x:c>
      <x:c r="B467" s="23" t="str">
        <x:v>CAIO HENRIQUE DA SILVA LEAL</x:v>
      </x:c>
      <x:c r="C467" s="23" t="str">
        <x:v>caio henrique da silva leal</x:v>
      </x:c>
      <x:c r="D467" s="22" t="str">
        <x:f>"57.747.978/0001-39"</x:f>
        <x:v>57.747.978/0001-39</x:v>
      </x:c>
      <x:c r="E467" s="22" t="str">
        <x:f>"57747978000139"</x:f>
        <x:v>57747978000139</x:v>
      </x:c>
      <x:c r="F467" s="22" t="str">
        <x:f>"494.749.058-60"</x:f>
        <x:v>494.749.058-60</x:v>
      </x:c>
      <x:c r="G467" s="22" t="str">
        <x:f>"49474905860"</x:f>
        <x:v>49474905860</x:v>
      </x:c>
      <x:c r="H467" s="23" t="str">
        <x:v>caiosilva.cs248@gmail.com</x:v>
      </x:c>
      <x:c r="I467" s="22" t="str">
        <x:f>"18996200226"</x:f>
        <x:v>18996200226</x:v>
      </x:c>
      <x:c r="J467" s="23" t="str">
        <x:v>RENTAL</x:v>
      </x:c>
      <x:c r="K467" s="23" t="str">
        <x:v>rental_company</x:v>
      </x:c>
      <x:c r="L467" s="24" t="b">
        <x:v>1</x:v>
      </x:c>
      <x:c r="M467" s="23" t="n">
        <x:v>1</x:v>
      </x:c>
      <x:c r="N467" s="28" t="n">
        <x:v>46203.92183017361</x:v>
      </x:c>
      <x:c r="O467" s="28" t="n">
        <x:v>46219.812988715275</x:v>
      </x:c>
      <x:c r="P467" s="23" t="str">
        <x:v>ARAÇATUBA</x:v>
      </x:c>
      <x:c r="Q467" s="30" t="n">
        <x:v>37399</x:v>
      </x:c>
      <x:c r="R467" s="22" t="str">
        <x:f>"596333687"</x:f>
        <x:v>596333687</x:v>
      </x:c>
      <x:c r="S467" s="23" t="str">
        <x:v>masculino</x:v>
      </x:c>
      <x:c r="T467" s="22" t="str"/>
      <x:c r="U467" s="23" t="str">
        <x:v>CAIO HENRIQUE DA SILVA LEAL</x:v>
      </x:c>
      <x:c r="V467" s="22" t="str">
        <x:f>"494.749.058-60"</x:f>
        <x:v>494.749.058-60</x:v>
      </x:c>
      <x:c r="W467" s="22" t="str">
        <x:f>"49474905860"</x:f>
        <x:v>49474905860</x:v>
      </x:c>
      <x:c r="X467" s="23" t="str">
        <x:v>caiosilva.cs248@gmail.com</x:v>
      </x:c>
      <x:c r="Y467" s="22" t="str">
        <x:f>"18996200226"</x:f>
        <x:v>18996200226</x:v>
      </x:c>
      <x:c r="Z467" s="30" t="n">
        <x:v>46294</x:v>
      </x:c>
    </x:row>
    <x:row r="468" ht="18" customHeight="1">
      <x:c r="A468" s="22" t="str">
        <x:f>"5cf9b91a-f3a6-4aa1-9bcf-9b9fc64a4008"</x:f>
        <x:v>5cf9b91a-f3a6-4aa1-9bcf-9b9fc64a4008</x:v>
      </x:c>
      <x:c r="B468" s="23" t="str">
        <x:v>CAIO MATHEUS ZUCHERATTO CHICARELLI</x:v>
      </x:c>
      <x:c r="C468" s="23" t="str">
        <x:v>caio matheus zucheratto chicarelli</x:v>
      </x:c>
      <x:c r="D468" s="22" t="str">
        <x:f>"55.440.959/0001-30"</x:f>
        <x:v>55.440.959/0001-30</x:v>
      </x:c>
      <x:c r="E468" s="22" t="str">
        <x:f>"55440959000130"</x:f>
        <x:v>55440959000130</x:v>
      </x:c>
      <x:c r="F468" s="22" t="str">
        <x:f>"705.382.246-06"</x:f>
        <x:v>705.382.246-06</x:v>
      </x:c>
      <x:c r="G468" s="22" t="str">
        <x:f>"70538224606"</x:f>
        <x:v>70538224606</x:v>
      </x:c>
      <x:c r="H468" s="23" t="str">
        <x:v>caiomzc@gmail.com</x:v>
      </x:c>
      <x:c r="I468" s="22" t="str">
        <x:f>"31995681392"</x:f>
        <x:v>31995681392</x:v>
      </x:c>
      <x:c r="J468" s="23" t="str">
        <x:v>SPOT</x:v>
      </x:c>
      <x:c r="K468" s="23" t="str">
        <x:v>favored_only</x:v>
      </x:c>
      <x:c r="L468" s="24" t="b">
        <x:v>1</x:v>
      </x:c>
      <x:c r="M468" s="23" t="n">
        <x:v>1</x:v>
      </x:c>
      <x:c r="N468" s="28" t="n">
        <x:v>46203.92184908565</x:v>
      </x:c>
      <x:c r="O468" s="28" t="n">
        <x:v>46219.812988715275</x:v>
      </x:c>
      <x:c r="P468" s="23" t="str">
        <x:v>CONTAGEM</x:v>
      </x:c>
      <x:c r="Q468" s="30" t="n">
        <x:v>38025</x:v>
      </x:c>
      <x:c r="R468" s="22" t="str">
        <x:f>"17986827"</x:f>
        <x:v>17986827</x:v>
      </x:c>
      <x:c r="S468" s="23" t="str">
        <x:v>masculino</x:v>
      </x:c>
      <x:c r="T468" s="22" t="str">
        <x:f>"PUM4C23"</x:f>
        <x:v>PUM4C23</x:v>
      </x:c>
      <x:c r="U468" s="23" t="str">
        <x:v>CAIO MATHEUS ZUCHERATTO CHICARELLI</x:v>
      </x:c>
      <x:c r="V468" s="22" t="str">
        <x:f>"705.382.246-06"</x:f>
        <x:v>705.382.246-06</x:v>
      </x:c>
      <x:c r="W468" s="22" t="str">
        <x:f>"70538224606"</x:f>
        <x:v>70538224606</x:v>
      </x:c>
      <x:c r="X468" s="23" t="str">
        <x:v>caiomzc@gmail.com</x:v>
      </x:c>
      <x:c r="Y468" s="22" t="str">
        <x:f>"31995681392"</x:f>
        <x:v>31995681392</x:v>
      </x:c>
      <x:c r="Z468" s="30" t="n">
        <x:v>46240</x:v>
      </x:c>
    </x:row>
    <x:row r="469" ht="18" customHeight="1">
      <x:c r="A469" s="22" t="str">
        <x:f>"6e0af3a7-4c5d-4e84-9f5d-86a5dcbe7652"</x:f>
        <x:v>6e0af3a7-4c5d-4e84-9f5d-86a5dcbe7652</x:v>
      </x:c>
      <x:c r="B469" s="23" t="str">
        <x:v>CAIO VALERIO COSTA SILVA</x:v>
      </x:c>
      <x:c r="C469" s="23" t="str">
        <x:v>caio valerio costa silva</x:v>
      </x:c>
      <x:c r="D469" s="22" t="str">
        <x:f>"18.348.494/0001-65"</x:f>
        <x:v>18.348.494/0001-65</x:v>
      </x:c>
      <x:c r="E469" s="22" t="str">
        <x:f>"18348494000165"</x:f>
        <x:v>18348494000165</x:v>
      </x:c>
      <x:c r="F469" s="22" t="str">
        <x:f>"014.280.007-47"</x:f>
        <x:v>014.280.007-47</x:v>
      </x:c>
      <x:c r="G469" s="22" t="str">
        <x:f>"01428000747"</x:f>
        <x:v>01428000747</x:v>
      </x:c>
      <x:c r="H469" s="23" t="str">
        <x:v>caiosun@gmail.com</x:v>
      </x:c>
      <x:c r="I469" s="22" t="str">
        <x:f>"21983809594"</x:f>
        <x:v>21983809594</x:v>
      </x:c>
      <x:c r="J469" s="23" t="str">
        <x:v>SPOT</x:v>
      </x:c>
      <x:c r="K469" s="23" t="str">
        <x:v>favored_only</x:v>
      </x:c>
      <x:c r="L469" s="24" t="b">
        <x:v>1</x:v>
      </x:c>
      <x:c r="M469" s="23" t="n">
        <x:v>1</x:v>
      </x:c>
      <x:c r="N469" s="28" t="n">
        <x:v>46219.812988715275</x:v>
      </x:c>
      <x:c r="O469" s="28" t="n">
        <x:v>46219.812988715275</x:v>
      </x:c>
      <x:c r="P469" s="23" t="str">
        <x:v>CORDOVIL</x:v>
      </x:c>
      <x:c r="Q469" s="30" t="n">
        <x:v>26768</x:v>
      </x:c>
      <x:c r="R469" s="22" t="str">
        <x:f>"100835800"</x:f>
        <x:v>100835800</x:v>
      </x:c>
      <x:c r="S469" s="23" t="str">
        <x:v>masculino</x:v>
      </x:c>
      <x:c r="T469" s="22" t="str">
        <x:f>"LSV6093"</x:f>
        <x:v>LSV6093</x:v>
      </x:c>
      <x:c r="U469" s="23" t="str">
        <x:v>CAIO VALERIO COSTA SILVA</x:v>
      </x:c>
      <x:c r="V469" s="22" t="str">
        <x:f>"014.280.007-47"</x:f>
        <x:v>014.280.007-47</x:v>
      </x:c>
      <x:c r="W469" s="22" t="str">
        <x:f>"01428000747"</x:f>
        <x:v>01428000747</x:v>
      </x:c>
      <x:c r="X469" s="23" t="str">
        <x:v>caiosun@gmail.com</x:v>
      </x:c>
      <x:c r="Y469" s="22" t="str">
        <x:f>"21983809594"</x:f>
        <x:v>21983809594</x:v>
      </x:c>
      <x:c r="Z469" s="30" t="n">
        <x:v>46464</x:v>
      </x:c>
    </x:row>
    <x:row r="470" ht="18" customHeight="1">
      <x:c r="A470" s="22" t="str">
        <x:f>"d76fe966-9ac0-4cff-a495-3dfc3916414b"</x:f>
        <x:v>d76fe966-9ac0-4cff-a495-3dfc3916414b</x:v>
      </x:c>
      <x:c r="B470" s="23" t="str">
        <x:v>CAIO VINICIUS DE CARVALHO</x:v>
      </x:c>
      <x:c r="C470" s="23" t="str">
        <x:v>caio vinicius de carvalho</x:v>
      </x:c>
      <x:c r="D470" s="22" t="str">
        <x:f>"67.511.269/0001-03"</x:f>
        <x:v>67.511.269/0001-03</x:v>
      </x:c>
      <x:c r="E470" s="22" t="str">
        <x:f>"67511269000103"</x:f>
        <x:v>67511269000103</x:v>
      </x:c>
      <x:c r="F470" s="22" t="str">
        <x:f>"411.941.858-86"</x:f>
        <x:v>411.941.858-86</x:v>
      </x:c>
      <x:c r="G470" s="22" t="str">
        <x:f>"41194185886"</x:f>
        <x:v>41194185886</x:v>
      </x:c>
      <x:c r="H470" s="23" t="str">
        <x:v>caiocarvalho1533@hotmail.com</x:v>
      </x:c>
      <x:c r="I470" s="22" t="str">
        <x:f>"14996641322"</x:f>
        <x:v>14996641322</x:v>
      </x:c>
      <x:c r="J470" s="23" t="str">
        <x:v>SPOT</x:v>
      </x:c>
      <x:c r="K470" s="23" t="str">
        <x:v>favored_only</x:v>
      </x:c>
      <x:c r="L470" s="24" t="b">
        <x:v>1</x:v>
      </x:c>
      <x:c r="M470" s="23" t="n">
        <x:v>1</x:v>
      </x:c>
      <x:c r="N470" s="28" t="n">
        <x:v>46219.812988715275</x:v>
      </x:c>
      <x:c r="O470" s="28" t="n">
        <x:v>46219.812988715275</x:v>
      </x:c>
      <x:c r="P470" s="23" t="str">
        <x:v>MARILIA</x:v>
      </x:c>
      <x:c r="Q470" s="30" t="n">
        <x:v>32194</x:v>
      </x:c>
      <x:c r="R470" s="22" t="str">
        <x:f>"40102741"</x:f>
        <x:v>40102741</x:v>
      </x:c>
      <x:c r="S470" s="23" t="str">
        <x:v>masculino</x:v>
      </x:c>
      <x:c r="T470" s="22" t="str">
        <x:f>"BAJ8G05"</x:f>
        <x:v>BAJ8G05</x:v>
      </x:c>
      <x:c r="U470" s="23" t="str">
        <x:v>CAIO VINICIUS DE CARVALHO</x:v>
      </x:c>
      <x:c r="V470" s="22" t="str">
        <x:f>"411.941.858-86"</x:f>
        <x:v>411.941.858-86</x:v>
      </x:c>
      <x:c r="W470" s="22" t="str">
        <x:f>"41194185886"</x:f>
        <x:v>41194185886</x:v>
      </x:c>
      <x:c r="X470" s="23" t="str">
        <x:v>caiocarvalho1533@hotmail.com</x:v>
      </x:c>
      <x:c r="Y470" s="22" t="str">
        <x:f>"14996641322"</x:f>
        <x:v>14996641322</x:v>
      </x:c>
      <x:c r="Z470" s="30" t="n">
        <x:v>46557</x:v>
      </x:c>
    </x:row>
    <x:row r="471" ht="18" customHeight="1">
      <x:c r="A471" s="22" t="str">
        <x:f>"0ca7b7f4-6860-4ef4-875e-03e27e6039a5"</x:f>
        <x:v>0ca7b7f4-6860-4ef4-875e-03e27e6039a5</x:v>
      </x:c>
      <x:c r="B471" s="23" t="str">
        <x:v>CAIO VITOR KRUGER DE ARRUDA</x:v>
      </x:c>
      <x:c r="C471" s="23" t="str">
        <x:v>caio vitor kruger de arruda</x:v>
      </x:c>
      <x:c r="D471" s="22" t="str">
        <x:f>"60.492.248/0001-49"</x:f>
        <x:v>60.492.248/0001-49</x:v>
      </x:c>
      <x:c r="E471" s="22" t="str">
        <x:f>"60492248000149"</x:f>
        <x:v>60492248000149</x:v>
      </x:c>
      <x:c r="F471" s="22" t="str">
        <x:f>"055.928.231-18"</x:f>
        <x:v>055.928.231-18</x:v>
      </x:c>
      <x:c r="G471" s="22" t="str">
        <x:f>"05592823118"</x:f>
        <x:v>05592823118</x:v>
      </x:c>
      <x:c r="H471" s="23" t="str">
        <x:v>vitorcaio211@gmail.com</x:v>
      </x:c>
      <x:c r="I471" s="22" t="str">
        <x:f>"65996387453"</x:f>
        <x:v>65996387453</x:v>
      </x:c>
      <x:c r="J471" s="23" t="str">
        <x:v>SPOT</x:v>
      </x:c>
      <x:c r="K471" s="23" t="str">
        <x:v>favored_only</x:v>
      </x:c>
      <x:c r="L471" s="24" t="b">
        <x:v>1</x:v>
      </x:c>
      <x:c r="M471" s="23" t="n">
        <x:v>1</x:v>
      </x:c>
      <x:c r="N471" s="28" t="n">
        <x:v>46205.606075219905</x:v>
      </x:c>
      <x:c r="O471" s="28" t="n">
        <x:v>46219.812988715275</x:v>
      </x:c>
      <x:c r="P471" s="23" t="str">
        <x:v>CUIABA</x:v>
      </x:c>
      <x:c r="Q471" s="30" t="n">
        <x:v>38064</x:v>
      </x:c>
      <x:c r="R471" s="22" t="str">
        <x:f>"8223399856"</x:f>
        <x:v>8223399856</x:v>
      </x:c>
      <x:c r="S471" s="23" t="str">
        <x:v>masculino</x:v>
      </x:c>
      <x:c r="T471" s="22" t="str">
        <x:f>"RRM5B20"</x:f>
        <x:v>RRM5B20</x:v>
      </x:c>
      <x:c r="U471" s="23" t="str">
        <x:v>VICTOR HUGO ANTUNES VIEIRA</x:v>
      </x:c>
      <x:c r="V471" s="22" t="str">
        <x:f>"039.196.241-81"</x:f>
        <x:v>039.196.241-81</x:v>
      </x:c>
      <x:c r="W471" s="22" t="str">
        <x:f>"03919624181"</x:f>
        <x:v>03919624181</x:v>
      </x:c>
      <x:c r="X471" s="23" t="str">
        <x:v>victor_antunes23@hotmail.com</x:v>
      </x:c>
      <x:c r="Y471" s="22" t="str">
        <x:f>"65998197307"</x:f>
        <x:v>65998197307</x:v>
      </x:c>
      <x:c r="Z471" s="30" t="n">
        <x:v>46343</x:v>
      </x:c>
    </x:row>
    <x:row r="472" ht="18" customHeight="1">
      <x:c r="A472" s="22" t="str">
        <x:f>"c7b24a3c-9cb3-42db-97dd-c37d8b42cd96"</x:f>
        <x:v>c7b24a3c-9cb3-42db-97dd-c37d8b42cd96</x:v>
      </x:c>
      <x:c r="B472" s="23" t="str">
        <x:v>CAIQUE HENRIQUE DA CRUZ</x:v>
      </x:c>
      <x:c r="C472" s="23" t="str">
        <x:v>caique henrique da cruz</x:v>
      </x:c>
      <x:c r="D472" s="22" t="str">
        <x:f>"55783923000159"</x:f>
        <x:v>55783923000159</x:v>
      </x:c>
      <x:c r="E472" s="22" t="str">
        <x:f>"55783923000159"</x:f>
        <x:v>55783923000159</x:v>
      </x:c>
      <x:c r="F472" s="22" t="str">
        <x:f>"05806290158"</x:f>
        <x:v>05806290158</x:v>
      </x:c>
      <x:c r="G472" s="22" t="str">
        <x:f>"05806290158"</x:f>
        <x:v>05806290158</x:v>
      </x:c>
      <x:c r="H472" s="23" t="str">
        <x:v>caiquehenrique112@gmail.com</x:v>
      </x:c>
      <x:c r="I472" s="22" t="str">
        <x:f>"65981695365"</x:f>
        <x:v>65981695365</x:v>
      </x:c>
      <x:c r="J472" s="23" t="str">
        <x:v>SPOT</x:v>
      </x:c>
      <x:c r="K472" s="23" t="str">
        <x:v>favored_only</x:v>
      </x:c>
      <x:c r="L472" s="24" t="b">
        <x:v>1</x:v>
      </x:c>
      <x:c r="M472" s="23" t="n">
        <x:v>18</x:v>
      </x:c>
      <x:c r="N472" s="28" t="n">
        <x:v>46203.92183017361</x:v>
      </x:c>
      <x:c r="O472" s="28" t="n">
        <x:v>46203.92183017361</x:v>
      </x:c>
      <x:c r="P472" s="23" t="str"/>
      <x:c r="Q472" s="30" t="str"/>
      <x:c r="R472" s="22" t="str"/>
      <x:c r="S472" s="23" t="str"/>
      <x:c r="T472" s="22" t="str"/>
      <x:c r="U472" s="23" t="str">
        <x:v>CAIQUE HENRIQUE DA CRUZ</x:v>
      </x:c>
      <x:c r="V472" s="22" t="str">
        <x:f>"05806290158"</x:f>
        <x:v>05806290158</x:v>
      </x:c>
      <x:c r="W472" s="22" t="str">
        <x:f>"05806290158"</x:f>
        <x:v>05806290158</x:v>
      </x:c>
      <x:c r="X472" s="23" t="str">
        <x:v>caiquehenrique112@gmail.com</x:v>
      </x:c>
      <x:c r="Y472" s="22" t="str">
        <x:f>"65981695365"</x:f>
        <x:v>65981695365</x:v>
      </x:c>
      <x:c r="Z472" s="30" t="str"/>
    </x:row>
    <x:row r="473" ht="18" customHeight="1">
      <x:c r="A473" s="22" t="str">
        <x:f>"8411295a-117d-4025-8a84-621e890e1604"</x:f>
        <x:v>8411295a-117d-4025-8a84-621e890e1604</x:v>
      </x:c>
      <x:c r="B473" s="23" t="str">
        <x:v>CAIQUE JOSE DA SILVA</x:v>
      </x:c>
      <x:c r="C473" s="23" t="str">
        <x:v>caique jose da silva</x:v>
      </x:c>
      <x:c r="D473" s="22" t="str">
        <x:f>"56.439.366/0001-16"</x:f>
        <x:v>56.439.366/0001-16</x:v>
      </x:c>
      <x:c r="E473" s="22" t="str">
        <x:f>"56439366000116"</x:f>
        <x:v>56439366000116</x:v>
      </x:c>
      <x:c r="F473" s="22" t="str">
        <x:f>"506.014.648-00"</x:f>
        <x:v>506.014.648-00</x:v>
      </x:c>
      <x:c r="G473" s="22" t="str">
        <x:f>"50601464800"</x:f>
        <x:v>50601464800</x:v>
      </x:c>
      <x:c r="H473" s="23" t="str">
        <x:v>ckzinhogfm@iclou.com</x:v>
      </x:c>
      <x:c r="I473" s="22" t="str">
        <x:f>"11952825939"</x:f>
        <x:v>11952825939</x:v>
      </x:c>
      <x:c r="J473" s="23" t="str">
        <x:v>RENTAL</x:v>
      </x:c>
      <x:c r="K473" s="23" t="str">
        <x:v>rental_company</x:v>
      </x:c>
      <x:c r="L473" s="24" t="b">
        <x:v>1</x:v>
      </x:c>
      <x:c r="M473" s="23" t="n">
        <x:v>1</x:v>
      </x:c>
      <x:c r="N473" s="28" t="n">
        <x:v>46219.812988715275</x:v>
      </x:c>
      <x:c r="O473" s="28" t="n">
        <x:v>46219.812988715275</x:v>
      </x:c>
      <x:c r="P473" s="23" t="str">
        <x:v>BARUERI</x:v>
      </x:c>
      <x:c r="Q473" s="30" t="n">
        <x:v>37980</x:v>
      </x:c>
      <x:c r="R473" s="22" t="str">
        <x:f>"535188080"</x:f>
        <x:v>535188080</x:v>
      </x:c>
      <x:c r="S473" s="23" t="str">
        <x:v>masculino</x:v>
      </x:c>
      <x:c r="T473" s="22" t="str"/>
      <x:c r="U473" s="23" t="str">
        <x:v>CAIQUE JOSE DA SILVA</x:v>
      </x:c>
      <x:c r="V473" s="22" t="str">
        <x:f>"506.014.648-00"</x:f>
        <x:v>506.014.648-00</x:v>
      </x:c>
      <x:c r="W473" s="22" t="str">
        <x:f>"50601464800"</x:f>
        <x:v>50601464800</x:v>
      </x:c>
      <x:c r="X473" s="23" t="str">
        <x:v>ckzinhogfm@iclou.com</x:v>
      </x:c>
      <x:c r="Y473" s="22" t="str">
        <x:f>"11952825939"</x:f>
        <x:v>11952825939</x:v>
      </x:c>
      <x:c r="Z473" s="30" t="n">
        <x:v>46532</x:v>
      </x:c>
    </x:row>
    <x:row r="474" ht="18" customHeight="1">
      <x:c r="A474" s="22" t="str">
        <x:f>"8e5e1076-7bae-4aa1-8583-39670b49acfb"</x:f>
        <x:v>8e5e1076-7bae-4aa1-8583-39670b49acfb</x:v>
      </x:c>
      <x:c r="B474" s="23" t="str">
        <x:v>CAIQUE PRANDO SILVA</x:v>
      </x:c>
      <x:c r="C474" s="23" t="str">
        <x:v>caique prando silva</x:v>
      </x:c>
      <x:c r="D474" s="22" t="str">
        <x:f>"36.011.236/0001-70"</x:f>
        <x:v>36.011.236/0001-70</x:v>
      </x:c>
      <x:c r="E474" s="22" t="str">
        <x:f>"36011236000170"</x:f>
        <x:v>36011236000170</x:v>
      </x:c>
      <x:c r="F474" s="22" t="str">
        <x:f>"397.179.788-16"</x:f>
        <x:v>397.179.788-16</x:v>
      </x:c>
      <x:c r="G474" s="22" t="str">
        <x:f>"39717978816"</x:f>
        <x:v>39717978816</x:v>
      </x:c>
      <x:c r="H474" s="23" t="str">
        <x:v>prndcaique@gmail.com</x:v>
      </x:c>
      <x:c r="I474" s="22" t="str">
        <x:f>"(18) 99728-0093"</x:f>
        <x:v>(18) 99728-0093</x:v>
      </x:c>
      <x:c r="J474" s="23" t="str">
        <x:v>RENTAL</x:v>
      </x:c>
      <x:c r="K474" s="23" t="str">
        <x:v>rental_company</x:v>
      </x:c>
      <x:c r="L474" s="24" t="b">
        <x:v>1</x:v>
      </x:c>
      <x:c r="M474" s="23" t="n">
        <x:v>1</x:v>
      </x:c>
      <x:c r="N474" s="28" t="n">
        <x:v>46203.92188238426</x:v>
      </x:c>
      <x:c r="O474" s="28" t="n">
        <x:v>46219.812988715275</x:v>
      </x:c>
      <x:c r="P474" s="23" t="str">
        <x:v>PRESIDENTE PRUDENTE</x:v>
      </x:c>
      <x:c r="Q474" s="30" t="n">
        <x:v>34126</x:v>
      </x:c>
      <x:c r="R474" s="22" t="str">
        <x:f>"48882819"</x:f>
        <x:v>48882819</x:v>
      </x:c>
      <x:c r="S474" s="23" t="str">
        <x:v>masculino</x:v>
      </x:c>
      <x:c r="T474" s="22" t="str"/>
      <x:c r="U474" s="23" t="str">
        <x:v>CAIQUE PRANDO SILVA</x:v>
      </x:c>
      <x:c r="V474" s="22" t="str">
        <x:f>"397.179.788-16"</x:f>
        <x:v>397.179.788-16</x:v>
      </x:c>
      <x:c r="W474" s="22" t="str">
        <x:f>"39717978816"</x:f>
        <x:v>39717978816</x:v>
      </x:c>
      <x:c r="X474" s="23" t="str">
        <x:v>prndcaique@gmail.com</x:v>
      </x:c>
      <x:c r="Y474" s="22" t="str">
        <x:f>"(18) 99728-0093"</x:f>
        <x:v>(18) 99728-0093</x:v>
      </x:c>
      <x:c r="Z474" s="30" t="n">
        <x:v>46318</x:v>
      </x:c>
    </x:row>
    <x:row r="475" ht="18" customHeight="1">
      <x:c r="A475" s="22" t="str">
        <x:f>"ddec0f94-755a-40d1-9eae-dea69e952540"</x:f>
        <x:v>ddec0f94-755a-40d1-9eae-dea69e952540</x:v>
      </x:c>
      <x:c r="B475" s="23" t="str">
        <x:v>CAIQUE RAMOS FELIX DOS SANTOS</x:v>
      </x:c>
      <x:c r="C475" s="23" t="str">
        <x:v>caique ramos felix dos santos</x:v>
      </x:c>
      <x:c r="D475" s="22" t="str">
        <x:f>"46.916.873/0001-40"</x:f>
        <x:v>46.916.873/0001-40</x:v>
      </x:c>
      <x:c r="E475" s="22" t="str">
        <x:f>"46916873000140"</x:f>
        <x:v>46916873000140</x:v>
      </x:c>
      <x:c r="F475" s="22" t="str">
        <x:f>"088.603.815-41"</x:f>
        <x:v>088.603.815-41</x:v>
      </x:c>
      <x:c r="G475" s="22" t="str">
        <x:f>"08860381541"</x:f>
        <x:v>08860381541</x:v>
      </x:c>
      <x:c r="H475" s="23" t="str">
        <x:v>caiquer178@gmail.com</x:v>
      </x:c>
      <x:c r="I475" s="22" t="str">
        <x:f>"(16)99116-6736"</x:f>
        <x:v>(16)99116-6736</x:v>
      </x:c>
      <x:c r="J475" s="23" t="str">
        <x:v>RENTAL</x:v>
      </x:c>
      <x:c r="K475" s="23" t="str">
        <x:v>rental_company</x:v>
      </x:c>
      <x:c r="L475" s="24" t="b">
        <x:v>1</x:v>
      </x:c>
      <x:c r="M475" s="23" t="n">
        <x:v>1</x:v>
      </x:c>
      <x:c r="N475" s="28" t="n">
        <x:v>46219.812988715275</x:v>
      </x:c>
      <x:c r="O475" s="28" t="n">
        <x:v>46219.812988715275</x:v>
      </x:c>
      <x:c r="P475" s="23" t="str">
        <x:v>RIBEIRAO PRETO</x:v>
      </x:c>
      <x:c r="Q475" s="30" t="n">
        <x:v>37185</x:v>
      </x:c>
      <x:c r="R475" s="22" t="str">
        <x:f>"65632970"</x:f>
        <x:v>65632970</x:v>
      </x:c>
      <x:c r="S475" s="23" t="str">
        <x:v>masculino</x:v>
      </x:c>
      <x:c r="T475" s="22" t="str"/>
      <x:c r="U475" s="23" t="str">
        <x:v>CAIQUE RAMOS FELIX DOS SANTOS</x:v>
      </x:c>
      <x:c r="V475" s="22" t="str">
        <x:f>"088.603.815-41"</x:f>
        <x:v>088.603.815-41</x:v>
      </x:c>
      <x:c r="W475" s="22" t="str">
        <x:f>"08860381541"</x:f>
        <x:v>08860381541</x:v>
      </x:c>
      <x:c r="X475" s="23" t="str">
        <x:v>caiquer178@gmail.com</x:v>
      </x:c>
      <x:c r="Y475" s="22" t="str">
        <x:f>"(16)99116-6736"</x:f>
        <x:v>(16)99116-6736</x:v>
      </x:c>
      <x:c r="Z475" s="30" t="n">
        <x:v>46459</x:v>
      </x:c>
    </x:row>
    <x:row r="476" ht="18" customHeight="1">
      <x:c r="A476" s="22" t="str">
        <x:f>"e9b4c2c1-e79b-43ef-9053-d891f18bf957"</x:f>
        <x:v>e9b4c2c1-e79b-43ef-9053-d891f18bf957</x:v>
      </x:c>
      <x:c r="B476" s="23" t="str">
        <x:v>CAMILA DE ALMEIDA LUJAN</x:v>
      </x:c>
      <x:c r="C476" s="23" t="str">
        <x:v>camila de almeida lujan</x:v>
      </x:c>
      <x:c r="D476" s="22" t="str">
        <x:f>"65.878.177/0001-30"</x:f>
        <x:v>65.878.177/0001-30</x:v>
      </x:c>
      <x:c r="E476" s="22" t="str">
        <x:f>"65878177000130"</x:f>
        <x:v>65878177000130</x:v>
      </x:c>
      <x:c r="F476" s="22" t="str">
        <x:f>"348.722.268-01"</x:f>
        <x:v>348.722.268-01</x:v>
      </x:c>
      <x:c r="G476" s="22" t="str">
        <x:f>"34872226801"</x:f>
        <x:v>34872226801</x:v>
      </x:c>
      <x:c r="H476" s="23" t="str">
        <x:v>Lujancamila25@gmail.com</x:v>
      </x:c>
      <x:c r="I476" s="22" t="str">
        <x:f>"17 99204-8528"</x:f>
        <x:v>17 99204-8528</x:v>
      </x:c>
      <x:c r="J476" s="23" t="str">
        <x:v>SPOT</x:v>
      </x:c>
      <x:c r="K476" s="23" t="str">
        <x:v>favored_only</x:v>
      </x:c>
      <x:c r="L476" s="24" t="b">
        <x:v>1</x:v>
      </x:c>
      <x:c r="M476" s="23" t="n">
        <x:v>1</x:v>
      </x:c>
      <x:c r="N476" s="28" t="n">
        <x:v>46219.812988715275</x:v>
      </x:c>
      <x:c r="O476" s="28" t="n">
        <x:v>46219.812988715275</x:v>
      </x:c>
      <x:c r="P476" s="23" t="str">
        <x:v>BARRETOS</x:v>
      </x:c>
      <x:c r="Q476" s="30" t="n">
        <x:v>30846</x:v>
      </x:c>
      <x:c r="R476" s="22" t="str">
        <x:f>"32313829"</x:f>
        <x:v>32313829</x:v>
      </x:c>
      <x:c r="S476" s="23" t="str">
        <x:v>feminino</x:v>
      </x:c>
      <x:c r="T476" s="22" t="str">
        <x:f>"DJL0B63"</x:f>
        <x:v>DJL0B63</x:v>
      </x:c>
      <x:c r="U476" s="23" t="str">
        <x:v>CAMILA DE ALMEIDA LUJAN</x:v>
      </x:c>
      <x:c r="V476" s="22" t="str">
        <x:f>"348.722.268-01"</x:f>
        <x:v>348.722.268-01</x:v>
      </x:c>
      <x:c r="W476" s="22" t="str">
        <x:f>"34872226801"</x:f>
        <x:v>34872226801</x:v>
      </x:c>
      <x:c r="X476" s="23" t="str">
        <x:v>Lujancamila25@gmail.com</x:v>
      </x:c>
      <x:c r="Y476" s="22" t="str">
        <x:f>"17 99204-8528"</x:f>
        <x:v>17 99204-8528</x:v>
      </x:c>
      <x:c r="Z476" s="30" t="n">
        <x:v>46490</x:v>
      </x:c>
    </x:row>
    <x:row r="477" ht="18" customHeight="1">
      <x:c r="A477" s="22" t="str">
        <x:f>"6437a749-2059-400b-a112-94316b07e655"</x:f>
        <x:v>6437a749-2059-400b-a112-94316b07e655</x:v>
      </x:c>
      <x:c r="B477" s="23" t="str">
        <x:v>CAMILA DOS SANTOS DE JESUS</x:v>
      </x:c>
      <x:c r="C477" s="23" t="str">
        <x:v>camila dos santos de jesus</x:v>
      </x:c>
      <x:c r="D477" s="22" t="str">
        <x:f>"60807859000139"</x:f>
        <x:v>60807859000139</x:v>
      </x:c>
      <x:c r="E477" s="22" t="str">
        <x:f>"60807859000139"</x:f>
        <x:v>60807859000139</x:v>
      </x:c>
      <x:c r="F477" s="22" t="str">
        <x:f>"15742542780"</x:f>
        <x:v>15742542780</x:v>
      </x:c>
      <x:c r="G477" s="22" t="str">
        <x:f>"15742542780"</x:f>
        <x:v>15742542780</x:v>
      </x:c>
      <x:c r="H477" s="23" t="str">
        <x:v>Kamile.santtos@gmail.com</x:v>
      </x:c>
      <x:c r="I477" s="22" t="str">
        <x:f>"21971622272"</x:f>
        <x:v>21971622272</x:v>
      </x:c>
      <x:c r="J477" s="23" t="str">
        <x:v>SPOT</x:v>
      </x:c>
      <x:c r="K477" s="23" t="str">
        <x:v>favored_only</x:v>
      </x:c>
      <x:c r="L477" s="24" t="b">
        <x:v>1</x:v>
      </x:c>
      <x:c r="M477" s="23" t="n">
        <x:v>1</x:v>
      </x:c>
      <x:c r="N477" s="28" t="n">
        <x:v>46203.921858726855</x:v>
      </x:c>
      <x:c r="O477" s="28" t="n">
        <x:v>46203.921858726855</x:v>
      </x:c>
      <x:c r="P477" s="23" t="str"/>
      <x:c r="Q477" s="30" t="str"/>
      <x:c r="R477" s="22" t="str"/>
      <x:c r="S477" s="23" t="str"/>
      <x:c r="T477" s="22" t="str"/>
      <x:c r="U477" s="23" t="str">
        <x:v>CAMILA DOS SANTOS DE JESUS</x:v>
      </x:c>
      <x:c r="V477" s="22" t="str">
        <x:f>"15742542780"</x:f>
        <x:v>15742542780</x:v>
      </x:c>
      <x:c r="W477" s="22" t="str">
        <x:f>"15742542780"</x:f>
        <x:v>15742542780</x:v>
      </x:c>
      <x:c r="X477" s="23" t="str">
        <x:v>Kamile.santtos@gmail.com</x:v>
      </x:c>
      <x:c r="Y477" s="22" t="str">
        <x:f>"21971622272"</x:f>
        <x:v>21971622272</x:v>
      </x:c>
      <x:c r="Z477" s="30" t="str"/>
    </x:row>
    <x:row r="478" ht="18" customHeight="1">
      <x:c r="A478" s="22" t="str">
        <x:f>"e9600fe7-f709-4c36-8f10-639fabd46ee4"</x:f>
        <x:v>e9600fe7-f709-4c36-8f10-639fabd46ee4</x:v>
      </x:c>
      <x:c r="B478" s="23" t="str">
        <x:v>CAMILA ESPINAR</x:v>
      </x:c>
      <x:c r="C478" s="23" t="str">
        <x:v>camila espinar</x:v>
      </x:c>
      <x:c r="D478" s="22" t="str">
        <x:f>"34.782.082/0001-95"</x:f>
        <x:v>34.782.082/0001-95</x:v>
      </x:c>
      <x:c r="E478" s="22" t="str">
        <x:f>"34782082000195"</x:f>
        <x:v>34782082000195</x:v>
      </x:c>
      <x:c r="F478" s="22" t="str">
        <x:f>"062.770.336-46"</x:f>
        <x:v>062.770.336-46</x:v>
      </x:c>
      <x:c r="G478" s="22" t="str">
        <x:f>"06277033646"</x:f>
        <x:v>06277033646</x:v>
      </x:c>
      <x:c r="H478" s="23" t="str">
        <x:v>camila_felicidade2010@hotmail.com</x:v>
      </x:c>
      <x:c r="I478" s="22" t="str">
        <x:f>"(35)99989-5890"</x:f>
        <x:v>(35)99989-5890</x:v>
      </x:c>
      <x:c r="J478" s="23" t="str">
        <x:v>SPOT</x:v>
      </x:c>
      <x:c r="K478" s="23" t="str">
        <x:v>favored_only</x:v>
      </x:c>
      <x:c r="L478" s="24" t="b">
        <x:v>1</x:v>
      </x:c>
      <x:c r="M478" s="23" t="n">
        <x:v>1</x:v>
      </x:c>
      <x:c r="N478" s="28" t="n">
        <x:v>46203.921858726855</x:v>
      </x:c>
      <x:c r="O478" s="28" t="n">
        <x:v>46219.812988715275</x:v>
      </x:c>
      <x:c r="P478" s="23" t="str">
        <x:v>POUSO ALEGRE</x:v>
      </x:c>
      <x:c r="Q478" s="30" t="n">
        <x:v>31631</x:v>
      </x:c>
      <x:c r="R478" s="22" t="str">
        <x:f>"33853569X SSP SP"</x:f>
        <x:v>33853569X SSP SP</x:v>
      </x:c>
      <x:c r="S478" s="23" t="str">
        <x:v>feminino</x:v>
      </x:c>
      <x:c r="T478" s="22" t="str">
        <x:f>"EZD5I53"</x:f>
        <x:v>EZD5I53</x:v>
      </x:c>
      <x:c r="U478" s="23" t="str">
        <x:v>CAMILA ESPINAR</x:v>
      </x:c>
      <x:c r="V478" s="22" t="str">
        <x:f>"062.770.336-46"</x:f>
        <x:v>062.770.336-46</x:v>
      </x:c>
      <x:c r="W478" s="22" t="str">
        <x:f>"06277033646"</x:f>
        <x:v>06277033646</x:v>
      </x:c>
      <x:c r="X478" s="23" t="str">
        <x:v>camila_felicidade2010@hotmail.com</x:v>
      </x:c>
      <x:c r="Y478" s="22" t="str">
        <x:f>"(35)99989-5890"</x:f>
        <x:v>(35)99989-5890</x:v>
      </x:c>
      <x:c r="Z478" s="30" t="n">
        <x:v>46263</x:v>
      </x:c>
    </x:row>
    <x:row r="479" ht="18" customHeight="1">
      <x:c r="A479" s="22" t="str">
        <x:f>"eb91693d-f2af-4f08-96ec-10358e4f35c3"</x:f>
        <x:v>eb91693d-f2af-4f08-96ec-10358e4f35c3</x:v>
      </x:c>
      <x:c r="B479" s="23" t="str">
        <x:v>Camila Leal dos Santos Firmino</x:v>
      </x:c>
      <x:c r="C479" s="23" t="str">
        <x:v>camila leal dos santos firmino</x:v>
      </x:c>
      <x:c r="D479" s="22" t="str">
        <x:f>"45.918.254/0001-21"</x:f>
        <x:v>45.918.254/0001-21</x:v>
      </x:c>
      <x:c r="E479" s="22" t="str">
        <x:f>"45918254000121"</x:f>
        <x:v>45918254000121</x:v>
      </x:c>
      <x:c r="F479" s="22" t="str">
        <x:f>"063.744.001-35"</x:f>
        <x:v>063.744.001-35</x:v>
      </x:c>
      <x:c r="G479" s="22" t="str">
        <x:f>"06374400135"</x:f>
        <x:v>06374400135</x:v>
      </x:c>
      <x:c r="H479" s="23" t="str">
        <x:v>kamyllaleal29@gmail.com</x:v>
      </x:c>
      <x:c r="I479" s="22" t="str">
        <x:f>"(62)99469-8679"</x:f>
        <x:v>(62)99469-8679</x:v>
      </x:c>
      <x:c r="J479" s="23" t="str">
        <x:v>SPOT</x:v>
      </x:c>
      <x:c r="K479" s="23" t="str">
        <x:v>favored_only</x:v>
      </x:c>
      <x:c r="L479" s="24" t="b">
        <x:v>1</x:v>
      </x:c>
      <x:c r="M479" s="23" t="n">
        <x:v>1</x:v>
      </x:c>
      <x:c r="N479" s="28" t="n">
        <x:v>46203.921852962965</x:v>
      </x:c>
      <x:c r="O479" s="28" t="n">
        <x:v>46203.921852962965</x:v>
      </x:c>
      <x:c r="P479" s="23" t="str"/>
      <x:c r="Q479" s="30" t="str"/>
      <x:c r="R479" s="22" t="str"/>
      <x:c r="S479" s="23" t="str"/>
      <x:c r="T479" s="22" t="str"/>
      <x:c r="U479" s="23" t="str">
        <x:v>Camila Leal dos Santos Firmino</x:v>
      </x:c>
      <x:c r="V479" s="22" t="str">
        <x:f>"063.744.001-35"</x:f>
        <x:v>063.744.001-35</x:v>
      </x:c>
      <x:c r="W479" s="22" t="str">
        <x:f>"06374400135"</x:f>
        <x:v>06374400135</x:v>
      </x:c>
      <x:c r="X479" s="23" t="str">
        <x:v>kamyllaleal29@gmail.com</x:v>
      </x:c>
      <x:c r="Y479" s="22" t="str">
        <x:f>"(62)99469-8679"</x:f>
        <x:v>(62)99469-8679</x:v>
      </x:c>
      <x:c r="Z479" s="30" t="str"/>
    </x:row>
    <x:row r="480" ht="18" customHeight="1">
      <x:c r="A480" s="22" t="str">
        <x:f>"e57e0b79-ac10-4d67-8ab5-25b33c5cdb9a"</x:f>
        <x:v>e57e0b79-ac10-4d67-8ab5-25b33c5cdb9a</x:v>
      </x:c>
      <x:c r="B480" s="23" t="str">
        <x:v>CAMILA MACHADO DE FRANCA</x:v>
      </x:c>
      <x:c r="C480" s="23" t="str">
        <x:v>camila machado de franca</x:v>
      </x:c>
      <x:c r="D480" s="22" t="str">
        <x:f>"57.380.738/0001-49"</x:f>
        <x:v>57.380.738/0001-49</x:v>
      </x:c>
      <x:c r="E480" s="22" t="str">
        <x:f>"57380738000149"</x:f>
        <x:v>57380738000149</x:v>
      </x:c>
      <x:c r="F480" s="22" t="str">
        <x:f>"157.336.957-81"</x:f>
        <x:v>157.336.957-81</x:v>
      </x:c>
      <x:c r="G480" s="22" t="str">
        <x:f>"15733695781"</x:f>
        <x:v>15733695781</x:v>
      </x:c>
      <x:c r="H480" s="23" t="str">
        <x:v>camilamachado2000@gmail.com</x:v>
      </x:c>
      <x:c r="I480" s="22" t="str">
        <x:f>"21988475532"</x:f>
        <x:v>21988475532</x:v>
      </x:c>
      <x:c r="J480" s="23" t="str">
        <x:v>SPOT</x:v>
      </x:c>
      <x:c r="K480" s="23" t="str">
        <x:v>favored_only</x:v>
      </x:c>
      <x:c r="L480" s="24" t="b">
        <x:v>1</x:v>
      </x:c>
      <x:c r="M480" s="23" t="n">
        <x:v>1</x:v>
      </x:c>
      <x:c r="N480" s="28" t="n">
        <x:v>46219.812988715275</x:v>
      </x:c>
      <x:c r="O480" s="28" t="n">
        <x:v>46219.812988715275</x:v>
      </x:c>
      <x:c r="P480" s="23" t="str">
        <x:v>QUEIMADOS</x:v>
      </x:c>
      <x:c r="Q480" s="30" t="n">
        <x:v>36725</x:v>
      </x:c>
      <x:c r="R480" s="22" t="str">
        <x:f>"285775342"</x:f>
        <x:v>285775342</x:v>
      </x:c>
      <x:c r="S480" s="23" t="str">
        <x:v>feminino</x:v>
      </x:c>
      <x:c r="T480" s="22" t="str">
        <x:f>"KWC5G78"</x:f>
        <x:v>KWC5G78</x:v>
      </x:c>
      <x:c r="U480" s="23" t="str">
        <x:v>CAMILA MACHADO DE FRANCA</x:v>
      </x:c>
      <x:c r="V480" s="22" t="str">
        <x:f>"137.336.957-81"</x:f>
        <x:v>137.336.957-81</x:v>
      </x:c>
      <x:c r="W480" s="22" t="str">
        <x:f>"13733695781"</x:f>
        <x:v>13733695781</x:v>
      </x:c>
      <x:c r="X480" s="23" t="str">
        <x:v>camilamachado2000@gmail.com</x:v>
      </x:c>
      <x:c r="Y480" s="22" t="str">
        <x:f>"21988475532"</x:f>
        <x:v>21988475532</x:v>
      </x:c>
      <x:c r="Z480" s="30" t="n">
        <x:v>46490</x:v>
      </x:c>
    </x:row>
    <x:row r="481" ht="18" customHeight="1">
      <x:c r="A481" s="22" t="str">
        <x:f>"e496842f-9ff3-42b2-8d65-5daa3f93ab2d"</x:f>
        <x:v>e496842f-9ff3-42b2-8d65-5daa3f93ab2d</x:v>
      </x:c>
      <x:c r="B481" s="23" t="str">
        <x:v>CAMILA PEREIRA SARTORI</x:v>
      </x:c>
      <x:c r="C481" s="23" t="str">
        <x:v>camila pereira sartori</x:v>
      </x:c>
      <x:c r="D481" s="22" t="str">
        <x:f>"53.132.506/0001-10"</x:f>
        <x:v>53.132.506/0001-10</x:v>
      </x:c>
      <x:c r="E481" s="22" t="str">
        <x:f>"53132506000110"</x:f>
        <x:v>53132506000110</x:v>
      </x:c>
      <x:c r="F481" s="22" t="str">
        <x:f>"504.142.938-35"</x:f>
        <x:v>504.142.938-35</x:v>
      </x:c>
      <x:c r="G481" s="22" t="str">
        <x:f>"50414293835"</x:f>
        <x:v>50414293835</x:v>
      </x:c>
      <x:c r="H481" s="23" t="str">
        <x:v>camilasartori54@gmail.com</x:v>
      </x:c>
      <x:c r="I481" s="22" t="str">
        <x:f>"17997455498"</x:f>
        <x:v>17997455498</x:v>
      </x:c>
      <x:c r="J481" s="23" t="str">
        <x:v>SPOT</x:v>
      </x:c>
      <x:c r="K481" s="23" t="str">
        <x:v>favored_only</x:v>
      </x:c>
      <x:c r="L481" s="24" t="b">
        <x:v>1</x:v>
      </x:c>
      <x:c r="M481" s="23" t="n">
        <x:v>1</x:v>
      </x:c>
      <x:c r="N481" s="28" t="n">
        <x:v>46203.92183017361</x:v>
      </x:c>
      <x:c r="O481" s="28" t="n">
        <x:v>46219.812988715275</x:v>
      </x:c>
      <x:c r="P481" s="23" t="str">
        <x:v>JALES</x:v>
      </x:c>
      <x:c r="Q481" s="30" t="n">
        <x:v>36484</x:v>
      </x:c>
      <x:c r="R481" s="22" t="str">
        <x:f>"54288212"</x:f>
        <x:v>54288212</x:v>
      </x:c>
      <x:c r="S481" s="23" t="str">
        <x:v>feminino</x:v>
      </x:c>
      <x:c r="T481" s="22" t="str">
        <x:f>"FXN6C22"</x:f>
        <x:v>FXN6C22</x:v>
      </x:c>
      <x:c r="U481" s="23" t="str">
        <x:v>CAMILA PEREIRA SARTORI</x:v>
      </x:c>
      <x:c r="V481" s="22" t="str">
        <x:f>"504.142.938-35"</x:f>
        <x:v>504.142.938-35</x:v>
      </x:c>
      <x:c r="W481" s="22" t="str">
        <x:f>"50414293835"</x:f>
        <x:v>50414293835</x:v>
      </x:c>
      <x:c r="X481" s="23" t="str">
        <x:v>camilasartori54@gmail.com</x:v>
      </x:c>
      <x:c r="Y481" s="22" t="str">
        <x:f>"17997455498"</x:f>
        <x:v>17997455498</x:v>
      </x:c>
      <x:c r="Z481" s="30" t="n">
        <x:v>46344</x:v>
      </x:c>
    </x:row>
    <x:row r="482" ht="18" customHeight="1">
      <x:c r="A482" s="22" t="str">
        <x:f>"f074ffe5-711d-4330-82f4-90595a9943a0"</x:f>
        <x:v>f074ffe5-711d-4330-82f4-90595a9943a0</x:v>
      </x:c>
      <x:c r="B482" s="23" t="str">
        <x:v>CAMILA SAVATIN</x:v>
      </x:c>
      <x:c r="C482" s="23" t="str">
        <x:v>camila savatin</x:v>
      </x:c>
      <x:c r="D482" s="22" t="str">
        <x:f>"63.008.715/0001-00"</x:f>
        <x:v>63.008.715/0001-00</x:v>
      </x:c>
      <x:c r="E482" s="22" t="str">
        <x:f>"63008715000100"</x:f>
        <x:v>63008715000100</x:v>
      </x:c>
      <x:c r="F482" s="22" t="str">
        <x:f>"400477528-07"</x:f>
        <x:v>400477528-07</x:v>
      </x:c>
      <x:c r="G482" s="22" t="str">
        <x:f>"40047752807"</x:f>
        <x:v>40047752807</x:v>
      </x:c>
      <x:c r="H482" s="23" t="str">
        <x:v>Cahsavatin@gmail.com</x:v>
      </x:c>
      <x:c r="I482" s="22" t="str">
        <x:f>"1799658-3621"</x:f>
        <x:v>1799658-3621</x:v>
      </x:c>
      <x:c r="J482" s="23" t="str">
        <x:v>SPOT</x:v>
      </x:c>
      <x:c r="K482" s="23" t="str">
        <x:v>favored_only</x:v>
      </x:c>
      <x:c r="L482" s="24" t="b">
        <x:v>1</x:v>
      </x:c>
      <x:c r="M482" s="23" t="n">
        <x:v>1</x:v>
      </x:c>
      <x:c r="N482" s="28" t="n">
        <x:v>46203.9218771875</x:v>
      </x:c>
      <x:c r="O482" s="28" t="n">
        <x:v>46203.9218771875</x:v>
      </x:c>
      <x:c r="P482" s="23" t="str"/>
      <x:c r="Q482" s="30" t="str"/>
      <x:c r="R482" s="22" t="str"/>
      <x:c r="S482" s="23" t="str"/>
      <x:c r="T482" s="22" t="str"/>
      <x:c r="U482" s="23" t="str">
        <x:v>CAMILA SAVATIN</x:v>
      </x:c>
      <x:c r="V482" s="22" t="str">
        <x:f>"400477528-07"</x:f>
        <x:v>400477528-07</x:v>
      </x:c>
      <x:c r="W482" s="22" t="str">
        <x:f>"40047752807"</x:f>
        <x:v>40047752807</x:v>
      </x:c>
      <x:c r="X482" s="23" t="str">
        <x:v>Cahsavatin@gmail.com</x:v>
      </x:c>
      <x:c r="Y482" s="22" t="str">
        <x:f>"1799658-3621"</x:f>
        <x:v>1799658-3621</x:v>
      </x:c>
      <x:c r="Z482" s="30" t="str"/>
    </x:row>
    <x:row r="483" ht="18" customHeight="1">
      <x:c r="A483" s="22" t="str">
        <x:f>"0c1f843d-70b6-4ac8-9572-12ae4935f8a4"</x:f>
        <x:v>0c1f843d-70b6-4ac8-9572-12ae4935f8a4</x:v>
      </x:c>
      <x:c r="B483" s="23" t="str">
        <x:v>CAMILLA DAMIANI DA ROCHA</x:v>
      </x:c>
      <x:c r="C483" s="23" t="str">
        <x:v>camilla damiani da rocha</x:v>
      </x:c>
      <x:c r="D483" s="22" t="str">
        <x:f>"51.257.861/0001-90"</x:f>
        <x:v>51.257.861/0001-90</x:v>
      </x:c>
      <x:c r="E483" s="22" t="str">
        <x:f>"51257861000190"</x:f>
        <x:v>51257861000190</x:v>
      </x:c>
      <x:c r="F483" s="22" t="str">
        <x:f>"347.387.418-37"</x:f>
        <x:v>347.387.418-37</x:v>
      </x:c>
      <x:c r="G483" s="22" t="str">
        <x:f>"34738741837"</x:f>
        <x:v>34738741837</x:v>
      </x:c>
      <x:c r="H483" s="23" t="str">
        <x:v>CAMILLA_CLOVER@HOTMAIL.COM</x:v>
      </x:c>
      <x:c r="I483" s="22" t="str">
        <x:f>"35 998620452"</x:f>
        <x:v>35 998620452</x:v>
      </x:c>
      <x:c r="J483" s="23" t="str">
        <x:v>SPOT</x:v>
      </x:c>
      <x:c r="K483" s="23" t="str">
        <x:v>favored_only</x:v>
      </x:c>
      <x:c r="L483" s="24" t="b">
        <x:v>1</x:v>
      </x:c>
      <x:c r="M483" s="23" t="n">
        <x:v>1</x:v>
      </x:c>
      <x:c r="N483" s="28" t="n">
        <x:v>46203.921824756944</x:v>
      </x:c>
      <x:c r="O483" s="28" t="n">
        <x:v>46203.921824756944</x:v>
      </x:c>
      <x:c r="P483" s="23" t="str"/>
      <x:c r="Q483" s="30" t="str"/>
      <x:c r="R483" s="22" t="str"/>
      <x:c r="S483" s="23" t="str"/>
      <x:c r="T483" s="22" t="str"/>
      <x:c r="U483" s="23" t="str">
        <x:v>CAMILLA DAMIANI DA ROCHA</x:v>
      </x:c>
      <x:c r="V483" s="22" t="str">
        <x:f>"347.387.418-37"</x:f>
        <x:v>347.387.418-37</x:v>
      </x:c>
      <x:c r="W483" s="22" t="str">
        <x:f>"34738741837"</x:f>
        <x:v>34738741837</x:v>
      </x:c>
      <x:c r="X483" s="23" t="str">
        <x:v>CAMILLA_CLOVER@HOTMAIL.COM</x:v>
      </x:c>
      <x:c r="Y483" s="22" t="str">
        <x:f>"35 998620452"</x:f>
        <x:v>35 998620452</x:v>
      </x:c>
      <x:c r="Z483" s="30" t="str"/>
    </x:row>
    <x:row r="484" ht="18" customHeight="1">
      <x:c r="A484" s="22" t="str">
        <x:f>"eea92375-f8c5-4da4-8f3d-bfade0db26ad"</x:f>
        <x:v>eea92375-f8c5-4da4-8f3d-bfade0db26ad</x:v>
      </x:c>
      <x:c r="B484" s="23" t="str">
        <x:v>CAMILO FERNANDES SARDAO</x:v>
      </x:c>
      <x:c r="C484" s="23" t="str">
        <x:v>camilo fernandes sardao</x:v>
      </x:c>
      <x:c r="D484" s="22" t="str">
        <x:f>"43.372.476/0001-66"</x:f>
        <x:v>43.372.476/0001-66</x:v>
      </x:c>
      <x:c r="E484" s="22" t="str">
        <x:f>"43372476000166"</x:f>
        <x:v>43372476000166</x:v>
      </x:c>
      <x:c r="F484" s="22" t="str">
        <x:f>"332.916.018-74"</x:f>
        <x:v>332.916.018-74</x:v>
      </x:c>
      <x:c r="G484" s="22" t="str">
        <x:f>"33291601874"</x:f>
        <x:v>33291601874</x:v>
      </x:c>
      <x:c r="H484" s="23" t="str">
        <x:v>camilosardao43@gmail.com</x:v>
      </x:c>
      <x:c r="I484" s="22" t="str">
        <x:f>"(17)99163-4810"</x:f>
        <x:v>(17)99163-4810</x:v>
      </x:c>
      <x:c r="J484" s="23" t="str">
        <x:v>SPOT</x:v>
      </x:c>
      <x:c r="K484" s="23" t="str">
        <x:v>favored_only</x:v>
      </x:c>
      <x:c r="L484" s="24" t="b">
        <x:v>1</x:v>
      </x:c>
      <x:c r="M484" s="23" t="n">
        <x:v>1</x:v>
      </x:c>
      <x:c r="N484" s="28" t="n">
        <x:v>46219.812988715275</x:v>
      </x:c>
      <x:c r="O484" s="28" t="n">
        <x:v>46219.812988715275</x:v>
      </x:c>
      <x:c r="P484" s="23" t="str">
        <x:v>BARRETOS</x:v>
      </x:c>
      <x:c r="Q484" s="30" t="n">
        <x:v>30803</x:v>
      </x:c>
      <x:c r="R484" s="22" t="str">
        <x:f>"40919976X"</x:f>
        <x:v>40919976X</x:v>
      </x:c>
      <x:c r="S484" s="23" t="str">
        <x:v>masculino</x:v>
      </x:c>
      <x:c r="T484" s="22" t="str">
        <x:f>"GFJ9G69"</x:f>
        <x:v>GFJ9G69</x:v>
      </x:c>
      <x:c r="U484" s="23" t="str">
        <x:v>ANDRE ULISSES DAVID</x:v>
      </x:c>
      <x:c r="V484" s="22" t="str">
        <x:f>"258.640.028-36"</x:f>
        <x:v>258.640.028-36</x:v>
      </x:c>
      <x:c r="W484" s="22" t="str">
        <x:f>"25864002836"</x:f>
        <x:v>25864002836</x:v>
      </x:c>
      <x:c r="X484" s="23" t="str">
        <x:v>andre.u.david@hotmail.com</x:v>
      </x:c>
      <x:c r="Y484" s="22" t="str">
        <x:f>"(16)99779-2562"</x:f>
        <x:v>(16)99779-2562</x:v>
      </x:c>
      <x:c r="Z484" s="30" t="n">
        <x:v>46485</x:v>
      </x:c>
    </x:row>
    <x:row r="485" ht="18" customHeight="1">
      <x:c r="A485" s="22" t="str">
        <x:f>"5d9ef531-e5e2-43fd-bf7e-0a196f562e64"</x:f>
        <x:v>5d9ef531-e5e2-43fd-bf7e-0a196f562e64</x:v>
      </x:c>
      <x:c r="B485" s="23" t="str">
        <x:v>CARLA APARECIDA DE CARVALHO</x:v>
      </x:c>
      <x:c r="C485" s="23" t="str">
        <x:v>carla aparecida de carvalho</x:v>
      </x:c>
      <x:c r="D485" s="22" t="str">
        <x:f>"48.351.372/0001-99"</x:f>
        <x:v>48.351.372/0001-99</x:v>
      </x:c>
      <x:c r="E485" s="22" t="str">
        <x:f>"48351372000199"</x:f>
        <x:v>48351372000199</x:v>
      </x:c>
      <x:c r="F485" s="22" t="str">
        <x:f>"077.955.426-46"</x:f>
        <x:v>077.955.426-46</x:v>
      </x:c>
      <x:c r="G485" s="22" t="str">
        <x:f>"07795542646"</x:f>
        <x:v>07795542646</x:v>
      </x:c>
      <x:c r="H485" s="23" t="str">
        <x:v>carlaap@outlook.com</x:v>
      </x:c>
      <x:c r="I485" s="22" t="str">
        <x:f>"(35)99144-1867"</x:f>
        <x:v>(35)99144-1867</x:v>
      </x:c>
      <x:c r="J485" s="23" t="str">
        <x:v>RENTAL</x:v>
      </x:c>
      <x:c r="K485" s="23" t="str">
        <x:v>rental_company</x:v>
      </x:c>
      <x:c r="L485" s="24" t="b">
        <x:v>1</x:v>
      </x:c>
      <x:c r="M485" s="23" t="n">
        <x:v>1</x:v>
      </x:c>
      <x:c r="N485" s="28" t="n">
        <x:v>46219.812988715275</x:v>
      </x:c>
      <x:c r="O485" s="28" t="n">
        <x:v>46219.812988715275</x:v>
      </x:c>
      <x:c r="P485" s="23" t="str">
        <x:v>POUSO ALEGRE</x:v>
      </x:c>
      <x:c r="Q485" s="30" t="n">
        <x:v>32014</x:v>
      </x:c>
      <x:c r="R485" s="22" t="str">
        <x:f>"MG14280963 SSP MG"</x:f>
        <x:v>MG14280963 SSP MG</x:v>
      </x:c>
      <x:c r="S485" s="23" t="str">
        <x:v>feminino</x:v>
      </x:c>
      <x:c r="T485" s="22" t="str"/>
      <x:c r="U485" s="23" t="str">
        <x:v>CARLA APARECIDA DE CARVALHO</x:v>
      </x:c>
      <x:c r="V485" s="22" t="str">
        <x:f>"077.955.426-46"</x:f>
        <x:v>077.955.426-46</x:v>
      </x:c>
      <x:c r="W485" s="22" t="str">
        <x:f>"07795542646"</x:f>
        <x:v>07795542646</x:v>
      </x:c>
      <x:c r="X485" s="23" t="str">
        <x:v>carlaap@outlook.com</x:v>
      </x:c>
      <x:c r="Y485" s="22" t="str">
        <x:f>"(35)99144-1867"</x:f>
        <x:v>(35)99144-1867</x:v>
      </x:c>
      <x:c r="Z485" s="30" t="n">
        <x:v>46539</x:v>
      </x:c>
    </x:row>
    <x:row r="486" ht="18" customHeight="1">
      <x:c r="A486" s="22" t="str">
        <x:f>"1641d2b7-25d7-400c-80cd-3d882c4b0967"</x:f>
        <x:v>1641d2b7-25d7-400c-80cd-3d882c4b0967</x:v>
      </x:c>
      <x:c r="B486" s="23" t="str">
        <x:v>CARLA DUARTE GONCALVES DA SILVA</x:v>
      </x:c>
      <x:c r="C486" s="23" t="str">
        <x:v>carla duarte goncalves da silva</x:v>
      </x:c>
      <x:c r="D486" s="22" t="str">
        <x:f>"65.082.071/0001-26"</x:f>
        <x:v>65.082.071/0001-26</x:v>
      </x:c>
      <x:c r="E486" s="22" t="str">
        <x:f>"65082071000126"</x:f>
        <x:v>65082071000126</x:v>
      </x:c>
      <x:c r="F486" s="22" t="str">
        <x:f>"084.628.387-54"</x:f>
        <x:v>084.628.387-54</x:v>
      </x:c>
      <x:c r="G486" s="22" t="str">
        <x:f>"08462838754"</x:f>
        <x:v>08462838754</x:v>
      </x:c>
      <x:c r="H486" s="23" t="str">
        <x:v>carlarulk@gmail.com</x:v>
      </x:c>
      <x:c r="I486" s="22" t="str">
        <x:f>"21995944714"</x:f>
        <x:v>21995944714</x:v>
      </x:c>
      <x:c r="J486" s="23" t="str">
        <x:v>SPOT</x:v>
      </x:c>
      <x:c r="K486" s="23" t="str">
        <x:v>favored_only</x:v>
      </x:c>
      <x:c r="L486" s="24" t="b">
        <x:v>1</x:v>
      </x:c>
      <x:c r="M486" s="23" t="n">
        <x:v>1</x:v>
      </x:c>
      <x:c r="N486" s="28" t="n">
        <x:v>46219.812988715275</x:v>
      </x:c>
      <x:c r="O486" s="28" t="n">
        <x:v>46219.812988715275</x:v>
      </x:c>
      <x:c r="P486" s="23" t="str">
        <x:v>CAMPO GRANDE</x:v>
      </x:c>
      <x:c r="Q486" s="30" t="n">
        <x:v>28976</x:v>
      </x:c>
      <x:c r="R486" s="22" t="str">
        <x:f>"125512517"</x:f>
        <x:v>125512517</x:v>
      </x:c>
      <x:c r="S486" s="23" t="str">
        <x:v>feminino</x:v>
      </x:c>
      <x:c r="T486" s="22" t="str">
        <x:f>"FST9A06"</x:f>
        <x:v>FST9A06</x:v>
      </x:c>
      <x:c r="U486" s="23" t="str">
        <x:v>CARLA DUARTE GONCALVES DA SILVA</x:v>
      </x:c>
      <x:c r="V486" s="22" t="str">
        <x:f>"084.628.387-54"</x:f>
        <x:v>084.628.387-54</x:v>
      </x:c>
      <x:c r="W486" s="22" t="str">
        <x:f>"08462838754"</x:f>
        <x:v>08462838754</x:v>
      </x:c>
      <x:c r="X486" s="23" t="str">
        <x:v>carlarulk@gmail.com</x:v>
      </x:c>
      <x:c r="Y486" s="22" t="str">
        <x:f>"21995944714"</x:f>
        <x:v>21995944714</x:v>
      </x:c>
      <x:c r="Z486" s="30" t="n">
        <x:v>46457</x:v>
      </x:c>
    </x:row>
    <x:row r="487" ht="18" customHeight="1">
      <x:c r="A487" s="22" t="str">
        <x:f>"23d4010d-f77d-4470-97c9-fbcf506f4199"</x:f>
        <x:v>23d4010d-f77d-4470-97c9-fbcf506f4199</x:v>
      </x:c>
      <x:c r="B487" s="23" t="str">
        <x:v>Carla Eduarda Machado Gonçalves</x:v>
      </x:c>
      <x:c r="C487" s="23" t="str">
        <x:v>carla eduarda machado goncalves</x:v>
      </x:c>
      <x:c r="D487" s="22" t="str">
        <x:f>"58.353.651/0001-45"</x:f>
        <x:v>58.353.651/0001-45</x:v>
      </x:c>
      <x:c r="E487" s="22" t="str">
        <x:f>"58353651000145"</x:f>
        <x:v>58353651000145</x:v>
      </x:c>
      <x:c r="F487" s="22" t="str">
        <x:f>"116.755.856-10"</x:f>
        <x:v>116.755.856-10</x:v>
      </x:c>
      <x:c r="G487" s="22" t="str">
        <x:f>"11675585610"</x:f>
        <x:v>11675585610</x:v>
      </x:c>
      <x:c r="H487" s="23" t="str">
        <x:v>caeduarda251@gmail.com</x:v>
      </x:c>
      <x:c r="I487" s="22" t="str">
        <x:f>"31 9 9196-7964"</x:f>
        <x:v>31 9 9196-7964</x:v>
      </x:c>
      <x:c r="J487" s="23" t="str">
        <x:v>SPOT</x:v>
      </x:c>
      <x:c r="K487" s="23" t="str">
        <x:v>favored_only</x:v>
      </x:c>
      <x:c r="L487" s="24" t="b">
        <x:v>1</x:v>
      </x:c>
      <x:c r="M487" s="23" t="n">
        <x:v>1</x:v>
      </x:c>
      <x:c r="N487" s="28" t="n">
        <x:v>46203.921858726855</x:v>
      </x:c>
      <x:c r="O487" s="28" t="n">
        <x:v>46203.921858726855</x:v>
      </x:c>
      <x:c r="P487" s="23" t="str"/>
      <x:c r="Q487" s="30" t="str"/>
      <x:c r="R487" s="22" t="str"/>
      <x:c r="S487" s="23" t="str"/>
      <x:c r="T487" s="22" t="str"/>
      <x:c r="U487" s="23" t="str">
        <x:v>Carla Eduarda Machado Gonçalves</x:v>
      </x:c>
      <x:c r="V487" s="22" t="str">
        <x:f>"116.755.856-10"</x:f>
        <x:v>116.755.856-10</x:v>
      </x:c>
      <x:c r="W487" s="22" t="str">
        <x:f>"11675585610"</x:f>
        <x:v>11675585610</x:v>
      </x:c>
      <x:c r="X487" s="23" t="str">
        <x:v>caeduarda251@gmail.com</x:v>
      </x:c>
      <x:c r="Y487" s="22" t="str">
        <x:f>"31 9 9196-7964"</x:f>
        <x:v>31 9 9196-7964</x:v>
      </x:c>
      <x:c r="Z487" s="30" t="str"/>
    </x:row>
    <x:row r="488" ht="18" customHeight="1">
      <x:c r="A488" s="22" t="str">
        <x:f>"b8a38ebf-01f6-4dfd-853d-689ef3ea0b93"</x:f>
        <x:v>b8a38ebf-01f6-4dfd-853d-689ef3ea0b93</x:v>
      </x:c>
      <x:c r="B488" s="23" t="str">
        <x:v>CARLA LADEIRA CORTES DE SOUZA</x:v>
      </x:c>
      <x:c r="C488" s="23" t="str">
        <x:v>carla ladeira cortes de souza</x:v>
      </x:c>
      <x:c r="D488" s="22" t="str">
        <x:f>"61.341.166/0001-66"</x:f>
        <x:v>61.341.166/0001-66</x:v>
      </x:c>
      <x:c r="E488" s="22" t="str">
        <x:f>"61341166000166"</x:f>
        <x:v>61341166000166</x:v>
      </x:c>
      <x:c r="F488" s="22" t="str">
        <x:f>"148.108.957-93"</x:f>
        <x:v>148.108.957-93</x:v>
      </x:c>
      <x:c r="G488" s="22" t="str">
        <x:f>"14810895793"</x:f>
        <x:v>14810895793</x:v>
      </x:c>
      <x:c r="H488" s="23" t="str">
        <x:v>carlalcsouza@gmail.com</x:v>
      </x:c>
      <x:c r="I488" s="22" t="str">
        <x:f>"21992065829"</x:f>
        <x:v>21992065829</x:v>
      </x:c>
      <x:c r="J488" s="23" t="str">
        <x:v>SPOT</x:v>
      </x:c>
      <x:c r="K488" s="23" t="str">
        <x:v>favored_only</x:v>
      </x:c>
      <x:c r="L488" s="24" t="b">
        <x:v>1</x:v>
      </x:c>
      <x:c r="M488" s="23" t="n">
        <x:v>1</x:v>
      </x:c>
      <x:c r="N488" s="28" t="n">
        <x:v>46203.92188238426</x:v>
      </x:c>
      <x:c r="O488" s="28" t="n">
        <x:v>46205.60684204861</x:v>
      </x:c>
      <x:c r="P488" s="23" t="str">
        <x:v>CORDOVIL</x:v>
      </x:c>
      <x:c r="Q488" s="30" t="n">
        <x:v>33986</x:v>
      </x:c>
      <x:c r="R488" s="22" t="str">
        <x:f>"223911934"</x:f>
        <x:v>223911934</x:v>
      </x:c>
      <x:c r="S488" s="23" t="str">
        <x:v>Feminino</x:v>
      </x:c>
      <x:c r="T488" s="22" t="str">
        <x:f>"PMI1F94"</x:f>
        <x:v>PMI1F94</x:v>
      </x:c>
      <x:c r="U488" s="23" t="str">
        <x:v>CARLA LADEIRA CORTES DE SOUZA</x:v>
      </x:c>
      <x:c r="V488" s="22" t="str">
        <x:f>"14810895793"</x:f>
        <x:v>14810895793</x:v>
      </x:c>
      <x:c r="W488" s="22" t="str">
        <x:f>"14810895793"</x:f>
        <x:v>14810895793</x:v>
      </x:c>
      <x:c r="X488" s="23" t="str">
        <x:v>carlalcsouza@gmail.com</x:v>
      </x:c>
      <x:c r="Y488" s="22" t="str">
        <x:f>"21992065829"</x:f>
        <x:v>21992065829</x:v>
      </x:c>
      <x:c r="Z488" s="30" t="n">
        <x:v>46217</x:v>
      </x:c>
    </x:row>
    <x:row r="489" ht="18" customHeight="1">
      <x:c r="A489" s="22" t="str">
        <x:f>"8e02f0b3-d40b-41a8-9c70-a232f7fd9237"</x:f>
        <x:v>8e02f0b3-d40b-41a8-9c70-a232f7fd9237</x:v>
      </x:c>
      <x:c r="B489" s="23" t="str">
        <x:v>CARLA MICHELE DE OLIVEIRA SANTOS</x:v>
      </x:c>
      <x:c r="C489" s="23" t="str">
        <x:v>carla michele de oliveira santos</x:v>
      </x:c>
      <x:c r="D489" s="22" t="str">
        <x:f>"67.137.326/0001-36"</x:f>
        <x:v>67.137.326/0001-36</x:v>
      </x:c>
      <x:c r="E489" s="22" t="str">
        <x:f>"67137326000136"</x:f>
        <x:v>67137326000136</x:v>
      </x:c>
      <x:c r="F489" s="22" t="str">
        <x:f>"436.431.588-58"</x:f>
        <x:v>436.431.588-58</x:v>
      </x:c>
      <x:c r="G489" s="22" t="str">
        <x:f>"43643158858"</x:f>
        <x:v>43643158858</x:v>
      </x:c>
      <x:c r="H489" s="23" t="str">
        <x:v>kah.olisantos17@gmail.com</x:v>
      </x:c>
      <x:c r="I489" s="22" t="str">
        <x:f>"(15)99649-8620"</x:f>
        <x:v>(15)99649-8620</x:v>
      </x:c>
      <x:c r="J489" s="23" t="str">
        <x:v>RENTAL</x:v>
      </x:c>
      <x:c r="K489" s="23" t="str">
        <x:v>rental_company</x:v>
      </x:c>
      <x:c r="L489" s="24" t="b">
        <x:v>1</x:v>
      </x:c>
      <x:c r="M489" s="23" t="n">
        <x:v>1</x:v>
      </x:c>
      <x:c r="N489" s="28" t="n">
        <x:v>46219.812988715275</x:v>
      </x:c>
      <x:c r="O489" s="28" t="n">
        <x:v>46219.812988715275</x:v>
      </x:c>
      <x:c r="P489" s="23" t="str">
        <x:v>POUSO ALEGRE</x:v>
      </x:c>
      <x:c r="Q489" s="30" t="n">
        <x:v>34532</x:v>
      </x:c>
      <x:c r="R489" s="22" t="str">
        <x:f>"43972930 SSP SP"</x:f>
        <x:v>43972930 SSP SP</x:v>
      </x:c>
      <x:c r="S489" s="23" t="str">
        <x:v>feminino</x:v>
      </x:c>
      <x:c r="T489" s="22" t="str"/>
      <x:c r="U489" s="23" t="str">
        <x:v>CARLA MICHELE DE OLIVEIRA SANTOS</x:v>
      </x:c>
      <x:c r="V489" s="22" t="str">
        <x:f>"436.431.588-58"</x:f>
        <x:v>436.431.588-58</x:v>
      </x:c>
      <x:c r="W489" s="22" t="str">
        <x:f>"43643158858"</x:f>
        <x:v>43643158858</x:v>
      </x:c>
      <x:c r="X489" s="23" t="str">
        <x:v>kah.olisantos17@gmail.com</x:v>
      </x:c>
      <x:c r="Y489" s="22" t="str">
        <x:f>"(15)99649-8620"</x:f>
        <x:v>(15)99649-8620</x:v>
      </x:c>
      <x:c r="Z489" s="30" t="n">
        <x:v>46542</x:v>
      </x:c>
    </x:row>
    <x:row r="490" ht="18" customHeight="1">
      <x:c r="A490" s="22" t="str">
        <x:f>"8617ae1a-781d-4042-9909-30ac425ca8e0"</x:f>
        <x:v>8617ae1a-781d-4042-9909-30ac425ca8e0</x:v>
      </x:c>
      <x:c r="B490" s="23" t="str">
        <x:v>CARLA REGINA FEITOSA</x:v>
      </x:c>
      <x:c r="C490" s="23" t="str">
        <x:v>carla regina feitosa</x:v>
      </x:c>
      <x:c r="D490" s="22" t="str">
        <x:f>"31.721.729/0001-80"</x:f>
        <x:v>31.721.729/0001-80</x:v>
      </x:c>
      <x:c r="E490" s="22" t="str">
        <x:f>"31721729000180"</x:f>
        <x:v>31721729000180</x:v>
      </x:c>
      <x:c r="F490" s="22" t="str">
        <x:f>"303.040.958-93"</x:f>
        <x:v>303.040.958-93</x:v>
      </x:c>
      <x:c r="G490" s="22" t="str">
        <x:f>"30304095893"</x:f>
        <x:v>30304095893</x:v>
      </x:c>
      <x:c r="H490" s="23" t="str">
        <x:v>cfeitosa2008@hotmail.com</x:v>
      </x:c>
      <x:c r="I490" s="22" t="str">
        <x:f>"11981818109"</x:f>
        <x:v>11981818109</x:v>
      </x:c>
      <x:c r="J490" s="23" t="str">
        <x:v>RENTAL</x:v>
      </x:c>
      <x:c r="K490" s="23" t="str">
        <x:v>rental_company</x:v>
      </x:c>
      <x:c r="L490" s="24" t="b">
        <x:v>1</x:v>
      </x:c>
      <x:c r="M490" s="23" t="n">
        <x:v>1</x:v>
      </x:c>
      <x:c r="N490" s="28" t="n">
        <x:v>46219.812988715275</x:v>
      </x:c>
      <x:c r="O490" s="28" t="n">
        <x:v>46219.812988715275</x:v>
      </x:c>
      <x:c r="P490" s="23" t="str">
        <x:v>BARUERI</x:v>
      </x:c>
      <x:c r="Q490" s="30" t="n">
        <x:v>29887</x:v>
      </x:c>
      <x:c r="R490" s="22" t="str">
        <x:f>"33374722-7"</x:f>
        <x:v>33374722-7</x:v>
      </x:c>
      <x:c r="S490" s="23" t="str">
        <x:v>feminino</x:v>
      </x:c>
      <x:c r="T490" s="22" t="str"/>
      <x:c r="U490" s="23" t="str">
        <x:v>CARLA REGINA FEITOSA</x:v>
      </x:c>
      <x:c r="V490" s="22" t="str">
        <x:f>"303.040.958-93"</x:f>
        <x:v>303.040.958-93</x:v>
      </x:c>
      <x:c r="W490" s="22" t="str">
        <x:f>"30304095893"</x:f>
        <x:v>30304095893</x:v>
      </x:c>
      <x:c r="X490" s="23" t="str">
        <x:v>cfeitosa2008@hotmail.com</x:v>
      </x:c>
      <x:c r="Y490" s="22" t="str">
        <x:f>"11981818109"</x:f>
        <x:v>11981818109</x:v>
      </x:c>
      <x:c r="Z490" s="30" t="n">
        <x:v>46455</x:v>
      </x:c>
    </x:row>
    <x:row r="491" ht="18" customHeight="1">
      <x:c r="A491" s="22" t="str">
        <x:f>"e8881660-5750-4391-8ec5-efb64c4290a6"</x:f>
        <x:v>e8881660-5750-4391-8ec5-efb64c4290a6</x:v>
      </x:c>
      <x:c r="B491" s="23" t="str">
        <x:v>CARLA SANTOS DE OLIVEIRA</x:v>
      </x:c>
      <x:c r="C491" s="23" t="str">
        <x:v>carla santos de oliveira</x:v>
      </x:c>
      <x:c r="D491" s="22" t="str">
        <x:f>"63.684.194/0001-01"</x:f>
        <x:v>63.684.194/0001-01</x:v>
      </x:c>
      <x:c r="E491" s="22" t="str">
        <x:f>"63684194000101"</x:f>
        <x:v>63684194000101</x:v>
      </x:c>
      <x:c r="F491" s="22" t="str">
        <x:f>"091.848.847-89"</x:f>
        <x:v>091.848.847-89</x:v>
      </x:c>
      <x:c r="G491" s="22" t="str">
        <x:f>"09184884789"</x:f>
        <x:v>09184884789</x:v>
      </x:c>
      <x:c r="H491" s="23" t="str">
        <x:v>carla.oliveira_20@yahoo.com.br</x:v>
      </x:c>
      <x:c r="I491" s="22" t="str">
        <x:f>"21986714208"</x:f>
        <x:v>21986714208</x:v>
      </x:c>
      <x:c r="J491" s="23" t="str">
        <x:v>SPOT</x:v>
      </x:c>
      <x:c r="K491" s="23" t="str">
        <x:v>favored_only</x:v>
      </x:c>
      <x:c r="L491" s="24" t="b">
        <x:v>1</x:v>
      </x:c>
      <x:c r="M491" s="23" t="n">
        <x:v>1</x:v>
      </x:c>
      <x:c r="N491" s="28" t="n">
        <x:v>46203.92189349537</x:v>
      </x:c>
      <x:c r="O491" s="28" t="n">
        <x:v>46219.812988715275</x:v>
      </x:c>
      <x:c r="P491" s="23" t="str">
        <x:v>CAMPO GRANDE</x:v>
      </x:c>
      <x:c r="Q491" s="30" t="n">
        <x:v>29240</x:v>
      </x:c>
      <x:c r="R491" s="22" t="str">
        <x:f>"131817934"</x:f>
        <x:v>131817934</x:v>
      </x:c>
      <x:c r="S491" s="23" t="str">
        <x:v>masculino</x:v>
      </x:c>
      <x:c r="T491" s="22" t="str">
        <x:f>"LSC2407"</x:f>
        <x:v>LSC2407</x:v>
      </x:c>
      <x:c r="U491" s="23" t="str">
        <x:v>CARLA SANTOS DE OLIVEIRA</x:v>
      </x:c>
      <x:c r="V491" s="22" t="str">
        <x:f>"091.848.847-89"</x:f>
        <x:v>091.848.847-89</x:v>
      </x:c>
      <x:c r="W491" s="22" t="str">
        <x:f>"09184884789"</x:f>
        <x:v>09184884789</x:v>
      </x:c>
      <x:c r="X491" s="23" t="str">
        <x:v>carla.oliveira_20@yahoo.com.br</x:v>
      </x:c>
      <x:c r="Y491" s="22" t="str">
        <x:f>"21986714208"</x:f>
        <x:v>21986714208</x:v>
      </x:c>
      <x:c r="Z491" s="30" t="n">
        <x:v>46533</x:v>
      </x:c>
    </x:row>
    <x:row r="492" ht="18" customHeight="1">
      <x:c r="A492" s="22" t="str">
        <x:f>"6688f1bf-be8b-4155-8b04-0d3d674b209f"</x:f>
        <x:v>6688f1bf-be8b-4155-8b04-0d3d674b209f</x:v>
      </x:c>
      <x:c r="B492" s="23" t="str">
        <x:v>CARLEONE ALMEIDA SANTOS</x:v>
      </x:c>
      <x:c r="C492" s="23" t="str">
        <x:v>carleone almeida santos</x:v>
      </x:c>
      <x:c r="D492" s="22" t="str">
        <x:f>"62.639.462/0001-00"</x:f>
        <x:v>62.639.462/0001-00</x:v>
      </x:c>
      <x:c r="E492" s="22" t="str">
        <x:f>"62639462000100"</x:f>
        <x:v>62639462000100</x:v>
      </x:c>
      <x:c r="F492" s="22" t="str">
        <x:f>"315061177824"</x:f>
        <x:v>315061177824</x:v>
      </x:c>
      <x:c r="G492" s="22" t="str">
        <x:f>"315061177824"</x:f>
        <x:v>315061177824</x:v>
      </x:c>
      <x:c r="H492" s="23" t="str">
        <x:v>carleone.santos@loggi.com</x:v>
      </x:c>
      <x:c r="I492" s="22" t="str">
        <x:f>"(11)934390037"</x:f>
        <x:v>(11)934390037</x:v>
      </x:c>
      <x:c r="J492" s="23" t="str">
        <x:v>RENTAL</x:v>
      </x:c>
      <x:c r="K492" s="23" t="str">
        <x:v>rental_company</x:v>
      </x:c>
      <x:c r="L492" s="24" t="b">
        <x:v>1</x:v>
      </x:c>
      <x:c r="M492" s="23" t="n">
        <x:v>1</x:v>
      </x:c>
      <x:c r="N492" s="28" t="n">
        <x:v>46203.92186462963</x:v>
      </x:c>
      <x:c r="O492" s="28" t="n">
        <x:v>46219.812988715275</x:v>
      </x:c>
      <x:c r="P492" s="23" t="str">
        <x:v>MADEIRA MADEIRA</x:v>
      </x:c>
      <x:c r="Q492" s="30" t="n">
        <x:v>30433</x:v>
      </x:c>
      <x:c r="R492" s="22" t="str">
        <x:f>"36244311-7"</x:f>
        <x:v>36244311-7</x:v>
      </x:c>
      <x:c r="S492" s="23" t="str">
        <x:v>masculino</x:v>
      </x:c>
      <x:c r="T492" s="22" t="str"/>
      <x:c r="U492" s="23" t="str">
        <x:v>CARLEONE ALMEIDA SANTOS</x:v>
      </x:c>
      <x:c r="V492" s="22" t="str">
        <x:f>"315061177824"</x:f>
        <x:v>315061177824</x:v>
      </x:c>
      <x:c r="W492" s="22" t="str">
        <x:f>"315061177824"</x:f>
        <x:v>315061177824</x:v>
      </x:c>
      <x:c r="X492" s="23" t="str">
        <x:v>carleone.santos@loggi.com</x:v>
      </x:c>
      <x:c r="Y492" s="22" t="str">
        <x:f>"(11)934390037"</x:f>
        <x:v>(11)934390037</x:v>
      </x:c>
      <x:c r="Z492" s="30" t="n">
        <x:v>46275</x:v>
      </x:c>
    </x:row>
    <x:row r="493" ht="18" customHeight="1">
      <x:c r="A493" s="22" t="str">
        <x:f>"9b704da4-6a49-49cd-8b5c-d32c3f4b5603"</x:f>
        <x:v>9b704da4-6a49-49cd-8b5c-d32c3f4b5603</x:v>
      </x:c>
      <x:c r="B493" s="23" t="str">
        <x:v>CARLOS ALBERTO ACHILLLE</x:v>
      </x:c>
      <x:c r="C493" s="23" t="str">
        <x:v>carlos alberto achillle</x:v>
      </x:c>
      <x:c r="D493" s="22" t="str">
        <x:f>"59.147.592/0001-11"</x:f>
        <x:v>59.147.592/0001-11</x:v>
      </x:c>
      <x:c r="E493" s="22" t="str">
        <x:f>"59147592000111"</x:f>
        <x:v>59147592000111</x:v>
      </x:c>
      <x:c r="F493" s="22" t="str">
        <x:f>"254.963.238-94"</x:f>
        <x:v>254.963.238-94</x:v>
      </x:c>
      <x:c r="G493" s="22" t="str">
        <x:f>"25496323894"</x:f>
        <x:v>25496323894</x:v>
      </x:c>
      <x:c r="H493" s="23" t="str">
        <x:v>carlosachille@hotmail.com</x:v>
      </x:c>
      <x:c r="I493" s="22" t="str">
        <x:f>"17991793870"</x:f>
        <x:v>17991793870</x:v>
      </x:c>
      <x:c r="J493" s="23" t="str">
        <x:v>SPOT</x:v>
      </x:c>
      <x:c r="K493" s="23" t="str">
        <x:v>favored_only</x:v>
      </x:c>
      <x:c r="L493" s="24" t="b">
        <x:v>1</x:v>
      </x:c>
      <x:c r="M493" s="23" t="n">
        <x:v>1</x:v>
      </x:c>
      <x:c r="N493" s="28" t="n">
        <x:v>46205.603802627316</x:v>
      </x:c>
      <x:c r="O493" s="28" t="n">
        <x:v>46219.812988715275</x:v>
      </x:c>
      <x:c r="P493" s="23" t="str">
        <x:v>SÃO JOSE DO RIO PRETO</x:v>
      </x:c>
      <x:c r="Q493" s="30" t="n">
        <x:v>26306</x:v>
      </x:c>
      <x:c r="R493" s="22" t="str">
        <x:f>"23853498"</x:f>
        <x:v>23853498</x:v>
      </x:c>
      <x:c r="S493" s="23" t="str">
        <x:v>masculino</x:v>
      </x:c>
      <x:c r="T493" s="22" t="str">
        <x:f>"ERU0I77"</x:f>
        <x:v>ERU0I77</x:v>
      </x:c>
      <x:c r="U493" s="23" t="str">
        <x:v>ELIZANGELA NUNES FREITAS ACHILLE</x:v>
      </x:c>
      <x:c r="V493" s="22" t="str">
        <x:f>"000.536.076-51"</x:f>
        <x:v>000.536.076-51</x:v>
      </x:c>
      <x:c r="W493" s="22" t="str">
        <x:f>"00053607651"</x:f>
        <x:v>00053607651</x:v>
      </x:c>
      <x:c r="X493" s="23" t="str">
        <x:v>liliachille@hotmail.com</x:v>
      </x:c>
      <x:c r="Y493" s="22" t="str">
        <x:f>"17 99164-5961"</x:f>
        <x:v>17 99164-5961</x:v>
      </x:c>
      <x:c r="Z493" s="30" t="n">
        <x:v>46241</x:v>
      </x:c>
    </x:row>
    <x:row r="494" ht="18" customHeight="1">
      <x:c r="A494" s="22" t="str">
        <x:f>"9d1fac1e-008e-4440-b4dc-a66a0d928a57"</x:f>
        <x:v>9d1fac1e-008e-4440-b4dc-a66a0d928a57</x:v>
      </x:c>
      <x:c r="B494" s="23" t="str">
        <x:v>CARLOS ALBERTO ALVES</x:v>
      </x:c>
      <x:c r="C494" s="23" t="str">
        <x:v>carlos alberto alves</x:v>
      </x:c>
      <x:c r="D494" s="22" t="str">
        <x:f>"62.262.157/0001-42"</x:f>
        <x:v>62.262.157/0001-42</x:v>
      </x:c>
      <x:c r="E494" s="22" t="str">
        <x:f>"62262157000142"</x:f>
        <x:v>62262157000142</x:v>
      </x:c>
      <x:c r="F494" s="22" t="str">
        <x:f>"023.771.141-99"</x:f>
        <x:v>023.771.141-99</x:v>
      </x:c>
      <x:c r="G494" s="22" t="str">
        <x:f>"02377114199"</x:f>
        <x:v>02377114199</x:v>
      </x:c>
      <x:c r="H494" s="23" t="str">
        <x:v>express01entregas@gmail.com</x:v>
      </x:c>
      <x:c r="I494" s="22" t="str">
        <x:f>"65 9901-0458"</x:f>
        <x:v>65 9901-0458</x:v>
      </x:c>
      <x:c r="J494" s="23" t="str">
        <x:v>SPOT</x:v>
      </x:c>
      <x:c r="K494" s="23" t="str">
        <x:v>favored_only</x:v>
      </x:c>
      <x:c r="L494" s="24" t="b">
        <x:v>1</x:v>
      </x:c>
      <x:c r="M494" s="23" t="n">
        <x:v>1</x:v>
      </x:c>
      <x:c r="N494" s="28" t="n">
        <x:v>46219.812988715275</x:v>
      </x:c>
      <x:c r="O494" s="28" t="n">
        <x:v>46219.812988715275</x:v>
      </x:c>
      <x:c r="P494" s="23" t="str">
        <x:v>CUIABA</x:v>
      </x:c>
      <x:c r="Q494" s="30" t="n">
        <x:v>31987</x:v>
      </x:c>
      <x:c r="R494" s="22" t="str">
        <x:f>"19511345"</x:f>
        <x:v>19511345</x:v>
      </x:c>
      <x:c r="S494" s="23" t="str">
        <x:v>masculino</x:v>
      </x:c>
      <x:c r="T494" s="22" t="str">
        <x:f>"RUD8E43"</x:f>
        <x:v>RUD8E43</x:v>
      </x:c>
      <x:c r="U494" s="23" t="str">
        <x:v>DANIELA CASONATTO</x:v>
      </x:c>
      <x:c r="V494" s="22" t="str">
        <x:f>"037.383.651-17"</x:f>
        <x:v>037.383.651-17</x:v>
      </x:c>
      <x:c r="W494" s="22" t="str">
        <x:f>"03738365117"</x:f>
        <x:v>03738365117</x:v>
      </x:c>
      <x:c r="X494" s="23" t="str">
        <x:v>transportadoraalvesa@gmail.com</x:v>
      </x:c>
      <x:c r="Y494" s="22" t="str">
        <x:f>"(65)993000216"</x:f>
        <x:v>(65)993000216</x:v>
      </x:c>
      <x:c r="Z494" s="30" t="n">
        <x:v>46519</x:v>
      </x:c>
    </x:row>
    <x:row r="495" ht="18" customHeight="1">
      <x:c r="A495" s="22" t="str">
        <x:f>"e7ac0d5b-2d0a-4df9-90bf-9f127b4c4a69"</x:f>
        <x:v>e7ac0d5b-2d0a-4df9-90bf-9f127b4c4a69</x:v>
      </x:c>
      <x:c r="B495" s="23" t="str">
        <x:v>CARLOS ALBERTO DA ROCHA</x:v>
      </x:c>
      <x:c r="C495" s="23" t="str">
        <x:v>carlos alberto da rocha</x:v>
      </x:c>
      <x:c r="D495" s="22" t="str">
        <x:f>"60.983.187/0001-12"</x:f>
        <x:v>60.983.187/0001-12</x:v>
      </x:c>
      <x:c r="E495" s="22" t="str">
        <x:f>"60983187000112"</x:f>
        <x:v>60983187000112</x:v>
      </x:c>
      <x:c r="F495" s="22" t="str">
        <x:f>"971.610.396-49"</x:f>
        <x:v>971.610.396-49</x:v>
      </x:c>
      <x:c r="G495" s="22" t="str">
        <x:f>"97161039649"</x:f>
        <x:v>97161039649</x:v>
      </x:c>
      <x:c r="H495" s="23" t="str">
        <x:v>carlosalberto192161@gmail.com</x:v>
      </x:c>
      <x:c r="I495" s="22" t="str">
        <x:f>"( 31) 99843-9106"</x:f>
        <x:v>( 31) 99843-9106</x:v>
      </x:c>
      <x:c r="J495" s="23" t="str">
        <x:v>SPOT</x:v>
      </x:c>
      <x:c r="K495" s="23" t="str">
        <x:v>favored_only</x:v>
      </x:c>
      <x:c r="L495" s="24" t="b">
        <x:v>1</x:v>
      </x:c>
      <x:c r="M495" s="23" t="n">
        <x:v>1</x:v>
      </x:c>
      <x:c r="N495" s="28" t="n">
        <x:v>46219.812988715275</x:v>
      </x:c>
      <x:c r="O495" s="28" t="n">
        <x:v>46219.812988715275</x:v>
      </x:c>
      <x:c r="P495" s="23" t="str">
        <x:v>VESPASIANO</x:v>
      </x:c>
      <x:c r="Q495" s="30" t="n">
        <x:v>26723</x:v>
      </x:c>
      <x:c r="R495" s="22" t="str">
        <x:f>"RG: MG 6344 029"</x:f>
        <x:v>RG: MG 6344 029</x:v>
      </x:c>
      <x:c r="S495" s="23" t="str">
        <x:v>masculino</x:v>
      </x:c>
      <x:c r="T495" s="22" t="str">
        <x:f>"FZL9D71"</x:f>
        <x:v>FZL9D71</x:v>
      </x:c>
      <x:c r="U495" s="23" t="str">
        <x:v>CARLOS ALBERTO DA ROCHA</x:v>
      </x:c>
      <x:c r="V495" s="22" t="str">
        <x:f>"971.610.396-49"</x:f>
        <x:v>971.610.396-49</x:v>
      </x:c>
      <x:c r="W495" s="22" t="str">
        <x:f>"97161039649"</x:f>
        <x:v>97161039649</x:v>
      </x:c>
      <x:c r="X495" s="23" t="str">
        <x:v>carlosalberto192161@gmail.com</x:v>
      </x:c>
      <x:c r="Y495" s="22" t="str">
        <x:f>"( 31) 99843-9106"</x:f>
        <x:v>( 31) 99843-9106</x:v>
      </x:c>
      <x:c r="Z495" s="30" t="n">
        <x:v>46428</x:v>
      </x:c>
    </x:row>
    <x:row r="496" ht="18" customHeight="1">
      <x:c r="A496" s="22" t="str">
        <x:f>"af2c31c2-9515-40fd-8a72-2686d49e29ec"</x:f>
        <x:v>af2c31c2-9515-40fd-8a72-2686d49e29ec</x:v>
      </x:c>
      <x:c r="B496" s="23" t="str">
        <x:v>CARLOS ALBERTO DA SILVA JUNIOR</x:v>
      </x:c>
      <x:c r="C496" s="23" t="str">
        <x:v>carlos alberto da silva junior</x:v>
      </x:c>
      <x:c r="D496" s="22" t="str">
        <x:f>"63.799.755/0001-18"</x:f>
        <x:v>63.799.755/0001-18</x:v>
      </x:c>
      <x:c r="E496" s="22" t="str">
        <x:f>"63799755000118"</x:f>
        <x:v>63799755000118</x:v>
      </x:c>
      <x:c r="F496" s="22" t="str">
        <x:f>"096.434.976-07"</x:f>
        <x:v>096.434.976-07</x:v>
      </x:c>
      <x:c r="G496" s="22" t="str">
        <x:f>"09643497607"</x:f>
        <x:v>09643497607</x:v>
      </x:c>
      <x:c r="H496" s="23" t="str">
        <x:v>carlosalbertodasilvajunior46@gmail.com</x:v>
      </x:c>
      <x:c r="I496" s="22" t="str">
        <x:f>"34996321250"</x:f>
        <x:v>34996321250</x:v>
      </x:c>
      <x:c r="J496" s="23" t="str">
        <x:v>RENTAL</x:v>
      </x:c>
      <x:c r="K496" s="23" t="str">
        <x:v>rental_company</x:v>
      </x:c>
      <x:c r="L496" s="24" t="b">
        <x:v>1</x:v>
      </x:c>
      <x:c r="M496" s="23" t="n">
        <x:v>1</x:v>
      </x:c>
      <x:c r="N496" s="28" t="n">
        <x:v>46203.92189965278</x:v>
      </x:c>
      <x:c r="O496" s="28" t="n">
        <x:v>46219.812988715275</x:v>
      </x:c>
      <x:c r="P496" s="23" t="str">
        <x:v>UBERLANDIA</x:v>
      </x:c>
      <x:c r="Q496" s="30" t="n">
        <x:v>33733</x:v>
      </x:c>
      <x:c r="R496" s="22" t="str">
        <x:f>"16854387"</x:f>
        <x:v>16854387</x:v>
      </x:c>
      <x:c r="S496" s="23" t="str">
        <x:v>masculino</x:v>
      </x:c>
      <x:c r="T496" s="22" t="str"/>
      <x:c r="U496" s="23" t="str">
        <x:v>CARLOS ALBERTO DA SILVA JUNIOR</x:v>
      </x:c>
      <x:c r="V496" s="22" t="str">
        <x:f>"096.434.976-07"</x:f>
        <x:v>096.434.976-07</x:v>
      </x:c>
      <x:c r="W496" s="22" t="str">
        <x:f>"09643497607"</x:f>
        <x:v>09643497607</x:v>
      </x:c>
      <x:c r="X496" s="23" t="str">
        <x:v>carlosalbertodasilvajunior46@gmail.com</x:v>
      </x:c>
      <x:c r="Y496" s="22" t="str">
        <x:f>"34996321250"</x:f>
        <x:v>34996321250</x:v>
      </x:c>
      <x:c r="Z496" s="30" t="n">
        <x:v>46353</x:v>
      </x:c>
    </x:row>
    <x:row r="497" ht="18" customHeight="1">
      <x:c r="A497" s="22" t="str">
        <x:f>"fd406464-4c50-4ad4-8861-494ccfbed16d"</x:f>
        <x:v>fd406464-4c50-4ad4-8861-494ccfbed16d</x:v>
      </x:c>
      <x:c r="B497" s="23" t="str">
        <x:v>CARLOS ALBERTO DA SILVA MUNIZ</x:v>
      </x:c>
      <x:c r="C497" s="23" t="str">
        <x:v>carlos alberto da silva muniz</x:v>
      </x:c>
      <x:c r="D497" s="22" t="str">
        <x:f>"26.029.913/0001-24"</x:f>
        <x:v>26.029.913/0001-24</x:v>
      </x:c>
      <x:c r="E497" s="22" t="str">
        <x:f>"26029913000124"</x:f>
        <x:v>26029913000124</x:v>
      </x:c>
      <x:c r="F497" s="22" t="str">
        <x:f>"091.959.777-75"</x:f>
        <x:v>091.959.777-75</x:v>
      </x:c>
      <x:c r="G497" s="22" t="str">
        <x:f>"09195977775"</x:f>
        <x:v>09195977775</x:v>
      </x:c>
      <x:c r="H497" s="23" t="str">
        <x:v>munizmpf@gmail.com</x:v>
      </x:c>
      <x:c r="I497" s="22" t="str">
        <x:f>"21964774471"</x:f>
        <x:v>21964774471</x:v>
      </x:c>
      <x:c r="J497" s="23" t="str">
        <x:v>SPOT</x:v>
      </x:c>
      <x:c r="K497" s="23" t="str">
        <x:v>favored_only</x:v>
      </x:c>
      <x:c r="L497" s="24" t="b">
        <x:v>1</x:v>
      </x:c>
      <x:c r="M497" s="23" t="n">
        <x:v>2</x:v>
      </x:c>
      <x:c r="N497" s="28" t="n">
        <x:v>46203.921887453704</x:v>
      </x:c>
      <x:c r="O497" s="28" t="n">
        <x:v>46219.812988715275</x:v>
      </x:c>
      <x:c r="P497" s="23" t="str">
        <x:v>CAMPO GRANDE</x:v>
      </x:c>
      <x:c r="Q497" s="30" t="n">
        <x:v>30458</x:v>
      </x:c>
      <x:c r="R497" s="22" t="str">
        <x:f>"132218488"</x:f>
        <x:v>132218488</x:v>
      </x:c>
      <x:c r="S497" s="23" t="str">
        <x:v>masculino</x:v>
      </x:c>
      <x:c r="T497" s="22" t="str">
        <x:f>"OXK6C63"</x:f>
        <x:v>OXK6C63</x:v>
      </x:c>
      <x:c r="U497" s="23" t="str">
        <x:v>CARLOS ALBERTO DA SILVA MUNIZ</x:v>
      </x:c>
      <x:c r="V497" s="22" t="str">
        <x:f>"091.959.777-75"</x:f>
        <x:v>091.959.777-75</x:v>
      </x:c>
      <x:c r="W497" s="22" t="str">
        <x:f>"09195977775"</x:f>
        <x:v>09195977775</x:v>
      </x:c>
      <x:c r="X497" s="23" t="str">
        <x:v>munizmpf@gmail.com</x:v>
      </x:c>
      <x:c r="Y497" s="22" t="str">
        <x:f>"21964774471"</x:f>
        <x:v>21964774471</x:v>
      </x:c>
      <x:c r="Z497" s="30" t="n">
        <x:v>46450</x:v>
      </x:c>
    </x:row>
    <x:row r="498" ht="18" customHeight="1">
      <x:c r="A498" s="22" t="str">
        <x:f>"4586748c-3f76-4b11-940a-043d5370bbd7"</x:f>
        <x:v>4586748c-3f76-4b11-940a-043d5370bbd7</x:v>
      </x:c>
      <x:c r="B498" s="23" t="str">
        <x:v>CARLOS ALBERTO DE SOUZA CORDEIRO GONDIM</x:v>
      </x:c>
      <x:c r="C498" s="23" t="str">
        <x:v>carlos alberto de souza cordeiro gondim</x:v>
      </x:c>
      <x:c r="D498" s="22" t="str">
        <x:f>"57.089.089/0001-21"</x:f>
        <x:v>57.089.089/0001-21</x:v>
      </x:c>
      <x:c r="E498" s="22" t="str">
        <x:f>"57089089000121"</x:f>
        <x:v>57089089000121</x:v>
      </x:c>
      <x:c r="F498" s="22" t="str">
        <x:f>"135.443.877-94"</x:f>
        <x:v>135.443.877-94</x:v>
      </x:c>
      <x:c r="G498" s="22" t="str">
        <x:f>"13544387794"</x:f>
        <x:v>13544387794</x:v>
      </x:c>
      <x:c r="H498" s="23" t="str">
        <x:v>CARLOSJUSTICEIRO123@GMAIL.COM</x:v>
      </x:c>
      <x:c r="I498" s="22" t="str">
        <x:f>"+55 22 99890-6595"</x:f>
        <x:v>+55 22 99890-6595</x:v>
      </x:c>
      <x:c r="J498" s="23" t="str">
        <x:v>RENTAL</x:v>
      </x:c>
      <x:c r="K498" s="23" t="str">
        <x:v>rental_company</x:v>
      </x:c>
      <x:c r="L498" s="24" t="b">
        <x:v>1</x:v>
      </x:c>
      <x:c r="M498" s="23" t="n">
        <x:v>1</x:v>
      </x:c>
      <x:c r="N498" s="28" t="n">
        <x:v>46203.921824756944</x:v>
      </x:c>
      <x:c r="O498" s="28" t="n">
        <x:v>46219.812988715275</x:v>
      </x:c>
      <x:c r="P498" s="23" t="str">
        <x:v>CAMPOS DOS GOYTACAZES</x:v>
      </x:c>
      <x:c r="Q498" s="30" t="n">
        <x:v>33908</x:v>
      </x:c>
      <x:c r="R498" s="22" t="str">
        <x:f>"235188349"</x:f>
        <x:v>235188349</x:v>
      </x:c>
      <x:c r="S498" s="23" t="str">
        <x:v>masculino</x:v>
      </x:c>
      <x:c r="T498" s="22" t="str"/>
      <x:c r="U498" s="23" t="str">
        <x:v>CARLOS ALBERTO DE SOUZA CORDEIRO GONDIM</x:v>
      </x:c>
      <x:c r="V498" s="22" t="str">
        <x:f>"135.443.877-94"</x:f>
        <x:v>135.443.877-94</x:v>
      </x:c>
      <x:c r="W498" s="22" t="str">
        <x:f>"13544387794"</x:f>
        <x:v>13544387794</x:v>
      </x:c>
      <x:c r="X498" s="23" t="str">
        <x:v>CARLOSJUSTICEIRO123@GMAIL.COM</x:v>
      </x:c>
      <x:c r="Y498" s="22" t="str">
        <x:f>"+55 22 99890-6595"</x:f>
        <x:v>+55 22 99890-6595</x:v>
      </x:c>
      <x:c r="Z498" s="30" t="n">
        <x:v>46394</x:v>
      </x:c>
    </x:row>
    <x:row r="499" ht="18" customHeight="1">
      <x:c r="A499" s="22" t="str">
        <x:f>"87152c28-d21f-4428-8e7f-18e7b2b60c4e"</x:f>
        <x:v>87152c28-d21f-4428-8e7f-18e7b2b60c4e</x:v>
      </x:c>
      <x:c r="B499" s="23" t="str">
        <x:v>CARLOS ALBERTO FERREIRA SOUTO</x:v>
      </x:c>
      <x:c r="C499" s="23" t="str">
        <x:v>carlos alberto ferreira souto</x:v>
      </x:c>
      <x:c r="D499" s="22" t="str">
        <x:f>"45.674.237/0001-96"</x:f>
        <x:v>45.674.237/0001-96</x:v>
      </x:c>
      <x:c r="E499" s="22" t="str">
        <x:f>"45674237000196"</x:f>
        <x:v>45674237000196</x:v>
      </x:c>
      <x:c r="F499" s="22" t="str">
        <x:f>"128.564.167-13"</x:f>
        <x:v>128.564.167-13</x:v>
      </x:c>
      <x:c r="G499" s="22" t="str">
        <x:f>"12856416713"</x:f>
        <x:v>12856416713</x:v>
      </x:c>
      <x:c r="H499" s="23" t="str">
        <x:v>betosouto1@hotmail.com</x:v>
      </x:c>
      <x:c r="I499" s="22" t="str">
        <x:f>"22 999814749"</x:f>
        <x:v>22 999814749</x:v>
      </x:c>
      <x:c r="J499" s="23" t="str">
        <x:v>SPOT</x:v>
      </x:c>
      <x:c r="K499" s="23" t="str">
        <x:v>favored_only</x:v>
      </x:c>
      <x:c r="L499" s="24" t="b">
        <x:v>1</x:v>
      </x:c>
      <x:c r="M499" s="23" t="n">
        <x:v>1</x:v>
      </x:c>
      <x:c r="N499" s="28" t="n">
        <x:v>46203.9218771875</x:v>
      </x:c>
      <x:c r="O499" s="28" t="n">
        <x:v>46219.812988715275</x:v>
      </x:c>
      <x:c r="P499" s="23" t="str">
        <x:v>CAMPOS DOS GOYTACAZES</x:v>
      </x:c>
      <x:c r="Q499" s="30" t="n">
        <x:v>32563</x:v>
      </x:c>
      <x:c r="R499" s="22" t="str">
        <x:f>"247919764"</x:f>
        <x:v>247919764</x:v>
      </x:c>
      <x:c r="S499" s="23" t="str">
        <x:v>masculino</x:v>
      </x:c>
      <x:c r="T499" s="22" t="str">
        <x:f>"LKO3F59"</x:f>
        <x:v>LKO3F59</x:v>
      </x:c>
      <x:c r="U499" s="23" t="str">
        <x:v>CARLOS ALBERTO FERREIRA SOUTO</x:v>
      </x:c>
      <x:c r="V499" s="22" t="str">
        <x:f>"128.564.167-13"</x:f>
        <x:v>128.564.167-13</x:v>
      </x:c>
      <x:c r="W499" s="22" t="str">
        <x:f>"12856416713"</x:f>
        <x:v>12856416713</x:v>
      </x:c>
      <x:c r="X499" s="23" t="str">
        <x:v>bstramportes@gmail.com</x:v>
      </x:c>
      <x:c r="Y499" s="22" t="str">
        <x:f>"22 999814749"</x:f>
        <x:v>22 999814749</x:v>
      </x:c>
      <x:c r="Z499" s="30" t="n">
        <x:v>46315</x:v>
      </x:c>
    </x:row>
    <x:row r="500" ht="18" customHeight="1">
      <x:c r="A500" s="22" t="str">
        <x:f>"c3a9a5ba-78c0-4d93-821c-2d6a78ce6489"</x:f>
        <x:v>c3a9a5ba-78c0-4d93-821c-2d6a78ce6489</x:v>
      </x:c>
      <x:c r="B500" s="23" t="str">
        <x:v>CARLOS ALBERTO SANTOS OLIVERIA</x:v>
      </x:c>
      <x:c r="C500" s="23" t="str">
        <x:v>carlos alberto santos oliveria</x:v>
      </x:c>
      <x:c r="D500" s="22" t="str">
        <x:f>"37.081.696/0001-38"</x:f>
        <x:v>37.081.696/0001-38</x:v>
      </x:c>
      <x:c r="E500" s="22" t="str">
        <x:f>"37081696000138"</x:f>
        <x:v>37081696000138</x:v>
      </x:c>
      <x:c r="F500" s="22" t="str">
        <x:f>"077.539.896-93"</x:f>
        <x:v>077.539.896-93</x:v>
      </x:c>
      <x:c r="G500" s="22" t="str">
        <x:f>"07753989693"</x:f>
        <x:v>07753989693</x:v>
      </x:c>
      <x:c r="H500" s="23" t="str">
        <x:v>vivadecore1@gmail.com</x:v>
      </x:c>
      <x:c r="I500" s="22" t="str">
        <x:f>"31998248475"</x:f>
        <x:v>31998248475</x:v>
      </x:c>
      <x:c r="J500" s="23" t="str">
        <x:v>SPOT</x:v>
      </x:c>
      <x:c r="K500" s="23" t="str">
        <x:v>favored_only</x:v>
      </x:c>
      <x:c r="L500" s="24" t="b">
        <x:v>1</x:v>
      </x:c>
      <x:c r="M500" s="23" t="n">
        <x:v>1</x:v>
      </x:c>
      <x:c r="N500" s="28" t="n">
        <x:v>46219.812988715275</x:v>
      </x:c>
      <x:c r="O500" s="28" t="n">
        <x:v>46219.812988715275</x:v>
      </x:c>
      <x:c r="P500" s="23" t="str">
        <x:v>CONTAGEM</x:v>
      </x:c>
      <x:c r="Q500" s="30" t="n">
        <x:v>30400</x:v>
      </x:c>
      <x:c r="R500" s="22" t="str">
        <x:f>"15306815"</x:f>
        <x:v>15306815</x:v>
      </x:c>
      <x:c r="S500" s="23" t="str">
        <x:v>masculino</x:v>
      </x:c>
      <x:c r="T500" s="22" t="str">
        <x:f>"PUF7E98"</x:f>
        <x:v>PUF7E98</x:v>
      </x:c>
      <x:c r="U500" s="23" t="str">
        <x:v>CARLOS ALBERTO SANTOS OLIVERIA</x:v>
      </x:c>
      <x:c r="V500" s="22" t="str">
        <x:f>"077.539.896-93"</x:f>
        <x:v>077.539.896-93</x:v>
      </x:c>
      <x:c r="W500" s="22" t="str">
        <x:f>"07753989693"</x:f>
        <x:v>07753989693</x:v>
      </x:c>
      <x:c r="X500" s="23" t="str">
        <x:v>vivadecore1@gmail.com</x:v>
      </x:c>
      <x:c r="Y500" s="22" t="str">
        <x:f>"31998248475"</x:f>
        <x:v>31998248475</x:v>
      </x:c>
      <x:c r="Z500" s="30" t="n">
        <x:v>46572</x:v>
      </x:c>
    </x:row>
    <x:row r="501" ht="18" customHeight="1">
      <x:c r="A501" s="22" t="str">
        <x:f>"740d32c6-e1dc-463f-83ce-06aa51d56678"</x:f>
        <x:v>740d32c6-e1dc-463f-83ce-06aa51d56678</x:v>
      </x:c>
      <x:c r="B501" s="23" t="str">
        <x:v>CARLOS ALEXANDRE DAS CHAGAS DO ESPIRITO SANTO</x:v>
      </x:c>
      <x:c r="C501" s="23" t="str">
        <x:v>carlos alexandre das chagas do espirito santo</x:v>
      </x:c>
      <x:c r="D501" s="22" t="str">
        <x:f>"47.990.645/0001-82"</x:f>
        <x:v>47.990.645/0001-82</x:v>
      </x:c>
      <x:c r="E501" s="22" t="str">
        <x:f>"47990645000182"</x:f>
        <x:v>47990645000182</x:v>
      </x:c>
      <x:c r="F501" s="22" t="str">
        <x:f>"079.573.497-22"</x:f>
        <x:v>079.573.497-22</x:v>
      </x:c>
      <x:c r="G501" s="22" t="str">
        <x:f>"07957349722"</x:f>
        <x:v>07957349722</x:v>
      </x:c>
      <x:c r="H501" s="23" t="str">
        <x:v>esglobesth12345@gmail.com</x:v>
      </x:c>
      <x:c r="I501" s="22" t="str">
        <x:f>"22997341841"</x:f>
        <x:v>22997341841</x:v>
      </x:c>
      <x:c r="J501" s="23" t="str">
        <x:v>SPOT</x:v>
      </x:c>
      <x:c r="K501" s="23" t="str">
        <x:v>favored_only</x:v>
      </x:c>
      <x:c r="L501" s="24" t="b">
        <x:v>1</x:v>
      </x:c>
      <x:c r="M501" s="23" t="n">
        <x:v>1</x:v>
      </x:c>
      <x:c r="N501" s="28" t="n">
        <x:v>46203.92189349537</x:v>
      </x:c>
      <x:c r="O501" s="28" t="n">
        <x:v>46219.812988715275</x:v>
      </x:c>
      <x:c r="P501" s="23" t="str">
        <x:v>CAMPOS DOS GOYTACAZES</x:v>
      </x:c>
      <x:c r="Q501" s="30" t="n">
        <x:v>29335</x:v>
      </x:c>
      <x:c r="R501" s="22" t="str">
        <x:f>"124097809"</x:f>
        <x:v>124097809</x:v>
      </x:c>
      <x:c r="S501" s="23" t="str">
        <x:v>masculino</x:v>
      </x:c>
      <x:c r="T501" s="22" t="str">
        <x:f>"KRM9I72"</x:f>
        <x:v>KRM9I72</x:v>
      </x:c>
      <x:c r="U501" s="23" t="str">
        <x:v>CARLOS ALEXANDRE DAS CHAGAS DO ESPIRITO SANTO</x:v>
      </x:c>
      <x:c r="V501" s="22" t="str">
        <x:f>"079.573.497-22"</x:f>
        <x:v>079.573.497-22</x:v>
      </x:c>
      <x:c r="W501" s="22" t="str">
        <x:f>"07957349722"</x:f>
        <x:v>07957349722</x:v>
      </x:c>
      <x:c r="X501" s="23" t="str">
        <x:v>esglobesth12345@gmail.com</x:v>
      </x:c>
      <x:c r="Y501" s="22" t="str">
        <x:f>"22997341841"</x:f>
        <x:v>22997341841</x:v>
      </x:c>
      <x:c r="Z501" s="30" t="n">
        <x:v>46340</x:v>
      </x:c>
    </x:row>
    <x:row r="502" ht="18" customHeight="1">
      <x:c r="A502" s="22" t="str">
        <x:f>"661f9f97-e18c-48b6-a752-7f9a772513b4"</x:f>
        <x:v>661f9f97-e18c-48b6-a752-7f9a772513b4</x:v>
      </x:c>
      <x:c r="B502" s="23" t="str">
        <x:v>CARLOS ALEXANDRE DO AMARAL XAVIER</x:v>
      </x:c>
      <x:c r="C502" s="23" t="str">
        <x:v>carlos alexandre do amaral xavier</x:v>
      </x:c>
      <x:c r="D502" s="22" t="str">
        <x:f>"57.969.673/0001-71"</x:f>
        <x:v>57.969.673/0001-71</x:v>
      </x:c>
      <x:c r="E502" s="22" t="str">
        <x:f>"57969673000171"</x:f>
        <x:v>57969673000171</x:v>
      </x:c>
      <x:c r="F502" s="22" t="str">
        <x:f>"153.027.896-12"</x:f>
        <x:v>153.027.896-12</x:v>
      </x:c>
      <x:c r="G502" s="22" t="str">
        <x:f>"15302789612"</x:f>
        <x:v>15302789612</x:v>
      </x:c>
      <x:c r="H502" s="23" t="str">
        <x:v>carlin11alexandre@gmail.com</x:v>
      </x:c>
      <x:c r="I502" s="22" t="str">
        <x:f>"(38)88517330"</x:f>
        <x:v>(38)88517330</x:v>
      </x:c>
      <x:c r="J502" s="23" t="str">
        <x:v>RENTAL</x:v>
      </x:c>
      <x:c r="K502" s="23" t="str">
        <x:v>rental_company</x:v>
      </x:c>
      <x:c r="L502" s="24" t="b">
        <x:v>1</x:v>
      </x:c>
      <x:c r="M502" s="23" t="n">
        <x:v>1</x:v>
      </x:c>
      <x:c r="N502" s="28" t="n">
        <x:v>46203.921904421295</x:v>
      </x:c>
      <x:c r="O502" s="28" t="n">
        <x:v>46219.812988715275</x:v>
      </x:c>
      <x:c r="P502" s="23" t="str">
        <x:v>UBERLANDIA</x:v>
      </x:c>
      <x:c r="Q502" s="30" t="n">
        <x:v>37754</x:v>
      </x:c>
      <x:c r="R502" s="22" t="str">
        <x:f>"21641961"</x:f>
        <x:v>21641961</x:v>
      </x:c>
      <x:c r="S502" s="23" t="str">
        <x:v>masculino</x:v>
      </x:c>
      <x:c r="T502" s="22" t="str"/>
      <x:c r="U502" s="23" t="str">
        <x:v>CARLOS ALEXANDRE DO AMARAL XAVIER</x:v>
      </x:c>
      <x:c r="V502" s="22" t="str">
        <x:f>"153.027.896-12"</x:f>
        <x:v>153.027.896-12</x:v>
      </x:c>
      <x:c r="W502" s="22" t="str">
        <x:f>"15302789612"</x:f>
        <x:v>15302789612</x:v>
      </x:c>
      <x:c r="X502" s="23" t="str">
        <x:v>carlin11alexandre@gmail.com</x:v>
      </x:c>
      <x:c r="Y502" s="22" t="str">
        <x:f>"(38)88517330"</x:f>
        <x:v>(38)88517330</x:v>
      </x:c>
      <x:c r="Z502" s="30" t="n">
        <x:v>46360</x:v>
      </x:c>
    </x:row>
    <x:row r="503" ht="18" customHeight="1">
      <x:c r="A503" s="22" t="str">
        <x:f>"97c5618d-d912-4054-98d0-929db9a29534"</x:f>
        <x:v>97c5618d-d912-4054-98d0-929db9a29534</x:v>
      </x:c>
      <x:c r="B503" s="23" t="str">
        <x:v>CARLOS ALEXANDRE PAES</x:v>
      </x:c>
      <x:c r="C503" s="23" t="str">
        <x:v>carlos alexandre paes</x:v>
      </x:c>
      <x:c r="D503" s="22" t="str">
        <x:f>"49.498.559/0001-82"</x:f>
        <x:v>49.498.559/0001-82</x:v>
      </x:c>
      <x:c r="E503" s="22" t="str">
        <x:f>"49498559000182"</x:f>
        <x:v>49498559000182</x:v>
      </x:c>
      <x:c r="F503" s="22" t="str">
        <x:f>"047.161.521-89"</x:f>
        <x:v>047.161.521-89</x:v>
      </x:c>
      <x:c r="G503" s="22" t="str">
        <x:f>"04716152189"</x:f>
        <x:v>04716152189</x:v>
      </x:c>
      <x:c r="H503" s="23" t="str">
        <x:v>newbrsegurancaeletronica@gmail.com</x:v>
      </x:c>
      <x:c r="I503" s="22" t="str">
        <x:f>"62993963520"</x:f>
        <x:v>62993963520</x:v>
      </x:c>
      <x:c r="J503" s="23" t="str">
        <x:v>SPOT</x:v>
      </x:c>
      <x:c r="K503" s="23" t="str">
        <x:v>favored_only</x:v>
      </x:c>
      <x:c r="L503" s="24" t="b">
        <x:v>1</x:v>
      </x:c>
      <x:c r="M503" s="23" t="n">
        <x:v>2</x:v>
      </x:c>
      <x:c r="N503" s="28" t="n">
        <x:v>46203.921858726855</x:v>
      </x:c>
      <x:c r="O503" s="28" t="n">
        <x:v>46219.812988715275</x:v>
      </x:c>
      <x:c r="P503" s="23" t="str">
        <x:v>GOIANIA</x:v>
      </x:c>
      <x:c r="Q503" s="30" t="n">
        <x:v>33670</x:v>
      </x:c>
      <x:c r="R503" s="22" t="str">
        <x:f>"4656986"</x:f>
        <x:v>4656986</x:v>
      </x:c>
      <x:c r="S503" s="23" t="str">
        <x:v>masculino</x:v>
      </x:c>
      <x:c r="T503" s="22" t="str">
        <x:f>"NPD0J21"</x:f>
        <x:v>NPD0J21</x:v>
      </x:c>
      <x:c r="U503" s="23" t="str">
        <x:v>CARLOS ALEXANDRE PAES</x:v>
      </x:c>
      <x:c r="V503" s="22" t="str">
        <x:f>"047.161.521-89"</x:f>
        <x:v>047.161.521-89</x:v>
      </x:c>
      <x:c r="W503" s="22" t="str">
        <x:f>"04716152189"</x:f>
        <x:v>04716152189</x:v>
      </x:c>
      <x:c r="X503" s="23" t="str">
        <x:v>newbrsegurancaeletronica@gmail.com</x:v>
      </x:c>
      <x:c r="Y503" s="22" t="str">
        <x:f>"62993963520"</x:f>
        <x:v>62993963520</x:v>
      </x:c>
      <x:c r="Z503" s="30" t="n">
        <x:v>46259</x:v>
      </x:c>
    </x:row>
    <x:row r="504" ht="18" customHeight="1">
      <x:c r="A504" s="22" t="str">
        <x:f>"07e33a5f-6498-4836-a244-cfec7d2f40ce"</x:f>
        <x:v>07e33a5f-6498-4836-a244-cfec7d2f40ce</x:v>
      </x:c>
      <x:c r="B504" s="23" t="str">
        <x:v>CARLOS ANTONIO DE MATOS REIS</x:v>
      </x:c>
      <x:c r="C504" s="23" t="str">
        <x:v>carlos antonio de matos reis</x:v>
      </x:c>
      <x:c r="D504" s="22" t="str">
        <x:f>"32.931.157/0001-27"</x:f>
        <x:v>32.931.157/0001-27</x:v>
      </x:c>
      <x:c r="E504" s="22" t="str">
        <x:f>"32931157000127"</x:f>
        <x:v>32931157000127</x:v>
      </x:c>
      <x:c r="F504" s="22" t="str">
        <x:f>"124.703.027-06"</x:f>
        <x:v>124.703.027-06</x:v>
      </x:c>
      <x:c r="G504" s="22" t="str">
        <x:f>"12470302706"</x:f>
        <x:v>12470302706</x:v>
      </x:c>
      <x:c r="H504" s="23" t="str">
        <x:v>carlosmattos1008@gmail.com</x:v>
      </x:c>
      <x:c r="I504" s="22" t="str">
        <x:f>"21 96463-2065"</x:f>
        <x:v>21 96463-2065</x:v>
      </x:c>
      <x:c r="J504" s="23" t="str">
        <x:v>SPOT</x:v>
      </x:c>
      <x:c r="K504" s="23" t="str">
        <x:v>favored_only</x:v>
      </x:c>
      <x:c r="L504" s="24" t="b">
        <x:v>1</x:v>
      </x:c>
      <x:c r="M504" s="23" t="n">
        <x:v>2</x:v>
      </x:c>
      <x:c r="N504" s="28" t="n">
        <x:v>46203.92189349537</x:v>
      </x:c>
      <x:c r="O504" s="28" t="n">
        <x:v>46219.812988715275</x:v>
      </x:c>
      <x:c r="P504" s="23" t="str">
        <x:v>CORDOVIL</x:v>
      </x:c>
      <x:c r="Q504" s="30" t="n">
        <x:v>32599</x:v>
      </x:c>
      <x:c r="R504" s="22" t="str">
        <x:f>"219288239"</x:f>
        <x:v>219288239</x:v>
      </x:c>
      <x:c r="S504" s="23" t="str">
        <x:v>masculino</x:v>
      </x:c>
      <x:c r="T504" s="22" t="str">
        <x:f>"EDG7E04"</x:f>
        <x:v>EDG7E04</x:v>
      </x:c>
      <x:c r="U504" s="23" t="str">
        <x:v>CARLOS ANTONIO DE MATOS REIS</x:v>
      </x:c>
      <x:c r="V504" s="22" t="str">
        <x:f>"124.703.027-06"</x:f>
        <x:v>124.703.027-06</x:v>
      </x:c>
      <x:c r="W504" s="22" t="str">
        <x:f>"12470302706"</x:f>
        <x:v>12470302706</x:v>
      </x:c>
      <x:c r="X504" s="23" t="str">
        <x:v>carlosmattos1008@gmail.com</x:v>
      </x:c>
      <x:c r="Y504" s="22" t="str">
        <x:f>"21 96463-2065"</x:f>
        <x:v>21 96463-2065</x:v>
      </x:c>
      <x:c r="Z504" s="30" t="n">
        <x:v>46354</x:v>
      </x:c>
    </x:row>
    <x:row r="505" ht="18" customHeight="1">
      <x:c r="A505" s="22" t="str">
        <x:f>"663b9f98-e2fc-4490-8117-5c97f9b18feb"</x:f>
        <x:v>663b9f98-e2fc-4490-8117-5c97f9b18feb</x:v>
      </x:c>
      <x:c r="B505" s="23" t="str">
        <x:v>CARLOS AUGUSTO CAMPELO FARIA</x:v>
      </x:c>
      <x:c r="C505" s="23" t="str">
        <x:v>carlos augusto campelo faria</x:v>
      </x:c>
      <x:c r="D505" s="22" t="str">
        <x:f>"49.079.497/0001-74"</x:f>
        <x:v>49.079.497/0001-74</x:v>
      </x:c>
      <x:c r="E505" s="22" t="str">
        <x:f>"49079497000174"</x:f>
        <x:v>49079497000174</x:v>
      </x:c>
      <x:c r="F505" s="22" t="str">
        <x:f>"072.853.357-03"</x:f>
        <x:v>072.853.357-03</x:v>
      </x:c>
      <x:c r="G505" s="22" t="str">
        <x:f>"07285335703"</x:f>
        <x:v>07285335703</x:v>
      </x:c>
      <x:c r="H505" s="23" t="str">
        <x:v>carloscampelo1975@gmail.com</x:v>
      </x:c>
      <x:c r="I505" s="22" t="str">
        <x:f>"2199290-3535"</x:f>
        <x:v>2199290-3535</x:v>
      </x:c>
      <x:c r="J505" s="23" t="str">
        <x:v>SPOT</x:v>
      </x:c>
      <x:c r="K505" s="23" t="str">
        <x:v>favored_only</x:v>
      </x:c>
      <x:c r="L505" s="24" t="b">
        <x:v>1</x:v>
      </x:c>
      <x:c r="M505" s="23" t="n">
        <x:v>1</x:v>
      </x:c>
      <x:c r="N505" s="28" t="n">
        <x:v>46219.812988715275</x:v>
      </x:c>
      <x:c r="O505" s="28" t="n">
        <x:v>46219.812988715275</x:v>
      </x:c>
      <x:c r="P505" s="23" t="str">
        <x:v>CAMPO GRANDE</x:v>
      </x:c>
      <x:c r="Q505" s="30" t="n">
        <x:v>27481</x:v>
      </x:c>
      <x:c r="R505" s="22" t="str">
        <x:f>"109624924"</x:f>
        <x:v>109624924</x:v>
      </x:c>
      <x:c r="S505" s="23" t="str">
        <x:v>masculino</x:v>
      </x:c>
      <x:c r="T505" s="22" t="str">
        <x:f>"KQV7D85"</x:f>
        <x:v>KQV7D85</x:v>
      </x:c>
      <x:c r="U505" s="23" t="str">
        <x:v>CARLOS AUGUSTO CAMPELO FARIA</x:v>
      </x:c>
      <x:c r="V505" s="22" t="str">
        <x:f>"072.853.357-03"</x:f>
        <x:v>072.853.357-03</x:v>
      </x:c>
      <x:c r="W505" s="22" t="str">
        <x:f>"07285335703"</x:f>
        <x:v>07285335703</x:v>
      </x:c>
      <x:c r="X505" s="23" t="str">
        <x:v>carloscampelo1975@gmail.com</x:v>
      </x:c>
      <x:c r="Y505" s="22" t="str">
        <x:f>"2199290-3535"</x:f>
        <x:v>2199290-3535</x:v>
      </x:c>
      <x:c r="Z505" s="30" t="n">
        <x:v>46557</x:v>
      </x:c>
    </x:row>
    <x:row r="506" ht="18" customHeight="1">
      <x:c r="A506" s="22" t="str">
        <x:f>"2505d14a-4878-4a81-8b42-441e62ee6a56"</x:f>
        <x:v>2505d14a-4878-4a81-8b42-441e62ee6a56</x:v>
      </x:c>
      <x:c r="B506" s="23" t="str">
        <x:v>CARLOS AUGUSTO FONSECA KLEM JUNIOR</x:v>
      </x:c>
      <x:c r="C506" s="23" t="str">
        <x:v>carlos augusto fonseca klem junior</x:v>
      </x:c>
      <x:c r="D506" s="22" t="str">
        <x:f>"46.422.141/0001-01"</x:f>
        <x:v>46.422.141/0001-01</x:v>
      </x:c>
      <x:c r="E506" s="22" t="str">
        <x:f>"46422141000101"</x:f>
        <x:v>46422141000101</x:v>
      </x:c>
      <x:c r="F506" s="22" t="str">
        <x:f>"091.240.787-51"</x:f>
        <x:v>091.240.787-51</x:v>
      </x:c>
      <x:c r="G506" s="22" t="str">
        <x:f>"09124078751"</x:f>
        <x:v>09124078751</x:v>
      </x:c>
      <x:c r="H506" s="23" t="str">
        <x:v>GUTOKLEM@HOTMAIL.COM</x:v>
      </x:c>
      <x:c r="I506" s="22" t="str">
        <x:f>"22988118972"</x:f>
        <x:v>22988118972</x:v>
      </x:c>
      <x:c r="J506" s="23" t="str">
        <x:v>SPOT</x:v>
      </x:c>
      <x:c r="K506" s="23" t="str">
        <x:v>favored_only</x:v>
      </x:c>
      <x:c r="L506" s="24" t="b">
        <x:v>1</x:v>
      </x:c>
      <x:c r="M506" s="23" t="n">
        <x:v>1</x:v>
      </x:c>
      <x:c r="N506" s="28" t="n">
        <x:v>46219.812988715275</x:v>
      </x:c>
      <x:c r="O506" s="28" t="n">
        <x:v>46219.812988715275</x:v>
      </x:c>
      <x:c r="P506" s="23" t="str">
        <x:v>CAMPOS DOS GOYTACAZES</x:v>
      </x:c>
      <x:c r="Q506" s="30" t="n">
        <x:v>29656</x:v>
      </x:c>
      <x:c r="R506" s="22" t="str">
        <x:f>"120438866"</x:f>
        <x:v>120438866</x:v>
      </x:c>
      <x:c r="S506" s="23" t="str">
        <x:v>masculino</x:v>
      </x:c>
      <x:c r="T506" s="22" t="str">
        <x:f>"SIRIB44"</x:f>
        <x:v>SIRIB44</x:v>
      </x:c>
      <x:c r="U506" s="23" t="str">
        <x:v>CARLOS AUGUSTO FONSECA KLEM JUNIOR</x:v>
      </x:c>
      <x:c r="V506" s="22" t="str">
        <x:f>"091.240.787-51"</x:f>
        <x:v>091.240.787-51</x:v>
      </x:c>
      <x:c r="W506" s="22" t="str">
        <x:f>"09124078751"</x:f>
        <x:v>09124078751</x:v>
      </x:c>
      <x:c r="X506" s="23" t="str">
        <x:v>GUTOKLEM@HOTMAIL.COM</x:v>
      </x:c>
      <x:c r="Y506" s="22" t="str">
        <x:f>"22988118972"</x:f>
        <x:v>22988118972</x:v>
      </x:c>
      <x:c r="Z506" s="30" t="n">
        <x:v>46484</x:v>
      </x:c>
    </x:row>
    <x:row r="507" ht="18" customHeight="1">
      <x:c r="A507" s="22" t="str">
        <x:f>"3267bec1-bb85-460b-8731-1b5beacbb350"</x:f>
        <x:v>3267bec1-bb85-460b-8731-1b5beacbb350</x:v>
      </x:c>
      <x:c r="B507" s="23" t="str">
        <x:v>CARLOS AUGUSTO FONSECA KLEM JUNIOR</x:v>
      </x:c>
      <x:c r="C507" s="23" t="str">
        <x:v>carlos augusto fonseca klem junior</x:v>
      </x:c>
      <x:c r="D507" s="22" t="str">
        <x:f>"66.928.420/0001-40"</x:f>
        <x:v>66.928.420/0001-40</x:v>
      </x:c>
      <x:c r="E507" s="22" t="str">
        <x:f>"66928420000140"</x:f>
        <x:v>66928420000140</x:v>
      </x:c>
      <x:c r="F507" s="22" t="str">
        <x:f>"091.240.787-51"</x:f>
        <x:v>091.240.787-51</x:v>
      </x:c>
      <x:c r="G507" s="22" t="str">
        <x:f>"09124078751"</x:f>
        <x:v>09124078751</x:v>
      </x:c>
      <x:c r="H507" s="23" t="str">
        <x:v>gutoklem@hotmail.com</x:v>
      </x:c>
      <x:c r="I507" s="22" t="str">
        <x:f>"22988118972"</x:f>
        <x:v>22988118972</x:v>
      </x:c>
      <x:c r="J507" s="23" t="str">
        <x:v>SPOT</x:v>
      </x:c>
      <x:c r="K507" s="23" t="str">
        <x:v>favored_only</x:v>
      </x:c>
      <x:c r="L507" s="24" t="b">
        <x:v>1</x:v>
      </x:c>
      <x:c r="M507" s="23" t="n">
        <x:v>1</x:v>
      </x:c>
      <x:c r="N507" s="28" t="n">
        <x:v>46219.812988715275</x:v>
      </x:c>
      <x:c r="O507" s="28" t="n">
        <x:v>46219.812988715275</x:v>
      </x:c>
      <x:c r="P507" s="23" t="str">
        <x:v>CAMPOS DOS GOYTACAZES</x:v>
      </x:c>
      <x:c r="Q507" s="30" t="n">
        <x:v>29656</x:v>
      </x:c>
      <x:c r="R507" s="22" t="str">
        <x:f>"120438866"</x:f>
        <x:v>120438866</x:v>
      </x:c>
      <x:c r="S507" s="23" t="str">
        <x:v>masculino</x:v>
      </x:c>
      <x:c r="T507" s="22" t="str">
        <x:f>"SIR1B44"</x:f>
        <x:v>SIR1B44</x:v>
      </x:c>
      <x:c r="U507" s="23" t="str">
        <x:v>CARLOS AUGUSTO FONSECA KLEM JUNIOR</x:v>
      </x:c>
      <x:c r="V507" s="22" t="str">
        <x:f>"091.240.787-51"</x:f>
        <x:v>091.240.787-51</x:v>
      </x:c>
      <x:c r="W507" s="22" t="str">
        <x:f>"09124078751"</x:f>
        <x:v>09124078751</x:v>
      </x:c>
      <x:c r="X507" s="23" t="str">
        <x:v>gutoklem@hotmail.com</x:v>
      </x:c>
      <x:c r="Y507" s="22" t="str">
        <x:f>"22988118972"</x:f>
        <x:v>22988118972</x:v>
      </x:c>
      <x:c r="Z507" s="30" t="n">
        <x:v>46549</x:v>
      </x:c>
    </x:row>
    <x:row r="508" ht="18" customHeight="1">
      <x:c r="A508" s="22" t="str">
        <x:f>"39a2d992-e51b-4473-a315-932bd046f9d2"</x:f>
        <x:v>39a2d992-e51b-4473-a315-932bd046f9d2</x:v>
      </x:c>
      <x:c r="B508" s="23" t="str">
        <x:v>CARLOS AUGUSTO FONSECA KLEM JUNIOR</x:v>
      </x:c>
      <x:c r="C508" s="23" t="str">
        <x:v>carlos augusto fonseca klem junior</x:v>
      </x:c>
      <x:c r="D508" s="22" t="str">
        <x:f>"38.218.777/0001-08"</x:f>
        <x:v>38.218.777/0001-08</x:v>
      </x:c>
      <x:c r="E508" s="22" t="str">
        <x:f>"38218777000108"</x:f>
        <x:v>38218777000108</x:v>
      </x:c>
      <x:c r="F508" s="22" t="str">
        <x:f>"091.240.787-51"</x:f>
        <x:v>091.240.787-51</x:v>
      </x:c>
      <x:c r="G508" s="22" t="str">
        <x:f>"09124078751"</x:f>
        <x:v>09124078751</x:v>
      </x:c>
      <x:c r="H508" s="23" t="str">
        <x:v>gutoklem@hotmail.com</x:v>
      </x:c>
      <x:c r="I508" s="22" t="str">
        <x:f>"22988118972"</x:f>
        <x:v>22988118972</x:v>
      </x:c>
      <x:c r="J508" s="23" t="str">
        <x:v>SPOT</x:v>
      </x:c>
      <x:c r="K508" s="23" t="str">
        <x:v>favored_only</x:v>
      </x:c>
      <x:c r="L508" s="24" t="b">
        <x:v>1</x:v>
      </x:c>
      <x:c r="M508" s="23" t="n">
        <x:v>1</x:v>
      </x:c>
      <x:c r="N508" s="28" t="n">
        <x:v>46219.812988715275</x:v>
      </x:c>
      <x:c r="O508" s="28" t="n">
        <x:v>46219.812988715275</x:v>
      </x:c>
      <x:c r="P508" s="23" t="str">
        <x:v>CAMPOS DOS GOYTACAZES</x:v>
      </x:c>
      <x:c r="Q508" s="30" t="n">
        <x:v>29656</x:v>
      </x:c>
      <x:c r="R508" s="22" t="str">
        <x:f>"120438866"</x:f>
        <x:v>120438866</x:v>
      </x:c>
      <x:c r="S508" s="23" t="str">
        <x:v>masculino</x:v>
      </x:c>
      <x:c r="T508" s="22" t="str">
        <x:f>"LSY2C71"</x:f>
        <x:v>LSY2C71</x:v>
      </x:c>
      <x:c r="U508" s="23" t="str">
        <x:v>ANEDIEL AUGUSTO CARNEIRO JUNIOR</x:v>
      </x:c>
      <x:c r="V508" s="22" t="str">
        <x:f>"041.980.287-88"</x:f>
        <x:v>041.980.287-88</x:v>
      </x:c>
      <x:c r="W508" s="22" t="str">
        <x:f>"04198028788"</x:f>
        <x:v>04198028788</x:v>
      </x:c>
      <x:c r="X508" s="23" t="str">
        <x:v>anedieljr@gmail.com</x:v>
      </x:c>
      <x:c r="Y508" s="22" t="str">
        <x:f>"22998103200"</x:f>
        <x:v>22998103200</x:v>
      </x:c>
      <x:c r="Z508" s="30" t="n">
        <x:v>46514</x:v>
      </x:c>
    </x:row>
    <x:row r="509" ht="18" customHeight="1">
      <x:c r="A509" s="22" t="str">
        <x:f>"72a4c8cd-d118-4d65-baf0-0a9d23b4eab8"</x:f>
        <x:v>72a4c8cd-d118-4d65-baf0-0a9d23b4eab8</x:v>
      </x:c>
      <x:c r="B509" s="23" t="str">
        <x:v>CARLOS AUGUSTO LOPES FERREIRA</x:v>
      </x:c>
      <x:c r="C509" s="23" t="str">
        <x:v>carlos augusto lopes ferreira</x:v>
      </x:c>
      <x:c r="D509" s="22" t="str">
        <x:f>"66.494.930/0001-57"</x:f>
        <x:v>66.494.930/0001-57</x:v>
      </x:c>
      <x:c r="E509" s="22" t="str">
        <x:f>"66494930000157"</x:f>
        <x:v>66494930000157</x:v>
      </x:c>
      <x:c r="F509" s="22" t="str">
        <x:f>"476.616.418-01"</x:f>
        <x:v>476.616.418-01</x:v>
      </x:c>
      <x:c r="G509" s="22" t="str">
        <x:f>"47661641801"</x:f>
        <x:v>47661641801</x:v>
      </x:c>
      <x:c r="H509" s="23" t="str">
        <x:v>clopes257@icloud.com</x:v>
      </x:c>
      <x:c r="I509" s="22" t="str">
        <x:f>"(16)98205-3730"</x:f>
        <x:v>(16)98205-3730</x:v>
      </x:c>
      <x:c r="J509" s="23" t="str">
        <x:v>SPOT</x:v>
      </x:c>
      <x:c r="K509" s="23" t="str">
        <x:v>favored_only</x:v>
      </x:c>
      <x:c r="L509" s="24" t="b">
        <x:v>1</x:v>
      </x:c>
      <x:c r="M509" s="23" t="n">
        <x:v>1</x:v>
      </x:c>
      <x:c r="N509" s="28" t="n">
        <x:v>46219.812988715275</x:v>
      </x:c>
      <x:c r="O509" s="28" t="n">
        <x:v>46219.812988715275</x:v>
      </x:c>
      <x:c r="P509" s="23" t="str">
        <x:v>RIBEIRAO PRETO</x:v>
      </x:c>
      <x:c r="Q509" s="30" t="n">
        <x:v>36260</x:v>
      </x:c>
      <x:c r="R509" s="22" t="str">
        <x:f>"58080320-X"</x:f>
        <x:v>58080320-X</x:v>
      </x:c>
      <x:c r="S509" s="23" t="str">
        <x:v>masculino</x:v>
      </x:c>
      <x:c r="T509" s="22" t="str">
        <x:f>"GJJ4D97"</x:f>
        <x:v>GJJ4D97</x:v>
      </x:c>
      <x:c r="U509" s="23" t="str">
        <x:v>CARLOS AUGUSTO LOPES FERREIRA</x:v>
      </x:c>
      <x:c r="V509" s="22" t="str">
        <x:f>"476.616.418-01"</x:f>
        <x:v>476.616.418-01</x:v>
      </x:c>
      <x:c r="W509" s="22" t="str">
        <x:f>"47661641801"</x:f>
        <x:v>47661641801</x:v>
      </x:c>
      <x:c r="X509" s="23" t="str">
        <x:v>clopes257@icloud.com</x:v>
      </x:c>
      <x:c r="Y509" s="22" t="str">
        <x:f>"(16)98205-3730"</x:f>
        <x:v>(16)98205-3730</x:v>
      </x:c>
      <x:c r="Z509" s="30" t="n">
        <x:v>46506</x:v>
      </x:c>
    </x:row>
    <x:row r="510" ht="18" customHeight="1">
      <x:c r="A510" s="22" t="str">
        <x:f>"50dc4ed5-04cd-47da-ba15-70d1fb874239"</x:f>
        <x:v>50dc4ed5-04cd-47da-ba15-70d1fb874239</x:v>
      </x:c>
      <x:c r="B510" s="23" t="str">
        <x:v>CARLOS AUGUSTO SILVA DO NASCIMENTO</x:v>
      </x:c>
      <x:c r="C510" s="23" t="str">
        <x:v>carlos augusto silva do nascimento</x:v>
      </x:c>
      <x:c r="D510" s="22" t="str">
        <x:f>"64.715.119/0001-23"</x:f>
        <x:v>64.715.119/0001-23</x:v>
      </x:c>
      <x:c r="E510" s="22" t="str">
        <x:f>"64715119000123"</x:f>
        <x:v>64715119000123</x:v>
      </x:c>
      <x:c r="F510" s="22" t="str">
        <x:f>"132.170.667-74"</x:f>
        <x:v>132.170.667-74</x:v>
      </x:c>
      <x:c r="G510" s="22" t="str">
        <x:f>"13217066774"</x:f>
        <x:v>13217066774</x:v>
      </x:c>
      <x:c r="H510" s="23" t="str">
        <x:v>carlos2.augustosilva@gmail.com</x:v>
      </x:c>
      <x:c r="I510" s="22" t="str">
        <x:f>"21 991159708"</x:f>
        <x:v>21 991159708</x:v>
      </x:c>
      <x:c r="J510" s="23" t="str">
        <x:v>SPOT</x:v>
      </x:c>
      <x:c r="K510" s="23" t="str">
        <x:v>favored_only</x:v>
      </x:c>
      <x:c r="L510" s="24" t="b">
        <x:v>1</x:v>
      </x:c>
      <x:c r="M510" s="23" t="n">
        <x:v>1</x:v>
      </x:c>
      <x:c r="N510" s="28" t="n">
        <x:v>46219.812988715275</x:v>
      </x:c>
      <x:c r="O510" s="28" t="n">
        <x:v>46219.812988715275</x:v>
      </x:c>
      <x:c r="P510" s="23" t="str">
        <x:v>ITABORAI</x:v>
      </x:c>
      <x:c r="Q510" s="30" t="n">
        <x:v>35063</x:v>
      </x:c>
      <x:c r="R510" s="22" t="str">
        <x:f>"274454479"</x:f>
        <x:v>274454479</x:v>
      </x:c>
      <x:c r="S510" s="23" t="str">
        <x:v>masculino</x:v>
      </x:c>
      <x:c r="T510" s="22" t="str">
        <x:f>"PWJ7A59"</x:f>
        <x:v>PWJ7A59</x:v>
      </x:c>
      <x:c r="U510" s="23" t="str">
        <x:v>CARLOS AUGUSTO SILVA DO NASCIMENTO</x:v>
      </x:c>
      <x:c r="V510" s="22" t="str">
        <x:f>"132.170.667-74"</x:f>
        <x:v>132.170.667-74</x:v>
      </x:c>
      <x:c r="W510" s="22" t="str">
        <x:f>"13217066774"</x:f>
        <x:v>13217066774</x:v>
      </x:c>
      <x:c r="X510" s="23" t="str">
        <x:v>carlos2.augustosilva@gmail.com</x:v>
      </x:c>
      <x:c r="Y510" s="22" t="str">
        <x:f>"21 991159708"</x:f>
        <x:v>21 991159708</x:v>
      </x:c>
      <x:c r="Z510" s="30" t="n">
        <x:v>46471</x:v>
      </x:c>
    </x:row>
    <x:row r="511" ht="18" customHeight="1">
      <x:c r="A511" s="22" t="str">
        <x:f>"f8ee4a9e-bf94-4054-8b00-5231a42289ff"</x:f>
        <x:v>f8ee4a9e-bf94-4054-8b00-5231a42289ff</x:v>
      </x:c>
      <x:c r="B511" s="23" t="str">
        <x:v>CARLOS CESAR GARDIM</x:v>
      </x:c>
      <x:c r="C511" s="23" t="str">
        <x:v>carlos cesar gardim</x:v>
      </x:c>
      <x:c r="D511" s="22" t="str">
        <x:f>"49.179.656/0001-02"</x:f>
        <x:v>49.179.656/0001-02</x:v>
      </x:c>
      <x:c r="E511" s="22" t="str">
        <x:f>"49179656000102"</x:f>
        <x:v>49179656000102</x:v>
      </x:c>
      <x:c r="F511" s="22" t="str">
        <x:f>"590.786.429-04"</x:f>
        <x:v>590.786.429-04</x:v>
      </x:c>
      <x:c r="G511" s="22" t="str">
        <x:f>"59078642904"</x:f>
        <x:v>59078642904</x:v>
      </x:c>
      <x:c r="H511" s="23" t="str">
        <x:v>Gardimcarloscesar@gmail.com</x:v>
      </x:c>
      <x:c r="I511" s="22" t="str">
        <x:f>"18996853809"</x:f>
        <x:v>18996853809</x:v>
      </x:c>
      <x:c r="J511" s="23" t="str">
        <x:v>SPOT</x:v>
      </x:c>
      <x:c r="K511" s="23" t="str">
        <x:v>favored_only</x:v>
      </x:c>
      <x:c r="L511" s="24" t="b">
        <x:v>1</x:v>
      </x:c>
      <x:c r="M511" s="23" t="n">
        <x:v>1</x:v>
      </x:c>
      <x:c r="N511" s="28" t="n">
        <x:v>46219.812988715275</x:v>
      </x:c>
      <x:c r="O511" s="28" t="n">
        <x:v>46219.812988715275</x:v>
      </x:c>
      <x:c r="P511" s="23" t="str">
        <x:v>PRESIDENTE PRUDENTE</x:v>
      </x:c>
      <x:c r="Q511" s="30" t="n">
        <x:v>24585</x:v>
      </x:c>
      <x:c r="R511" s="22" t="str">
        <x:f>"40654372"</x:f>
        <x:v>40654372</x:v>
      </x:c>
      <x:c r="S511" s="23" t="str">
        <x:v>masculino</x:v>
      </x:c>
      <x:c r="T511" s="22" t="str">
        <x:f>"Byp2d65"</x:f>
        <x:v>Byp2d65</x:v>
      </x:c>
      <x:c r="U511" s="23" t="str">
        <x:v>CARLOS CESAR GARDIM</x:v>
      </x:c>
      <x:c r="V511" s="22" t="str">
        <x:f>"590.786.429-04"</x:f>
        <x:v>590.786.429-04</x:v>
      </x:c>
      <x:c r="W511" s="22" t="str">
        <x:f>"59078642904"</x:f>
        <x:v>59078642904</x:v>
      </x:c>
      <x:c r="X511" s="23" t="str">
        <x:v>Gardimcarloscesar@gmail.com</x:v>
      </x:c>
      <x:c r="Y511" s="22" t="str">
        <x:f>"18996853809"</x:f>
        <x:v>18996853809</x:v>
      </x:c>
      <x:c r="Z511" s="30" t="n">
        <x:v>46540</x:v>
      </x:c>
    </x:row>
    <x:row r="512" ht="18" customHeight="1">
      <x:c r="A512" s="22" t="str">
        <x:f>"2cdd9250-a64a-4787-9615-5f0d5faba2b5"</x:f>
        <x:v>2cdd9250-a64a-4787-9615-5f0d5faba2b5</x:v>
      </x:c>
      <x:c r="B512" s="23" t="str">
        <x:v>CARLOS CESAR MAIA</x:v>
      </x:c>
      <x:c r="C512" s="23" t="str">
        <x:v>carlos cesar maia</x:v>
      </x:c>
      <x:c r="D512" s="22" t="str">
        <x:f>"62.351.324/0001-21"</x:f>
        <x:v>62.351.324/0001-21</x:v>
      </x:c>
      <x:c r="E512" s="22" t="str">
        <x:f>"62351324000121"</x:f>
        <x:v>62351324000121</x:v>
      </x:c>
      <x:c r="F512" s="22" t="str">
        <x:f>"354.859.198-12"</x:f>
        <x:v>354.859.198-12</x:v>
      </x:c>
      <x:c r="G512" s="22" t="str">
        <x:f>"35485919812"</x:f>
        <x:v>35485919812</x:v>
      </x:c>
      <x:c r="H512" s="23" t="str">
        <x:v>cesaamaia@gmail.com</x:v>
      </x:c>
      <x:c r="I512" s="22" t="str">
        <x:f>"14998843896"</x:f>
        <x:v>14998843896</x:v>
      </x:c>
      <x:c r="J512" s="23" t="str">
        <x:v>SPOT</x:v>
      </x:c>
      <x:c r="K512" s="23" t="str">
        <x:v>favored_only</x:v>
      </x:c>
      <x:c r="L512" s="24" t="b">
        <x:v>1</x:v>
      </x:c>
      <x:c r="M512" s="23" t="n">
        <x:v>1</x:v>
      </x:c>
      <x:c r="N512" s="28" t="n">
        <x:v>46203.921904421295</x:v>
      </x:c>
      <x:c r="O512" s="28" t="n">
        <x:v>46219.812988715275</x:v>
      </x:c>
      <x:c r="P512" s="23" t="str">
        <x:v>BAURU</x:v>
      </x:c>
      <x:c r="Q512" s="30" t="n">
        <x:v>30635</x:v>
      </x:c>
      <x:c r="R512" s="22" t="str">
        <x:f>"417874285"</x:f>
        <x:v>417874285</x:v>
      </x:c>
      <x:c r="S512" s="23" t="str">
        <x:v>masculino</x:v>
      </x:c>
      <x:c r="T512" s="22" t="str">
        <x:f>"ESV3G15"</x:f>
        <x:v>ESV3G15</x:v>
      </x:c>
      <x:c r="U512" s="23" t="str">
        <x:v>CARLOS CESAR MAIA</x:v>
      </x:c>
      <x:c r="V512" s="22" t="str">
        <x:f>"354.859.198-12"</x:f>
        <x:v>354.859.198-12</x:v>
      </x:c>
      <x:c r="W512" s="22" t="str">
        <x:f>"35485919812"</x:f>
        <x:v>35485919812</x:v>
      </x:c>
      <x:c r="X512" s="23" t="str">
        <x:v>cesaamaia@gmail.com</x:v>
      </x:c>
      <x:c r="Y512" s="22" t="str">
        <x:f>"14998843896"</x:f>
        <x:v>14998843896</x:v>
      </x:c>
      <x:c r="Z512" s="30" t="n">
        <x:v>46366</x:v>
      </x:c>
    </x:row>
    <x:row r="513" ht="18" customHeight="1">
      <x:c r="A513" s="22" t="str">
        <x:f>"de2ce44d-d857-4eb3-bb07-d250fd12f1a5"</x:f>
        <x:v>de2ce44d-d857-4eb3-bb07-d250fd12f1a5</x:v>
      </x:c>
      <x:c r="B513" s="23" t="str">
        <x:v>CARLOS EDUARDO CABORICIO</x:v>
      </x:c>
      <x:c r="C513" s="23" t="str">
        <x:v>carlos eduardo caboricio</x:v>
      </x:c>
      <x:c r="D513" s="22" t="str">
        <x:f>"63.885.616/0001-07"</x:f>
        <x:v>63.885.616/0001-07</x:v>
      </x:c>
      <x:c r="E513" s="22" t="str">
        <x:f>"63885616000107"</x:f>
        <x:v>63885616000107</x:v>
      </x:c>
      <x:c r="F513" s="22" t="str">
        <x:f>"214.070.168-22"</x:f>
        <x:v>214.070.168-22</x:v>
      </x:c>
      <x:c r="G513" s="22" t="str">
        <x:f>"21407016822"</x:f>
        <x:v>21407016822</x:v>
      </x:c>
      <x:c r="H513" s="23" t="str">
        <x:v>ccaboricio@gmail.com</x:v>
      </x:c>
      <x:c r="I513" s="22" t="str">
        <x:f>"16 991566282"</x:f>
        <x:v>16 991566282</x:v>
      </x:c>
      <x:c r="J513" s="23" t="str">
        <x:v>SPOT</x:v>
      </x:c>
      <x:c r="K513" s="23" t="str">
        <x:v>favored_only</x:v>
      </x:c>
      <x:c r="L513" s="24" t="b">
        <x:v>1</x:v>
      </x:c>
      <x:c r="M513" s="23" t="n">
        <x:v>1</x:v>
      </x:c>
      <x:c r="N513" s="28" t="n">
        <x:v>46203.921904421295</x:v>
      </x:c>
      <x:c r="O513" s="28" t="n">
        <x:v>46219.812988715275</x:v>
      </x:c>
      <x:c r="P513" s="23" t="str">
        <x:v>SÃO CARLOS</x:v>
      </x:c>
      <x:c r="Q513" s="30" t="n">
        <x:v>30095</x:v>
      </x:c>
      <x:c r="R513" s="22" t="str">
        <x:f>"34.778.923.7"</x:f>
        <x:v>34.778.923.7</x:v>
      </x:c>
      <x:c r="S513" s="23" t="str">
        <x:v>masculino</x:v>
      </x:c>
      <x:c r="T513" s="22" t="str"/>
      <x:c r="U513" s="23" t="str">
        <x:v>CARLOS EDUARDO CABORICIO</x:v>
      </x:c>
      <x:c r="V513" s="22" t="str">
        <x:f>"214.070.168-22"</x:f>
        <x:v>214.070.168-22</x:v>
      </x:c>
      <x:c r="W513" s="22" t="str">
        <x:f>"21407016822"</x:f>
        <x:v>21407016822</x:v>
      </x:c>
      <x:c r="X513" s="23" t="str">
        <x:v>ccaboricio@gmail.com</x:v>
      </x:c>
      <x:c r="Y513" s="22" t="str">
        <x:f>"16 991566282"</x:f>
        <x:v>16 991566282</x:v>
      </x:c>
      <x:c r="Z513" s="30" t="n">
        <x:v>46368</x:v>
      </x:c>
    </x:row>
    <x:row r="514" ht="18" customHeight="1">
      <x:c r="A514" s="22" t="str">
        <x:f>"2181ce85-a44c-492e-ae05-ca65d142e55a"</x:f>
        <x:v>2181ce85-a44c-492e-ae05-ca65d142e55a</x:v>
      </x:c>
      <x:c r="B514" s="23" t="str">
        <x:v>CARLOS EDUARDO DE LIMA CORREA</x:v>
      </x:c>
      <x:c r="C514" s="23" t="str">
        <x:v>carlos eduardo de lima correa</x:v>
      </x:c>
      <x:c r="D514" s="22" t="str">
        <x:f>"57.684.950/0001-08"</x:f>
        <x:v>57.684.950/0001-08</x:v>
      </x:c>
      <x:c r="E514" s="22" t="str">
        <x:f>"57684950000108"</x:f>
        <x:v>57684950000108</x:v>
      </x:c>
      <x:c r="F514" s="22" t="str">
        <x:f>"101.845.681-37"</x:f>
        <x:v>101.845.681-37</x:v>
      </x:c>
      <x:c r="G514" s="22" t="str">
        <x:f>"10184568137"</x:f>
        <x:v>10184568137</x:v>
      </x:c>
      <x:c r="H514" s="23" t="str">
        <x:v>LennyPessoal2023@outlook.com</x:v>
      </x:c>
      <x:c r="I514" s="22" t="str">
        <x:f>"65992372187"</x:f>
        <x:v>65992372187</x:v>
      </x:c>
      <x:c r="J514" s="23" t="str">
        <x:v>SPOT</x:v>
      </x:c>
      <x:c r="K514" s="23" t="str">
        <x:v>favored_only</x:v>
      </x:c>
      <x:c r="L514" s="24" t="b">
        <x:v>1</x:v>
      </x:c>
      <x:c r="M514" s="23" t="n">
        <x:v>1</x:v>
      </x:c>
      <x:c r="N514" s="28" t="n">
        <x:v>46219.812988715275</x:v>
      </x:c>
      <x:c r="O514" s="28" t="n">
        <x:v>46219.812988715275</x:v>
      </x:c>
      <x:c r="P514" s="23" t="str">
        <x:v>CUIABA</x:v>
      </x:c>
      <x:c r="Q514" s="30" t="n">
        <x:v>38370</x:v>
      </x:c>
      <x:c r="R514" s="22" t="str">
        <x:f>"25658956"</x:f>
        <x:v>25658956</x:v>
      </x:c>
      <x:c r="S514" s="23" t="str">
        <x:v>masculino</x:v>
      </x:c>
      <x:c r="T514" s="22" t="str">
        <x:f>"RTU6D04"</x:f>
        <x:v>RTU6D04</x:v>
      </x:c>
      <x:c r="U514" s="23" t="str">
        <x:v>THIAGO JUNIOR MEDEIROS RIBEIRO</x:v>
      </x:c>
      <x:c r="V514" s="22" t="str">
        <x:f>"081.891.721-07"</x:f>
        <x:v>081.891.721-07</x:v>
      </x:c>
      <x:c r="W514" s="22" t="str">
        <x:f>"08189172107"</x:f>
        <x:v>08189172107</x:v>
      </x:c>
      <x:c r="X514" s="23" t="str">
        <x:v>Thiagocba1000@gmail.com</x:v>
      </x:c>
      <x:c r="Y514" s="22" t="str">
        <x:f>"65993005648"</x:f>
        <x:v>65993005648</x:v>
      </x:c>
      <x:c r="Z514" s="30" t="n">
        <x:v>46467</x:v>
      </x:c>
    </x:row>
    <x:row r="515" ht="18" customHeight="1">
      <x:c r="A515" s="22" t="str">
        <x:f>"27b5b7c4-dbf9-40e6-8e37-08d54a030839"</x:f>
        <x:v>27b5b7c4-dbf9-40e6-8e37-08d54a030839</x:v>
      </x:c>
      <x:c r="B515" s="23" t="str">
        <x:v>CARLOS EDUARDO DOS SANTOS</x:v>
      </x:c>
      <x:c r="C515" s="23" t="str">
        <x:v>carlos eduardo dos santos</x:v>
      </x:c>
      <x:c r="D515" s="22" t="str">
        <x:f>"53.521.956/0001-03"</x:f>
        <x:v>53.521.956/0001-03</x:v>
      </x:c>
      <x:c r="E515" s="22" t="str">
        <x:f>"53521956000103"</x:f>
        <x:v>53521956000103</x:v>
      </x:c>
      <x:c r="F515" s="22" t="str">
        <x:f>"274.577.188-42"</x:f>
        <x:v>274.577.188-42</x:v>
      </x:c>
      <x:c r="G515" s="22" t="str">
        <x:f>"27457718842"</x:f>
        <x:v>27457718842</x:v>
      </x:c>
      <x:c r="H515" s="23" t="str">
        <x:v>santoscarlos.nestle@gmail.com</x:v>
      </x:c>
      <x:c r="I515" s="22" t="str">
        <x:f>"14996977563"</x:f>
        <x:v>14996977563</x:v>
      </x:c>
      <x:c r="J515" s="23" t="str">
        <x:v>SPOT</x:v>
      </x:c>
      <x:c r="K515" s="23" t="str">
        <x:v>favored_only</x:v>
      </x:c>
      <x:c r="L515" s="24" t="b">
        <x:v>1</x:v>
      </x:c>
      <x:c r="M515" s="23" t="n">
        <x:v>1</x:v>
      </x:c>
      <x:c r="N515" s="28" t="n">
        <x:v>46219.812988715275</x:v>
      </x:c>
      <x:c r="O515" s="28" t="n">
        <x:v>46219.812988715275</x:v>
      </x:c>
      <x:c r="P515" s="23" t="str">
        <x:v>MARILIA</x:v>
      </x:c>
      <x:c r="Q515" s="30" t="n">
        <x:v>28800</x:v>
      </x:c>
      <x:c r="R515" s="22" t="str">
        <x:f>"29640664"</x:f>
        <x:v>29640664</x:v>
      </x:c>
      <x:c r="S515" s="23" t="str">
        <x:v>masculino</x:v>
      </x:c>
      <x:c r="T515" s="22" t="str">
        <x:f>"RUS6D61"</x:f>
        <x:v>RUS6D61</x:v>
      </x:c>
      <x:c r="U515" s="23" t="str">
        <x:v>53.521.956 CARLOS EDUARDO DOS SANTOS</x:v>
      </x:c>
      <x:c r="V515" s="22" t="str">
        <x:f>"274.577.188-42"</x:f>
        <x:v>274.577.188-42</x:v>
      </x:c>
      <x:c r="W515" s="22" t="str">
        <x:f>"27457718842"</x:f>
        <x:v>27457718842</x:v>
      </x:c>
      <x:c r="X515" s="23" t="str">
        <x:v>santoscarlos.nestle@gmail.com</x:v>
      </x:c>
      <x:c r="Y515" s="22" t="str">
        <x:f>"14996977563"</x:f>
        <x:v>14996977563</x:v>
      </x:c>
      <x:c r="Z515" s="30" t="n">
        <x:v>46563</x:v>
      </x:c>
    </x:row>
    <x:row r="516" ht="18" customHeight="1">
      <x:c r="A516" s="22" t="str">
        <x:f>"64e5312f-b4d5-4b84-ba67-ee18c3a50a50"</x:f>
        <x:v>64e5312f-b4d5-4b84-ba67-ee18c3a50a50</x:v>
      </x:c>
      <x:c r="B516" s="23" t="str">
        <x:v>CARLOS EDUARDO FERNANDES AMERICO</x:v>
      </x:c>
      <x:c r="C516" s="23" t="str">
        <x:v>carlos eduardo fernandes americo</x:v>
      </x:c>
      <x:c r="D516" s="22" t="str">
        <x:f>"61.572.575/0001-73"</x:f>
        <x:v>61.572.575/0001-73</x:v>
      </x:c>
      <x:c r="E516" s="22" t="str">
        <x:f>"61572575000173"</x:f>
        <x:v>61572575000173</x:v>
      </x:c>
      <x:c r="F516" s="22" t="str">
        <x:f>"061.859.041-28"</x:f>
        <x:v>061.859.041-28</x:v>
      </x:c>
      <x:c r="G516" s="22" t="str">
        <x:f>"06185904128"</x:f>
        <x:v>06185904128</x:v>
      </x:c>
      <x:c r="H516" s="23" t="str">
        <x:v>carloseduardo07042001a@gmail.com</x:v>
      </x:c>
      <x:c r="I516" s="22" t="str">
        <x:f>"66 996672001"</x:f>
        <x:v>66 996672001</x:v>
      </x:c>
      <x:c r="J516" s="23" t="str">
        <x:v>SPOT</x:v>
      </x:c>
      <x:c r="K516" s="23" t="str">
        <x:v>favored_only</x:v>
      </x:c>
      <x:c r="L516" s="24" t="b">
        <x:v>1</x:v>
      </x:c>
      <x:c r="M516" s="23" t="n">
        <x:v>1</x:v>
      </x:c>
      <x:c r="N516" s="28" t="n">
        <x:v>46219.79396105324</x:v>
      </x:c>
      <x:c r="O516" s="28" t="n">
        <x:v>46219.812988715275</x:v>
      </x:c>
      <x:c r="P516" s="23" t="str">
        <x:v>SINOP</x:v>
      </x:c>
      <x:c r="Q516" s="30" t="n">
        <x:v>36988</x:v>
      </x:c>
      <x:c r="R516" s="22" t="str">
        <x:f>"29904102"</x:f>
        <x:v>29904102</x:v>
      </x:c>
      <x:c r="S516" s="23" t="str">
        <x:v>masculino</x:v>
      </x:c>
      <x:c r="T516" s="22" t="str">
        <x:f>"OAS1F08"</x:f>
        <x:v>OAS1F08</x:v>
      </x:c>
      <x:c r="U516" s="23" t="str">
        <x:v>CARLOS EDUARDO FERNANDES AMERICO</x:v>
      </x:c>
      <x:c r="V516" s="22" t="str">
        <x:f>"061.859.041-28"</x:f>
        <x:v>061.859.041-28</x:v>
      </x:c>
      <x:c r="W516" s="22" t="str">
        <x:f>"06185904128"</x:f>
        <x:v>06185904128</x:v>
      </x:c>
      <x:c r="X516" s="23" t="str">
        <x:v>carloseduardo07042001a@gmail.com</x:v>
      </x:c>
      <x:c r="Y516" s="22" t="str">
        <x:f>"66 996672001"</x:f>
        <x:v>66 996672001</x:v>
      </x:c>
      <x:c r="Z516" s="30" t="n">
        <x:v>46239</x:v>
      </x:c>
    </x:row>
    <x:row r="517" ht="18" customHeight="1">
      <x:c r="A517" s="22" t="str">
        <x:f>"2f1863aa-4c29-4271-84fc-238e271b19c9"</x:f>
        <x:v>2f1863aa-4c29-4271-84fc-238e271b19c9</x:v>
      </x:c>
      <x:c r="B517" s="23" t="str">
        <x:v>CARLOS EDUARDO FERNANDES ESPERANCA</x:v>
      </x:c>
      <x:c r="C517" s="23" t="str">
        <x:v>carlos eduardo fernandes esperanca</x:v>
      </x:c>
      <x:c r="D517" s="22" t="str">
        <x:f>"66.833.415/0001-54"</x:f>
        <x:v>66.833.415/0001-54</x:v>
      </x:c>
      <x:c r="E517" s="22" t="str">
        <x:f>"66833415000154"</x:f>
        <x:v>66833415000154</x:v>
      </x:c>
      <x:c r="F517" s="22" t="str">
        <x:f>"155.403.357-83"</x:f>
        <x:v>155.403.357-83</x:v>
      </x:c>
      <x:c r="G517" s="22" t="str">
        <x:f>"15540335783"</x:f>
        <x:v>15540335783</x:v>
      </x:c>
      <x:c r="H517" s="23" t="str">
        <x:v>eduardofesperanca@gmail.com</x:v>
      </x:c>
      <x:c r="I517" s="22" t="str">
        <x:f>"(11)947925646"</x:f>
        <x:v>(11)947925646</x:v>
      </x:c>
      <x:c r="J517" s="23" t="str">
        <x:v>RENTAL</x:v>
      </x:c>
      <x:c r="K517" s="23" t="str">
        <x:v>rental_company</x:v>
      </x:c>
      <x:c r="L517" s="24" t="b">
        <x:v>1</x:v>
      </x:c>
      <x:c r="M517" s="23" t="n">
        <x:v>1</x:v>
      </x:c>
      <x:c r="N517" s="28" t="n">
        <x:v>46219.812988715275</x:v>
      </x:c>
      <x:c r="O517" s="28" t="n">
        <x:v>46219.812988715275</x:v>
      </x:c>
      <x:c r="P517" s="23" t="str">
        <x:v>BARUERI</x:v>
      </x:c>
      <x:c r="Q517" s="30" t="n">
        <x:v>35339</x:v>
      </x:c>
      <x:c r="R517" s="22" t="str">
        <x:f>"236163390"</x:f>
        <x:v>236163390</x:v>
      </x:c>
      <x:c r="S517" s="23" t="str">
        <x:v>masculino</x:v>
      </x:c>
      <x:c r="T517" s="22" t="str"/>
      <x:c r="U517" s="23" t="str">
        <x:v>CARLOS EDUARDO FERNANDES ESPERANCA</x:v>
      </x:c>
      <x:c r="V517" s="22" t="str">
        <x:f>"155.403.357-83"</x:f>
        <x:v>155.403.357-83</x:v>
      </x:c>
      <x:c r="W517" s="22" t="str">
        <x:f>"15540335783"</x:f>
        <x:v>15540335783</x:v>
      </x:c>
      <x:c r="X517" s="23" t="str">
        <x:v>eduardofesperanca@gmail.com</x:v>
      </x:c>
      <x:c r="Y517" s="22" t="str">
        <x:f>"(11)947925646"</x:f>
        <x:v>(11)947925646</x:v>
      </x:c>
      <x:c r="Z517" s="30" t="n">
        <x:v>46527</x:v>
      </x:c>
    </x:row>
    <x:row r="518" ht="18" customHeight="1">
      <x:c r="A518" s="22" t="str">
        <x:f>"a99a27a4-5a4f-400f-aba5-b27840e435c3"</x:f>
        <x:v>a99a27a4-5a4f-400f-aba5-b27840e435c3</x:v>
      </x:c>
      <x:c r="B518" s="23" t="str">
        <x:v>CARLOS EDUARDO FERREIRA DA SILVA</x:v>
      </x:c>
      <x:c r="C518" s="23" t="str">
        <x:v>carlos eduardo ferreira da silva</x:v>
      </x:c>
      <x:c r="D518" s="22" t="str">
        <x:f>"00.009.643/2354-08"</x:f>
        <x:v>00.009.643/2354-08</x:v>
      </x:c>
      <x:c r="E518" s="22" t="str">
        <x:f>"00009643235408"</x:f>
        <x:v>00009643235408</x:v>
      </x:c>
      <x:c r="F518" s="22" t="str">
        <x:f>"096.432.354-08"</x:f>
        <x:v>096.432.354-08</x:v>
      </x:c>
      <x:c r="G518" s="22" t="str">
        <x:f>"09643235408"</x:f>
        <x:v>09643235408</x:v>
      </x:c>
      <x:c r="H518" s="23" t="str">
        <x:v>carloseduardollog@mail.com</x:v>
      </x:c>
      <x:c r="I518" s="22" t="str">
        <x:f>"34997644880"</x:f>
        <x:v>34997644880</x:v>
      </x:c>
      <x:c r="J518" s="23" t="str">
        <x:v>SPOT</x:v>
      </x:c>
      <x:c r="K518" s="23" t="str">
        <x:v>favored_only</x:v>
      </x:c>
      <x:c r="L518" s="24" t="b">
        <x:v>1</x:v>
      </x:c>
      <x:c r="M518" s="23" t="n">
        <x:v>1</x:v>
      </x:c>
      <x:c r="N518" s="28" t="n">
        <x:v>46219.812988715275</x:v>
      </x:c>
      <x:c r="O518" s="28" t="n">
        <x:v>46219.812988715275</x:v>
      </x:c>
      <x:c r="P518" s="23" t="str">
        <x:v>UBERABA</x:v>
      </x:c>
      <x:c r="Q518" s="30" t="n">
        <x:v>35319</x:v>
      </x:c>
      <x:c r="R518" s="22" t="str">
        <x:f>"33918511"</x:f>
        <x:v>33918511</x:v>
      </x:c>
      <x:c r="S518" s="23" t="str">
        <x:v>masculino</x:v>
      </x:c>
      <x:c r="T518" s="22" t="str">
        <x:f>"TKR2C72"</x:f>
        <x:v>TKR2C72</x:v>
      </x:c>
      <x:c r="U518" s="23" t="str">
        <x:v>CARLOS EDUARDO FERREIRA DA SILVA</x:v>
      </x:c>
      <x:c r="V518" s="22" t="str">
        <x:f>"096.432.354-08"</x:f>
        <x:v>096.432.354-08</x:v>
      </x:c>
      <x:c r="W518" s="22" t="str">
        <x:f>"09643235408"</x:f>
        <x:v>09643235408</x:v>
      </x:c>
      <x:c r="X518" s="23" t="str">
        <x:v>carloseduardollog@mail.com</x:v>
      </x:c>
      <x:c r="Y518" s="22" t="str">
        <x:f>"34997644880"</x:f>
        <x:v>34997644880</x:v>
      </x:c>
      <x:c r="Z518" s="30" t="n">
        <x:v>46557</x:v>
      </x:c>
    </x:row>
    <x:row r="519" ht="18" customHeight="1">
      <x:c r="A519" s="22" t="str">
        <x:f>"45feb7a6-1996-498b-adcb-c433bc74ef87"</x:f>
        <x:v>45feb7a6-1996-498b-adcb-c433bc74ef87</x:v>
      </x:c>
      <x:c r="B519" s="23" t="str">
        <x:v>CARLOS EDUARDO FIGARELA RIBEIRO</x:v>
      </x:c>
      <x:c r="C519" s="23" t="str">
        <x:v>carlos eduardo figarela ribeiro</x:v>
      </x:c>
      <x:c r="D519" s="22" t="str">
        <x:f>"58.504.859/0001-18"</x:f>
        <x:v>58.504.859/0001-18</x:v>
      </x:c>
      <x:c r="E519" s="22" t="str">
        <x:f>"58504859000118"</x:f>
        <x:v>58504859000118</x:v>
      </x:c>
      <x:c r="F519" s="22" t="str">
        <x:f>"020.765.316-02"</x:f>
        <x:v>020.765.316-02</x:v>
      </x:c>
      <x:c r="G519" s="22" t="str">
        <x:f>"02076531602"</x:f>
        <x:v>02076531602</x:v>
      </x:c>
      <x:c r="H519" s="23" t="str">
        <x:v>carloseduardofiga1@gmail.com</x:v>
      </x:c>
      <x:c r="I519" s="22" t="str">
        <x:f>"34 9272-0915"</x:f>
        <x:v>34 9272-0915</x:v>
      </x:c>
      <x:c r="J519" s="23" t="str">
        <x:v>RENTAL</x:v>
      </x:c>
      <x:c r="K519" s="23" t="str">
        <x:v>rental_company</x:v>
      </x:c>
      <x:c r="L519" s="24" t="b">
        <x:v>1</x:v>
      </x:c>
      <x:c r="M519" s="23" t="n">
        <x:v>1</x:v>
      </x:c>
      <x:c r="N519" s="28" t="n">
        <x:v>46203.92184908565</x:v>
      </x:c>
      <x:c r="O519" s="28" t="n">
        <x:v>46219.812988715275</x:v>
      </x:c>
      <x:c r="P519" s="23" t="str">
        <x:v>UBERLANDIA</x:v>
      </x:c>
      <x:c r="Q519" s="30" t="n">
        <x:v>31711</x:v>
      </x:c>
      <x:c r="R519" s="22" t="str">
        <x:f>"MG20162955"</x:f>
        <x:v>MG20162955</x:v>
      </x:c>
      <x:c r="S519" s="23" t="str">
        <x:v>masculino</x:v>
      </x:c>
      <x:c r="T519" s="22" t="str"/>
      <x:c r="U519" s="23" t="str">
        <x:v>CARLOS EDUARDO FIGARELA RIBEIRO</x:v>
      </x:c>
      <x:c r="V519" s="22" t="str">
        <x:f>"020.765.316-02"</x:f>
        <x:v>020.765.316-02</x:v>
      </x:c>
      <x:c r="W519" s="22" t="str">
        <x:f>"02076531602"</x:f>
        <x:v>02076531602</x:v>
      </x:c>
      <x:c r="X519" s="23" t="str">
        <x:v>carloseduardofiga1@gmail.com</x:v>
      </x:c>
      <x:c r="Y519" s="22" t="str">
        <x:f>"34 9272-0915"</x:f>
        <x:v>34 9272-0915</x:v>
      </x:c>
      <x:c r="Z519" s="30" t="n">
        <x:v>46240</x:v>
      </x:c>
    </x:row>
    <x:row r="520" ht="18" customHeight="1">
      <x:c r="A520" s="22" t="str">
        <x:f>"532535a2-fcec-4c77-87d0-1d7b924a2a6b"</x:f>
        <x:v>532535a2-fcec-4c77-87d0-1d7b924a2a6b</x:v>
      </x:c>
      <x:c r="B520" s="23" t="str">
        <x:v>CARLOS EDUARDO FREIRE DOS SANTOS</x:v>
      </x:c>
      <x:c r="C520" s="23" t="str">
        <x:v>carlos eduardo freire dos santos</x:v>
      </x:c>
      <x:c r="D520" s="22" t="str">
        <x:f>"61.900.003/0001-76"</x:f>
        <x:v>61.900.003/0001-76</x:v>
      </x:c>
      <x:c r="E520" s="22" t="str">
        <x:f>"61900003000176"</x:f>
        <x:v>61900003000176</x:v>
      </x:c>
      <x:c r="F520" s="22" t="str">
        <x:f>"012.801.271-47"</x:f>
        <x:v>012.801.271-47</x:v>
      </x:c>
      <x:c r="G520" s="22" t="str">
        <x:f>"01280127147"</x:f>
        <x:v>01280127147</x:v>
      </x:c>
      <x:c r="H520" s="23" t="str">
        <x:v>carlosfreiresantos16@gmail.com</x:v>
      </x:c>
      <x:c r="I520" s="22" t="str">
        <x:f>"65 999169029"</x:f>
        <x:v>65 999169029</x:v>
      </x:c>
      <x:c r="J520" s="23" t="str">
        <x:v>SPOT</x:v>
      </x:c>
      <x:c r="K520" s="23" t="str">
        <x:v>favored_only</x:v>
      </x:c>
      <x:c r="L520" s="24" t="b">
        <x:v>1</x:v>
      </x:c>
      <x:c r="M520" s="23" t="n">
        <x:v>2</x:v>
      </x:c>
      <x:c r="N520" s="28" t="n">
        <x:v>46203.92184908565</x:v>
      </x:c>
      <x:c r="O520" s="28" t="n">
        <x:v>46203.92184908565</x:v>
      </x:c>
      <x:c r="P520" s="23" t="str"/>
      <x:c r="Q520" s="30" t="str"/>
      <x:c r="R520" s="22" t="str"/>
      <x:c r="S520" s="23" t="str"/>
      <x:c r="T520" s="22" t="str"/>
      <x:c r="U520" s="23" t="str">
        <x:v>CARLOS EDUARDO FREIRE DOS SANTOS</x:v>
      </x:c>
      <x:c r="V520" s="22" t="str">
        <x:f>"061.527.971-60"</x:f>
        <x:v>061.527.971-60</x:v>
      </x:c>
      <x:c r="W520" s="22" t="str">
        <x:f>"06152797160"</x:f>
        <x:v>06152797160</x:v>
      </x:c>
      <x:c r="X520" s="23" t="str">
        <x:v>carlosfreiresantos16@gmail.com</x:v>
      </x:c>
      <x:c r="Y520" s="22" t="str">
        <x:f>"6599908-8369"</x:f>
        <x:v>6599908-8369</x:v>
      </x:c>
      <x:c r="Z520" s="30" t="str"/>
    </x:row>
    <x:row r="521" ht="18" customHeight="1">
      <x:c r="A521" s="22" t="str">
        <x:f>"da748be5-2557-4435-8f9b-7588366e5b58"</x:f>
        <x:v>da748be5-2557-4435-8f9b-7588366e5b58</x:v>
      </x:c>
      <x:c r="B521" s="23" t="str">
        <x:v>CARLOS EDUARDO HONORATO DOS SANTOS</x:v>
      </x:c>
      <x:c r="C521" s="23" t="str">
        <x:v>carlos eduardo honorato dos santos</x:v>
      </x:c>
      <x:c r="D521" s="22" t="str">
        <x:f>"62.036.433/0001-54"</x:f>
        <x:v>62.036.433/0001-54</x:v>
      </x:c>
      <x:c r="E521" s="22" t="str">
        <x:f>"62036433000154"</x:f>
        <x:v>62036433000154</x:v>
      </x:c>
      <x:c r="F521" s="22" t="str">
        <x:f>"356.711.848-00"</x:f>
        <x:v>356.711.848-00</x:v>
      </x:c>
      <x:c r="G521" s="22" t="str">
        <x:f>"35671184800"</x:f>
        <x:v>35671184800</x:v>
      </x:c>
      <x:c r="H521" s="23" t="str">
        <x:v>cdscadu2400@gmail.com</x:v>
      </x:c>
      <x:c r="I521" s="22" t="str">
        <x:f>"17 997550572"</x:f>
        <x:v>17 997550572</x:v>
      </x:c>
      <x:c r="J521" s="23" t="str">
        <x:v>SPOT</x:v>
      </x:c>
      <x:c r="K521" s="23" t="str">
        <x:v>favored_only</x:v>
      </x:c>
      <x:c r="L521" s="24" t="b">
        <x:v>1</x:v>
      </x:c>
      <x:c r="M521" s="23" t="n">
        <x:v>1</x:v>
      </x:c>
      <x:c r="N521" s="28" t="n">
        <x:v>46219.812988715275</x:v>
      </x:c>
      <x:c r="O521" s="28" t="n">
        <x:v>46219.812988715275</x:v>
      </x:c>
      <x:c r="P521" s="23" t="str">
        <x:v>JALES</x:v>
      </x:c>
      <x:c r="Q521" s="30" t="n">
        <x:v>38108</x:v>
      </x:c>
      <x:c r="R521" s="22" t="str">
        <x:f>"528443847"</x:f>
        <x:v>528443847</x:v>
      </x:c>
      <x:c r="S521" s="23" t="str">
        <x:v>masculino</x:v>
      </x:c>
      <x:c r="T521" s="22" t="str">
        <x:f>"GIK9I72"</x:f>
        <x:v>GIK9I72</x:v>
      </x:c>
      <x:c r="U521" s="23" t="str">
        <x:v>CARLOS EDUARDO HONORATO DOS SANTOS</x:v>
      </x:c>
      <x:c r="V521" s="22" t="str">
        <x:f>"003.567.118-48"</x:f>
        <x:v>003.567.118-48</x:v>
      </x:c>
      <x:c r="W521" s="22" t="str">
        <x:f>"00356711848"</x:f>
        <x:v>00356711848</x:v>
      </x:c>
      <x:c r="X521" s="23" t="str">
        <x:v>cdscadu2400@gmail.com</x:v>
      </x:c>
      <x:c r="Y521" s="22" t="str">
        <x:f>"17 997550572"</x:f>
        <x:v>17 997550572</x:v>
      </x:c>
      <x:c r="Z521" s="30" t="n">
        <x:v>46487</x:v>
      </x:c>
    </x:row>
    <x:row r="522" ht="18" customHeight="1">
      <x:c r="A522" s="22" t="str">
        <x:f>"1df3a180-b915-49a0-bab1-2c9af222df3f"</x:f>
        <x:v>1df3a180-b915-49a0-bab1-2c9af222df3f</x:v>
      </x:c>
      <x:c r="B522" s="23" t="str">
        <x:v>CARLOS EDUARDO LEITE COTA</x:v>
      </x:c>
      <x:c r="C522" s="23" t="str">
        <x:v>carlos eduardo leite cota</x:v>
      </x:c>
      <x:c r="D522" s="22" t="str">
        <x:f>"58.570.692/0001-93"</x:f>
        <x:v>58.570.692/0001-93</x:v>
      </x:c>
      <x:c r="E522" s="22" t="str">
        <x:f>"58570692000193"</x:f>
        <x:v>58570692000193</x:v>
      </x:c>
      <x:c r="F522" s="22" t="str">
        <x:f>"124.834.106-69"</x:f>
        <x:v>124.834.106-69</x:v>
      </x:c>
      <x:c r="G522" s="22" t="str">
        <x:f>"12483410669"</x:f>
        <x:v>12483410669</x:v>
      </x:c>
      <x:c r="H522" s="23" t="str">
        <x:v>carlosleite14@gmail.com</x:v>
      </x:c>
      <x:c r="I522" s="22" t="str">
        <x:f>"12483410669"</x:f>
        <x:v>12483410669</x:v>
      </x:c>
      <x:c r="J522" s="23" t="str">
        <x:v>RENTAL</x:v>
      </x:c>
      <x:c r="K522" s="23" t="str">
        <x:v>rental_company</x:v>
      </x:c>
      <x:c r="L522" s="24" t="b">
        <x:v>1</x:v>
      </x:c>
      <x:c r="M522" s="23" t="n">
        <x:v>1</x:v>
      </x:c>
      <x:c r="N522" s="28" t="n">
        <x:v>46219.812988715275</x:v>
      </x:c>
      <x:c r="O522" s="28" t="n">
        <x:v>46219.812988715275</x:v>
      </x:c>
      <x:c r="P522" s="23" t="str">
        <x:v>GUANHAES</x:v>
      </x:c>
      <x:c r="Q522" s="30" t="n">
        <x:v>34498</x:v>
      </x:c>
      <x:c r="R522" s="22" t="str">
        <x:f>"15973031"</x:f>
        <x:v>15973031</x:v>
      </x:c>
      <x:c r="S522" s="23" t="str">
        <x:v>masculino</x:v>
      </x:c>
      <x:c r="T522" s="22" t="str"/>
      <x:c r="U522" s="23" t="str">
        <x:v>CARLOS EDUARDO LEITE COTA</x:v>
      </x:c>
      <x:c r="V522" s="22" t="str">
        <x:f>"124.834.106-69"</x:f>
        <x:v>124.834.106-69</x:v>
      </x:c>
      <x:c r="W522" s="22" t="str">
        <x:f>"12483410669"</x:f>
        <x:v>12483410669</x:v>
      </x:c>
      <x:c r="X522" s="23" t="str">
        <x:v>carlosleite14@gmail.com</x:v>
      </x:c>
      <x:c r="Y522" s="22" t="str">
        <x:f>"+55 31 9160-2710"</x:f>
        <x:v>+55 31 9160-2710</x:v>
      </x:c>
      <x:c r="Z522" s="30" t="n">
        <x:v>46528</x:v>
      </x:c>
    </x:row>
    <x:row r="523" ht="18" customHeight="1">
      <x:c r="A523" s="22" t="str">
        <x:f>"a61253fb-1967-401b-b501-4ad55cf960e0"</x:f>
        <x:v>a61253fb-1967-401b-b501-4ad55cf960e0</x:v>
      </x:c>
      <x:c r="B523" s="23" t="str">
        <x:v>CARLOS EDUARDO MACEDO GABRIEL</x:v>
      </x:c>
      <x:c r="C523" s="23" t="str">
        <x:v>carlos eduardo macedo gabriel</x:v>
      </x:c>
      <x:c r="D523" s="22" t="str">
        <x:f>"59.288.596/0001-10"</x:f>
        <x:v>59.288.596/0001-10</x:v>
      </x:c>
      <x:c r="E523" s="22" t="str">
        <x:f>"59288596000110"</x:f>
        <x:v>59288596000110</x:v>
      </x:c>
      <x:c r="F523" s="22" t="str">
        <x:f>"109.585.167-58"</x:f>
        <x:v>109.585.167-58</x:v>
      </x:c>
      <x:c r="G523" s="22" t="str">
        <x:f>"10958516758"</x:f>
        <x:v>10958516758</x:v>
      </x:c>
      <x:c r="H523" s="23" t="str">
        <x:v>eduardoracao31@gmail.com</x:v>
      </x:c>
      <x:c r="I523" s="22" t="str">
        <x:f>"21970718414"</x:f>
        <x:v>21970718414</x:v>
      </x:c>
      <x:c r="J523" s="23" t="str">
        <x:v>spot</x:v>
      </x:c>
      <x:c r="K523" s="23" t="str">
        <x:v>favored_only</x:v>
      </x:c>
      <x:c r="L523" s="24" t="b">
        <x:v>1</x:v>
      </x:c>
      <x:c r="M523" s="23" t="n">
        <x:v>2</x:v>
      </x:c>
      <x:c r="N523" s="28" t="n">
        <x:v>46219.812988715275</x:v>
      </x:c>
      <x:c r="O523" s="28" t="n">
        <x:v>46219.812988715275</x:v>
      </x:c>
      <x:c r="P523" s="23" t="str">
        <x:v>ITABORAI</x:v>
      </x:c>
      <x:c r="Q523" s="30" t="n">
        <x:v>31063</x:v>
      </x:c>
      <x:c r="R523" s="22" t="str">
        <x:f>"118433663"</x:f>
        <x:v>118433663</x:v>
      </x:c>
      <x:c r="S523" s="23" t="str">
        <x:v>masculino</x:v>
      </x:c>
      <x:c r="T523" s="22" t="str">
        <x:f>"LLP7590"</x:f>
        <x:v>LLP7590</x:v>
      </x:c>
      <x:c r="U523" s="23" t="str">
        <x:v>SANDE ELLEN RODRIGUES PACHECO GABRIEL</x:v>
      </x:c>
      <x:c r="V523" s="22" t="str">
        <x:f>"151.728.007-94"</x:f>
        <x:v>151.728.007-94</x:v>
      </x:c>
      <x:c r="W523" s="22" t="str">
        <x:f>"15172800794"</x:f>
        <x:v>15172800794</x:v>
      </x:c>
      <x:c r="X523" s="23" t="str">
        <x:v>sanderodriguees1@icloud.com</x:v>
      </x:c>
      <x:c r="Y523" s="22" t="str">
        <x:f>"21964425377"</x:f>
        <x:v>21964425377</x:v>
      </x:c>
      <x:c r="Z523" s="30" t="n">
        <x:v>46497</x:v>
      </x:c>
    </x:row>
    <x:row r="524" ht="18" customHeight="1">
      <x:c r="A524" s="22" t="str">
        <x:f>"795f9b58-8b67-45d7-a474-4c4c93009224"</x:f>
        <x:v>795f9b58-8b67-45d7-a474-4c4c93009224</x:v>
      </x:c>
      <x:c r="B524" s="23" t="str">
        <x:v>CARLOS EDUARDO MARCONDES BARROS</x:v>
      </x:c>
      <x:c r="C524" s="23" t="str">
        <x:v>carlos eduardo marcondes barros</x:v>
      </x:c>
      <x:c r="D524" s="22" t="str">
        <x:f>"50.073.217/0001-08"</x:f>
        <x:v>50.073.217/0001-08</x:v>
      </x:c>
      <x:c r="E524" s="22" t="str">
        <x:f>"50073217000108"</x:f>
        <x:v>50073217000108</x:v>
      </x:c>
      <x:c r="F524" s="22" t="str">
        <x:f>"061.435.111-10"</x:f>
        <x:v>061.435.111-10</x:v>
      </x:c>
      <x:c r="G524" s="22" t="str">
        <x:f>"06143511110"</x:f>
        <x:v>06143511110</x:v>
      </x:c>
      <x:c r="H524" s="23" t="str">
        <x:v>edumarcondesbarros@gmail.com</x:v>
      </x:c>
      <x:c r="I524" s="22" t="str">
        <x:f>"65996986862"</x:f>
        <x:v>65996986862</x:v>
      </x:c>
      <x:c r="J524" s="23" t="str">
        <x:v>SPOT</x:v>
      </x:c>
      <x:c r="K524" s="23" t="str">
        <x:v>favored_only</x:v>
      </x:c>
      <x:c r="L524" s="24" t="b">
        <x:v>1</x:v>
      </x:c>
      <x:c r="M524" s="23" t="n">
        <x:v>1</x:v>
      </x:c>
      <x:c r="N524" s="28" t="n">
        <x:v>46205.606185613426</x:v>
      </x:c>
      <x:c r="O524" s="28" t="n">
        <x:v>46219.812988715275</x:v>
      </x:c>
      <x:c r="P524" s="23" t="str">
        <x:v>CÁCERES</x:v>
      </x:c>
      <x:c r="Q524" s="30" t="n">
        <x:v>38288</x:v>
      </x:c>
      <x:c r="R524" s="22" t="str">
        <x:f>"30077370"</x:f>
        <x:v>30077370</x:v>
      </x:c>
      <x:c r="S524" s="23" t="str">
        <x:v>masculino</x:v>
      </x:c>
      <x:c r="T524" s="22" t="str">
        <x:f>"AXR7H38"</x:f>
        <x:v>AXR7H38</x:v>
      </x:c>
      <x:c r="U524" s="23" t="str">
        <x:v>EVANDRO DE OLIVEIRA LOURENCO</x:v>
      </x:c>
      <x:c r="V524" s="22" t="str">
        <x:f>"012.957.851-70"</x:f>
        <x:v>012.957.851-70</x:v>
      </x:c>
      <x:c r="W524" s="22" t="str">
        <x:f>"01295785170"</x:f>
        <x:v>01295785170</x:v>
      </x:c>
      <x:c r="X524" s="23" t="str">
        <x:v>evandromsoliveira@gmail.com</x:v>
      </x:c>
      <x:c r="Y524" s="22" t="str">
        <x:f>"65992188094"</x:f>
        <x:v>65992188094</x:v>
      </x:c>
      <x:c r="Z524" s="30" t="n">
        <x:v>46348</x:v>
      </x:c>
    </x:row>
    <x:row r="525" ht="18" customHeight="1">
      <x:c r="A525" s="22" t="str">
        <x:f>"080e77b2-2fe3-47a4-be3f-14df51c36f38"</x:f>
        <x:v>080e77b2-2fe3-47a4-be3f-14df51c36f38</x:v>
      </x:c>
      <x:c r="B525" s="23" t="str">
        <x:v>CARLOS EDUARDO MORAIS DE CASTRO</x:v>
      </x:c>
      <x:c r="C525" s="23" t="str">
        <x:v>carlos eduardo morais de castro</x:v>
      </x:c>
      <x:c r="D525" s="22" t="str">
        <x:f>"42.410.200/0001-62"</x:f>
        <x:v>42.410.200/0001-62</x:v>
      </x:c>
      <x:c r="E525" s="22" t="str">
        <x:f>"42410200000162"</x:f>
        <x:v>42410200000162</x:v>
      </x:c>
      <x:c r="F525" s="22" t="str">
        <x:f>"143.855.306-45"</x:f>
        <x:v>143.855.306-45</x:v>
      </x:c>
      <x:c r="G525" s="22" t="str">
        <x:f>"14385530645"</x:f>
        <x:v>14385530645</x:v>
      </x:c>
      <x:c r="H525" s="23" t="str">
        <x:v>CARLOS_05MORAIS@HOTMAIL.COM</x:v>
      </x:c>
      <x:c r="I525" s="22" t="str">
        <x:f>"35 997657009"</x:f>
        <x:v>35 997657009</x:v>
      </x:c>
      <x:c r="J525" s="23" t="str">
        <x:v>SPOT</x:v>
      </x:c>
      <x:c r="K525" s="23" t="str">
        <x:v>favored_only</x:v>
      </x:c>
      <x:c r="L525" s="24" t="b">
        <x:v>1</x:v>
      </x:c>
      <x:c r="M525" s="23" t="n">
        <x:v>1</x:v>
      </x:c>
      <x:c r="N525" s="28" t="n">
        <x:v>46205.60111405093</x:v>
      </x:c>
      <x:c r="O525" s="28" t="n">
        <x:v>46219.812988715275</x:v>
      </x:c>
      <x:c r="P525" s="23" t="str">
        <x:v>GUAXUPE</x:v>
      </x:c>
      <x:c r="Q525" s="30" t="n">
        <x:v>36469</x:v>
      </x:c>
      <x:c r="R525" s="22" t="str">
        <x:f>"18989287"</x:f>
        <x:v>18989287</x:v>
      </x:c>
      <x:c r="S525" s="23" t="str">
        <x:v>masculino</x:v>
      </x:c>
      <x:c r="T525" s="22" t="str">
        <x:f>"FDJ7H04"</x:f>
        <x:v>FDJ7H04</x:v>
      </x:c>
      <x:c r="U525" s="23" t="str">
        <x:v>RICARDO BARROS VECCHI</x:v>
      </x:c>
      <x:c r="V525" s="22" t="str">
        <x:f>"117.673.196-30"</x:f>
        <x:v>117.673.196-30</x:v>
      </x:c>
      <x:c r="W525" s="22" t="str">
        <x:f>"11767319630"</x:f>
        <x:v>11767319630</x:v>
      </x:c>
      <x:c r="X525" s="23" t="str">
        <x:v>RICARDO.VECCHI2013@GMAIL.COM</x:v>
      </x:c>
      <x:c r="Y525" s="22" t="str">
        <x:f>"35 998933894"</x:f>
        <x:v>35 998933894</x:v>
      </x:c>
      <x:c r="Z525" s="30" t="n">
        <x:v>46521</x:v>
      </x:c>
    </x:row>
    <x:row r="526" ht="18" customHeight="1">
      <x:c r="A526" s="22" t="str">
        <x:f>"c49a6a2f-b10d-4b3f-8378-14de01bb76f9"</x:f>
        <x:v>c49a6a2f-b10d-4b3f-8378-14de01bb76f9</x:v>
      </x:c>
      <x:c r="B526" s="23" t="str">
        <x:v>CARLOS EDUARDO MORAIS DE CASTRO</x:v>
      </x:c>
      <x:c r="C526" s="23" t="str">
        <x:v>carlos eduardo morais de castro</x:v>
      </x:c>
      <x:c r="D526" s="22" t="str">
        <x:f>"61.379.142/0001-04"</x:f>
        <x:v>61.379.142/0001-04</x:v>
      </x:c>
      <x:c r="E526" s="22" t="str">
        <x:f>"61379142000104"</x:f>
        <x:v>61379142000104</x:v>
      </x:c>
      <x:c r="F526" s="22" t="str">
        <x:f>"14385530645"</x:f>
        <x:v>14385530645</x:v>
      </x:c>
      <x:c r="G526" s="22" t="str">
        <x:f>"14385530645"</x:f>
        <x:v>14385530645</x:v>
      </x:c>
      <x:c r="H526" s="23" t="str">
        <x:v>carlos_05morais@hotmail.com</x:v>
      </x:c>
      <x:c r="I526" s="22" t="str">
        <x:f>"35998593345"</x:f>
        <x:v>35998593345</x:v>
      </x:c>
      <x:c r="J526" s="23" t="str">
        <x:v>SPOT</x:v>
      </x:c>
      <x:c r="K526" s="23" t="str">
        <x:v>favored_only</x:v>
      </x:c>
      <x:c r="L526" s="24" t="b">
        <x:v>1</x:v>
      </x:c>
      <x:c r="M526" s="23" t="n">
        <x:v>1</x:v>
      </x:c>
      <x:c r="N526" s="28" t="n">
        <x:v>46203.92183332176</x:v>
      </x:c>
      <x:c r="O526" s="28" t="n">
        <x:v>46220.503968969904</x:v>
      </x:c>
      <x:c r="P526" s="23" t="str">
        <x:v>GUAXUPE</x:v>
      </x:c>
      <x:c r="Q526" s="30" t="str"/>
      <x:c r="R526" s="22" t="str"/>
      <x:c r="S526" s="23" t="str"/>
      <x:c r="T526" s="22" t="str"/>
      <x:c r="U526" s="23" t="str">
        <x:v>CARLOS EDUARDO MORAIS DE CASTRO</x:v>
      </x:c>
      <x:c r="V526" s="22" t="str">
        <x:f>"14385530645"</x:f>
        <x:v>14385530645</x:v>
      </x:c>
      <x:c r="W526" s="22" t="str">
        <x:f>"14385530645"</x:f>
        <x:v>14385530645</x:v>
      </x:c>
      <x:c r="X526" s="23" t="str">
        <x:v>carlos_05morais@hotmail.com</x:v>
      </x:c>
      <x:c r="Y526" s="22" t="str">
        <x:f>"35998593345"</x:f>
        <x:v>35998593345</x:v>
      </x:c>
      <x:c r="Z526" s="30" t="str"/>
    </x:row>
    <x:row r="527" ht="18" customHeight="1">
      <x:c r="A527" s="22" t="str">
        <x:f>"cbb3489f-d476-4364-9fb1-0f12454ff03b"</x:f>
        <x:v>cbb3489f-d476-4364-9fb1-0f12454ff03b</x:v>
      </x:c>
      <x:c r="B527" s="23" t="str">
        <x:v>CARLOS EDUARDO MORAIS DE CASTRO</x:v>
      </x:c>
      <x:c r="C527" s="23" t="str">
        <x:v>carlos eduardo morais de castro</x:v>
      </x:c>
      <x:c r="D527" s="22" t="str">
        <x:f>"64.464.935/0001-01"</x:f>
        <x:v>64.464.935/0001-01</x:v>
      </x:c>
      <x:c r="E527" s="22" t="str">
        <x:f>"64464935000101"</x:f>
        <x:v>64464935000101</x:v>
      </x:c>
      <x:c r="F527" s="22" t="str">
        <x:f>"143.855.306-45"</x:f>
        <x:v>143.855.306-45</x:v>
      </x:c>
      <x:c r="G527" s="22" t="str">
        <x:f>"14385530645"</x:f>
        <x:v>14385530645</x:v>
      </x:c>
      <x:c r="H527" s="23" t="str">
        <x:v>CARLOS_05MORAIS@HOTMAIL.COM</x:v>
      </x:c>
      <x:c r="I527" s="22" t="str">
        <x:f>"35 997657009"</x:f>
        <x:v>35 997657009</x:v>
      </x:c>
      <x:c r="J527" s="23" t="str">
        <x:v>SPOT</x:v>
      </x:c>
      <x:c r="K527" s="23" t="str">
        <x:v>favored_only</x:v>
      </x:c>
      <x:c r="L527" s="24" t="b">
        <x:v>1</x:v>
      </x:c>
      <x:c r="M527" s="23" t="n">
        <x:v>1</x:v>
      </x:c>
      <x:c r="N527" s="28" t="n">
        <x:v>46219.812988715275</x:v>
      </x:c>
      <x:c r="O527" s="28" t="n">
        <x:v>46219.812988715275</x:v>
      </x:c>
      <x:c r="P527" s="23" t="str">
        <x:v>GUAXUPE</x:v>
      </x:c>
      <x:c r="Q527" s="30" t="n">
        <x:v>36469</x:v>
      </x:c>
      <x:c r="R527" s="22" t="str">
        <x:f>"18989287"</x:f>
        <x:v>18989287</x:v>
      </x:c>
      <x:c r="S527" s="23" t="str">
        <x:v>masculino</x:v>
      </x:c>
      <x:c r="T527" s="22" t="str">
        <x:f>"FDJ7H04"</x:f>
        <x:v>FDJ7H04</x:v>
      </x:c>
      <x:c r="U527" s="23" t="str">
        <x:v>CARLOS EDUARDO MORAIS DE CASTRO</x:v>
      </x:c>
      <x:c r="V527" s="22" t="str">
        <x:f>"143.855.306-45"</x:f>
        <x:v>143.855.306-45</x:v>
      </x:c>
      <x:c r="W527" s="22" t="str">
        <x:f>"14385530645"</x:f>
        <x:v>14385530645</x:v>
      </x:c>
      <x:c r="X527" s="23" t="str">
        <x:v>CARLOS_05MORAIS@HOTMAIL.COM</x:v>
      </x:c>
      <x:c r="Y527" s="22" t="str">
        <x:f>"35 997657009"</x:f>
        <x:v>35 997657009</x:v>
      </x:c>
      <x:c r="Z527" s="30" t="n">
        <x:v>46527</x:v>
      </x:c>
    </x:row>
    <x:row r="528" ht="18" customHeight="1">
      <x:c r="A528" s="22" t="str">
        <x:f>"ebf75240-628e-495c-a867-eb034961ce35"</x:f>
        <x:v>ebf75240-628e-495c-a867-eb034961ce35</x:v>
      </x:c>
      <x:c r="B528" s="23" t="str">
        <x:v>CARLOS EMILIO LOUREIRO</x:v>
      </x:c>
      <x:c r="C528" s="23" t="str">
        <x:v>carlos emilio loureiro</x:v>
      </x:c>
      <x:c r="D528" s="22" t="str">
        <x:f>"23.853.787/0001-30"</x:f>
        <x:v>23.853.787/0001-30</x:v>
      </x:c>
      <x:c r="E528" s="22" t="str">
        <x:f>"23853787000130"</x:f>
        <x:v>23853787000130</x:v>
      </x:c>
      <x:c r="F528" s="22" t="str">
        <x:f>"021.698.131-01"</x:f>
        <x:v>021.698.131-01</x:v>
      </x:c>
      <x:c r="G528" s="22" t="str">
        <x:f>"02169813101"</x:f>
        <x:v>02169813101</x:v>
      </x:c>
      <x:c r="H528" s="23" t="str">
        <x:v>loureirosm10@gmail.com</x:v>
      </x:c>
      <x:c r="I528" s="22" t="str">
        <x:f>"65996065401"</x:f>
        <x:v>65996065401</x:v>
      </x:c>
      <x:c r="J528" s="23" t="str">
        <x:v>SPOT</x:v>
      </x:c>
      <x:c r="K528" s="23" t="str">
        <x:v>favored_only</x:v>
      </x:c>
      <x:c r="L528" s="24" t="b">
        <x:v>1</x:v>
      </x:c>
      <x:c r="M528" s="23" t="n">
        <x:v>1</x:v>
      </x:c>
      <x:c r="N528" s="28" t="n">
        <x:v>46205.605544039354</x:v>
      </x:c>
      <x:c r="O528" s="28" t="n">
        <x:v>46219.812988715275</x:v>
      </x:c>
      <x:c r="P528" s="23" t="str">
        <x:v>CÁCERES</x:v>
      </x:c>
      <x:c r="Q528" s="30" t="n">
        <x:v>31406</x:v>
      </x:c>
      <x:c r="R528" s="22" t="str">
        <x:f>"17103177"</x:f>
        <x:v>17103177</x:v>
      </x:c>
      <x:c r="S528" s="23" t="str">
        <x:v>masculino</x:v>
      </x:c>
      <x:c r="T528" s="22" t="str">
        <x:f>"KAT1A15"</x:f>
        <x:v>KAT1A15</x:v>
      </x:c>
      <x:c r="U528" s="23" t="str">
        <x:v>RODRIGO CASTRILLON LARA VEIGA</x:v>
      </x:c>
      <x:c r="V528" s="22" t="str">
        <x:f>"018.967.361-30"</x:f>
        <x:v>018.967.361-30</x:v>
      </x:c>
      <x:c r="W528" s="22" t="str">
        <x:f>"01896736130"</x:f>
        <x:v>01896736130</x:v>
      </x:c>
      <x:c r="X528" s="23" t="str">
        <x:v>castrillon.rodrigo@gmail.com</x:v>
      </x:c>
      <x:c r="Y528" s="22" t="str">
        <x:f>"65996440467"</x:f>
        <x:v>65996440467</x:v>
      </x:c>
      <x:c r="Z528" s="30" t="n">
        <x:v>46325</x:v>
      </x:c>
    </x:row>
    <x:row r="529" ht="18" customHeight="1">
      <x:c r="A529" s="22" t="str">
        <x:f>"e83ee56f-d4ca-4c4e-988d-c54da86c3856"</x:f>
        <x:v>e83ee56f-d4ca-4c4e-988d-c54da86c3856</x:v>
      </x:c>
      <x:c r="B529" s="23" t="str">
        <x:v>CARLOS EURICO LAMONICA DE AZEREDO DUARTE</x:v>
      </x:c>
      <x:c r="C529" s="23" t="str">
        <x:v>carlos eurico lamonica de azeredo duarte</x:v>
      </x:c>
      <x:c r="D529" s="22" t="str">
        <x:f>"52.603.822/0001-60"</x:f>
        <x:v>52.603.822/0001-60</x:v>
      </x:c>
      <x:c r="E529" s="22" t="str">
        <x:f>"52603822000160"</x:f>
        <x:v>52603822000160</x:v>
      </x:c>
      <x:c r="F529" s="22" t="str">
        <x:f>"116.420.147-61"</x:f>
        <x:v>116.420.147-61</x:v>
      </x:c>
      <x:c r="G529" s="22" t="str">
        <x:f>"11642014761"</x:f>
        <x:v>11642014761</x:v>
      </x:c>
      <x:c r="H529" s="23" t="str">
        <x:v>carloslamonica633@gmail.com</x:v>
      </x:c>
      <x:c r="I529" s="22" t="str">
        <x:f>"22999740693"</x:f>
        <x:v>22999740693</x:v>
      </x:c>
      <x:c r="J529" s="23" t="str">
        <x:v>SPOT</x:v>
      </x:c>
      <x:c r="K529" s="23" t="str">
        <x:v>favored_only</x:v>
      </x:c>
      <x:c r="L529" s="24" t="b">
        <x:v>1</x:v>
      </x:c>
      <x:c r="M529" s="23" t="n">
        <x:v>1</x:v>
      </x:c>
      <x:c r="N529" s="28" t="n">
        <x:v>46203.92186462963</x:v>
      </x:c>
      <x:c r="O529" s="28" t="n">
        <x:v>46219.812988715275</x:v>
      </x:c>
      <x:c r="P529" s="23" t="str">
        <x:v>CAMPOS DOS GOYTACAZES</x:v>
      </x:c>
      <x:c r="Q529" s="30" t="n">
        <x:v>31322</x:v>
      </x:c>
      <x:c r="R529" s="22" t="str">
        <x:f>"215687708"</x:f>
        <x:v>215687708</x:v>
      </x:c>
      <x:c r="S529" s="23" t="str">
        <x:v>masculino</x:v>
      </x:c>
      <x:c r="T529" s="22" t="str">
        <x:f>"KPP8F42"</x:f>
        <x:v>KPP8F42</x:v>
      </x:c>
      <x:c r="U529" s="23" t="str">
        <x:v>CARLOS EURICO LAMONICA DE AZEREDO DUARTE</x:v>
      </x:c>
      <x:c r="V529" s="22" t="str">
        <x:f>"116.420.147-61"</x:f>
        <x:v>116.420.147-61</x:v>
      </x:c>
      <x:c r="W529" s="22" t="str">
        <x:f>"11642014761"</x:f>
        <x:v>11642014761</x:v>
      </x:c>
      <x:c r="X529" s="23" t="str">
        <x:v>carloslamonica633@gmail.com</x:v>
      </x:c>
      <x:c r="Y529" s="22" t="str">
        <x:f>"22999740693"</x:f>
        <x:v>22999740693</x:v>
      </x:c>
      <x:c r="Z529" s="30" t="n">
        <x:v>46269</x:v>
      </x:c>
    </x:row>
    <x:row r="530" ht="18" customHeight="1">
      <x:c r="A530" s="22" t="str">
        <x:f>"132c90c1-0fef-493e-9f16-f20af27f8e2d"</x:f>
        <x:v>132c90c1-0fef-493e-9f16-f20af27f8e2d</x:v>
      </x:c>
      <x:c r="B530" s="23" t="str">
        <x:v>CARLOS FRANCISCO DINIZ</x:v>
      </x:c>
      <x:c r="C530" s="23" t="str">
        <x:v>carlos francisco diniz</x:v>
      </x:c>
      <x:c r="D530" s="22" t="str">
        <x:f>"00.076.793/5326-34"</x:f>
        <x:v>00.076.793/5326-34</x:v>
      </x:c>
      <x:c r="E530" s="22" t="str">
        <x:f>"00076793532634"</x:f>
        <x:v>00076793532634</x:v>
      </x:c>
      <x:c r="F530" s="22" t="str">
        <x:f>"767.935.326-34"</x:f>
        <x:v>767.935.326-34</x:v>
      </x:c>
      <x:c r="G530" s="22" t="str">
        <x:f>"76793532634"</x:f>
        <x:v>76793532634</x:v>
      </x:c>
      <x:c r="H530" s="23" t="str">
        <x:v>carlos.diniz@rocketmail.com</x:v>
      </x:c>
      <x:c r="I530" s="22" t="str">
        <x:f>"(31)999212800"</x:f>
        <x:v>(31)999212800</x:v>
      </x:c>
      <x:c r="J530" s="23" t="str">
        <x:v>RENTAL</x:v>
      </x:c>
      <x:c r="K530" s="23" t="str">
        <x:v>rental_company</x:v>
      </x:c>
      <x:c r="L530" s="24" t="b">
        <x:v>1</x:v>
      </x:c>
      <x:c r="M530" s="23" t="n">
        <x:v>1</x:v>
      </x:c>
      <x:c r="N530" s="28" t="n">
        <x:v>46219.812988715275</x:v>
      </x:c>
      <x:c r="O530" s="28" t="n">
        <x:v>46219.812988715275</x:v>
      </x:c>
      <x:c r="P530" s="23" t="str">
        <x:v>NOVA LIMA</x:v>
      </x:c>
      <x:c r="Q530" s="30" t="n">
        <x:v>25639</x:v>
      </x:c>
      <x:c r="R530" s="22" t="str">
        <x:f>"4065505"</x:f>
        <x:v>4065505</x:v>
      </x:c>
      <x:c r="S530" s="23" t="str">
        <x:v>masculino</x:v>
      </x:c>
      <x:c r="T530" s="22" t="str"/>
      <x:c r="U530" s="23" t="str">
        <x:v>CARLOS FRANCISCO DINIZ</x:v>
      </x:c>
      <x:c r="V530" s="22" t="str">
        <x:f>"767.935.326-34"</x:f>
        <x:v>767.935.326-34</x:v>
      </x:c>
      <x:c r="W530" s="22" t="str">
        <x:f>"76793532634"</x:f>
        <x:v>76793532634</x:v>
      </x:c>
      <x:c r="X530" s="23" t="str">
        <x:v>carlos.diniz@rocketmail.com</x:v>
      </x:c>
      <x:c r="Y530" s="22" t="str">
        <x:f>"(31)999212800"</x:f>
        <x:v>(31)999212800</x:v>
      </x:c>
      <x:c r="Z530" s="30" t="n">
        <x:v>46493</x:v>
      </x:c>
    </x:row>
    <x:row r="531" ht="18" customHeight="1">
      <x:c r="A531" s="22" t="str">
        <x:f>"bbbbcd75-20cf-4b0b-892e-9e520cc4f6fd"</x:f>
        <x:v>bbbbcd75-20cf-4b0b-892e-9e520cc4f6fd</x:v>
      </x:c>
      <x:c r="B531" s="23" t="str">
        <x:v>CARLOS GOMES DOS SANTOS</x:v>
      </x:c>
      <x:c r="C531" s="23" t="str">
        <x:v>carlos gomes dos santos</x:v>
      </x:c>
      <x:c r="D531" s="22" t="str">
        <x:f>"43.765.778/0001-02"</x:f>
        <x:v>43.765.778/0001-02</x:v>
      </x:c>
      <x:c r="E531" s="22" t="str">
        <x:f>"43765778000102"</x:f>
        <x:v>43765778000102</x:v>
      </x:c>
      <x:c r="F531" s="22" t="str">
        <x:f>"081.220.126-47"</x:f>
        <x:v>081.220.126-47</x:v>
      </x:c>
      <x:c r="G531" s="22" t="str">
        <x:f>"08122012647"</x:f>
        <x:v>08122012647</x:v>
      </x:c>
      <x:c r="H531" s="23" t="str">
        <x:v>lilcarlos73@hotmail.com</x:v>
      </x:c>
      <x:c r="I531" s="22" t="str">
        <x:f>"(31) 99298-0335"</x:f>
        <x:v>(31) 99298-0335</x:v>
      </x:c>
      <x:c r="J531" s="23" t="str">
        <x:v>RENTAL</x:v>
      </x:c>
      <x:c r="K531" s="23" t="str">
        <x:v>rental_company</x:v>
      </x:c>
      <x:c r="L531" s="24" t="b">
        <x:v>1</x:v>
      </x:c>
      <x:c r="M531" s="23" t="n">
        <x:v>1</x:v>
      </x:c>
      <x:c r="N531" s="28" t="n">
        <x:v>46219.812988715275</x:v>
      </x:c>
      <x:c r="O531" s="28" t="n">
        <x:v>46219.812988715275</x:v>
      </x:c>
      <x:c r="P531" s="23" t="str">
        <x:v>NOVA LIMA</x:v>
      </x:c>
      <x:c r="Q531" s="30" t="n">
        <x:v>31519</x:v>
      </x:c>
      <x:c r="R531" s="22" t="str">
        <x:f>"12799121"</x:f>
        <x:v>12799121</x:v>
      </x:c>
      <x:c r="S531" s="23" t="str">
        <x:v>masculino</x:v>
      </x:c>
      <x:c r="T531" s="22" t="str"/>
      <x:c r="U531" s="23" t="str">
        <x:v>CARLOS GOMES DOS SANTOS</x:v>
      </x:c>
      <x:c r="V531" s="22" t="str">
        <x:f>"081.220.126-47"</x:f>
        <x:v>081.220.126-47</x:v>
      </x:c>
      <x:c r="W531" s="22" t="str">
        <x:f>"08122012647"</x:f>
        <x:v>08122012647</x:v>
      </x:c>
      <x:c r="X531" s="23" t="str">
        <x:v>lilcarlos73@hotmail.com</x:v>
      </x:c>
      <x:c r="Y531" s="22" t="str">
        <x:f>"(31) 99298-0335"</x:f>
        <x:v>(31) 99298-0335</x:v>
      </x:c>
      <x:c r="Z531" s="30" t="n">
        <x:v>46554</x:v>
      </x:c>
    </x:row>
    <x:row r="532" ht="18" customHeight="1">
      <x:c r="A532" s="22" t="str">
        <x:f>"57601503-81f4-4343-9cf4-defc6a944c71"</x:f>
        <x:v>57601503-81f4-4343-9cf4-defc6a944c71</x:v>
      </x:c>
      <x:c r="B532" s="23" t="str">
        <x:v>CARLOS HENRIQUE ARANTES ROCHA</x:v>
      </x:c>
      <x:c r="C532" s="23" t="str">
        <x:v>carlos henrique arantes rocha</x:v>
      </x:c>
      <x:c r="D532" s="22" t="str">
        <x:f>"63.115.650/0001-00"</x:f>
        <x:v>63.115.650/0001-00</x:v>
      </x:c>
      <x:c r="E532" s="22" t="str">
        <x:f>"63115650000100"</x:f>
        <x:v>63115650000100</x:v>
      </x:c>
      <x:c r="F532" s="22" t="str">
        <x:f>"705.932.271-07"</x:f>
        <x:v>705.932.271-07</x:v>
      </x:c>
      <x:c r="G532" s="22" t="str">
        <x:f>"70593227107"</x:f>
        <x:v>70593227107</x:v>
      </x:c>
      <x:c r="H532" s="23" t="str">
        <x:v>carloshenriquearantes40@gmail.com</x:v>
      </x:c>
      <x:c r="I532" s="22" t="str">
        <x:f>"64 9929-2090"</x:f>
        <x:v>64 9929-2090</x:v>
      </x:c>
      <x:c r="J532" s="23" t="str">
        <x:v>SPOT</x:v>
      </x:c>
      <x:c r="K532" s="23" t="str">
        <x:v>favored_only</x:v>
      </x:c>
      <x:c r="L532" s="24" t="b">
        <x:v>1</x:v>
      </x:c>
      <x:c r="M532" s="23" t="n">
        <x:v>1</x:v>
      </x:c>
      <x:c r="N532" s="28" t="n">
        <x:v>46205.60598539352</x:v>
      </x:c>
      <x:c r="O532" s="28" t="n">
        <x:v>46219.812988715275</x:v>
      </x:c>
      <x:c r="P532" s="23" t="str">
        <x:v>RIO VERDE</x:v>
      </x:c>
      <x:c r="Q532" s="30" t="n">
        <x:v>38331</x:v>
      </x:c>
      <x:c r="R532" s="22" t="str">
        <x:f>"7057213"</x:f>
        <x:v>7057213</x:v>
      </x:c>
      <x:c r="S532" s="23" t="str">
        <x:v>masculino</x:v>
      </x:c>
      <x:c r="T532" s="22" t="str">
        <x:f>"NWC1G17"</x:f>
        <x:v>NWC1G17</x:v>
      </x:c>
      <x:c r="U532" s="23" t="str">
        <x:v>ORIVALDO SEVERINO MACEDO</x:v>
      </x:c>
      <x:c r="V532" s="22" t="str">
        <x:f>"560.682.391-87"</x:f>
        <x:v>560.682.391-87</x:v>
      </x:c>
      <x:c r="W532" s="22" t="str">
        <x:f>"56068239187"</x:f>
        <x:v>56068239187</x:v>
      </x:c>
      <x:c r="X532" s="23" t="str">
        <x:v>eudesjrgyn@gmail.com</x:v>
      </x:c>
      <x:c r="Y532" s="22" t="str">
        <x:f>"62 9459-0040"</x:f>
        <x:v>62 9459-0040</x:v>
      </x:c>
      <x:c r="Z532" s="30" t="n">
        <x:v>46338</x:v>
      </x:c>
    </x:row>
    <x:row r="533" ht="18" customHeight="1">
      <x:c r="A533" s="22" t="str">
        <x:f>"59988ca7-f2f6-47cf-8842-fe27fb4de964"</x:f>
        <x:v>59988ca7-f2f6-47cf-8842-fe27fb4de964</x:v>
      </x:c>
      <x:c r="B533" s="23" t="str">
        <x:v>CARLOS HENRIQUE ARANTES ROCHA</x:v>
      </x:c>
      <x:c r="C533" s="23" t="str">
        <x:v>carlos henrique arantes rocha</x:v>
      </x:c>
      <x:c r="D533" s="22" t="str">
        <x:f>"63.156.126/0001-70"</x:f>
        <x:v>63.156.126/0001-70</x:v>
      </x:c>
      <x:c r="E533" s="22" t="str">
        <x:f>"63156126000170"</x:f>
        <x:v>63156126000170</x:v>
      </x:c>
      <x:c r="F533" s="22" t="str">
        <x:f>"705.932.271-07"</x:f>
        <x:v>705.932.271-07</x:v>
      </x:c>
      <x:c r="G533" s="22" t="str">
        <x:f>"70593227107"</x:f>
        <x:v>70593227107</x:v>
      </x:c>
      <x:c r="H533" s="23" t="str">
        <x:v>carloshenriquearantes40@gmail.com</x:v>
      </x:c>
      <x:c r="I533" s="22" t="str">
        <x:f>"64 9929-2090"</x:f>
        <x:v>64 9929-2090</x:v>
      </x:c>
      <x:c r="J533" s="23" t="str">
        <x:v>SPOT</x:v>
      </x:c>
      <x:c r="K533" s="23" t="str">
        <x:v>favored_only</x:v>
      </x:c>
      <x:c r="L533" s="24" t="b">
        <x:v>1</x:v>
      </x:c>
      <x:c r="M533" s="23" t="n">
        <x:v>1</x:v>
      </x:c>
      <x:c r="N533" s="28" t="n">
        <x:v>46205.605166712965</x:v>
      </x:c>
      <x:c r="O533" s="28" t="n">
        <x:v>46219.812988715275</x:v>
      </x:c>
      <x:c r="P533" s="23" t="str">
        <x:v>RIO VERDE</x:v>
      </x:c>
      <x:c r="Q533" s="30" t="n">
        <x:v>37924</x:v>
      </x:c>
      <x:c r="R533" s="22" t="str">
        <x:f>"705213"</x:f>
        <x:v>705213</x:v>
      </x:c>
      <x:c r="S533" s="23" t="str">
        <x:v>masculino</x:v>
      </x:c>
      <x:c r="T533" s="22" t="str">
        <x:f>"GWK5H79"</x:f>
        <x:v>GWK5H79</x:v>
      </x:c>
      <x:c r="U533" s="23" t="str">
        <x:v>EUDES JESUS RAMOS JUNIOR</x:v>
      </x:c>
      <x:c r="V533" s="22" t="str">
        <x:f>"701.244.591-29"</x:f>
        <x:v>701.244.591-29</x:v>
      </x:c>
      <x:c r="W533" s="22" t="str">
        <x:f>"70124459129"</x:f>
        <x:v>70124459129</x:v>
      </x:c>
      <x:c r="X533" s="23" t="str">
        <x:v>eudesjrgyn@gmail.com</x:v>
      </x:c>
      <x:c r="Y533" s="22" t="str">
        <x:f>"62 9459-0040"</x:f>
        <x:v>62 9459-0040</x:v>
      </x:c>
      <x:c r="Z533" s="30" t="n">
        <x:v>46312</x:v>
      </x:c>
    </x:row>
    <x:row r="534" ht="18" customHeight="1">
      <x:c r="A534" s="22" t="str">
        <x:f>"d19e8dd8-cd13-4587-902d-53233263a783"</x:f>
        <x:v>d19e8dd8-cd13-4587-902d-53233263a783</x:v>
      </x:c>
      <x:c r="B534" s="23" t="str">
        <x:v>CARLOS HENRIQUE DA SILVA DIAS</x:v>
      </x:c>
      <x:c r="C534" s="23" t="str">
        <x:v>carlos henrique da silva dias</x:v>
      </x:c>
      <x:c r="D534" s="22" t="str">
        <x:f>"40.245.001/0001-10"</x:f>
        <x:v>40.245.001/0001-10</x:v>
      </x:c>
      <x:c r="E534" s="22" t="str">
        <x:f>"40245001000110"</x:f>
        <x:v>40245001000110</x:v>
      </x:c>
      <x:c r="F534" s="22" t="str">
        <x:f>"128.314.746-71"</x:f>
        <x:v>128.314.746-71</x:v>
      </x:c>
      <x:c r="G534" s="22" t="str">
        <x:f>"12831474671"</x:f>
        <x:v>12831474671</x:v>
      </x:c>
      <x:c r="H534" s="23" t="str">
        <x:v>carloshsd123123@gmail.com</x:v>
      </x:c>
      <x:c r="I534" s="22" t="str">
        <x:f>"31997215066"</x:f>
        <x:v>31997215066</x:v>
      </x:c>
      <x:c r="J534" s="23" t="str">
        <x:v>SPOT</x:v>
      </x:c>
      <x:c r="K534" s="23" t="str">
        <x:v>favored_only</x:v>
      </x:c>
      <x:c r="L534" s="24" t="b">
        <x:v>1</x:v>
      </x:c>
      <x:c r="M534" s="23" t="n">
        <x:v>1</x:v>
      </x:c>
      <x:c r="N534" s="28" t="n">
        <x:v>46203.921904421295</x:v>
      </x:c>
      <x:c r="O534" s="28" t="n">
        <x:v>46219.812988715275</x:v>
      </x:c>
      <x:c r="P534" s="23" t="str">
        <x:v>CONTAGEM</x:v>
      </x:c>
      <x:c r="Q534" s="30" t="n">
        <x:v>35145</x:v>
      </x:c>
      <x:c r="R534" s="22" t="str">
        <x:f>"MG19055547"</x:f>
        <x:v>MG19055547</x:v>
      </x:c>
      <x:c r="S534" s="23" t="str">
        <x:v>masculino</x:v>
      </x:c>
      <x:c r="T534" s="22" t="str"/>
      <x:c r="U534" s="23" t="str">
        <x:v>CARLOS HENRIQUE DA SILVA DIAS</x:v>
      </x:c>
      <x:c r="V534" s="22" t="str">
        <x:f>"128.314.746-71"</x:f>
        <x:v>128.314.746-71</x:v>
      </x:c>
      <x:c r="W534" s="22" t="str">
        <x:f>"12831474671"</x:f>
        <x:v>12831474671</x:v>
      </x:c>
      <x:c r="X534" s="23" t="str">
        <x:v>carloshsd123123@gmail.com</x:v>
      </x:c>
      <x:c r="Y534" s="22" t="str">
        <x:f>"31997215066"</x:f>
        <x:v>31997215066</x:v>
      </x:c>
      <x:c r="Z534" s="30" t="n">
        <x:v>46375</x:v>
      </x:c>
    </x:row>
    <x:row r="535" ht="18" customHeight="1">
      <x:c r="A535" s="22" t="str">
        <x:f>"5a7d75ac-3bae-4be2-8323-9e084fff0c0e"</x:f>
        <x:v>5a7d75ac-3bae-4be2-8323-9e084fff0c0e</x:v>
      </x:c>
      <x:c r="B535" s="23" t="str">
        <x:v>CARLOS HENRIQUE DO NASCIMENTO ALECRIM</x:v>
      </x:c>
      <x:c r="C535" s="23" t="str">
        <x:v>carlos henrique do nascimento alecrim</x:v>
      </x:c>
      <x:c r="D535" s="22" t="str">
        <x:f>"60.246.520/0001-00"</x:f>
        <x:v>60.246.520/0001-00</x:v>
      </x:c>
      <x:c r="E535" s="22" t="str">
        <x:f>"60246520000100"</x:f>
        <x:v>60246520000100</x:v>
      </x:c>
      <x:c r="F535" s="22" t="str">
        <x:f>"144.389.446-00"</x:f>
        <x:v>144.389.446-00</x:v>
      </x:c>
      <x:c r="G535" s="22" t="str">
        <x:f>"14438944600"</x:f>
        <x:v>14438944600</x:v>
      </x:c>
      <x:c r="H535" s="23" t="str">
        <x:v>carloshenriquee2747@gmail.com</x:v>
      </x:c>
      <x:c r="I535" s="22" t="str">
        <x:f>"(33) 984314289"</x:f>
        <x:v>(33) 984314289</x:v>
      </x:c>
      <x:c r="J535" s="23" t="str">
        <x:v>RENTAL</x:v>
      </x:c>
      <x:c r="K535" s="23" t="str">
        <x:v>rental_company</x:v>
      </x:c>
      <x:c r="L535" s="24" t="b">
        <x:v>1</x:v>
      </x:c>
      <x:c r="M535" s="23" t="n">
        <x:v>1</x:v>
      </x:c>
      <x:c r="N535" s="28" t="n">
        <x:v>46219.812988715275</x:v>
      </x:c>
      <x:c r="O535" s="28" t="n">
        <x:v>46219.812988715275</x:v>
      </x:c>
      <x:c r="P535" s="23" t="str">
        <x:v>TEOFILO OTONI</x:v>
      </x:c>
      <x:c r="Q535" s="30" t="n">
        <x:v>38551</x:v>
      </x:c>
      <x:c r="R535" s="22" t="str">
        <x:f>"20891828"</x:f>
        <x:v>20891828</x:v>
      </x:c>
      <x:c r="S535" s="23" t="str">
        <x:v>masculino</x:v>
      </x:c>
      <x:c r="T535" s="22" t="str"/>
      <x:c r="U535" s="23" t="str">
        <x:v>CARLOS HENRIQUE DO NASCIMENTO ALECRIM</x:v>
      </x:c>
      <x:c r="V535" s="22" t="str">
        <x:f>"144.389.446-00"</x:f>
        <x:v>144.389.446-00</x:v>
      </x:c>
      <x:c r="W535" s="22" t="str">
        <x:f>"14438944600"</x:f>
        <x:v>14438944600</x:v>
      </x:c>
      <x:c r="X535" s="23" t="str">
        <x:v>carloshenriquee2747@gmail.com</x:v>
      </x:c>
      <x:c r="Y535" s="22" t="str">
        <x:f>"(33) 984314289"</x:f>
        <x:v>(33) 984314289</x:v>
      </x:c>
      <x:c r="Z535" s="30" t="n">
        <x:v>46541</x:v>
      </x:c>
    </x:row>
    <x:row r="536" ht="18" customHeight="1">
      <x:c r="A536" s="22" t="str">
        <x:f>"632fd5d9-bed7-43ae-9356-6f72e58b6e05"</x:f>
        <x:v>632fd5d9-bed7-43ae-9356-6f72e58b6e05</x:v>
      </x:c>
      <x:c r="B536" s="23" t="str">
        <x:v>CARLOS HENRIQUE DOS SANTOS ARAUJO</x:v>
      </x:c>
      <x:c r="C536" s="23" t="str">
        <x:v>carlos henrique dos santos araujo</x:v>
      </x:c>
      <x:c r="D536" s="22" t="str">
        <x:f>"52.524.243/0001-22"</x:f>
        <x:v>52.524.243/0001-22</x:v>
      </x:c>
      <x:c r="E536" s="22" t="str">
        <x:f>"52524243000122"</x:f>
        <x:v>52524243000122</x:v>
      </x:c>
      <x:c r="F536" s="22" t="str">
        <x:f>"185.844.647-35"</x:f>
        <x:v>185.844.647-35</x:v>
      </x:c>
      <x:c r="G536" s="22" t="str">
        <x:f>"18584464735"</x:f>
        <x:v>18584464735</x:v>
      </x:c>
      <x:c r="H536" s="23" t="str">
        <x:v>ch.shalom12@gmail.com</x:v>
      </x:c>
      <x:c r="I536" s="22" t="str">
        <x:f>"31992225291"</x:f>
        <x:v>31992225291</x:v>
      </x:c>
      <x:c r="J536" s="23" t="str">
        <x:v>SPOT</x:v>
      </x:c>
      <x:c r="K536" s="23" t="str">
        <x:v>favored_only</x:v>
      </x:c>
      <x:c r="L536" s="24" t="b">
        <x:v>1</x:v>
      </x:c>
      <x:c r="M536" s="23" t="n">
        <x:v>1</x:v>
      </x:c>
      <x:c r="N536" s="28" t="n">
        <x:v>46219.812988715275</x:v>
      </x:c>
      <x:c r="O536" s="28" t="n">
        <x:v>46219.812988715275</x:v>
      </x:c>
      <x:c r="P536" s="23" t="str">
        <x:v>NOVA LIMA</x:v>
      </x:c>
      <x:c r="Q536" s="30" t="n">
        <x:v>36017</x:v>
      </x:c>
      <x:c r="R536" s="22" t="str">
        <x:f>"313484842"</x:f>
        <x:v>313484842</x:v>
      </x:c>
      <x:c r="S536" s="23" t="str">
        <x:v>masculino</x:v>
      </x:c>
      <x:c r="T536" s="22" t="str">
        <x:f>"KQW4I76"</x:f>
        <x:v>KQW4I76</x:v>
      </x:c>
      <x:c r="U536" s="23" t="str">
        <x:v>CARLOS HENRIQUE DOS SANTOS ARAUJO</x:v>
      </x:c>
      <x:c r="V536" s="22" t="str">
        <x:f>"185.844.647-35"</x:f>
        <x:v>185.844.647-35</x:v>
      </x:c>
      <x:c r="W536" s="22" t="str">
        <x:f>"18584464735"</x:f>
        <x:v>18584464735</x:v>
      </x:c>
      <x:c r="X536" s="23" t="str">
        <x:v>ch.shalom12@gmail.com</x:v>
      </x:c>
      <x:c r="Y536" s="22" t="str">
        <x:f>"31992225291"</x:f>
        <x:v>31992225291</x:v>
      </x:c>
      <x:c r="Z536" s="30" t="n">
        <x:v>46430</x:v>
      </x:c>
    </x:row>
    <x:row r="537" ht="18" customHeight="1">
      <x:c r="A537" s="22" t="str">
        <x:f>"45e65b33-6e17-4b12-b5c6-a74a9994bed9"</x:f>
        <x:v>45e65b33-6e17-4b12-b5c6-a74a9994bed9</x:v>
      </x:c>
      <x:c r="B537" s="23" t="str">
        <x:v>Carlos Henrique Figueiredo  NOME:  dos Santos</x:v>
      </x:c>
      <x:c r="C537" s="23" t="str">
        <x:v>carlos henrique figueiredo nome dos santos</x:v>
      </x:c>
      <x:c r="D537" s="22" t="str">
        <x:f>"54.517.423/0001-02"</x:f>
        <x:v>54.517.423/0001-02</x:v>
      </x:c>
      <x:c r="E537" s="22" t="str">
        <x:f>"54517423000102"</x:f>
        <x:v>54517423000102</x:v>
      </x:c>
      <x:c r="F537" s="22" t="str">
        <x:f>"06325717139"</x:f>
        <x:v>06325717139</x:v>
      </x:c>
      <x:c r="G537" s="22" t="str">
        <x:f>"06325717139"</x:f>
        <x:v>06325717139</x:v>
      </x:c>
      <x:c r="H537" s="23" t="str">
        <x:v>Carlogy35@gmail.com</x:v>
      </x:c>
      <x:c r="I537" s="22" t="str">
        <x:f>"65 981368380"</x:f>
        <x:v>65 981368380</x:v>
      </x:c>
      <x:c r="J537" s="23" t="str">
        <x:v>SPOT</x:v>
      </x:c>
      <x:c r="K537" s="23" t="str">
        <x:v>favored_only</x:v>
      </x:c>
      <x:c r="L537" s="24" t="b">
        <x:v>1</x:v>
      </x:c>
      <x:c r="M537" s="23" t="n">
        <x:v>1</x:v>
      </x:c>
      <x:c r="N537" s="28" t="n">
        <x:v>46203.9219084375</x:v>
      </x:c>
      <x:c r="O537" s="28" t="n">
        <x:v>46203.9219084375</x:v>
      </x:c>
      <x:c r="P537" s="23" t="str"/>
      <x:c r="Q537" s="30" t="str"/>
      <x:c r="R537" s="22" t="str"/>
      <x:c r="S537" s="23" t="str"/>
      <x:c r="T537" s="22" t="str"/>
      <x:c r="U537" s="23" t="str">
        <x:v>Carlos Henrique Figueiredo  NOME:  dos Santos</x:v>
      </x:c>
      <x:c r="V537" s="22" t="str">
        <x:f>"06325717139"</x:f>
        <x:v>06325717139</x:v>
      </x:c>
      <x:c r="W537" s="22" t="str">
        <x:f>"06325717139"</x:f>
        <x:v>06325717139</x:v>
      </x:c>
      <x:c r="X537" s="23" t="str">
        <x:v>Carlogy35@gmail.com</x:v>
      </x:c>
      <x:c r="Y537" s="22" t="str">
        <x:f>"65 981368380"</x:f>
        <x:v>65 981368380</x:v>
      </x:c>
      <x:c r="Z537" s="30" t="str"/>
    </x:row>
    <x:row r="538" ht="18" customHeight="1">
      <x:c r="A538" s="22" t="str">
        <x:f>"39a0cc29-f3b5-45c8-ab5f-cc189e7fd307"</x:f>
        <x:v>39a0cc29-f3b5-45c8-ab5f-cc189e7fd307</x:v>
      </x:c>
      <x:c r="B538" s="23" t="str">
        <x:v>CARLOS HENRIQUE FREITAS DA SILVA</x:v>
      </x:c>
      <x:c r="C538" s="23" t="str">
        <x:v>carlos henrique freitas da silva</x:v>
      </x:c>
      <x:c r="D538" s="22" t="str">
        <x:f>"60.600.713/0001-18"</x:f>
        <x:v>60.600.713/0001-18</x:v>
      </x:c>
      <x:c r="E538" s="22" t="str">
        <x:f>"60600713000118"</x:f>
        <x:v>60600713000118</x:v>
      </x:c>
      <x:c r="F538" s="22" t="str">
        <x:f>"702.293.082-10"</x:f>
        <x:v>702.293.082-10</x:v>
      </x:c>
      <x:c r="G538" s="22" t="str">
        <x:f>"70229308210"</x:f>
        <x:v>70229308210</x:v>
      </x:c>
      <x:c r="H538" s="23" t="str">
        <x:v>Carlosfreitas.mercadolivre@gmail.com</x:v>
      </x:c>
      <x:c r="I538" s="22" t="str">
        <x:f>"62992590410"</x:f>
        <x:v>62992590410</x:v>
      </x:c>
      <x:c r="J538" s="23" t="str">
        <x:v>SPOT</x:v>
      </x:c>
      <x:c r="K538" s="23" t="str">
        <x:v>favored_only</x:v>
      </x:c>
      <x:c r="L538" s="24" t="b">
        <x:v>1</x:v>
      </x:c>
      <x:c r="M538" s="23" t="n">
        <x:v>1</x:v>
      </x:c>
      <x:c r="N538" s="28" t="n">
        <x:v>46219.812988715275</x:v>
      </x:c>
      <x:c r="O538" s="28" t="n">
        <x:v>46219.812988715275</x:v>
      </x:c>
      <x:c r="P538" s="23" t="str">
        <x:v>GOIANIA</x:v>
      </x:c>
      <x:c r="Q538" s="30" t="n">
        <x:v>37151</x:v>
      </x:c>
      <x:c r="R538" s="22" t="str">
        <x:f>"534202220146"</x:f>
        <x:v>534202220146</x:v>
      </x:c>
      <x:c r="S538" s="23" t="str">
        <x:v>masculino</x:v>
      </x:c>
      <x:c r="T538" s="22" t="str">
        <x:f>"RCN6E65"</x:f>
        <x:v>RCN6E65</x:v>
      </x:c>
      <x:c r="U538" s="23" t="str">
        <x:v>CARLOS HENRIQUE FREITAS DA SILVA</x:v>
      </x:c>
      <x:c r="V538" s="22" t="str">
        <x:f>"702.293.082-10"</x:f>
        <x:v>702.293.082-10</x:v>
      </x:c>
      <x:c r="W538" s="22" t="str">
        <x:f>"70229308210"</x:f>
        <x:v>70229308210</x:v>
      </x:c>
      <x:c r="X538" s="23" t="str">
        <x:v>Carlosfreitas.mercadolivre@gmail.com</x:v>
      </x:c>
      <x:c r="Y538" s="22" t="str">
        <x:f>"62992590410"</x:f>
        <x:v>62992590410</x:v>
      </x:c>
      <x:c r="Z538" s="30" t="n">
        <x:v>46550</x:v>
      </x:c>
    </x:row>
    <x:row r="539" ht="18" customHeight="1">
      <x:c r="A539" s="22" t="str">
        <x:f>"cecd0cde-3112-4941-936b-73ee4bdaa64c"</x:f>
        <x:v>cecd0cde-3112-4941-936b-73ee4bdaa64c</x:v>
      </x:c>
      <x:c r="B539" s="23" t="str">
        <x:v>CARLOS HENRIQUE LEMES CHAVES</x:v>
      </x:c>
      <x:c r="C539" s="23" t="str">
        <x:v>carlos henrique lemes chaves</x:v>
      </x:c>
      <x:c r="D539" s="22" t="str">
        <x:f>"50.010.756/0001-90"</x:f>
        <x:v>50.010.756/0001-90</x:v>
      </x:c>
      <x:c r="E539" s="22" t="str">
        <x:f>"50010756000190"</x:f>
        <x:v>50010756000190</x:v>
      </x:c>
      <x:c r="F539" s="22" t="str">
        <x:f>"701.225.736-92"</x:f>
        <x:v>701.225.736-92</x:v>
      </x:c>
      <x:c r="G539" s="22" t="str">
        <x:f>"70122573692"</x:f>
        <x:v>70122573692</x:v>
      </x:c>
      <x:c r="H539" s="23" t="str">
        <x:v>ricklemes@icloud.com</x:v>
      </x:c>
      <x:c r="I539" s="22" t="str">
        <x:f>"33987080880"</x:f>
        <x:v>33987080880</x:v>
      </x:c>
      <x:c r="J539" s="23" t="str">
        <x:v>SPOT</x:v>
      </x:c>
      <x:c r="K539" s="23" t="str">
        <x:v>favored_only</x:v>
      </x:c>
      <x:c r="L539" s="24" t="b">
        <x:v>1</x:v>
      </x:c>
      <x:c r="M539" s="23" t="n">
        <x:v>1</x:v>
      </x:c>
      <x:c r="N539" s="28" t="n">
        <x:v>46205.60487849537</x:v>
      </x:c>
      <x:c r="O539" s="28" t="n">
        <x:v>46219.812988715275</x:v>
      </x:c>
      <x:c r="P539" s="23" t="str">
        <x:v>TEOFILO OTONI</x:v>
      </x:c>
      <x:c r="Q539" s="30" t="n">
        <x:v>38127</x:v>
      </x:c>
      <x:c r="R539" s="22" t="str">
        <x:f>"22984198"</x:f>
        <x:v>22984198</x:v>
      </x:c>
      <x:c r="S539" s="23" t="str">
        <x:v>masculino</x:v>
      </x:c>
      <x:c r="T539" s="22" t="str">
        <x:f>"EQM2E18"</x:f>
        <x:v>EQM2E18</x:v>
      </x:c>
      <x:c r="U539" s="23" t="str">
        <x:v>ELIZABETE FERNANDES DOS SANTOS LEMOS</x:v>
      </x:c>
      <x:c r="V539" s="22" t="str">
        <x:f>"976.131.426-04"</x:f>
        <x:v>976.131.426-04</x:v>
      </x:c>
      <x:c r="W539" s="22" t="str">
        <x:f>"97613142604"</x:f>
        <x:v>97613142604</x:v>
      </x:c>
      <x:c r="X539" s="23" t="str">
        <x:v>ricklemes@icloud.com</x:v>
      </x:c>
      <x:c r="Y539" s="22" t="str">
        <x:f>"33987080880"</x:f>
        <x:v>33987080880</x:v>
      </x:c>
      <x:c r="Z539" s="30" t="n">
        <x:v>46301</x:v>
      </x:c>
    </x:row>
    <x:row r="540" ht="18" customHeight="1">
      <x:c r="A540" s="22" t="str">
        <x:f>"8679662e-967b-406c-80ec-28cb8eaf3ca1"</x:f>
        <x:v>8679662e-967b-406c-80ec-28cb8eaf3ca1</x:v>
      </x:c>
      <x:c r="B540" s="23" t="str">
        <x:v>CARLOS HENRIQUE LIMA NASCIMENTO</x:v>
      </x:c>
      <x:c r="C540" s="23" t="str">
        <x:v>carlos henrique lima nascimento</x:v>
      </x:c>
      <x:c r="D540" s="22" t="str">
        <x:f>"55.527.966/0001-73"</x:f>
        <x:v>55.527.966/0001-73</x:v>
      </x:c>
      <x:c r="E540" s="22" t="str">
        <x:f>"55527966000173"</x:f>
        <x:v>55527966000173</x:v>
      </x:c>
      <x:c r="F540" s="22" t="str">
        <x:f>"145.733.357-06"</x:f>
        <x:v>145.733.357-06</x:v>
      </x:c>
      <x:c r="G540" s="22" t="str">
        <x:f>"14573335706"</x:f>
        <x:v>14573335706</x:v>
      </x:c>
      <x:c r="H540" s="23" t="str">
        <x:v>chlimarj@gmail.com</x:v>
      </x:c>
      <x:c r="I540" s="22" t="str">
        <x:f>"21997814427"</x:f>
        <x:v>21997814427</x:v>
      </x:c>
      <x:c r="J540" s="23" t="str">
        <x:v>SPOT</x:v>
      </x:c>
      <x:c r="K540" s="23" t="str">
        <x:v>favored_only</x:v>
      </x:c>
      <x:c r="L540" s="24" t="b">
        <x:v>1</x:v>
      </x:c>
      <x:c r="M540" s="23" t="n">
        <x:v>1</x:v>
      </x:c>
      <x:c r="N540" s="28" t="n">
        <x:v>46203.92189349537</x:v>
      </x:c>
      <x:c r="O540" s="28" t="n">
        <x:v>46219.812988715275</x:v>
      </x:c>
      <x:c r="P540" s="23" t="str">
        <x:v>CORDOVIL</x:v>
      </x:c>
      <x:c r="Q540" s="30" t="n">
        <x:v>34032</x:v>
      </x:c>
      <x:c r="R540" s="22" t="str">
        <x:f>"231063653"</x:f>
        <x:v>231063653</x:v>
      </x:c>
      <x:c r="S540" s="23" t="str">
        <x:v>masculino</x:v>
      </x:c>
      <x:c r="T540" s="22" t="str">
        <x:f>"LTL6D88"</x:f>
        <x:v>LTL6D88</x:v>
      </x:c>
      <x:c r="U540" s="23" t="str">
        <x:v>CARLOS HENRIQUE LIMA NASCIMENTO</x:v>
      </x:c>
      <x:c r="V540" s="22" t="str">
        <x:f>"145.733.357-06"</x:f>
        <x:v>145.733.357-06</x:v>
      </x:c>
      <x:c r="W540" s="22" t="str">
        <x:f>"14573335706"</x:f>
        <x:v>14573335706</x:v>
      </x:c>
      <x:c r="X540" s="23" t="str">
        <x:v>chlimarj@gmail.com</x:v>
      </x:c>
      <x:c r="Y540" s="22" t="str">
        <x:f>"21997814427"</x:f>
        <x:v>21997814427</x:v>
      </x:c>
      <x:c r="Z540" s="30" t="n">
        <x:v>46344</x:v>
      </x:c>
    </x:row>
    <x:row r="541" ht="18" customHeight="1">
      <x:c r="A541" s="22" t="str">
        <x:f>"e2f8a1c8-9ab3-4083-956c-ecb17198dc62"</x:f>
        <x:v>e2f8a1c8-9ab3-4083-956c-ecb17198dc62</x:v>
      </x:c>
      <x:c r="B541" s="23" t="str">
        <x:v>CARLOS HUMBERTO DA COSTA</x:v>
      </x:c>
      <x:c r="C541" s="23" t="str">
        <x:v>carlos humberto da costa</x:v>
      </x:c>
      <x:c r="D541" s="22" t="str">
        <x:f>"0"</x:f>
        <x:v>0</x:v>
      </x:c>
      <x:c r="E541" s="22" t="str">
        <x:f>"0"</x:f>
        <x:v>0</x:v>
      </x:c>
      <x:c r="F541" s="22" t="str">
        <x:f>"889.098.326-49"</x:f>
        <x:v>889.098.326-49</x:v>
      </x:c>
      <x:c r="G541" s="22" t="str">
        <x:f>"88909832649"</x:f>
        <x:v>88909832649</x:v>
      </x:c>
      <x:c r="H541" s="23" t="str">
        <x:v>carloshumbertodacosta900@gmail.com</x:v>
      </x:c>
      <x:c r="I541" s="22" t="str">
        <x:f>"34992743787"</x:f>
        <x:v>34992743787</x:v>
      </x:c>
      <x:c r="J541" s="23" t="str">
        <x:v>DESCONHECIDO</x:v>
      </x:c>
      <x:c r="K541" s="23" t="str">
        <x:v>favored_only</x:v>
      </x:c>
      <x:c r="L541" s="24" t="b">
        <x:v>1</x:v>
      </x:c>
      <x:c r="M541" s="23" t="n">
        <x:v>1</x:v>
      </x:c>
      <x:c r="N541" s="28" t="n">
        <x:v>46203.92183017361</x:v>
      </x:c>
      <x:c r="O541" s="28" t="n">
        <x:v>46219.812988715275</x:v>
      </x:c>
      <x:c r="P541" s="23" t="str">
        <x:v>ARAXÁ</x:v>
      </x:c>
      <x:c r="Q541" s="30" t="str"/>
      <x:c r="R541" s="22" t="str">
        <x:f>"6580213"</x:f>
        <x:v>6580213</x:v>
      </x:c>
      <x:c r="S541" s="23" t="str">
        <x:v>masculino</x:v>
      </x:c>
      <x:c r="T541" s="22" t="str">
        <x:f>"ONO5449"</x:f>
        <x:v>ONO5449</x:v>
      </x:c>
      <x:c r="U541" s="23" t="str">
        <x:v>CARLOS HUMBERTO DA COSTA</x:v>
      </x:c>
      <x:c r="V541" s="22" t="str">
        <x:f>"889.098.326-49"</x:f>
        <x:v>889.098.326-49</x:v>
      </x:c>
      <x:c r="W541" s="22" t="str">
        <x:f>"88909832649"</x:f>
        <x:v>88909832649</x:v>
      </x:c>
      <x:c r="X541" s="23" t="str">
        <x:v>carloshumbertodacosta900@gmail.com</x:v>
      </x:c>
      <x:c r="Y541" s="22" t="str">
        <x:f>"34992743787"</x:f>
        <x:v>34992743787</x:v>
      </x:c>
      <x:c r="Z541" s="30" t="n">
        <x:v>46584</x:v>
      </x:c>
    </x:row>
    <x:row r="542" ht="18" customHeight="1">
      <x:c r="A542" s="22" t="str">
        <x:f>"502acb05-15e6-4985-87e9-92d75df8d089"</x:f>
        <x:v>502acb05-15e6-4985-87e9-92d75df8d089</x:v>
      </x:c>
      <x:c r="B542" s="23" t="str">
        <x:v>CARLOS JOSE DOS SANTOS NETO</x:v>
      </x:c>
      <x:c r="C542" s="23" t="str">
        <x:v>carlos jose dos santos neto</x:v>
      </x:c>
      <x:c r="D542" s="22" t="str">
        <x:f>"64.152.097/0001-30"</x:f>
        <x:v>64.152.097/0001-30</x:v>
      </x:c>
      <x:c r="E542" s="22" t="str">
        <x:f>"64152097000130"</x:f>
        <x:v>64152097000130</x:v>
      </x:c>
      <x:c r="F542" s="22" t="str">
        <x:f>"441.032.938-37"</x:f>
        <x:v>441.032.938-37</x:v>
      </x:c>
      <x:c r="G542" s="22" t="str">
        <x:f>"44103293837"</x:f>
        <x:v>44103293837</x:v>
      </x:c>
      <x:c r="H542" s="23" t="str">
        <x:v>carlosjosedossantosneton@gmail.com</x:v>
      </x:c>
      <x:c r="I542" s="22" t="str">
        <x:f>"18 99775-8341"</x:f>
        <x:v>18 99775-8341</x:v>
      </x:c>
      <x:c r="J542" s="23" t="str">
        <x:v>RENTAL</x:v>
      </x:c>
      <x:c r="K542" s="23" t="str">
        <x:v>rental_company</x:v>
      </x:c>
      <x:c r="L542" s="24" t="b">
        <x:v>1</x:v>
      </x:c>
      <x:c r="M542" s="23" t="n">
        <x:v>1</x:v>
      </x:c>
      <x:c r="N542" s="28" t="n">
        <x:v>46203.9219084375</x:v>
      </x:c>
      <x:c r="O542" s="28" t="n">
        <x:v>46219.812988715275</x:v>
      </x:c>
      <x:c r="P542" s="23" t="str">
        <x:v>PRESIDENTE PRUDENTE</x:v>
      </x:c>
      <x:c r="Q542" s="30" t="n">
        <x:v>38619</x:v>
      </x:c>
      <x:c r="R542" s="22" t="str">
        <x:f>"59796595X"</x:f>
        <x:v>59796595X</x:v>
      </x:c>
      <x:c r="S542" s="23" t="str">
        <x:v>masculino</x:v>
      </x:c>
      <x:c r="T542" s="22" t="str"/>
      <x:c r="U542" s="23" t="str">
        <x:v>CARLOS JOSE DOS SANTOS NETO</x:v>
      </x:c>
      <x:c r="V542" s="22" t="str">
        <x:f>"441.032.938-37"</x:f>
        <x:v>441.032.938-37</x:v>
      </x:c>
      <x:c r="W542" s="22" t="str">
        <x:f>"44103293837"</x:f>
        <x:v>44103293837</x:v>
      </x:c>
      <x:c r="X542" s="23" t="str">
        <x:v>carlosjosedossantosneton@gmail.com</x:v>
      </x:c>
      <x:c r="Y542" s="22" t="str">
        <x:f>"18 99775-8341"</x:f>
        <x:v>18 99775-8341</x:v>
      </x:c>
      <x:c r="Z542" s="30" t="n">
        <x:v>46379</x:v>
      </x:c>
    </x:row>
    <x:row r="543" ht="18" customHeight="1">
      <x:c r="A543" s="22" t="str">
        <x:f>"7868c9a1-9a47-422a-9032-c4d0fbf44659"</x:f>
        <x:v>7868c9a1-9a47-422a-9032-c4d0fbf44659</x:v>
      </x:c>
      <x:c r="B543" s="23" t="str">
        <x:v>CARLOS RAFAEL BARBOSA</x:v>
      </x:c>
      <x:c r="C543" s="23" t="str">
        <x:v>carlos rafael barbosa</x:v>
      </x:c>
      <x:c r="D543" s="22" t="str">
        <x:f>"58.809.885/0001-54"</x:f>
        <x:v>58.809.885/0001-54</x:v>
      </x:c>
      <x:c r="E543" s="22" t="str">
        <x:f>"58809885000154"</x:f>
        <x:v>58809885000154</x:v>
      </x:c>
      <x:c r="F543" s="22" t="str">
        <x:f>"069.676.216-10"</x:f>
        <x:v>069.676.216-10</x:v>
      </x:c>
      <x:c r="G543" s="22" t="str">
        <x:f>"06967621610"</x:f>
        <x:v>06967621610</x:v>
      </x:c>
      <x:c r="H543" s="23" t="str">
        <x:v>carlosrafaelccb@yahoo.com.br</x:v>
      </x:c>
      <x:c r="I543" s="22" t="str">
        <x:f>"34991744718"</x:f>
        <x:v>34991744718</x:v>
      </x:c>
      <x:c r="J543" s="23" t="str">
        <x:v>SPOT</x:v>
      </x:c>
      <x:c r="K543" s="23" t="str">
        <x:v>favored_only</x:v>
      </x:c>
      <x:c r="L543" s="24" t="b">
        <x:v>1</x:v>
      </x:c>
      <x:c r="M543" s="23" t="n">
        <x:v>1</x:v>
      </x:c>
      <x:c r="N543" s="28" t="n">
        <x:v>46203.921887453704</x:v>
      </x:c>
      <x:c r="O543" s="28" t="n">
        <x:v>46219.812988715275</x:v>
      </x:c>
      <x:c r="P543" s="23" t="str">
        <x:v>UBERABA</x:v>
      </x:c>
      <x:c r="Q543" s="30" t="n">
        <x:v>31039</x:v>
      </x:c>
      <x:c r="R543" s="22" t="str">
        <x:f>"14192015"</x:f>
        <x:v>14192015</x:v>
      </x:c>
      <x:c r="S543" s="23" t="str">
        <x:v>masculino</x:v>
      </x:c>
      <x:c r="T543" s="22" t="str">
        <x:f>"PUM7I72"</x:f>
        <x:v>PUM7I72</x:v>
      </x:c>
      <x:c r="U543" s="23" t="str">
        <x:v>CARLOS RAFAEL BARBOSA</x:v>
      </x:c>
      <x:c r="V543" s="22" t="str">
        <x:f>"069.676.216-10"</x:f>
        <x:v>069.676.216-10</x:v>
      </x:c>
      <x:c r="W543" s="22" t="str">
        <x:f>"06967621610"</x:f>
        <x:v>06967621610</x:v>
      </x:c>
      <x:c r="X543" s="23" t="str">
        <x:v>carlosrafaelccb@yahoo.com.br</x:v>
      </x:c>
      <x:c r="Y543" s="22" t="str">
        <x:f>"34991744718"</x:f>
        <x:v>34991744718</x:v>
      </x:c>
      <x:c r="Z543" s="30" t="n">
        <x:v>46325</x:v>
      </x:c>
    </x:row>
    <x:row r="544" ht="18" customHeight="1">
      <x:c r="A544" s="22" t="str">
        <x:f>"528f4276-74c7-4c08-8aa3-bf2a30667203"</x:f>
        <x:v>528f4276-74c7-4c08-8aa3-bf2a30667203</x:v>
      </x:c>
      <x:c r="B544" s="23" t="str">
        <x:v>CARLOS RAFAEL DE OLIVEIRA ANDRADE</x:v>
      </x:c>
      <x:c r="C544" s="23" t="str">
        <x:v>carlos rafael de oliveira andrade</x:v>
      </x:c>
      <x:c r="D544" s="22" t="str">
        <x:f>"60.112.488/0001-70"</x:f>
        <x:v>60.112.488/0001-70</x:v>
      </x:c>
      <x:c r="E544" s="22" t="str">
        <x:f>"60112488000170"</x:f>
        <x:v>60112488000170</x:v>
      </x:c>
      <x:c r="F544" s="22" t="str">
        <x:f>"442.304.458-73"</x:f>
        <x:v>442.304.458-73</x:v>
      </x:c>
      <x:c r="G544" s="22" t="str">
        <x:f>"44230445873"</x:f>
        <x:v>44230445873</x:v>
      </x:c>
      <x:c r="H544" s="23" t="str">
        <x:v>c.rafaelandrade.o@gmail.com</x:v>
      </x:c>
      <x:c r="I544" s="22" t="str">
        <x:f>"11 91289-8400"</x:f>
        <x:v>11 91289-8400</x:v>
      </x:c>
      <x:c r="J544" s="23" t="str">
        <x:v>RENTAL</x:v>
      </x:c>
      <x:c r="K544" s="23" t="str">
        <x:v>rental_company</x:v>
      </x:c>
      <x:c r="L544" s="24" t="b">
        <x:v>1</x:v>
      </x:c>
      <x:c r="M544" s="23" t="n">
        <x:v>2</x:v>
      </x:c>
      <x:c r="N544" s="28" t="n">
        <x:v>46203.921852962965</x:v>
      </x:c>
      <x:c r="O544" s="28" t="n">
        <x:v>46219.812988715275</x:v>
      </x:c>
      <x:c r="P544" s="23" t="str">
        <x:v>BARUERI</x:v>
      </x:c>
      <x:c r="Q544" s="30" t="n">
        <x:v>34346</x:v>
      </x:c>
      <x:c r="R544" s="22" t="str">
        <x:f>"496465776"</x:f>
        <x:v>496465776</x:v>
      </x:c>
      <x:c r="S544" s="23" t="str">
        <x:v>masculino</x:v>
      </x:c>
      <x:c r="T544" s="22" t="str"/>
      <x:c r="U544" s="23" t="str">
        <x:v>CARLOS RAFAEL DE OLIVEIRA ANDRADE</x:v>
      </x:c>
      <x:c r="V544" s="22" t="str">
        <x:f>"442.304.458-73"</x:f>
        <x:v>442.304.458-73</x:v>
      </x:c>
      <x:c r="W544" s="22" t="str">
        <x:f>"44230445873"</x:f>
        <x:v>44230445873</x:v>
      </x:c>
      <x:c r="X544" s="23" t="str">
        <x:v>c.rafaelandrade.o@gmail.com</x:v>
      </x:c>
      <x:c r="Y544" s="22" t="str">
        <x:f>"11 91289-8400"</x:f>
        <x:v>11 91289-8400</x:v>
      </x:c>
      <x:c r="Z544" s="30" t="n">
        <x:v>46252</x:v>
      </x:c>
    </x:row>
    <x:row r="545" ht="18" customHeight="1">
      <x:c r="A545" s="22" t="str">
        <x:f>"603a30ec-c7b3-476a-9deb-7cdc360c01eb"</x:f>
        <x:v>603a30ec-c7b3-476a-9deb-7cdc360c01eb</x:v>
      </x:c>
      <x:c r="B545" s="23" t="str">
        <x:v>CARLOS RENATO LEITE SIQUEIRA</x:v>
      </x:c>
      <x:c r="C545" s="23" t="str">
        <x:v>carlos renato leite siqueira</x:v>
      </x:c>
      <x:c r="D545" s="22" t="str">
        <x:f>"23.079.573/0001-58"</x:f>
        <x:v>23.079.573/0001-58</x:v>
      </x:c>
      <x:c r="E545" s="22" t="str">
        <x:f>"23079573000158"</x:f>
        <x:v>23079573000158</x:v>
      </x:c>
      <x:c r="F545" s="22" t="str">
        <x:f>"075.040.907-00"</x:f>
        <x:v>075.040.907-00</x:v>
      </x:c>
      <x:c r="G545" s="22" t="str">
        <x:f>"07504090700"</x:f>
        <x:v>07504090700</x:v>
      </x:c>
      <x:c r="H545" s="23" t="str">
        <x:v>carlosrenatoleite34@gmail.com</x:v>
      </x:c>
      <x:c r="I545" s="22" t="str">
        <x:f>"22 999140681"</x:f>
        <x:v>22 999140681</x:v>
      </x:c>
      <x:c r="J545" s="23" t="str">
        <x:v>SPOT</x:v>
      </x:c>
      <x:c r="K545" s="23" t="str">
        <x:v>favored_only</x:v>
      </x:c>
      <x:c r="L545" s="24" t="b">
        <x:v>1</x:v>
      </x:c>
      <x:c r="M545" s="23" t="n">
        <x:v>1</x:v>
      </x:c>
      <x:c r="N545" s="28" t="n">
        <x:v>46205.605423113426</x:v>
      </x:c>
      <x:c r="O545" s="28" t="n">
        <x:v>46219.812988715275</x:v>
      </x:c>
      <x:c r="P545" s="23" t="str">
        <x:v>CAMPOS DOS GOYTACAZES</x:v>
      </x:c>
      <x:c r="Q545" s="30" t="n">
        <x:v>28113</x:v>
      </x:c>
      <x:c r="R545" s="22" t="str">
        <x:f>"27819"</x:f>
        <x:v>27819</x:v>
      </x:c>
      <x:c r="S545" s="23" t="str">
        <x:v>masculino</x:v>
      </x:c>
      <x:c r="T545" s="22" t="str">
        <x:f>"LMC8017"</x:f>
        <x:v>LMC8017</x:v>
      </x:c>
      <x:c r="U545" s="23" t="str">
        <x:v>MAURICIO GOMES NASCIMENTO</x:v>
      </x:c>
      <x:c r="V545" s="22" t="str">
        <x:f>"091.916.257-69"</x:f>
        <x:v>091.916.257-69</x:v>
      </x:c>
      <x:c r="W545" s="22" t="str">
        <x:f>"09191625769"</x:f>
        <x:v>09191625769</x:v>
      </x:c>
      <x:c r="X545" s="23" t="str">
        <x:v>mauriciocargas@gmail.com</x:v>
      </x:c>
      <x:c r="Y545" s="22" t="str">
        <x:f>"22 999120978"</x:f>
        <x:v>22 999120978</x:v>
      </x:c>
      <x:c r="Z545" s="30" t="n">
        <x:v>46323</x:v>
      </x:c>
    </x:row>
    <x:row r="546" ht="18" customHeight="1">
      <x:c r="A546" s="22" t="str">
        <x:f>"574cc746-de52-496f-97b8-3c4da404c7f8"</x:f>
        <x:v>574cc746-de52-496f-97b8-3c4da404c7f8</x:v>
      </x:c>
      <x:c r="B546" s="23" t="str">
        <x:v>CARLOS ROBERTO DA MATA</x:v>
      </x:c>
      <x:c r="C546" s="23" t="str">
        <x:v>carlos roberto da mata</x:v>
      </x:c>
      <x:c r="D546" s="22" t="str">
        <x:f>"59.158.631/0001-86"</x:f>
        <x:v>59.158.631/0001-86</x:v>
      </x:c>
      <x:c r="E546" s="22" t="str">
        <x:f>"59158631000186"</x:f>
        <x:v>59158631000186</x:v>
      </x:c>
      <x:c r="F546" s="22" t="str">
        <x:f>"148.944.878-02"</x:f>
        <x:v>148.944.878-02</x:v>
      </x:c>
      <x:c r="G546" s="22" t="str">
        <x:f>"14894487802"</x:f>
        <x:v>14894487802</x:v>
      </x:c>
      <x:c r="H546" s="23" t="str">
        <x:v>carlosrobertto99@gmail.com</x:v>
      </x:c>
      <x:c r="I546" s="22" t="str">
        <x:f>"16 99378-1297"</x:f>
        <x:v>16 99378-1297</x:v>
      </x:c>
      <x:c r="J546" s="23" t="str">
        <x:v>SPOT</x:v>
      </x:c>
      <x:c r="K546" s="23" t="str">
        <x:v>favored_only</x:v>
      </x:c>
      <x:c r="L546" s="24" t="b">
        <x:v>1</x:v>
      </x:c>
      <x:c r="M546" s="23" t="n">
        <x:v>1</x:v>
      </x:c>
      <x:c r="N546" s="28" t="n">
        <x:v>46205.60578554398</x:v>
      </x:c>
      <x:c r="O546" s="28" t="n">
        <x:v>46219.812988715275</x:v>
      </x:c>
      <x:c r="P546" s="23" t="str">
        <x:v>RIBEIRAO PRETO</x:v>
      </x:c>
      <x:c r="Q546" s="30" t="n">
        <x:v>25805</x:v>
      </x:c>
      <x:c r="R546" s="22" t="str">
        <x:f>"24706596"</x:f>
        <x:v>24706596</x:v>
      </x:c>
      <x:c r="S546" s="23" t="str">
        <x:v>masculino</x:v>
      </x:c>
      <x:c r="T546" s="22" t="str">
        <x:f>"OQW8C07"</x:f>
        <x:v>OQW8C07</x:v>
      </x:c>
      <x:c r="U546" s="23" t="str">
        <x:v>DHIANEFER DOS REIS GOMES DA MATA</x:v>
      </x:c>
      <x:c r="V546" s="22" t="str">
        <x:f>"401.741.278-55"</x:f>
        <x:v>401.741.278-55</x:v>
      </x:c>
      <x:c r="W546" s="22" t="str">
        <x:f>"40174127855"</x:f>
        <x:v>40174127855</x:v>
      </x:c>
      <x:c r="X546" s="23" t="str">
        <x:v>Marcearessuto20@gmail.com</x:v>
      </x:c>
      <x:c r="Y546" s="22" t="str">
        <x:f>"16 99378-1297"</x:f>
        <x:v>16 99378-1297</x:v>
      </x:c>
      <x:c r="Z546" s="30" t="n">
        <x:v>46333</x:v>
      </x:c>
    </x:row>
    <x:row r="547" ht="18" customHeight="1">
      <x:c r="A547" s="22" t="str">
        <x:f>"86abfc59-2be0-48c7-b3c2-6ad6d234ef9e"</x:f>
        <x:v>86abfc59-2be0-48c7-b3c2-6ad6d234ef9e</x:v>
      </x:c>
      <x:c r="B547" s="23" t="str">
        <x:v>CARLOS ROBERTO DA SILVA</x:v>
      </x:c>
      <x:c r="C547" s="23" t="str">
        <x:v>carlos roberto da silva</x:v>
      </x:c>
      <x:c r="D547" s="22" t="str">
        <x:f>"45.552.178/0001-83"</x:f>
        <x:v>45.552.178/0001-83</x:v>
      </x:c>
      <x:c r="E547" s="22" t="str">
        <x:f>"45552178000183"</x:f>
        <x:v>45552178000183</x:v>
      </x:c>
      <x:c r="F547" s="22" t="str">
        <x:f>"772.003.146-68"</x:f>
        <x:v>772.003.146-68</x:v>
      </x:c>
      <x:c r="G547" s="22" t="str">
        <x:f>"77200314668"</x:f>
        <x:v>77200314668</x:v>
      </x:c>
      <x:c r="H547" s="23" t="str">
        <x:v>carlosmotboy@gmail.com</x:v>
      </x:c>
      <x:c r="I547" s="22" t="str">
        <x:f>"35984775929"</x:f>
        <x:v>35984775929</x:v>
      </x:c>
      <x:c r="J547" s="23" t="str">
        <x:v>SPOT</x:v>
      </x:c>
      <x:c r="K547" s="23" t="str">
        <x:v>favored_only</x:v>
      </x:c>
      <x:c r="L547" s="24" t="b">
        <x:v>1</x:v>
      </x:c>
      <x:c r="M547" s="23" t="n">
        <x:v>1</x:v>
      </x:c>
      <x:c r="N547" s="28" t="n">
        <x:v>46205.60427862268</x:v>
      </x:c>
      <x:c r="O547" s="28" t="n">
        <x:v>46219.812988715275</x:v>
      </x:c>
      <x:c r="P547" s="23" t="str">
        <x:v>GUAXUPE</x:v>
      </x:c>
      <x:c r="Q547" s="30" t="n">
        <x:v>25565</x:v>
      </x:c>
      <x:c r="R547" s="22" t="str">
        <x:f>"4258198"</x:f>
        <x:v>4258198</x:v>
      </x:c>
      <x:c r="S547" s="23" t="str">
        <x:v>masculino</x:v>
      </x:c>
      <x:c r="T547" s="22" t="str">
        <x:f>"FNG8B62"</x:f>
        <x:v>FNG8B62</x:v>
      </x:c>
      <x:c r="U547" s="23" t="str">
        <x:v>GABRIELA MARIA ALIPIO DE SOUZA</x:v>
      </x:c>
      <x:c r="V547" s="22" t="str">
        <x:f>"125.463.496-78"</x:f>
        <x:v>125.463.496-78</x:v>
      </x:c>
      <x:c r="W547" s="22" t="str">
        <x:f>"12546349678"</x:f>
        <x:v>12546349678</x:v>
      </x:c>
      <x:c r="X547" s="23" t="str">
        <x:v>gabialipio878@gmail.com</x:v>
      </x:c>
      <x:c r="Y547" s="22" t="str">
        <x:f>"35997287054"</x:f>
        <x:v>35997287054</x:v>
      </x:c>
      <x:c r="Z547" s="30" t="n">
        <x:v>46266</x:v>
      </x:c>
    </x:row>
    <x:row r="548" ht="18" customHeight="1">
      <x:c r="A548" s="22" t="str">
        <x:f>"f1f05ceb-f559-4414-8176-8ed7ee2c1f92"</x:f>
        <x:v>f1f05ceb-f559-4414-8176-8ed7ee2c1f92</x:v>
      </x:c>
      <x:c r="B548" s="23" t="str">
        <x:v>CARLOS ROBERTO DE CASTRO JUNIOR</x:v>
      </x:c>
      <x:c r="C548" s="23" t="str">
        <x:v>carlos roberto de castro junior</x:v>
      </x:c>
      <x:c r="D548" s="22" t="str">
        <x:f>"57.218.171/0001-09"</x:f>
        <x:v>57.218.171/0001-09</x:v>
      </x:c>
      <x:c r="E548" s="22" t="str">
        <x:f>"57218171000109"</x:f>
        <x:v>57218171000109</x:v>
      </x:c>
      <x:c r="F548" s="22" t="str">
        <x:f>"143.469.026-18"</x:f>
        <x:v>143.469.026-18</x:v>
      </x:c>
      <x:c r="G548" s="22" t="str">
        <x:f>"14346902618"</x:f>
        <x:v>14346902618</x:v>
      </x:c>
      <x:c r="H548" s="23" t="str">
        <x:v>crcjuninho@gmail.com</x:v>
      </x:c>
      <x:c r="I548" s="22" t="str">
        <x:f>"(35) 98477-0241"</x:f>
        <x:v>(35) 98477-0241</x:v>
      </x:c>
      <x:c r="J548" s="23" t="str">
        <x:v>RENTAL</x:v>
      </x:c>
      <x:c r="K548" s="23" t="str">
        <x:v>rental_company</x:v>
      </x:c>
      <x:c r="L548" s="24" t="b">
        <x:v>1</x:v>
      </x:c>
      <x:c r="M548" s="23" t="n">
        <x:v>1</x:v>
      </x:c>
      <x:c r="N548" s="28" t="n">
        <x:v>46203.921824756944</x:v>
      </x:c>
      <x:c r="O548" s="28" t="n">
        <x:v>46219.812988715275</x:v>
      </x:c>
      <x:c r="P548" s="23" t="str">
        <x:v>POUSO ALEGRE</x:v>
      </x:c>
      <x:c r="Q548" s="30" t="n">
        <x:v>36207</x:v>
      </x:c>
      <x:c r="R548" s="22" t="str">
        <x:f>"MG20277469"</x:f>
        <x:v>MG20277469</x:v>
      </x:c>
      <x:c r="S548" s="23" t="str">
        <x:v>masculino</x:v>
      </x:c>
      <x:c r="T548" s="22" t="str"/>
      <x:c r="U548" s="23" t="str">
        <x:v>CARLOS ROBERTO DE CASTRO JUNIOR</x:v>
      </x:c>
      <x:c r="V548" s="22" t="str">
        <x:f>"143.469.026-18"</x:f>
        <x:v>143.469.026-18</x:v>
      </x:c>
      <x:c r="W548" s="22" t="str">
        <x:f>"14346902618"</x:f>
        <x:v>14346902618</x:v>
      </x:c>
      <x:c r="X548" s="23" t="str">
        <x:v>crcjuninho@gmail.com</x:v>
      </x:c>
      <x:c r="Y548" s="22" t="str">
        <x:f>"(35) 98477-0241"</x:f>
        <x:v>(35) 98477-0241</x:v>
      </x:c>
      <x:c r="Z548" s="30" t="n">
        <x:v>46420</x:v>
      </x:c>
    </x:row>
    <x:row r="549" ht="18" customHeight="1">
      <x:c r="A549" s="22" t="str">
        <x:f>"0e1aa991-ed5e-463b-bc04-5b2ef1a3b3c0"</x:f>
        <x:v>0e1aa991-ed5e-463b-bc04-5b2ef1a3b3c0</x:v>
      </x:c>
      <x:c r="B549" s="23" t="str">
        <x:v>Carlos Roberto Ramos</x:v>
      </x:c>
      <x:c r="C549" s="23" t="str">
        <x:v>carlos roberto ramos</x:v>
      </x:c>
      <x:c r="D549" s="22" t="str">
        <x:f>"61520745000176"</x:f>
        <x:v>61520745000176</x:v>
      </x:c>
      <x:c r="E549" s="22" t="str">
        <x:f>"61520745000176"</x:f>
        <x:v>61520745000176</x:v>
      </x:c>
      <x:c r="F549" s="22" t="str">
        <x:f>"18336806857"</x:f>
        <x:v>18336806857</x:v>
      </x:c>
      <x:c r="G549" s="22" t="str">
        <x:f>"18336806857"</x:f>
        <x:v>18336806857</x:v>
      </x:c>
      <x:c r="H549" s="23" t="str">
        <x:v>wellingtonsrv_araujo@hotmail.com</x:v>
      </x:c>
      <x:c r="I549" s="22" t="str">
        <x:f>"16 99739-3907"</x:f>
        <x:v>16 99739-3907</x:v>
      </x:c>
      <x:c r="J549" s="23" t="str">
        <x:v>SPOT</x:v>
      </x:c>
      <x:c r="K549" s="23" t="str">
        <x:v>favored_only</x:v>
      </x:c>
      <x:c r="L549" s="24" t="b">
        <x:v>1</x:v>
      </x:c>
      <x:c r="M549" s="23" t="n">
        <x:v>1</x:v>
      </x:c>
      <x:c r="N549" s="28" t="n">
        <x:v>46203.921887453704</x:v>
      </x:c>
      <x:c r="O549" s="28" t="n">
        <x:v>46203.921887453704</x:v>
      </x:c>
      <x:c r="P549" s="23" t="str"/>
      <x:c r="Q549" s="30" t="str"/>
      <x:c r="R549" s="22" t="str"/>
      <x:c r="S549" s="23" t="str"/>
      <x:c r="T549" s="22" t="str"/>
      <x:c r="U549" s="23" t="str">
        <x:v>Carlos Roberto Ramos</x:v>
      </x:c>
      <x:c r="V549" s="22" t="str">
        <x:f>"18336806857"</x:f>
        <x:v>18336806857</x:v>
      </x:c>
      <x:c r="W549" s="22" t="str">
        <x:f>"18336806857"</x:f>
        <x:v>18336806857</x:v>
      </x:c>
      <x:c r="X549" s="23" t="str">
        <x:v>wellingtonsrv_araujo@hotmail.com</x:v>
      </x:c>
      <x:c r="Y549" s="22" t="str">
        <x:f>"16 99739-3907"</x:f>
        <x:v>16 99739-3907</x:v>
      </x:c>
      <x:c r="Z549" s="30" t="str"/>
    </x:row>
    <x:row r="550" ht="18" customHeight="1">
      <x:c r="A550" s="22" t="str">
        <x:f>"317de5db-f5bf-4060-87fc-1a6fe615b410"</x:f>
        <x:v>317de5db-f5bf-4060-87fc-1a6fe615b410</x:v>
      </x:c>
      <x:c r="B550" s="23" t="str">
        <x:v>CARLOS RODRIGUES DA SILVA</x:v>
      </x:c>
      <x:c r="C550" s="23" t="str">
        <x:v>carlos rodrigues da silva</x:v>
      </x:c>
      <x:c r="D550" s="22" t="str">
        <x:f>"11.800.368/0001-50"</x:f>
        <x:v>11.800.368/0001-50</x:v>
      </x:c>
      <x:c r="E550" s="22" t="str">
        <x:f>"11800368000150"</x:f>
        <x:v>11800368000150</x:v>
      </x:c>
      <x:c r="F550" s="22" t="str">
        <x:f>"041.303.796-74"</x:f>
        <x:v>041.303.796-74</x:v>
      </x:c>
      <x:c r="G550" s="22" t="str">
        <x:f>"04130379674"</x:f>
        <x:v>04130379674</x:v>
      </x:c>
      <x:c r="H550" s="23" t="str">
        <x:v>crsilva3107@gmail.com</x:v>
      </x:c>
      <x:c r="I550" s="22" t="str">
        <x:f>"+55 33 9197-6351"</x:f>
        <x:v>+55 33 9197-6351</x:v>
      </x:c>
      <x:c r="J550" s="23" t="str">
        <x:v>spot</x:v>
      </x:c>
      <x:c r="K550" s="23" t="str">
        <x:v>favored_only</x:v>
      </x:c>
      <x:c r="L550" s="24" t="b">
        <x:v>1</x:v>
      </x:c>
      <x:c r="M550" s="23" t="n">
        <x:v>1</x:v>
      </x:c>
      <x:c r="N550" s="28" t="n">
        <x:v>46219.812988715275</x:v>
      </x:c>
      <x:c r="O550" s="28" t="n">
        <x:v>46219.812988715275</x:v>
      </x:c>
      <x:c r="P550" s="23" t="str">
        <x:v>GUANHAES</x:v>
      </x:c>
      <x:c r="Q550" s="30" t="n">
        <x:v>33269</x:v>
      </x:c>
      <x:c r="R550" s="22" t="str">
        <x:f>"16944387"</x:f>
        <x:v>16944387</x:v>
      </x:c>
      <x:c r="S550" s="23" t="str">
        <x:v>masculino</x:v>
      </x:c>
      <x:c r="T550" s="22" t="str">
        <x:f>"HFS2694"</x:f>
        <x:v>HFS2694</x:v>
      </x:c>
      <x:c r="U550" s="23" t="str">
        <x:v>CARLOS RODRIGUES DA SILVA</x:v>
      </x:c>
      <x:c r="V550" s="22" t="str">
        <x:f>"041.303.796-74"</x:f>
        <x:v>041.303.796-74</x:v>
      </x:c>
      <x:c r="W550" s="22" t="str">
        <x:f>"04130379674"</x:f>
        <x:v>04130379674</x:v>
      </x:c>
      <x:c r="X550" s="23" t="str">
        <x:v>crsilva3107@gmail.com</x:v>
      </x:c>
      <x:c r="Y550" s="22" t="str">
        <x:f>"+55 33 9197-6351"</x:f>
        <x:v>+55 33 9197-6351</x:v>
      </x:c>
      <x:c r="Z550" s="30" t="n">
        <x:v>46569</x:v>
      </x:c>
    </x:row>
    <x:row r="551" ht="18" customHeight="1">
      <x:c r="A551" s="22" t="str">
        <x:f>"908cc24a-e1fc-4b59-a759-2a74b867f9bd"</x:f>
        <x:v>908cc24a-e1fc-4b59-a759-2a74b867f9bd</x:v>
      </x:c>
      <x:c r="B551" s="23" t="str">
        <x:v>CARLOS RODRIGUES DOS SANTOS</x:v>
      </x:c>
      <x:c r="C551" s="23" t="str">
        <x:v>carlos rodrigues dos santos</x:v>
      </x:c>
      <x:c r="D551" s="22" t="str">
        <x:f>"31.267.124/0001-61"</x:f>
        <x:v>31.267.124/0001-61</x:v>
      </x:c>
      <x:c r="E551" s="22" t="str">
        <x:f>"31267124000161"</x:f>
        <x:v>31267124000161</x:v>
      </x:c>
      <x:c r="F551" s="22" t="str">
        <x:f>"017.708.001-90"</x:f>
        <x:v>017.708.001-90</x:v>
      </x:c>
      <x:c r="G551" s="22" t="str">
        <x:f>"01770800190"</x:f>
        <x:v>01770800190</x:v>
      </x:c>
      <x:c r="H551" s="23" t="str">
        <x:v>carlosrsantos229@hotmail.com</x:v>
      </x:c>
      <x:c r="I551" s="22" t="str">
        <x:f>"65 9984-6948"</x:f>
        <x:v>65 9984-6948</x:v>
      </x:c>
      <x:c r="J551" s="23" t="str">
        <x:v>SPOT</x:v>
      </x:c>
      <x:c r="K551" s="23" t="str">
        <x:v>favored_only</x:v>
      </x:c>
      <x:c r="L551" s="24" t="b">
        <x:v>1</x:v>
      </x:c>
      <x:c r="M551" s="23" t="n">
        <x:v>1</x:v>
      </x:c>
      <x:c r="N551" s="28" t="n">
        <x:v>46219.812988715275</x:v>
      </x:c>
      <x:c r="O551" s="28" t="n">
        <x:v>46219.812988715275</x:v>
      </x:c>
      <x:c r="P551" s="23" t="str">
        <x:v>ARAPUTANGA</x:v>
      </x:c>
      <x:c r="Q551" s="30" t="n">
        <x:v>31798</x:v>
      </x:c>
      <x:c r="R551" s="22" t="str">
        <x:f>"18390072"</x:f>
        <x:v>18390072</x:v>
      </x:c>
      <x:c r="S551" s="23" t="str">
        <x:v>masculino</x:v>
      </x:c>
      <x:c r="T551" s="22" t="str">
        <x:f>"QCT8E70"</x:f>
        <x:v>QCT8E70</x:v>
      </x:c>
      <x:c r="U551" s="23" t="str">
        <x:v>APARECIDA CLARINDA SANTOLIN</x:v>
      </x:c>
      <x:c r="V551" s="22" t="str">
        <x:f>"488.639.711-53"</x:f>
        <x:v>488.639.711-53</x:v>
      </x:c>
      <x:c r="W551" s="22" t="str">
        <x:f>"48863971153"</x:f>
        <x:v>48863971153</x:v>
      </x:c>
      <x:c r="X551" s="23" t="str">
        <x:v>carlosrsantos229@hotmail.com</x:v>
      </x:c>
      <x:c r="Y551" s="22" t="str">
        <x:f>"6599984-6948"</x:f>
        <x:v>6599984-6948</x:v>
      </x:c>
      <x:c r="Z551" s="30" t="n">
        <x:v>46504</x:v>
      </x:c>
    </x:row>
    <x:row r="552" ht="18" customHeight="1">
      <x:c r="A552" s="22" t="str">
        <x:f>"f5bb2786-e5d4-4f41-be63-c863aca7b819"</x:f>
        <x:v>f5bb2786-e5d4-4f41-be63-c863aca7b819</x:v>
      </x:c>
      <x:c r="B552" s="23" t="str">
        <x:v>CARLOS ROGERIO NOGUEIRA</x:v>
      </x:c>
      <x:c r="C552" s="23" t="str">
        <x:v>carlos rogerio nogueira</x:v>
      </x:c>
      <x:c r="D552" s="22" t="str">
        <x:f>"67.587.281/0001-00"</x:f>
        <x:v>67.587.281/0001-00</x:v>
      </x:c>
      <x:c r="E552" s="22" t="str">
        <x:f>"67587281000100"</x:f>
        <x:v>67587281000100</x:v>
      </x:c>
      <x:c r="F552" s="22" t="str">
        <x:f>"935.146.469-53"</x:f>
        <x:v>935.146.469-53</x:v>
      </x:c>
      <x:c r="G552" s="22" t="str">
        <x:f>"93514646953"</x:f>
        <x:v>93514646953</x:v>
      </x:c>
      <x:c r="H552" s="23" t="str">
        <x:v>crn.rato@uol.com.br</x:v>
      </x:c>
      <x:c r="I552" s="22" t="str">
        <x:f>"4399870-6060"</x:f>
        <x:v>4399870-6060</x:v>
      </x:c>
      <x:c r="J552" s="23" t="str">
        <x:v>spot</x:v>
      </x:c>
      <x:c r="K552" s="23" t="str">
        <x:v>favored_only</x:v>
      </x:c>
      <x:c r="L552" s="24" t="b">
        <x:v>1</x:v>
      </x:c>
      <x:c r="M552" s="23" t="n">
        <x:v>1</x:v>
      </x:c>
      <x:c r="N552" s="28" t="n">
        <x:v>46205.60733424769</x:v>
      </x:c>
      <x:c r="O552" s="28" t="n">
        <x:v>46205.60890115741</x:v>
      </x:c>
      <x:c r="P552" s="23" t="str">
        <x:v>MARILIA</x:v>
      </x:c>
      <x:c r="Q552" s="30" t="n">
        <x:v>27498</x:v>
      </x:c>
      <x:c r="R552" s="22" t="str">
        <x:f>"54084803"</x:f>
        <x:v>54084803</x:v>
      </x:c>
      <x:c r="S552" s="23" t="str">
        <x:v>Masculino</x:v>
      </x:c>
      <x:c r="T552" s="22" t="str">
        <x:f>"SEE6D67"</x:f>
        <x:v>SEE6D67</x:v>
      </x:c>
      <x:c r="U552" s="23" t="str">
        <x:v>PATRICIA ALCANTARA DA SILVA</x:v>
      </x:c>
      <x:c r="V552" s="22" t="str">
        <x:f>"047.311.859-98"</x:f>
        <x:v>047.311.859-98</x:v>
      </x:c>
      <x:c r="W552" s="22" t="str">
        <x:f>"04731185998"</x:f>
        <x:v>04731185998</x:v>
      </x:c>
      <x:c r="X552" s="23" t="str">
        <x:v>patalcantaradasilva@gmail.com</x:v>
      </x:c>
      <x:c r="Y552" s="22" t="str">
        <x:f>"43 99602-1221"</x:f>
        <x:v>43 99602-1221</x:v>
      </x:c>
      <x:c r="Z552" s="30" t="n">
        <x:v>46238</x:v>
      </x:c>
    </x:row>
    <x:row r="553" ht="18" customHeight="1">
      <x:c r="A553" s="22" t="str">
        <x:f>"0676d378-2126-4a81-930b-9e1c9b0de166"</x:f>
        <x:v>0676d378-2126-4a81-930b-9e1c9b0de166</x:v>
      </x:c>
      <x:c r="B553" s="23" t="str">
        <x:v>CARLOS RUBENS NERI</x:v>
      </x:c>
      <x:c r="C553" s="23" t="str">
        <x:v>carlos rubens neri</x:v>
      </x:c>
      <x:c r="D553" s="22" t="str">
        <x:f>"35.371.168/0001-98"</x:f>
        <x:v>35.371.168/0001-98</x:v>
      </x:c>
      <x:c r="E553" s="22" t="str">
        <x:f>"35371168000198"</x:f>
        <x:v>35371168000198</x:v>
      </x:c>
      <x:c r="F553" s="22" t="str">
        <x:f>"328.551.728-02"</x:f>
        <x:v>328.551.728-02</x:v>
      </x:c>
      <x:c r="G553" s="22" t="str">
        <x:f>"32855172802"</x:f>
        <x:v>32855172802</x:v>
      </x:c>
      <x:c r="H553" s="23" t="str">
        <x:v>carlosneri.vendas@gmail.com</x:v>
      </x:c>
      <x:c r="I553" s="22" t="str">
        <x:f>"17988460345"</x:f>
        <x:v>17988460345</x:v>
      </x:c>
      <x:c r="J553" s="23" t="str">
        <x:v>SPOT</x:v>
      </x:c>
      <x:c r="K553" s="23" t="str">
        <x:v>favored_only</x:v>
      </x:c>
      <x:c r="L553" s="24" t="b">
        <x:v>1</x:v>
      </x:c>
      <x:c r="M553" s="23" t="n">
        <x:v>1</x:v>
      </x:c>
      <x:c r="N553" s="28" t="n">
        <x:v>46219.812988715275</x:v>
      </x:c>
      <x:c r="O553" s="28" t="n">
        <x:v>46219.812988715275</x:v>
      </x:c>
      <x:c r="P553" s="23" t="str">
        <x:v>SÃO JOSE DO RIO PRETO</x:v>
      </x:c>
      <x:c r="Q553" s="30" t="n">
        <x:v>30945</x:v>
      </x:c>
      <x:c r="R553" s="22" t="str">
        <x:f>"43075823"</x:f>
        <x:v>43075823</x:v>
      </x:c>
      <x:c r="S553" s="23" t="str">
        <x:v>masculino</x:v>
      </x:c>
      <x:c r="T553" s="22" t="str">
        <x:f>"RNW8I31"</x:f>
        <x:v>RNW8I31</x:v>
      </x:c>
      <x:c r="U553" s="23" t="str">
        <x:v>CARLOS RUBENS NERI</x:v>
      </x:c>
      <x:c r="V553" s="22" t="str">
        <x:f>"328.551.728-02"</x:f>
        <x:v>328.551.728-02</x:v>
      </x:c>
      <x:c r="W553" s="22" t="str">
        <x:f>"32855172802"</x:f>
        <x:v>32855172802</x:v>
      </x:c>
      <x:c r="X553" s="23" t="str">
        <x:v>carlosneri.vendas@gmail.com</x:v>
      </x:c>
      <x:c r="Y553" s="22" t="str">
        <x:f>"17988460345"</x:f>
        <x:v>17988460345</x:v>
      </x:c>
      <x:c r="Z553" s="30" t="n">
        <x:v>46512</x:v>
      </x:c>
    </x:row>
    <x:row r="554" ht="18" customHeight="1">
      <x:c r="A554" s="22" t="str">
        <x:f>"72262495-d1f9-41b1-80fb-e3748c436905"</x:f>
        <x:v>72262495-d1f9-41b1-80fb-e3748c436905</x:v>
      </x:c>
      <x:c r="B554" s="23" t="str">
        <x:v>CARLOS SERGIO RODRIGUES DA SILVA</x:v>
      </x:c>
      <x:c r="C554" s="23" t="str">
        <x:v>carlos sergio rodrigues da silva</x:v>
      </x:c>
      <x:c r="D554" s="22" t="str">
        <x:f>"66.872.985/0001-53"</x:f>
        <x:v>66.872.985/0001-53</x:v>
      </x:c>
      <x:c r="E554" s="22" t="str">
        <x:f>"66872985000153"</x:f>
        <x:v>66872985000153</x:v>
      </x:c>
      <x:c r="F554" s="22" t="str">
        <x:f>"150.143.497-73"</x:f>
        <x:v>150.143.497-73</x:v>
      </x:c>
      <x:c r="G554" s="22" t="str">
        <x:f>"15014349773"</x:f>
        <x:v>15014349773</x:v>
      </x:c>
      <x:c r="H554" s="23" t="str">
        <x:v>carlos-sergio14@hotmail.com</x:v>
      </x:c>
      <x:c r="I554" s="22" t="str">
        <x:f>"21980764788"</x:f>
        <x:v>21980764788</x:v>
      </x:c>
      <x:c r="J554" s="23" t="str">
        <x:v>SPOT</x:v>
      </x:c>
      <x:c r="K554" s="23" t="str">
        <x:v>favored_only</x:v>
      </x:c>
      <x:c r="L554" s="24" t="b">
        <x:v>1</x:v>
      </x:c>
      <x:c r="M554" s="23" t="n">
        <x:v>1</x:v>
      </x:c>
      <x:c r="N554" s="28" t="n">
        <x:v>46219.812988715275</x:v>
      </x:c>
      <x:c r="O554" s="28" t="n">
        <x:v>46219.812988715275</x:v>
      </x:c>
      <x:c r="P554" s="23" t="str">
        <x:v>QUEIMADOS</x:v>
      </x:c>
      <x:c r="Q554" s="30" t="n">
        <x:v>33957</x:v>
      </x:c>
      <x:c r="R554" s="22" t="str">
        <x:f>"238413462"</x:f>
        <x:v>238413462</x:v>
      </x:c>
      <x:c r="S554" s="23" t="str">
        <x:v>masculino</x:v>
      </x:c>
      <x:c r="T554" s="22" t="str">
        <x:f>"FOU3C81"</x:f>
        <x:v>FOU3C81</x:v>
      </x:c>
      <x:c r="U554" s="23" t="str">
        <x:v>CARLOS SERGIO RODRIGUES DA SILVA</x:v>
      </x:c>
      <x:c r="V554" s="22" t="str">
        <x:f>"150.143.497-73"</x:f>
        <x:v>150.143.497-73</x:v>
      </x:c>
      <x:c r="W554" s="22" t="str">
        <x:f>"15014349773"</x:f>
        <x:v>15014349773</x:v>
      </x:c>
      <x:c r="X554" s="23" t="str">
        <x:v>carlos-sergio14@hotmail.com</x:v>
      </x:c>
      <x:c r="Y554" s="22" t="str">
        <x:f>"21980764788"</x:f>
        <x:v>21980764788</x:v>
      </x:c>
      <x:c r="Z554" s="30" t="n">
        <x:v>46529</x:v>
      </x:c>
    </x:row>
    <x:row r="555" ht="18" customHeight="1">
      <x:c r="A555" s="22" t="str">
        <x:f>"c90e23b8-c85b-43a6-8da9-c6992bfabeee"</x:f>
        <x:v>c90e23b8-c85b-43a6-8da9-c6992bfabeee</x:v>
      </x:c>
      <x:c r="B555" s="23" t="str">
        <x:v>CARLOS TRAJANO BOUCAS</x:v>
      </x:c>
      <x:c r="C555" s="23" t="str">
        <x:v>carlos trajano boucas</x:v>
      </x:c>
      <x:c r="D555" s="22" t="str">
        <x:f>"54.816.237/0001-74"</x:f>
        <x:v>54.816.237/0001-74</x:v>
      </x:c>
      <x:c r="E555" s="22" t="str">
        <x:f>"54816237000174"</x:f>
        <x:v>54816237000174</x:v>
      </x:c>
      <x:c r="F555" s="22" t="str">
        <x:f>"858.112.970-68"</x:f>
        <x:v>858.112.970-68</x:v>
      </x:c>
      <x:c r="G555" s="22" t="str">
        <x:f>"85811297068"</x:f>
        <x:v>85811297068</x:v>
      </x:c>
      <x:c r="H555" s="23" t="str">
        <x:v>carlosboucas7@gmail.com</x:v>
      </x:c>
      <x:c r="I555" s="22" t="str">
        <x:f>"22981571001"</x:f>
        <x:v>22981571001</x:v>
      </x:c>
      <x:c r="J555" s="23" t="str">
        <x:v>SPOT</x:v>
      </x:c>
      <x:c r="K555" s="23" t="str">
        <x:v>favored_only</x:v>
      </x:c>
      <x:c r="L555" s="24" t="b">
        <x:v>1</x:v>
      </x:c>
      <x:c r="M555" s="23" t="n">
        <x:v>1</x:v>
      </x:c>
      <x:c r="N555" s="28" t="n">
        <x:v>46219.812988715275</x:v>
      </x:c>
      <x:c r="O555" s="28" t="n">
        <x:v>46219.812988715275</x:v>
      </x:c>
      <x:c r="P555" s="23" t="str">
        <x:v>CAMPOS DOS GOYTACAZES</x:v>
      </x:c>
      <x:c r="Q555" s="30" t="n">
        <x:v>34455</x:v>
      </x:c>
      <x:c r="R555" s="22" t="str">
        <x:f>"6093137121"</x:f>
        <x:v>6093137121</x:v>
      </x:c>
      <x:c r="S555" s="23" t="str">
        <x:v>masculino</x:v>
      </x:c>
      <x:c r="T555" s="22" t="str">
        <x:f>"PVD3E72"</x:f>
        <x:v>PVD3E72</x:v>
      </x:c>
      <x:c r="U555" s="23" t="str">
        <x:v>POLIANA FARIA MONNERAT</x:v>
      </x:c>
      <x:c r="V555" s="22" t="str">
        <x:f>"167.379.137-92"</x:f>
        <x:v>167.379.137-92</x:v>
      </x:c>
      <x:c r="W555" s="22" t="str">
        <x:f>"16737913792"</x:f>
        <x:v>16737913792</x:v>
      </x:c>
      <x:c r="X555" s="23" t="str">
        <x:v>polianafariamonnerat@gmail.com</x:v>
      </x:c>
      <x:c r="Y555" s="22" t="str">
        <x:f>"22981142301"</x:f>
        <x:v>22981142301</x:v>
      </x:c>
      <x:c r="Z555" s="30" t="n">
        <x:v>46497</x:v>
      </x:c>
    </x:row>
    <x:row r="556" ht="18" customHeight="1">
      <x:c r="A556" s="22" t="str">
        <x:f>"0ec75625-83e9-40f5-b3dc-937cb01f2869"</x:f>
        <x:v>0ec75625-83e9-40f5-b3dc-937cb01f2869</x:v>
      </x:c>
      <x:c r="B556" s="23" t="str">
        <x:v>CARLOS TRAJANO BOUCAS PEREIRA</x:v>
      </x:c>
      <x:c r="C556" s="23" t="str">
        <x:v>carlos trajano boucas pereira</x:v>
      </x:c>
      <x:c r="D556" s="22" t="str">
        <x:f>"47.459.293/0001-33"</x:f>
        <x:v>47.459.293/0001-33</x:v>
      </x:c>
      <x:c r="E556" s="22" t="str">
        <x:f>"47459293000133"</x:f>
        <x:v>47459293000133</x:v>
      </x:c>
      <x:c r="F556" s="22" t="str">
        <x:f>"858.112.970-68"</x:f>
        <x:v>858.112.970-68</x:v>
      </x:c>
      <x:c r="G556" s="22" t="str">
        <x:f>"85811297068"</x:f>
        <x:v>85811297068</x:v>
      </x:c>
      <x:c r="H556" s="23" t="str">
        <x:v>carlostrajanoboucaspereira@gmail.com</x:v>
      </x:c>
      <x:c r="I556" s="22" t="str">
        <x:f>"22 981571001"</x:f>
        <x:v>22 981571001</x:v>
      </x:c>
      <x:c r="J556" s="23" t="str">
        <x:v>SPOT</x:v>
      </x:c>
      <x:c r="K556" s="23" t="str">
        <x:v>favored_only</x:v>
      </x:c>
      <x:c r="L556" s="24" t="b">
        <x:v>1</x:v>
      </x:c>
      <x:c r="M556" s="23" t="n">
        <x:v>1</x:v>
      </x:c>
      <x:c r="N556" s="28" t="n">
        <x:v>46219.812988715275</x:v>
      </x:c>
      <x:c r="O556" s="28" t="n">
        <x:v>46219.812988715275</x:v>
      </x:c>
      <x:c r="P556" s="23" t="str">
        <x:v>CAMPOS DOS GOYTACAZES</x:v>
      </x:c>
      <x:c r="Q556" s="30" t="n">
        <x:v>34455</x:v>
      </x:c>
      <x:c r="R556" s="22" t="str">
        <x:f>"6093137121"</x:f>
        <x:v>6093137121</x:v>
      </x:c>
      <x:c r="S556" s="23" t="str">
        <x:v>masculino</x:v>
      </x:c>
      <x:c r="T556" s="22" t="str">
        <x:f>"LPM4A12"</x:f>
        <x:v>LPM4A12</x:v>
      </x:c>
      <x:c r="U556" s="23" t="str">
        <x:v>SERGIO VIEIRA MONNERAT JUNIOR</x:v>
      </x:c>
      <x:c r="V556" s="22" t="str">
        <x:f>"100.877.347-61"</x:f>
        <x:v>100.877.347-61</x:v>
      </x:c>
      <x:c r="W556" s="22" t="str">
        <x:f>"10087734761"</x:f>
        <x:v>10087734761</x:v>
      </x:c>
      <x:c r="X556" s="23" t="str">
        <x:v>SERGIOV.MONNERATJR@GMAIL.COM</x:v>
      </x:c>
      <x:c r="Y556" s="22" t="str">
        <x:f>"22 981380350"</x:f>
        <x:v>22 981380350</x:v>
      </x:c>
      <x:c r="Z556" s="30" t="n">
        <x:v>46403</x:v>
      </x:c>
    </x:row>
    <x:row r="557" ht="18" customHeight="1">
      <x:c r="A557" s="22" t="str">
        <x:f>"8d169598-3799-457e-933c-6ef3f0c879ac"</x:f>
        <x:v>8d169598-3799-457e-933c-6ef3f0c879ac</x:v>
      </x:c>
      <x:c r="B557" s="23" t="str">
        <x:v>CARLOS TRAJANO BOUCAS PEREIRA</x:v>
      </x:c>
      <x:c r="C557" s="23" t="str">
        <x:v>carlos trajano boucas pereira</x:v>
      </x:c>
      <x:c r="D557" s="22" t="str">
        <x:f>"40.244.846/0001-91"</x:f>
        <x:v>40.244.846/0001-91</x:v>
      </x:c>
      <x:c r="E557" s="22" t="str">
        <x:f>"40244846000191"</x:f>
        <x:v>40244846000191</x:v>
      </x:c>
      <x:c r="F557" s="22" t="str">
        <x:f>"858.112.970-68"</x:f>
        <x:v>858.112.970-68</x:v>
      </x:c>
      <x:c r="G557" s="22" t="str">
        <x:f>"85811297068"</x:f>
        <x:v>85811297068</x:v>
      </x:c>
      <x:c r="H557" s="23" t="str">
        <x:v>carlostrajanoboucaspereira@gmail.com</x:v>
      </x:c>
      <x:c r="I557" s="22" t="str">
        <x:f>"22 981571001"</x:f>
        <x:v>22 981571001</x:v>
      </x:c>
      <x:c r="J557" s="23" t="str">
        <x:v>SPOT</x:v>
      </x:c>
      <x:c r="K557" s="23" t="str">
        <x:v>favored_only</x:v>
      </x:c>
      <x:c r="L557" s="24" t="b">
        <x:v>1</x:v>
      </x:c>
      <x:c r="M557" s="23" t="n">
        <x:v>1</x:v>
      </x:c>
      <x:c r="N557" s="28" t="n">
        <x:v>46205.60591375</x:v>
      </x:c>
      <x:c r="O557" s="28" t="n">
        <x:v>46219.812988715275</x:v>
      </x:c>
      <x:c r="P557" s="23" t="str">
        <x:v>CAMPOS DOS GOYTACAZES</x:v>
      </x:c>
      <x:c r="Q557" s="30" t="n">
        <x:v>34455</x:v>
      </x:c>
      <x:c r="R557" s="22" t="str">
        <x:f>"6093137121"</x:f>
        <x:v>6093137121</x:v>
      </x:c>
      <x:c r="S557" s="23" t="str">
        <x:v>masculino</x:v>
      </x:c>
      <x:c r="T557" s="22" t="str">
        <x:f>"PVD3E72"</x:f>
        <x:v>PVD3E72</x:v>
      </x:c>
      <x:c r="U557" s="23" t="str">
        <x:v>SERGIO PEREIRA VENTURA JUNIOR</x:v>
      </x:c>
      <x:c r="V557" s="22" t="str">
        <x:f>"162.701.557-46"</x:f>
        <x:v>162.701.557-46</x:v>
      </x:c>
      <x:c r="W557" s="22" t="str">
        <x:f>"16270155746"</x:f>
        <x:v>16270155746</x:v>
      </x:c>
      <x:c r="X557" s="23" t="str">
        <x:v>juniorventuratj@gmail.com</x:v>
      </x:c>
      <x:c r="Y557" s="22" t="str">
        <x:f>"22981640126"</x:f>
        <x:v>22981640126</x:v>
      </x:c>
      <x:c r="Z557" s="30" t="n">
        <x:v>46337</x:v>
      </x:c>
    </x:row>
    <x:row r="558" ht="18" customHeight="1">
      <x:c r="A558" s="22" t="str">
        <x:f>"2ca65c81-4b75-45e3-a3f8-2ed8ce0635cd"</x:f>
        <x:v>2ca65c81-4b75-45e3-a3f8-2ed8ce0635cd</x:v>
      </x:c>
      <x:c r="B558" s="23" t="str">
        <x:v>CARLOS TSUTOMU PARDO KURANISHI</x:v>
      </x:c>
      <x:c r="C558" s="23" t="str">
        <x:v>carlos tsutomu pardo kuranishi</x:v>
      </x:c>
      <x:c r="D558" s="22" t="str">
        <x:f>"67.547.061/0001-44"</x:f>
        <x:v>67.547.061/0001-44</x:v>
      </x:c>
      <x:c r="E558" s="22" t="str">
        <x:f>"67547061000144"</x:f>
        <x:v>67547061000144</x:v>
      </x:c>
      <x:c r="F558" s="22" t="str">
        <x:f>"477.535.408-66"</x:f>
        <x:v>477.535.408-66</x:v>
      </x:c>
      <x:c r="G558" s="22" t="str">
        <x:f>"47753540866"</x:f>
        <x:v>47753540866</x:v>
      </x:c>
      <x:c r="H558" s="23" t="str">
        <x:v>carlostsutomu5@gmail.com</x:v>
      </x:c>
      <x:c r="I558" s="22" t="str">
        <x:f>"18997821098"</x:f>
        <x:v>18997821098</x:v>
      </x:c>
      <x:c r="J558" s="23" t="str">
        <x:v>rental</x:v>
      </x:c>
      <x:c r="K558" s="23" t="str">
        <x:v>rental_company</x:v>
      </x:c>
      <x:c r="L558" s="24" t="b">
        <x:v>1</x:v>
      </x:c>
      <x:c r="M558" s="23" t="n">
        <x:v>1</x:v>
      </x:c>
      <x:c r="N558" s="28" t="n">
        <x:v>46219.812988715275</x:v>
      </x:c>
      <x:c r="O558" s="28" t="n">
        <x:v>46219.812988715275</x:v>
      </x:c>
      <x:c r="P558" s="23" t="str">
        <x:v>PRESIDENTE PRUDENTE</x:v>
      </x:c>
      <x:c r="Q558" s="30" t="n">
        <x:v>37761</x:v>
      </x:c>
      <x:c r="R558" s="22" t="str">
        <x:f>"581518858"</x:f>
        <x:v>581518858</x:v>
      </x:c>
      <x:c r="S558" s="23" t="str">
        <x:v>masculino</x:v>
      </x:c>
      <x:c r="T558" s="22" t="str"/>
      <x:c r="U558" s="23" t="str">
        <x:v>CARLOS TSUTOMU PARDO KURANISHI</x:v>
      </x:c>
      <x:c r="V558" s="22" t="str">
        <x:f>"477.535.408-66"</x:f>
        <x:v>477.535.408-66</x:v>
      </x:c>
      <x:c r="W558" s="22" t="str">
        <x:f>"47753540866"</x:f>
        <x:v>47753540866</x:v>
      </x:c>
      <x:c r="X558" s="23" t="str">
        <x:v>carlostsutomu5@gmail.com</x:v>
      </x:c>
      <x:c r="Y558" s="22" t="str">
        <x:f>"18997821098"</x:f>
        <x:v>18997821098</x:v>
      </x:c>
      <x:c r="Z558" s="30" t="n">
        <x:v>46556</x:v>
      </x:c>
    </x:row>
    <x:row r="559" ht="18" customHeight="1">
      <x:c r="A559" s="22" t="str">
        <x:f>"09b8917e-542c-451c-91ef-28408441a5d0"</x:f>
        <x:v>09b8917e-542c-451c-91ef-28408441a5d0</x:v>
      </x:c>
      <x:c r="B559" s="23" t="str">
        <x:v>CARLOS VINICIUS DE SOUZA</x:v>
      </x:c>
      <x:c r="C559" s="23" t="str">
        <x:v>carlos vinicius de souza</x:v>
      </x:c>
      <x:c r="D559" s="22" t="str">
        <x:f>"63.582.539/0001-16"</x:f>
        <x:v>63.582.539/0001-16</x:v>
      </x:c>
      <x:c r="E559" s="22" t="str">
        <x:f>"63582539000116"</x:f>
        <x:v>63582539000116</x:v>
      </x:c>
      <x:c r="F559" s="22" t="str">
        <x:f>"098.766.986-99"</x:f>
        <x:v>098.766.986-99</x:v>
      </x:c>
      <x:c r="G559" s="22" t="str">
        <x:f>"09876698699"</x:f>
        <x:v>09876698699</x:v>
      </x:c>
      <x:c r="H559" s="23" t="str">
        <x:v>carlosviniciussouza5@gmail.com</x:v>
      </x:c>
      <x:c r="I559" s="22" t="str">
        <x:f>"21999253780"</x:f>
        <x:v>21999253780</x:v>
      </x:c>
      <x:c r="J559" s="23" t="str">
        <x:v>SPOT</x:v>
      </x:c>
      <x:c r="K559" s="23" t="str">
        <x:v>favored_only</x:v>
      </x:c>
      <x:c r="L559" s="24" t="b">
        <x:v>1</x:v>
      </x:c>
      <x:c r="M559" s="23" t="n">
        <x:v>1</x:v>
      </x:c>
      <x:c r="N559" s="28" t="n">
        <x:v>46203.92189349537</x:v>
      </x:c>
      <x:c r="O559" s="28" t="n">
        <x:v>46219.812988715275</x:v>
      </x:c>
      <x:c r="P559" s="23" t="str">
        <x:v>QUEIMADOS</x:v>
      </x:c>
      <x:c r="Q559" s="30" t="n">
        <x:v>33468</x:v>
      </x:c>
      <x:c r="R559" s="22" t="str">
        <x:f>"16312221"</x:f>
        <x:v>16312221</x:v>
      </x:c>
      <x:c r="S559" s="23" t="str">
        <x:v>masculino</x:v>
      </x:c>
      <x:c r="T559" s="22" t="str">
        <x:f>"RZH7E86"</x:f>
        <x:v>RZH7E86</x:v>
      </x:c>
      <x:c r="U559" s="23" t="str">
        <x:v>CARLOS VINICIUS DE SOUZA</x:v>
      </x:c>
      <x:c r="V559" s="22" t="str">
        <x:f>"098.766.986-99"</x:f>
        <x:v>098.766.986-99</x:v>
      </x:c>
      <x:c r="W559" s="22" t="str">
        <x:f>"09876698699"</x:f>
        <x:v>09876698699</x:v>
      </x:c>
      <x:c r="X559" s="23" t="str">
        <x:v>carlosviniciussouza5@gmail.com</x:v>
      </x:c>
      <x:c r="Y559" s="22" t="str">
        <x:f>"21999253780"</x:f>
        <x:v>21999253780</x:v>
      </x:c>
      <x:c r="Z559" s="30" t="n">
        <x:v>46336</x:v>
      </x:c>
    </x:row>
    <x:row r="560" ht="18" customHeight="1">
      <x:c r="A560" s="22" t="str">
        <x:f>"14c1890f-9d40-40c5-86f1-66d0cf00e1f4"</x:f>
        <x:v>14c1890f-9d40-40c5-86f1-66d0cf00e1f4</x:v>
      </x:c>
      <x:c r="B560" s="23" t="str">
        <x:v>CAROLINA FURTADO GONZAGA FARAH</x:v>
      </x:c>
      <x:c r="C560" s="23" t="str">
        <x:v>carolina furtado gonzaga farah</x:v>
      </x:c>
      <x:c r="D560" s="22" t="str">
        <x:f>"55.941.671/0001-49"</x:f>
        <x:v>55.941.671/0001-49</x:v>
      </x:c>
      <x:c r="E560" s="22" t="str">
        <x:f>"55941671000149"</x:f>
        <x:v>55941671000149</x:v>
      </x:c>
      <x:c r="F560" s="22" t="str">
        <x:f>"080.381.536-00"</x:f>
        <x:v>080.381.536-00</x:v>
      </x:c>
      <x:c r="G560" s="22" t="str">
        <x:f>"08038153600"</x:f>
        <x:v>08038153600</x:v>
      </x:c>
      <x:c r="H560" s="23" t="str">
        <x:v>carolinafarah6@gmail.com</x:v>
      </x:c>
      <x:c r="I560" s="22" t="str">
        <x:f>"31 983562828"</x:f>
        <x:v>31 983562828</x:v>
      </x:c>
      <x:c r="J560" s="23" t="str">
        <x:v>SPOT</x:v>
      </x:c>
      <x:c r="K560" s="23" t="str">
        <x:v>favored_only</x:v>
      </x:c>
      <x:c r="L560" s="24" t="b">
        <x:v>1</x:v>
      </x:c>
      <x:c r="M560" s="23" t="n">
        <x:v>2</x:v>
      </x:c>
      <x:c r="N560" s="28" t="n">
        <x:v>46203.921824756944</x:v>
      </x:c>
      <x:c r="O560" s="28" t="n">
        <x:v>46219.812988715275</x:v>
      </x:c>
      <x:c r="P560" s="23" t="str">
        <x:v>CONTAGEM</x:v>
      </x:c>
      <x:c r="Q560" s="30" t="n">
        <x:v>31220</x:v>
      </x:c>
      <x:c r="R560" s="22" t="str">
        <x:f>"14017267"</x:f>
        <x:v>14017267</x:v>
      </x:c>
      <x:c r="S560" s="23" t="str">
        <x:v>feminino</x:v>
      </x:c>
      <x:c r="T560" s="22" t="str">
        <x:f>"TYD9I14"</x:f>
        <x:v>TYD9I14</x:v>
      </x:c>
      <x:c r="U560" s="23" t="str">
        <x:v>CAROLINA FURTADO GONZAGA FARAH</x:v>
      </x:c>
      <x:c r="V560" s="22" t="str">
        <x:f>"080.381.536-00"</x:f>
        <x:v>080.381.536-00</x:v>
      </x:c>
      <x:c r="W560" s="22" t="str">
        <x:f>"08038153600"</x:f>
        <x:v>08038153600</x:v>
      </x:c>
      <x:c r="X560" s="23" t="str">
        <x:v>carolinafarah6@gmail.com</x:v>
      </x:c>
      <x:c r="Y560" s="22" t="str">
        <x:f>"31983562828"</x:f>
        <x:v>31983562828</x:v>
      </x:c>
      <x:c r="Z560" s="30" t="n">
        <x:v>46409</x:v>
      </x:c>
    </x:row>
    <x:row r="561" ht="18" customHeight="1">
      <x:c r="A561" s="22" t="str">
        <x:f>"2dbd5ffe-50cc-410a-83ff-71c8300a15b4"</x:f>
        <x:v>2dbd5ffe-50cc-410a-83ff-71c8300a15b4</x:v>
      </x:c>
      <x:c r="B561" s="23" t="str">
        <x:v>CAROLINA ZACARIAS TASCA</x:v>
      </x:c>
      <x:c r="C561" s="23" t="str">
        <x:v>carolina zacarias tasca</x:v>
      </x:c>
      <x:c r="D561" s="22" t="str">
        <x:f>"66.147.979/0001-33"</x:f>
        <x:v>66.147.979/0001-33</x:v>
      </x:c>
      <x:c r="E561" s="22" t="str">
        <x:f>"66147979000133"</x:f>
        <x:v>66147979000133</x:v>
      </x:c>
      <x:c r="F561" s="22" t="str">
        <x:f>"410.148.318-30"</x:f>
        <x:v>410.148.318-30</x:v>
      </x:c>
      <x:c r="G561" s="22" t="str">
        <x:f>"41014831830"</x:f>
        <x:v>41014831830</x:v>
      </x:c>
      <x:c r="H561" s="23" t="str">
        <x:v>Karolina_k_rol@live.com</x:v>
      </x:c>
      <x:c r="I561" s="22" t="str">
        <x:f>"17997296001"</x:f>
        <x:v>17997296001</x:v>
      </x:c>
      <x:c r="J561" s="23" t="str">
        <x:v>SPOT</x:v>
      </x:c>
      <x:c r="K561" s="23" t="str">
        <x:v>favored_only</x:v>
      </x:c>
      <x:c r="L561" s="24" t="b">
        <x:v>1</x:v>
      </x:c>
      <x:c r="M561" s="23" t="n">
        <x:v>1</x:v>
      </x:c>
      <x:c r="N561" s="28" t="n">
        <x:v>46219.812988715275</x:v>
      </x:c>
      <x:c r="O561" s="28" t="n">
        <x:v>46219.812988715275</x:v>
      </x:c>
      <x:c r="P561" s="23" t="str">
        <x:v>SÃO JOSE DO RIO PRETO</x:v>
      </x:c>
      <x:c r="Q561" s="30" t="n">
        <x:v>34322</x:v>
      </x:c>
      <x:c r="R561" s="22" t="str">
        <x:f>"48945818"</x:f>
        <x:v>48945818</x:v>
      </x:c>
      <x:c r="S561" s="23" t="str">
        <x:v>feminino</x:v>
      </x:c>
      <x:c r="T561" s="22" t="str">
        <x:f>"EAQ8H10"</x:f>
        <x:v>EAQ8H10</x:v>
      </x:c>
      <x:c r="U561" s="23" t="str">
        <x:v>GABRIEL ZACARIAS TASCA</x:v>
      </x:c>
      <x:c r="V561" s="22" t="str">
        <x:f>"523.585.948-06"</x:f>
        <x:v>523.585.948-06</x:v>
      </x:c>
      <x:c r="W561" s="22" t="str">
        <x:f>"52358594806"</x:f>
        <x:v>52358594806</x:v>
      </x:c>
      <x:c r="X561" s="23" t="str">
        <x:v>bielzinho2020@icloud.com</x:v>
      </x:c>
      <x:c r="Y561" s="22" t="str">
        <x:f>"17 99676-0185"</x:f>
        <x:v>17 99676-0185</x:v>
      </x:c>
      <x:c r="Z561" s="30" t="n">
        <x:v>46528</x:v>
      </x:c>
    </x:row>
    <x:row r="562" ht="18" customHeight="1">
      <x:c r="A562" s="22" t="str">
        <x:f>"108d2c03-e9e8-4206-ad12-56084f7559de"</x:f>
        <x:v>108d2c03-e9e8-4206-ad12-56084f7559de</x:v>
      </x:c>
      <x:c r="B562" s="23" t="str">
        <x:v>CAROLINE CARDOSO JUVENAL</x:v>
      </x:c>
      <x:c r="C562" s="23" t="str">
        <x:v>caroline cardoso juvenal</x:v>
      </x:c>
      <x:c r="D562" s="22" t="str">
        <x:f>"46.219.785/0001-99"</x:f>
        <x:v>46.219.785/0001-99</x:v>
      </x:c>
      <x:c r="E562" s="22" t="str">
        <x:f>"46219785000199"</x:f>
        <x:v>46219785000199</x:v>
      </x:c>
      <x:c r="F562" s="22" t="str">
        <x:f>"384.297.718-24"</x:f>
        <x:v>384.297.718-24</x:v>
      </x:c>
      <x:c r="G562" s="22" t="str">
        <x:f>"38429771824"</x:f>
        <x:v>38429771824</x:v>
      </x:c>
      <x:c r="H562" s="23" t="str">
        <x:v>carolinecardosowq@icloud.com</x:v>
      </x:c>
      <x:c r="I562" s="22" t="str">
        <x:f>"11933764140"</x:f>
        <x:v>11933764140</x:v>
      </x:c>
      <x:c r="J562" s="23" t="str">
        <x:v>RENTAL</x:v>
      </x:c>
      <x:c r="K562" s="23" t="str">
        <x:v>rental_company</x:v>
      </x:c>
      <x:c r="L562" s="24" t="b">
        <x:v>1</x:v>
      </x:c>
      <x:c r="M562" s="23" t="n">
        <x:v>1</x:v>
      </x:c>
      <x:c r="N562" s="28" t="n">
        <x:v>46203.9219084375</x:v>
      </x:c>
      <x:c r="O562" s="28" t="n">
        <x:v>46219.812988715275</x:v>
      </x:c>
      <x:c r="P562" s="23" t="str">
        <x:v>MADEIRA MADEIRA</x:v>
      </x:c>
      <x:c r="Q562" s="30" t="n">
        <x:v>34852</x:v>
      </x:c>
      <x:c r="R562" s="22" t="str">
        <x:f>"381556116"</x:f>
        <x:v>381556116</x:v>
      </x:c>
      <x:c r="S562" s="23" t="str">
        <x:v>feminino</x:v>
      </x:c>
      <x:c r="T562" s="22" t="str"/>
      <x:c r="U562" s="23" t="str">
        <x:v>CAROLINE CARDOSO JUVENAL</x:v>
      </x:c>
      <x:c r="V562" s="22" t="str">
        <x:f>"384.297.718-24"</x:f>
        <x:v>384.297.718-24</x:v>
      </x:c>
      <x:c r="W562" s="22" t="str">
        <x:f>"38429771824"</x:f>
        <x:v>38429771824</x:v>
      </x:c>
      <x:c r="X562" s="23" t="str">
        <x:v>carolinecardosowq@icloud.com</x:v>
      </x:c>
      <x:c r="Y562" s="22" t="str">
        <x:f>"11933764140"</x:f>
        <x:v>11933764140</x:v>
      </x:c>
      <x:c r="Z562" s="30" t="n">
        <x:v>46394</x:v>
      </x:c>
    </x:row>
    <x:row r="563" ht="18" customHeight="1">
      <x:c r="A563" s="22" t="str">
        <x:f>"39a18807-41fa-4cab-945f-43144057d884"</x:f>
        <x:v>39a18807-41fa-4cab-945f-43144057d884</x:v>
      </x:c>
      <x:c r="B563" s="23" t="str">
        <x:v>CAROLINE CRISTINA MIRANDA CABRAL</x:v>
      </x:c>
      <x:c r="C563" s="23" t="str">
        <x:v>caroline cristina miranda cabral</x:v>
      </x:c>
      <x:c r="D563" s="22" t="str">
        <x:f>"60.305.192/0001-76"</x:f>
        <x:v>60.305.192/0001-76</x:v>
      </x:c>
      <x:c r="E563" s="22" t="str">
        <x:f>"60305192000176"</x:f>
        <x:v>60305192000176</x:v>
      </x:c>
      <x:c r="F563" s="22" t="str">
        <x:f>"126.738.946-08"</x:f>
        <x:v>126.738.946-08</x:v>
      </x:c>
      <x:c r="G563" s="22" t="str">
        <x:f>"12673894608"</x:f>
        <x:v>12673894608</x:v>
      </x:c>
      <x:c r="H563" s="23" t="str">
        <x:v>pontofrioms@gmail.com</x:v>
      </x:c>
      <x:c r="I563" s="22" t="str">
        <x:f>"6599246148"</x:f>
        <x:v>6599246148</x:v>
      </x:c>
      <x:c r="J563" s="23" t="str">
        <x:v>SPOT</x:v>
      </x:c>
      <x:c r="K563" s="23" t="str">
        <x:v>favored_only</x:v>
      </x:c>
      <x:c r="L563" s="24" t="b">
        <x:v>1</x:v>
      </x:c>
      <x:c r="M563" s="23" t="n">
        <x:v>1</x:v>
      </x:c>
      <x:c r="N563" s="28" t="n">
        <x:v>46219.812988715275</x:v>
      </x:c>
      <x:c r="O563" s="28" t="n">
        <x:v>46219.812988715275</x:v>
      </x:c>
      <x:c r="P563" s="23" t="str">
        <x:v>CHAPADÃO DO SUL</x:v>
      </x:c>
      <x:c r="Q563" s="30" t="n">
        <x:v>35370</x:v>
      </x:c>
      <x:c r="R563" s="22" t="str">
        <x:f>"17879-154"</x:f>
        <x:v>17879-154</x:v>
      </x:c>
      <x:c r="S563" s="23" t="str">
        <x:v>feminino</x:v>
      </x:c>
      <x:c r="T563" s="22" t="str">
        <x:f>"QAN5E06"</x:f>
        <x:v>QAN5E06</x:v>
      </x:c>
      <x:c r="U563" s="23" t="str">
        <x:v>CASSICLEI CEZAR SILVA GUIMARAES</x:v>
      </x:c>
      <x:c r="V563" s="22" t="str">
        <x:f>"045.251.681-10"</x:f>
        <x:v>045.251.681-10</x:v>
      </x:c>
      <x:c r="W563" s="22" t="str">
        <x:f>"04525168110"</x:f>
        <x:v>04525168110</x:v>
      </x:c>
      <x:c r="X563" s="23" t="str">
        <x:v>cacioguimaraes1991@gmail.com</x:v>
      </x:c>
      <x:c r="Y563" s="22" t="str">
        <x:f>"6781917493"</x:f>
        <x:v>6781917493</x:v>
      </x:c>
      <x:c r="Z563" s="30" t="n">
        <x:v>46501</x:v>
      </x:c>
    </x:row>
    <x:row r="564" ht="18" customHeight="1">
      <x:c r="A564" s="22" t="str">
        <x:f>"c2f7ba1a-8c69-49be-9662-e3b443404847"</x:f>
        <x:v>c2f7ba1a-8c69-49be-9662-e3b443404847</x:v>
      </x:c>
      <x:c r="B564" s="23" t="str">
        <x:v>CAROLINE MOURA ABUD</x:v>
      </x:c>
      <x:c r="C564" s="23" t="str">
        <x:v>caroline moura abud</x:v>
      </x:c>
      <x:c r="D564" s="22" t="str">
        <x:f>"63536321000125"</x:f>
        <x:v>63536321000125</x:v>
      </x:c>
      <x:c r="E564" s="22" t="str">
        <x:f>"63536321000125"</x:f>
        <x:v>63536321000125</x:v>
      </x:c>
      <x:c r="F564" s="22" t="str">
        <x:f>"44591714810"</x:f>
        <x:v>44591714810</x:v>
      </x:c>
      <x:c r="G564" s="22" t="str">
        <x:f>"44591714810"</x:f>
        <x:v>44591714810</x:v>
      </x:c>
      <x:c r="H564" s="23" t="str">
        <x:v>Carolabud0@hotmail.com</x:v>
      </x:c>
      <x:c r="I564" s="22" t="str">
        <x:f>"16997149351"</x:f>
        <x:v>16997149351</x:v>
      </x:c>
      <x:c r="J564" s="23" t="str">
        <x:v>SPOT</x:v>
      </x:c>
      <x:c r="K564" s="23" t="str">
        <x:v>favored_only</x:v>
      </x:c>
      <x:c r="L564" s="24" t="b">
        <x:v>1</x:v>
      </x:c>
      <x:c r="M564" s="23" t="n">
        <x:v>1</x:v>
      </x:c>
      <x:c r="N564" s="28" t="n">
        <x:v>46203.92191240741</x:v>
      </x:c>
      <x:c r="O564" s="28" t="n">
        <x:v>46203.92191240741</x:v>
      </x:c>
      <x:c r="P564" s="23" t="str"/>
      <x:c r="Q564" s="30" t="str"/>
      <x:c r="R564" s="22" t="str"/>
      <x:c r="S564" s="23" t="str"/>
      <x:c r="T564" s="22" t="str"/>
      <x:c r="U564" s="23" t="str">
        <x:v>CAROLINE MOURA ABUD</x:v>
      </x:c>
      <x:c r="V564" s="22" t="str">
        <x:f>"44591714810"</x:f>
        <x:v>44591714810</x:v>
      </x:c>
      <x:c r="W564" s="22" t="str">
        <x:f>"44591714810"</x:f>
        <x:v>44591714810</x:v>
      </x:c>
      <x:c r="X564" s="23" t="str">
        <x:v>Carolabud0@hotmail.com</x:v>
      </x:c>
      <x:c r="Y564" s="22" t="str">
        <x:f>"16997149351"</x:f>
        <x:v>16997149351</x:v>
      </x:c>
      <x:c r="Z564" s="30" t="str"/>
    </x:row>
    <x:row r="565" ht="18" customHeight="1">
      <x:c r="A565" s="22" t="str">
        <x:f>"15a9570a-5214-458d-8ba9-37a039b4b517"</x:f>
        <x:v>15a9570a-5214-458d-8ba9-37a039b4b517</x:v>
      </x:c>
      <x:c r="B565" s="23" t="str">
        <x:v>Cassiclei Cezar Silva Guimarães</x:v>
      </x:c>
      <x:c r="C565" s="23" t="str">
        <x:v>cassiclei cezar silva guimaraes</x:v>
      </x:c>
      <x:c r="D565" s="22" t="str">
        <x:f>"603051920001-76"</x:f>
        <x:v>603051920001-76</x:v>
      </x:c>
      <x:c r="E565" s="22" t="str">
        <x:f>"60305192000176"</x:f>
        <x:v>60305192000176</x:v>
      </x:c>
      <x:c r="F565" s="22" t="str">
        <x:f>"045.251.681-10"</x:f>
        <x:v>045.251.681-10</x:v>
      </x:c>
      <x:c r="G565" s="22" t="str">
        <x:f>"04525168110"</x:f>
        <x:v>04525168110</x:v>
      </x:c>
      <x:c r="H565" s="23" t="str">
        <x:v>cacioguimaraes1991@gmail.com</x:v>
      </x:c>
      <x:c r="I565" s="22" t="str">
        <x:f>"67981917493"</x:f>
        <x:v>67981917493</x:v>
      </x:c>
      <x:c r="J565" s="23" t="str">
        <x:v>SPOT</x:v>
      </x:c>
      <x:c r="K565" s="23" t="str">
        <x:v>favored_only</x:v>
      </x:c>
      <x:c r="L565" s="24" t="b">
        <x:v>1</x:v>
      </x:c>
      <x:c r="M565" s="23" t="n">
        <x:v>1</x:v>
      </x:c>
      <x:c r="N565" s="28" t="n">
        <x:v>46203.92189965278</x:v>
      </x:c>
      <x:c r="O565" s="28" t="n">
        <x:v>46220.503971261576</x:v>
      </x:c>
      <x:c r="P565" s="23" t="str">
        <x:v>CHAPADÃO DO SUL</x:v>
      </x:c>
      <x:c r="Q565" s="30" t="str"/>
      <x:c r="R565" s="22" t="str"/>
      <x:c r="S565" s="23" t="str"/>
      <x:c r="T565" s="22" t="str"/>
      <x:c r="U565" s="23" t="str">
        <x:v>Cassiclei Cezar Silva Guimarães</x:v>
      </x:c>
      <x:c r="V565" s="22" t="str">
        <x:f>"045.251.681-10"</x:f>
        <x:v>045.251.681-10</x:v>
      </x:c>
      <x:c r="W565" s="22" t="str">
        <x:f>"04525168110"</x:f>
        <x:v>04525168110</x:v>
      </x:c>
      <x:c r="X565" s="23" t="str">
        <x:v>cacioguimaraes1991@gmail.com</x:v>
      </x:c>
      <x:c r="Y565" s="22" t="str">
        <x:f>"67981917493"</x:f>
        <x:v>67981917493</x:v>
      </x:c>
      <x:c r="Z565" s="30" t="str"/>
    </x:row>
    <x:row r="566" ht="18" customHeight="1">
      <x:c r="A566" s="22" t="str">
        <x:f>"94de5061-85bc-4ed7-abec-25a76ed33311"</x:f>
        <x:v>94de5061-85bc-4ed7-abec-25a76ed33311</x:v>
      </x:c>
      <x:c r="B566" s="23" t="str">
        <x:v>CASSIO BORGES CARDOSO</x:v>
      </x:c>
      <x:c r="C566" s="23" t="str">
        <x:v>cassio borges cardoso</x:v>
      </x:c>
      <x:c r="D566" s="22" t="str">
        <x:f>"46.672.364/0001-19"</x:f>
        <x:v>46.672.364/0001-19</x:v>
      </x:c>
      <x:c r="E566" s="22" t="str">
        <x:f>"46672364000119"</x:f>
        <x:v>46672364000119</x:v>
      </x:c>
      <x:c r="F566" s="22" t="str">
        <x:f>"903.907.251-53"</x:f>
        <x:v>903.907.251-53</x:v>
      </x:c>
      <x:c r="G566" s="22" t="str">
        <x:f>"90390725153"</x:f>
        <x:v>90390725153</x:v>
      </x:c>
      <x:c r="H566" s="23" t="str">
        <x:v>cassiocardoso521@gmail.com</x:v>
      </x:c>
      <x:c r="I566" s="22" t="str">
        <x:f>"62 8463-5773"</x:f>
        <x:v>62 8463-5773</x:v>
      </x:c>
      <x:c r="J566" s="23" t="str">
        <x:v>SPOT</x:v>
      </x:c>
      <x:c r="K566" s="23" t="str">
        <x:v>favored_only</x:v>
      </x:c>
      <x:c r="L566" s="24" t="b">
        <x:v>1</x:v>
      </x:c>
      <x:c r="M566" s="23" t="n">
        <x:v>1</x:v>
      </x:c>
      <x:c r="N566" s="28" t="n">
        <x:v>46219.812988715275</x:v>
      </x:c>
      <x:c r="O566" s="28" t="n">
        <x:v>46219.812988715275</x:v>
      </x:c>
      <x:c r="P566" s="23" t="str">
        <x:v>MOZARLANDIA</x:v>
      </x:c>
      <x:c r="Q566" s="30" t="n">
        <x:v>29215</x:v>
      </x:c>
      <x:c r="R566" s="22" t="str">
        <x:f>"4188730"</x:f>
        <x:v>4188730</x:v>
      </x:c>
      <x:c r="S566" s="23" t="str">
        <x:v>masculino</x:v>
      </x:c>
      <x:c r="T566" s="22" t="str">
        <x:f>"RTR2D57"</x:f>
        <x:v>RTR2D57</x:v>
      </x:c>
      <x:c r="U566" s="23" t="str">
        <x:v>CASSIO BORGES CARDOSO</x:v>
      </x:c>
      <x:c r="V566" s="22" t="str">
        <x:f>"903.907.251-53"</x:f>
        <x:v>903.907.251-53</x:v>
      </x:c>
      <x:c r="W566" s="22" t="str">
        <x:f>"90390725153"</x:f>
        <x:v>90390725153</x:v>
      </x:c>
      <x:c r="X566" s="23" t="str">
        <x:v>cassiocardoso521@gmail.com</x:v>
      </x:c>
      <x:c r="Y566" s="22" t="str">
        <x:f>"62 8463-5773"</x:f>
        <x:v>62 8463-5773</x:v>
      </x:c>
      <x:c r="Z566" s="30" t="n">
        <x:v>46546</x:v>
      </x:c>
    </x:row>
    <x:row r="567" ht="18" customHeight="1">
      <x:c r="A567" s="22" t="str">
        <x:f>"628c6412-dea3-4580-95d2-a2df62846f8a"</x:f>
        <x:v>628c6412-dea3-4580-95d2-a2df62846f8a</x:v>
      </x:c>
      <x:c r="B567" s="23" t="str">
        <x:v>CASSIO HENRIQUE DE OLIVEIRA DINIZ</x:v>
      </x:c>
      <x:c r="C567" s="23" t="str">
        <x:v>cassio henrique de oliveira diniz</x:v>
      </x:c>
      <x:c r="D567" s="22" t="str">
        <x:f>"05.708.235/0000-16"</x:f>
        <x:v>05.708.235/0000-16</x:v>
      </x:c>
      <x:c r="E567" s="22" t="str">
        <x:f>"05708235000016"</x:f>
        <x:v>05708235000016</x:v>
      </x:c>
      <x:c r="F567" s="22" t="str">
        <x:f>"030.784.071-95"</x:f>
        <x:v>030.784.071-95</x:v>
      </x:c>
      <x:c r="G567" s="22" t="str">
        <x:f>"03078407195"</x:f>
        <x:v>03078407195</x:v>
      </x:c>
      <x:c r="H567" s="23" t="str">
        <x:v>cassio.dinizz@hotmail.com</x:v>
      </x:c>
      <x:c r="I567" s="22" t="str">
        <x:f>"65)99963-7771"</x:f>
        <x:v>65)99963-7771</x:v>
      </x:c>
      <x:c r="J567" s="23" t="str">
        <x:v>SPOT</x:v>
      </x:c>
      <x:c r="K567" s="23" t="str">
        <x:v>favored_only</x:v>
      </x:c>
      <x:c r="L567" s="24" t="b">
        <x:v>1</x:v>
      </x:c>
      <x:c r="M567" s="23" t="n">
        <x:v>1</x:v>
      </x:c>
      <x:c r="N567" s="28" t="n">
        <x:v>46219.812988715275</x:v>
      </x:c>
      <x:c r="O567" s="28" t="n">
        <x:v>46219.812988715275</x:v>
      </x:c>
      <x:c r="P567" s="23" t="str">
        <x:v>CUIABA</x:v>
      </x:c>
      <x:c r="Q567" s="30" t="n">
        <x:v>33263</x:v>
      </x:c>
      <x:c r="R567" s="22" t="str">
        <x:f>"1585042-0"</x:f>
        <x:v>1585042-0</x:v>
      </x:c>
      <x:c r="S567" s="23" t="str">
        <x:v>masculino</x:v>
      </x:c>
      <x:c r="T567" s="22" t="str">
        <x:f>"RTR2J96"</x:f>
        <x:v>RTR2J96</x:v>
      </x:c>
      <x:c r="U567" s="23" t="str">
        <x:v>NOME EMPRESARIAL CEMAQ MAQUINAS E SERVICOS LTDA</x:v>
      </x:c>
      <x:c r="V567" s="22" t="str">
        <x:f>"047.291.791-96"</x:f>
        <x:v>047.291.791-96</x:v>
      </x:c>
      <x:c r="W567" s="22" t="str">
        <x:f>"04729179196"</x:f>
        <x:v>04729179196</x:v>
      </x:c>
      <x:c r="X567" s="23" t="str">
        <x:v>caio.diniz10@icloud.com</x:v>
      </x:c>
      <x:c r="Y567" s="22" t="str">
        <x:f>"6599693-1393"</x:f>
        <x:v>6599693-1393</x:v>
      </x:c>
      <x:c r="Z567" s="30" t="n">
        <x:v>46508</x:v>
      </x:c>
    </x:row>
    <x:row r="568" ht="18" customHeight="1">
      <x:c r="A568" s="22" t="str">
        <x:f>"c461fde1-1fa5-4839-95eb-763cbae255b9"</x:f>
        <x:v>c461fde1-1fa5-4839-95eb-763cbae255b9</x:v>
      </x:c>
      <x:c r="B568" s="23" t="str">
        <x:v>CASSIO HENRIQUE DE OLIVEIRA DINIZ</x:v>
      </x:c>
      <x:c r="C568" s="23" t="str">
        <x:v>cassio henrique de oliveira diniz</x:v>
      </x:c>
      <x:c r="D568" s="22" t="str">
        <x:f>"57.082.350/0001-61"</x:f>
        <x:v>57.082.350/0001-61</x:v>
      </x:c>
      <x:c r="E568" s="22" t="str">
        <x:f>"57082350000161"</x:f>
        <x:v>57082350000161</x:v>
      </x:c>
      <x:c r="F568" s="22" t="str">
        <x:f>"030.784.071-95"</x:f>
        <x:v>030.784.071-95</x:v>
      </x:c>
      <x:c r="G568" s="22" t="str">
        <x:f>"03078407195"</x:f>
        <x:v>03078407195</x:v>
      </x:c>
      <x:c r="H568" s="23" t="str">
        <x:v>cassio.dinizz@hotmail.com</x:v>
      </x:c>
      <x:c r="I568" s="22" t="str">
        <x:f>"6599963-7771"</x:f>
        <x:v>6599963-7771</x:v>
      </x:c>
      <x:c r="J568" s="23" t="str">
        <x:v>SPOT</x:v>
      </x:c>
      <x:c r="K568" s="23" t="str">
        <x:v>favored_only</x:v>
      </x:c>
      <x:c r="L568" s="24" t="b">
        <x:v>1</x:v>
      </x:c>
      <x:c r="M568" s="23" t="n">
        <x:v>1</x:v>
      </x:c>
      <x:c r="N568" s="28" t="n">
        <x:v>46219.812988715275</x:v>
      </x:c>
      <x:c r="O568" s="28" t="n">
        <x:v>46219.812988715275</x:v>
      </x:c>
      <x:c r="P568" s="23" t="str">
        <x:v>CUIABA</x:v>
      </x:c>
      <x:c r="Q568" s="30" t="n">
        <x:v>33263</x:v>
      </x:c>
      <x:c r="R568" s="22" t="str">
        <x:f>"1585042-0"</x:f>
        <x:v>1585042-0</x:v>
      </x:c>
      <x:c r="S568" s="23" t="str">
        <x:v>masculino</x:v>
      </x:c>
      <x:c r="T568" s="22" t="str">
        <x:f>"RTR2J96"</x:f>
        <x:v>RTR2J96</x:v>
      </x:c>
      <x:c r="U568" s="23" t="str">
        <x:v>CAIO FERNANDO DE OLIVEIRA DINIZ</x:v>
      </x:c>
      <x:c r="V568" s="22" t="str">
        <x:f>"047.291.791-96"</x:f>
        <x:v>047.291.791-96</x:v>
      </x:c>
      <x:c r="W568" s="22" t="str">
        <x:f>"04729179196"</x:f>
        <x:v>04729179196</x:v>
      </x:c>
      <x:c r="X568" s="23" t="str">
        <x:v>caio.diniz10@icloud.com</x:v>
      </x:c>
      <x:c r="Y568" s="22" t="str">
        <x:f>"6599693-1393"</x:f>
        <x:v>6599693-1393</x:v>
      </x:c>
      <x:c r="Z568" s="30" t="n">
        <x:v>46518</x:v>
      </x:c>
    </x:row>
    <x:row r="569" ht="18" customHeight="1">
      <x:c r="A569" s="22" t="str">
        <x:f>"98fcb068-18b1-46cb-be5c-20562c5ca6e2"</x:f>
        <x:v>98fcb068-18b1-46cb-be5c-20562c5ca6e2</x:v>
      </x:c>
      <x:c r="B569" s="23" t="str">
        <x:v>CASSIO JESSE DE MENEZES FRANCISCO</x:v>
      </x:c>
      <x:c r="C569" s="23" t="str">
        <x:v>cassio jesse de menezes francisco</x:v>
      </x:c>
      <x:c r="D569" s="22" t="str">
        <x:f>"63.553.435/0001-83"</x:f>
        <x:v>63.553.435/0001-83</x:v>
      </x:c>
      <x:c r="E569" s="22" t="str">
        <x:f>"63553435000183"</x:f>
        <x:v>63553435000183</x:v>
      </x:c>
      <x:c r="F569" s="22" t="str">
        <x:f>"198.523.897-77"</x:f>
        <x:v>198.523.897-77</x:v>
      </x:c>
      <x:c r="G569" s="22" t="str">
        <x:f>"19852389777"</x:f>
        <x:v>19852389777</x:v>
      </x:c>
      <x:c r="H569" s="23" t="str">
        <x:v>gu.portugalpena@gmail.com</x:v>
      </x:c>
      <x:c r="I569" s="22" t="str">
        <x:f>"2196937-8529"</x:f>
        <x:v>2196937-8529</x:v>
      </x:c>
      <x:c r="J569" s="23" t="str">
        <x:v>SPOT</x:v>
      </x:c>
      <x:c r="K569" s="23" t="str">
        <x:v>favored_only</x:v>
      </x:c>
      <x:c r="L569" s="24" t="b">
        <x:v>1</x:v>
      </x:c>
      <x:c r="M569" s="23" t="n">
        <x:v>1</x:v>
      </x:c>
      <x:c r="N569" s="28" t="n">
        <x:v>46203.921887453704</x:v>
      </x:c>
      <x:c r="O569" s="28" t="n">
        <x:v>46219.812988715275</x:v>
      </x:c>
      <x:c r="P569" s="23" t="str">
        <x:v>CORDOVIL</x:v>
      </x:c>
      <x:c r="Q569" s="30" t="n">
        <x:v>37024</x:v>
      </x:c>
      <x:c r="R569" s="22" t="str">
        <x:f>"292026457"</x:f>
        <x:v>292026457</x:v>
      </x:c>
      <x:c r="S569" s="23" t="str">
        <x:v>masculino</x:v>
      </x:c>
      <x:c r="T569" s="22" t="str">
        <x:f>"KXI9I25"</x:f>
        <x:v>KXI9I25</x:v>
      </x:c>
      <x:c r="U569" s="23" t="str">
        <x:v>CASSIO JESSE DE MENEZES FRANCISCO</x:v>
      </x:c>
      <x:c r="V569" s="22" t="str">
        <x:f>"198.523.897-77"</x:f>
        <x:v>198.523.897-77</x:v>
      </x:c>
      <x:c r="W569" s="22" t="str">
        <x:f>"19852389777"</x:f>
        <x:v>19852389777</x:v>
      </x:c>
      <x:c r="X569" s="23" t="str">
        <x:v>gu.portugalpena@gmail.com</x:v>
      </x:c>
      <x:c r="Y569" s="22" t="str">
        <x:f>"2196937-8529"</x:f>
        <x:v>2196937-8529</x:v>
      </x:c>
      <x:c r="Z569" s="30" t="n">
        <x:v>46334</x:v>
      </x:c>
    </x:row>
    <x:row r="570" ht="18" customHeight="1">
      <x:c r="A570" s="22" t="str">
        <x:f>"43ff86e8-3f5f-4945-aac3-eaafe8c89866"</x:f>
        <x:v>43ff86e8-3f5f-4945-aac3-eaafe8c89866</x:v>
      </x:c>
      <x:c r="B570" s="23" t="str">
        <x:v>CASTREGIANY BONOTO</x:v>
      </x:c>
      <x:c r="C570" s="23" t="str">
        <x:v>castregiany bonoto</x:v>
      </x:c>
      <x:c r="D570" s="22" t="str">
        <x:f>"66.155.150/0001-82"</x:f>
        <x:v>66.155.150/0001-82</x:v>
      </x:c>
      <x:c r="E570" s="22" t="str">
        <x:f>"66155150000182"</x:f>
        <x:v>66155150000182</x:v>
      </x:c>
      <x:c r="F570" s="22" t="str">
        <x:f>"295.737.968-64"</x:f>
        <x:v>295.737.968-64</x:v>
      </x:c>
      <x:c r="G570" s="22" t="str">
        <x:f>"29573796864"</x:f>
        <x:v>29573796864</x:v>
      </x:c>
      <x:c r="H570" s="23" t="str">
        <x:v>castrebone515@gmail.com</x:v>
      </x:c>
      <x:c r="I570" s="22" t="str">
        <x:f>"(11) 98045-2894"</x:f>
        <x:v>(11) 98045-2894</x:v>
      </x:c>
      <x:c r="J570" s="23" t="str">
        <x:v>SPOT</x:v>
      </x:c>
      <x:c r="K570" s="23" t="str">
        <x:v>favored_only</x:v>
      </x:c>
      <x:c r="L570" s="24" t="b">
        <x:v>1</x:v>
      </x:c>
      <x:c r="M570" s="23" t="n">
        <x:v>1</x:v>
      </x:c>
      <x:c r="N570" s="28" t="n">
        <x:v>46219.812988715275</x:v>
      </x:c>
      <x:c r="O570" s="28" t="n">
        <x:v>46219.812988715275</x:v>
      </x:c>
      <x:c r="P570" s="23" t="str">
        <x:v>POUSO ALEGRE</x:v>
      </x:c>
      <x:c r="Q570" s="30" t="n">
        <x:v>30234</x:v>
      </x:c>
      <x:c r="R570" s="22" t="str">
        <x:f>"34459059 SSP SP"</x:f>
        <x:v>34459059 SSP SP</x:v>
      </x:c>
      <x:c r="S570" s="23" t="str">
        <x:v>masculino</x:v>
      </x:c>
      <x:c r="T570" s="22" t="str"/>
      <x:c r="U570" s="23" t="str">
        <x:v>CASTREGIANY BONOTO</x:v>
      </x:c>
      <x:c r="V570" s="22" t="str">
        <x:f>"295.737.968-64"</x:f>
        <x:v>295.737.968-64</x:v>
      </x:c>
      <x:c r="W570" s="22" t="str">
        <x:f>"29573796864"</x:f>
        <x:v>29573796864</x:v>
      </x:c>
      <x:c r="X570" s="23" t="str">
        <x:v>castrebone515@gmail.com</x:v>
      </x:c>
      <x:c r="Y570" s="22" t="str">
        <x:f>"(11) 98045-2894"</x:f>
        <x:v>(11) 98045-2894</x:v>
      </x:c>
      <x:c r="Z570" s="30" t="n">
        <x:v>46534</x:v>
      </x:c>
    </x:row>
    <x:row r="571" ht="18" customHeight="1">
      <x:c r="A571" s="22" t="str">
        <x:f>"2f47e1a7-a969-4721-b699-1c4aacd48863"</x:f>
        <x:v>2f47e1a7-a969-4721-b699-1c4aacd48863</x:v>
      </x:c>
      <x:c r="B571" s="23" t="str">
        <x:v>CATUIRA SILVA DE MOURA</x:v>
      </x:c>
      <x:c r="C571" s="23" t="str">
        <x:v>catuira silva de moura</x:v>
      </x:c>
      <x:c r="D571" s="22" t="str">
        <x:f>"62.709.788/0001-67"</x:f>
        <x:v>62.709.788/0001-67</x:v>
      </x:c>
      <x:c r="E571" s="22" t="str">
        <x:f>"62709788000167"</x:f>
        <x:v>62709788000167</x:v>
      </x:c>
      <x:c r="F571" s="22" t="str">
        <x:f>"066.263.836-04"</x:f>
        <x:v>066.263.836-04</x:v>
      </x:c>
      <x:c r="G571" s="22" t="str">
        <x:f>"06626383604"</x:f>
        <x:v>06626383604</x:v>
      </x:c>
      <x:c r="H571" s="23" t="str">
        <x:v>catuirasilvamoura@gmail.com</x:v>
      </x:c>
      <x:c r="I571" s="22" t="str">
        <x:f>"34988569631"</x:f>
        <x:v>34988569631</x:v>
      </x:c>
      <x:c r="J571" s="23" t="str">
        <x:v>SPOT</x:v>
      </x:c>
      <x:c r="K571" s="23" t="str">
        <x:v>favored_only</x:v>
      </x:c>
      <x:c r="L571" s="24" t="b">
        <x:v>1</x:v>
      </x:c>
      <x:c r="M571" s="23" t="n">
        <x:v>1</x:v>
      </x:c>
      <x:c r="N571" s="28" t="n">
        <x:v>46203.921904421295</x:v>
      </x:c>
      <x:c r="O571" s="28" t="n">
        <x:v>46219.812988715275</x:v>
      </x:c>
      <x:c r="P571" s="23" t="str">
        <x:v>ARAXÁ</x:v>
      </x:c>
      <x:c r="Q571" s="30" t="n">
        <x:v>30750</x:v>
      </x:c>
      <x:c r="R571" s="22" t="str">
        <x:f>"13874764"</x:f>
        <x:v>13874764</x:v>
      </x:c>
      <x:c r="S571" s="23" t="str">
        <x:v>feminino</x:v>
      </x:c>
      <x:c r="T571" s="22" t="str">
        <x:f>"ONU1B65"</x:f>
        <x:v>ONU1B65</x:v>
      </x:c>
      <x:c r="U571" s="23" t="str">
        <x:v>CATUIRA SILVA DE MOURA</x:v>
      </x:c>
      <x:c r="V571" s="22" t="str">
        <x:f>"066.263.836-04"</x:f>
        <x:v>066.263.836-04</x:v>
      </x:c>
      <x:c r="W571" s="22" t="str">
        <x:f>"06626383604"</x:f>
        <x:v>06626383604</x:v>
      </x:c>
      <x:c r="X571" s="23" t="str">
        <x:v>catuirasilvamoura@gmail.com</x:v>
      </x:c>
      <x:c r="Y571" s="22" t="str">
        <x:f>"34988569631"</x:f>
        <x:v>34988569631</x:v>
      </x:c>
      <x:c r="Z571" s="30" t="n">
        <x:v>46366</x:v>
      </x:c>
    </x:row>
    <x:row r="572" ht="18" customHeight="1">
      <x:c r="A572" s="22" t="str">
        <x:f>"fd3d10e4-4ad0-4f0a-b4d0-17084c52806f"</x:f>
        <x:v>fd3d10e4-4ad0-4f0a-b4d0-17084c52806f</x:v>
      </x:c>
      <x:c r="B572" s="23" t="str">
        <x:v>CAUA CLEBER DOS SANTOS FRANCISCO</x:v>
      </x:c>
      <x:c r="C572" s="23" t="str">
        <x:v>caua cleber dos santos francisco</x:v>
      </x:c>
      <x:c r="D572" s="22" t="str">
        <x:f>"64.682.100/0001-28"</x:f>
        <x:v>64.682.100/0001-28</x:v>
      </x:c>
      <x:c r="E572" s="22" t="str">
        <x:f>"64682100000128"</x:f>
        <x:v>64682100000128</x:v>
      </x:c>
      <x:c r="F572" s="22" t="str">
        <x:f>"213.610.077-70"</x:f>
        <x:v>213.610.077-70</x:v>
      </x:c>
      <x:c r="G572" s="22" t="str">
        <x:f>"21361007770"</x:f>
        <x:v>21361007770</x:v>
      </x:c>
      <x:c r="H572" s="23" t="str">
        <x:v>cauacleber410@gmail.com</x:v>
      </x:c>
      <x:c r="I572" s="22" t="str">
        <x:f>"(21) 96513-1356"</x:f>
        <x:v>(21) 96513-1356</x:v>
      </x:c>
      <x:c r="J572" s="23" t="str">
        <x:v>SPOT</x:v>
      </x:c>
      <x:c r="K572" s="23" t="str">
        <x:v>favored_only</x:v>
      </x:c>
      <x:c r="L572" s="24" t="b">
        <x:v>1</x:v>
      </x:c>
      <x:c r="M572" s="23" t="n">
        <x:v>1</x:v>
      </x:c>
      <x:c r="N572" s="28" t="n">
        <x:v>46219.812988715275</x:v>
      </x:c>
      <x:c r="O572" s="28" t="n">
        <x:v>46219.812988715275</x:v>
      </x:c>
      <x:c r="P572" s="23" t="str">
        <x:v>QUEIMADOS</x:v>
      </x:c>
      <x:c r="Q572" s="30" t="n">
        <x:v>38221</x:v>
      </x:c>
      <x:c r="R572" s="22" t="str">
        <x:f>"298216177"</x:f>
        <x:v>298216177</x:v>
      </x:c>
      <x:c r="S572" s="23" t="str">
        <x:v>masculino</x:v>
      </x:c>
      <x:c r="T572" s="22" t="str">
        <x:f>"KWP3C82"</x:f>
        <x:v>KWP3C82</x:v>
      </x:c>
      <x:c r="U572" s="23" t="str">
        <x:v>CAUA CLEBER DOS SANTOS FRANCISCO</x:v>
      </x:c>
      <x:c r="V572" s="22" t="str">
        <x:f>"213.610.077-70"</x:f>
        <x:v>213.610.077-70</x:v>
      </x:c>
      <x:c r="W572" s="22" t="str">
        <x:f>"21361007770"</x:f>
        <x:v>21361007770</x:v>
      </x:c>
      <x:c r="X572" s="23" t="str">
        <x:v>cauacleber410@gmail.com</x:v>
      </x:c>
      <x:c r="Y572" s="22" t="str">
        <x:f>"(21) 96513-1356"</x:f>
        <x:v>(21) 96513-1356</x:v>
      </x:c>
      <x:c r="Z572" s="30" t="n">
        <x:v>46466</x:v>
      </x:c>
    </x:row>
    <x:row r="573" ht="18" customHeight="1">
      <x:c r="A573" s="22" t="str">
        <x:f>"5c19f338-ede5-4d52-8e24-734eea3d3394"</x:f>
        <x:v>5c19f338-ede5-4d52-8e24-734eea3d3394</x:v>
      </x:c>
      <x:c r="B573" s="23" t="str">
        <x:v>CAUA WATANABE BRAGA</x:v>
      </x:c>
      <x:c r="C573" s="23" t="str">
        <x:v>caua watanabe braga</x:v>
      </x:c>
      <x:c r="D573" s="22" t="str">
        <x:f>"61.530.339/0001-94"</x:f>
        <x:v>61.530.339/0001-94</x:v>
      </x:c>
      <x:c r="E573" s="22" t="str">
        <x:f>"61530339000194"</x:f>
        <x:v>61530339000194</x:v>
      </x:c>
      <x:c r="F573" s="22" t="str">
        <x:f>"122.459.306-57"</x:f>
        <x:v>122.459.306-57</x:v>
      </x:c>
      <x:c r="G573" s="22" t="str">
        <x:f>"12245930657"</x:f>
        <x:v>12245930657</x:v>
      </x:c>
      <x:c r="H573" s="23" t="str">
        <x:v>cauawatanabe@gmail.com</x:v>
      </x:c>
      <x:c r="I573" s="22" t="str">
        <x:f>"31987132530"</x:f>
        <x:v>31987132530</x:v>
      </x:c>
      <x:c r="J573" s="23" t="str">
        <x:v>SPOT</x:v>
      </x:c>
      <x:c r="K573" s="23" t="str">
        <x:v>favored_only</x:v>
      </x:c>
      <x:c r="L573" s="24" t="b">
        <x:v>1</x:v>
      </x:c>
      <x:c r="M573" s="23" t="n">
        <x:v>1</x:v>
      </x:c>
      <x:c r="N573" s="28" t="n">
        <x:v>46205.60682256945</x:v>
      </x:c>
      <x:c r="O573" s="28" t="n">
        <x:v>46219.812988715275</x:v>
      </x:c>
      <x:c r="P573" s="23" t="str">
        <x:v>IPATINGA</x:v>
      </x:c>
      <x:c r="Q573" s="30" t="n">
        <x:v>38155</x:v>
      </x:c>
      <x:c r="R573" s="22" t="str">
        <x:f>"19899599"</x:f>
        <x:v>19899599</x:v>
      </x:c>
      <x:c r="S573" s="23" t="str">
        <x:v>masculino</x:v>
      </x:c>
      <x:c r="T573" s="22" t="str">
        <x:f>"MHI5I04"</x:f>
        <x:v>MHI5I04</x:v>
      </x:c>
      <x:c r="U573" s="23" t="str">
        <x:v>GABRIEL JHONATAN NETO SILVA</x:v>
      </x:c>
      <x:c r="V573" s="22" t="str">
        <x:f>"115.821.846-07"</x:f>
        <x:v>115.821.846-07</x:v>
      </x:c>
      <x:c r="W573" s="22" t="str">
        <x:f>"11582184607"</x:f>
        <x:v>11582184607</x:v>
      </x:c>
      <x:c r="X573" s="23" t="str">
        <x:v>gabrieljhonataalc25@outlook.com</x:v>
      </x:c>
      <x:c r="Y573" s="22" t="str">
        <x:f>"31998983413"</x:f>
        <x:v>31998983413</x:v>
      </x:c>
      <x:c r="Z573" s="30" t="n">
        <x:v>46378</x:v>
      </x:c>
    </x:row>
    <x:row r="574" ht="18" customHeight="1">
      <x:c r="A574" s="22" t="str">
        <x:f>"9ac9b71c-eb14-4642-b79c-2126fb7053a7"</x:f>
        <x:v>9ac9b71c-eb14-4642-b79c-2126fb7053a7</x:v>
      </x:c>
      <x:c r="B574" s="23" t="str">
        <x:v>CECILIA FERNANDES DOS SANTOS CARMO</x:v>
      </x:c>
      <x:c r="C574" s="23" t="str">
        <x:v>cecilia fernandes dos santos carmo</x:v>
      </x:c>
      <x:c r="D574" s="22" t="str">
        <x:f>"20.291.187/0001-37"</x:f>
        <x:v>20.291.187/0001-37</x:v>
      </x:c>
      <x:c r="E574" s="22" t="str">
        <x:f>"20291187000137"</x:f>
        <x:v>20291187000137</x:v>
      </x:c>
      <x:c r="F574" s="22" t="str">
        <x:f>"027.086.846-12"</x:f>
        <x:v>027.086.846-12</x:v>
      </x:c>
      <x:c r="G574" s="22" t="str">
        <x:f>"02708684612"</x:f>
        <x:v>02708684612</x:v>
      </x:c>
      <x:c r="H574" s="23" t="str">
        <x:v>anielyfernandeseng@yahoo.com</x:v>
      </x:c>
      <x:c r="I574" s="22" t="str">
        <x:f>"31984335953"</x:f>
        <x:v>31984335953</x:v>
      </x:c>
      <x:c r="J574" s="23" t="str">
        <x:v>SPOT</x:v>
      </x:c>
      <x:c r="K574" s="23" t="str">
        <x:v>favored_only</x:v>
      </x:c>
      <x:c r="L574" s="24" t="b">
        <x:v>1</x:v>
      </x:c>
      <x:c r="M574" s="23" t="n">
        <x:v>1</x:v>
      </x:c>
      <x:c r="N574" s="28" t="n">
        <x:v>46203.92189965278</x:v>
      </x:c>
      <x:c r="O574" s="28" t="n">
        <x:v>46219.812988715275</x:v>
      </x:c>
      <x:c r="P574" s="23" t="str">
        <x:v>CONCEIÇÃO DO MATO DENTRO</x:v>
      </x:c>
      <x:c r="Q574" s="30" t="n">
        <x:v>27150</x:v>
      </x:c>
      <x:c r="R574" s="22" t="str">
        <x:f>"MG-279020087"</x:f>
        <x:v>MG-279020087</x:v>
      </x:c>
      <x:c r="S574" s="23" t="str">
        <x:v>feminino</x:v>
      </x:c>
      <x:c r="T574" s="22" t="str">
        <x:f>"PUC6D59"</x:f>
        <x:v>PUC6D59</x:v>
      </x:c>
      <x:c r="U574" s="23" t="str">
        <x:v>CECILIA FERNANDES DOS SANTOS CARMO</x:v>
      </x:c>
      <x:c r="V574" s="22" t="str">
        <x:f>"20291187000137"</x:f>
        <x:v>20291187000137</x:v>
      </x:c>
      <x:c r="W574" s="22" t="str">
        <x:f>"20291187000137"</x:f>
        <x:v>20291187000137</x:v>
      </x:c>
      <x:c r="X574" s="23" t="str">
        <x:v>ceciliafernandes39@hotmail.com</x:v>
      </x:c>
      <x:c r="Y574" s="22" t="str">
        <x:f>"31984335953"</x:f>
        <x:v>31984335953</x:v>
      </x:c>
      <x:c r="Z574" s="30" t="n">
        <x:v>46345</x:v>
      </x:c>
    </x:row>
    <x:row r="575" ht="18" customHeight="1">
      <x:c r="A575" s="22" t="str">
        <x:f>"1326ec9d-f10d-4a34-822f-1027a64e0dfe"</x:f>
        <x:v>1326ec9d-f10d-4a34-822f-1027a64e0dfe</x:v>
      </x:c>
      <x:c r="B575" s="23" t="str">
        <x:v>CELENI MARIA CESAR ZAVATARIO</x:v>
      </x:c>
      <x:c r="C575" s="23" t="str">
        <x:v>celeni maria cesar zavatario</x:v>
      </x:c>
      <x:c r="D575" s="22" t="str">
        <x:f>"58.831.213/0001-45"</x:f>
        <x:v>58.831.213/0001-45</x:v>
      </x:c>
      <x:c r="E575" s="22" t="str">
        <x:f>"58831213000145"</x:f>
        <x:v>58831213000145</x:v>
      </x:c>
      <x:c r="F575" s="22" t="str">
        <x:f>"970.120.686-04"</x:f>
        <x:v>970.120.686-04</x:v>
      </x:c>
      <x:c r="G575" s="22" t="str">
        <x:f>"97012068604"</x:f>
        <x:v>97012068604</x:v>
      </x:c>
      <x:c r="H575" s="23" t="str">
        <x:v>CELENEZAVATARIO@GMAIL.COM</x:v>
      </x:c>
      <x:c r="I575" s="22" t="str">
        <x:f>"(31) 98848-7557"</x:f>
        <x:v>(31) 98848-7557</x:v>
      </x:c>
      <x:c r="J575" s="23" t="str">
        <x:v>RENTAL</x:v>
      </x:c>
      <x:c r="K575" s="23" t="str">
        <x:v>rental_company</x:v>
      </x:c>
      <x:c r="L575" s="24" t="b">
        <x:v>1</x:v>
      </x:c>
      <x:c r="M575" s="23" t="n">
        <x:v>1</x:v>
      </x:c>
      <x:c r="N575" s="28" t="n">
        <x:v>46203.92183017361</x:v>
      </x:c>
      <x:c r="O575" s="28" t="n">
        <x:v>46219.812988715275</x:v>
      </x:c>
      <x:c r="P575" s="23" t="str">
        <x:v>IPATINGA</x:v>
      </x:c>
      <x:c r="Q575" s="30" t="n">
        <x:v>26560</x:v>
      </x:c>
      <x:c r="R575" s="22" t="str">
        <x:f>"6481360"</x:f>
        <x:v>6481360</x:v>
      </x:c>
      <x:c r="S575" s="23" t="str">
        <x:v>feminino</x:v>
      </x:c>
      <x:c r="T575" s="22" t="str"/>
      <x:c r="U575" s="23" t="str">
        <x:v>CELENI MARIA CESAR ZAVATARIO</x:v>
      </x:c>
      <x:c r="V575" s="22" t="str">
        <x:f>"970.120.686-04"</x:f>
        <x:v>970.120.686-04</x:v>
      </x:c>
      <x:c r="W575" s="22" t="str">
        <x:f>"97012068604"</x:f>
        <x:v>97012068604</x:v>
      </x:c>
      <x:c r="X575" s="23" t="str">
        <x:v>CELENEZAVATARIO@GMAIL.COM</x:v>
      </x:c>
      <x:c r="Y575" s="22" t="str">
        <x:f>"(31) 98848-7557"</x:f>
        <x:v>(31) 98848-7557</x:v>
      </x:c>
      <x:c r="Z575" s="30" t="n">
        <x:v>46522</x:v>
      </x:c>
    </x:row>
    <x:row r="576" ht="18" customHeight="1">
      <x:c r="A576" s="22" t="str">
        <x:f>"a2da8e89-08b3-4b53-b4e4-be849de49f99"</x:f>
        <x:v>a2da8e89-08b3-4b53-b4e4-be849de49f99</x:v>
      </x:c>
      <x:c r="B576" s="23" t="str">
        <x:v>CELIO DO CARMO MIGUEL</x:v>
      </x:c>
      <x:c r="C576" s="23" t="str">
        <x:v>celio do carmo miguel</x:v>
      </x:c>
      <x:c r="D576" s="22" t="str">
        <x:f>"60.471.248/0001-62"</x:f>
        <x:v>60.471.248/0001-62</x:v>
      </x:c>
      <x:c r="E576" s="22" t="str">
        <x:f>"60471248000162"</x:f>
        <x:v>60471248000162</x:v>
      </x:c>
      <x:c r="F576" s="22" t="str">
        <x:f>"035.072.266-85"</x:f>
        <x:v>035.072.266-85</x:v>
      </x:c>
      <x:c r="G576" s="22" t="str">
        <x:f>"03507226685"</x:f>
        <x:v>03507226685</x:v>
      </x:c>
      <x:c r="H576" s="23" t="str">
        <x:v>celiomiguel2018@hotmail.com</x:v>
      </x:c>
      <x:c r="I576" s="22" t="str">
        <x:f>"31 98315-8409"</x:f>
        <x:v>31 98315-8409</x:v>
      </x:c>
      <x:c r="J576" s="23" t="str">
        <x:v>SPOT</x:v>
      </x:c>
      <x:c r="K576" s="23" t="str">
        <x:v>favored_only</x:v>
      </x:c>
      <x:c r="L576" s="24" t="b">
        <x:v>1</x:v>
      </x:c>
      <x:c r="M576" s="23" t="n">
        <x:v>1</x:v>
      </x:c>
      <x:c r="N576" s="28" t="n">
        <x:v>46205.60517361111</x:v>
      </x:c>
      <x:c r="O576" s="28" t="n">
        <x:v>46219.812988715275</x:v>
      </x:c>
      <x:c r="P576" s="23" t="str">
        <x:v>CONTAGEM</x:v>
      </x:c>
      <x:c r="Q576" s="30" t="n">
        <x:v>28545</x:v>
      </x:c>
      <x:c r="R576" s="22" t="str">
        <x:f>"8520510"</x:f>
        <x:v>8520510</x:v>
      </x:c>
      <x:c r="S576" s="23" t="str">
        <x:v>masculino</x:v>
      </x:c>
      <x:c r="T576" s="22" t="str">
        <x:f>"FS40G30"</x:f>
        <x:v>FS40G30</x:v>
      </x:c>
      <x:c r="U576" s="23" t="str">
        <x:v>FERNANDA GABRIELLA MAZZUCATO MIGUEL</x:v>
      </x:c>
      <x:c r="V576" s="22" t="str">
        <x:f>"158.585.326-75"</x:f>
        <x:v>158.585.326-75</x:v>
      </x:c>
      <x:c r="W576" s="22" t="str">
        <x:f>"15858532675"</x:f>
        <x:v>15858532675</x:v>
      </x:c>
      <x:c r="X576" s="23" t="str">
        <x:v>fernandagabriella222@gmail.com</x:v>
      </x:c>
      <x:c r="Y576" s="22" t="str">
        <x:f>"31993072311"</x:f>
        <x:v>31993072311</x:v>
      </x:c>
      <x:c r="Z576" s="30" t="n">
        <x:v>46313</x:v>
      </x:c>
    </x:row>
    <x:row r="577" ht="18" customHeight="1">
      <x:c r="A577" s="22" t="str">
        <x:f>"793ee93a-d871-47a3-9dfa-0390a6d38ff8"</x:f>
        <x:v>793ee93a-d871-47a3-9dfa-0390a6d38ff8</x:v>
      </x:c>
      <x:c r="B577" s="23" t="str">
        <x:v>CELIO ROBERTO DE BRITO BASTOS</x:v>
      </x:c>
      <x:c r="C577" s="23" t="str">
        <x:v>celio roberto de brito bastos</x:v>
      </x:c>
      <x:c r="D577" s="22" t="str">
        <x:f>"61.080.573/0001-67"</x:f>
        <x:v>61.080.573/0001-67</x:v>
      </x:c>
      <x:c r="E577" s="22" t="str">
        <x:f>"61080573000167"</x:f>
        <x:v>61080573000167</x:v>
      </x:c>
      <x:c r="F577" s="22" t="str">
        <x:f>"084.479.817-70"</x:f>
        <x:v>084.479.817-70</x:v>
      </x:c>
      <x:c r="G577" s="22" t="str">
        <x:f>"08447981770"</x:f>
        <x:v>08447981770</x:v>
      </x:c>
      <x:c r="H577" s="23" t="str">
        <x:v>celiobastossunset@gmail.com</x:v>
      </x:c>
      <x:c r="I577" s="22" t="str">
        <x:f>"21989041543"</x:f>
        <x:v>21989041543</x:v>
      </x:c>
      <x:c r="J577" s="23" t="str">
        <x:v>SPOT</x:v>
      </x:c>
      <x:c r="K577" s="23" t="str">
        <x:v>favored_only</x:v>
      </x:c>
      <x:c r="L577" s="24" t="b">
        <x:v>1</x:v>
      </x:c>
      <x:c r="M577" s="23" t="n">
        <x:v>1</x:v>
      </x:c>
      <x:c r="N577" s="28" t="n">
        <x:v>46203.92188238426</x:v>
      </x:c>
      <x:c r="O577" s="28" t="n">
        <x:v>46219.812988715275</x:v>
      </x:c>
      <x:c r="P577" s="23" t="str">
        <x:v>CORDOVIL</x:v>
      </x:c>
      <x:c r="Q577" s="30" t="n">
        <x:v>28499</x:v>
      </x:c>
      <x:c r="R577" s="22" t="str">
        <x:f>"123043564"</x:f>
        <x:v>123043564</x:v>
      </x:c>
      <x:c r="S577" s="23" t="str">
        <x:v>masculino</x:v>
      </x:c>
      <x:c r="T577" s="22" t="str">
        <x:f>"LPN7186"</x:f>
        <x:v>LPN7186</x:v>
      </x:c>
      <x:c r="U577" s="23" t="str">
        <x:v>CELIO ROBERTO DE BRITO BASTOS</x:v>
      </x:c>
      <x:c r="V577" s="22" t="str">
        <x:f>"084.479.817-70"</x:f>
        <x:v>084.479.817-70</x:v>
      </x:c>
      <x:c r="W577" s="22" t="str">
        <x:f>"08447981770"</x:f>
        <x:v>08447981770</x:v>
      </x:c>
      <x:c r="X577" s="23" t="str">
        <x:v>celiobastossunset@gmail.com</x:v>
      </x:c>
      <x:c r="Y577" s="22" t="str">
        <x:f>"21989041543"</x:f>
        <x:v>21989041543</x:v>
      </x:c>
      <x:c r="Z577" s="30" t="n">
        <x:v>46323</x:v>
      </x:c>
    </x:row>
    <x:row r="578" ht="18" customHeight="1">
      <x:c r="A578" s="22" t="str">
        <x:f>"aed735c0-7e40-43e2-8cac-5a1423743f92"</x:f>
        <x:v>aed735c0-7e40-43e2-8cac-5a1423743f92</x:v>
      </x:c>
      <x:c r="B578" s="23" t="str">
        <x:v>CELSO JOSE ANDRADES JUNIOR</x:v>
      </x:c>
      <x:c r="C578" s="23" t="str">
        <x:v>celso jose andrades junior</x:v>
      </x:c>
      <x:c r="D578" s="22" t="str">
        <x:f>"37.823.997/0001-90"</x:f>
        <x:v>37.823.997/0001-90</x:v>
      </x:c>
      <x:c r="E578" s="22" t="str">
        <x:f>"37823997000190"</x:f>
        <x:v>37823997000190</x:v>
      </x:c>
      <x:c r="F578" s="22" t="str">
        <x:f>"055.172.951-18"</x:f>
        <x:v>055.172.951-18</x:v>
      </x:c>
      <x:c r="G578" s="22" t="str">
        <x:f>"05517295118"</x:f>
        <x:v>05517295118</x:v>
      </x:c>
      <x:c r="H578" s="23" t="str">
        <x:v>mariacnc1999@gmail.com</x:v>
      </x:c>
      <x:c r="I578" s="22" t="str">
        <x:f>"+55 65 9277-5003"</x:f>
        <x:v>+55 65 9277-5003</x:v>
      </x:c>
      <x:c r="J578" s="23" t="str">
        <x:v>SPOT</x:v>
      </x:c>
      <x:c r="K578" s="23" t="str">
        <x:v>favored_only</x:v>
      </x:c>
      <x:c r="L578" s="24" t="b">
        <x:v>1</x:v>
      </x:c>
      <x:c r="M578" s="23" t="n">
        <x:v>1</x:v>
      </x:c>
      <x:c r="N578" s="28" t="n">
        <x:v>46219.812988715275</x:v>
      </x:c>
      <x:c r="O578" s="28" t="n">
        <x:v>46219.812988715275</x:v>
      </x:c>
      <x:c r="P578" s="23" t="str">
        <x:v>PONTES E LACERDA</x:v>
      </x:c>
      <x:c r="Q578" s="30" t="n">
        <x:v>34918</x:v>
      </x:c>
      <x:c r="R578" s="22" t="str">
        <x:f>"22332952"</x:f>
        <x:v>22332952</x:v>
      </x:c>
      <x:c r="S578" s="23" t="str">
        <x:v>masculino</x:v>
      </x:c>
      <x:c r="T578" s="22" t="str">
        <x:f>"NTY7C67"</x:f>
        <x:v>NTY7C67</x:v>
      </x:c>
      <x:c r="U578" s="23" t="str">
        <x:v>RODOPRIME TRANSPORTES E CARGAS LTDA</x:v>
      </x:c>
      <x:c r="V578" s="22" t="str">
        <x:f>"692.451.851-68"</x:f>
        <x:v>692.451.851-68</x:v>
      </x:c>
      <x:c r="W578" s="22" t="str">
        <x:f>"69245185168"</x:f>
        <x:v>69245185168</x:v>
      </x:c>
      <x:c r="X578" s="23" t="str">
        <x:v>mariacnc1999@gmail.com</x:v>
      </x:c>
      <x:c r="Y578" s="22" t="str">
        <x:f>"+55 65 9277-5003"</x:f>
        <x:v>+55 65 9277-5003</x:v>
      </x:c>
      <x:c r="Z578" s="30" t="n">
        <x:v>46476</x:v>
      </x:c>
    </x:row>
    <x:row r="579" ht="18" customHeight="1">
      <x:c r="A579" s="22" t="str">
        <x:f>"ee3ed204-4f76-4d0b-bd0c-b6c321b52739"</x:f>
        <x:v>ee3ed204-4f76-4d0b-bd0c-b6c321b52739</x:v>
      </x:c>
      <x:c r="B579" s="23" t="str">
        <x:v>CELSO LOPES DA SILVA JUNIOR</x:v>
      </x:c>
      <x:c r="C579" s="23" t="str">
        <x:v>celso lopes da silva junior</x:v>
      </x:c>
      <x:c r="D579" s="22" t="str">
        <x:f>"60.262.589/0001-28"</x:f>
        <x:v>60.262.589/0001-28</x:v>
      </x:c>
      <x:c r="E579" s="22" t="str">
        <x:f>"60262589000128"</x:f>
        <x:v>60262589000128</x:v>
      </x:c>
      <x:c r="F579" s="22" t="str">
        <x:f>"044.643.857-02"</x:f>
        <x:v>044.643.857-02</x:v>
      </x:c>
      <x:c r="G579" s="22" t="str">
        <x:f>"04464385702"</x:f>
        <x:v>04464385702</x:v>
      </x:c>
      <x:c r="H579" s="23" t="str">
        <x:v>lopescelsojunior@gmail.com</x:v>
      </x:c>
      <x:c r="I579" s="22" t="str">
        <x:f>"21 985017769"</x:f>
        <x:v>21 985017769</x:v>
      </x:c>
      <x:c r="J579" s="23" t="str">
        <x:v>SPOT</x:v>
      </x:c>
      <x:c r="K579" s="23" t="str">
        <x:v>favored_only</x:v>
      </x:c>
      <x:c r="L579" s="24" t="b">
        <x:v>1</x:v>
      </x:c>
      <x:c r="M579" s="23" t="n">
        <x:v>1</x:v>
      </x:c>
      <x:c r="N579" s="28" t="n">
        <x:v>46219.812988715275</x:v>
      </x:c>
      <x:c r="O579" s="28" t="n">
        <x:v>46219.812988715275</x:v>
      </x:c>
      <x:c r="P579" s="23" t="str">
        <x:v>CORDOVIL</x:v>
      </x:c>
      <x:c r="Q579" s="30" t="n">
        <x:v>28828</x:v>
      </x:c>
      <x:c r="R579" s="22" t="str">
        <x:f>"105548861"</x:f>
        <x:v>105548861</x:v>
      </x:c>
      <x:c r="S579" s="23" t="str">
        <x:v>masculino</x:v>
      </x:c>
      <x:c r="T579" s="22" t="str">
        <x:f>"LNH6E14"</x:f>
        <x:v>LNH6E14</x:v>
      </x:c>
      <x:c r="U579" s="23" t="str">
        <x:v>CELSO LOPES DA SILVA JUNIOR</x:v>
      </x:c>
      <x:c r="V579" s="22" t="str">
        <x:f>"044.643.857-02"</x:f>
        <x:v>044.643.857-02</x:v>
      </x:c>
      <x:c r="W579" s="22" t="str">
        <x:f>"04464385702"</x:f>
        <x:v>04464385702</x:v>
      </x:c>
      <x:c r="X579" s="23" t="str">
        <x:v>lopescelsojunior@gmail.com</x:v>
      </x:c>
      <x:c r="Y579" s="22" t="str">
        <x:f>"21 985017769"</x:f>
        <x:v>21 985017769</x:v>
      </x:c>
      <x:c r="Z579" s="30" t="n">
        <x:v>46491</x:v>
      </x:c>
    </x:row>
    <x:row r="580" ht="18" customHeight="1">
      <x:c r="A580" s="22" t="str">
        <x:f>"8bfc675f-1569-4dee-9c0d-38362b73daf5"</x:f>
        <x:v>8bfc675f-1569-4dee-9c0d-38362b73daf5</x:v>
      </x:c>
      <x:c r="B580" s="23" t="str">
        <x:v>CELSON FAGNER NOGUEIRA DE AMORIM</x:v>
      </x:c>
      <x:c r="C580" s="23" t="str">
        <x:v>celson fagner nogueira de amorim</x:v>
      </x:c>
      <x:c r="D580" s="22" t="str">
        <x:f>"67.191.743/0001-67"</x:f>
        <x:v>67.191.743/0001-67</x:v>
      </x:c>
      <x:c r="E580" s="22" t="str">
        <x:f>"67191743000167"</x:f>
        <x:v>67191743000167</x:v>
      </x:c>
      <x:c r="F580" s="22" t="str">
        <x:f>"288.811.548-46"</x:f>
        <x:v>288.811.548-46</x:v>
      </x:c>
      <x:c r="G580" s="22" t="str">
        <x:f>"28881154846"</x:f>
        <x:v>28881154846</x:v>
      </x:c>
      <x:c r="H580" s="23" t="str">
        <x:v>celsonamorin2@gmail.com</x:v>
      </x:c>
      <x:c r="I580" s="22" t="str">
        <x:f>"+55 14 99646-1604"</x:f>
        <x:v>+55 14 99646-1604</x:v>
      </x:c>
      <x:c r="J580" s="23" t="str">
        <x:v>SPOT</x:v>
      </x:c>
      <x:c r="K580" s="23" t="str">
        <x:v>favored_only</x:v>
      </x:c>
      <x:c r="L580" s="24" t="b">
        <x:v>1</x:v>
      </x:c>
      <x:c r="M580" s="23" t="n">
        <x:v>1</x:v>
      </x:c>
      <x:c r="N580" s="28" t="n">
        <x:v>46219.812988715275</x:v>
      </x:c>
      <x:c r="O580" s="28" t="n">
        <x:v>46219.812988715275</x:v>
      </x:c>
      <x:c r="P580" s="23" t="str">
        <x:v>MARILIA</x:v>
      </x:c>
      <x:c r="Q580" s="30" t="n">
        <x:v>29498</x:v>
      </x:c>
      <x:c r="R580" s="22" t="str">
        <x:f>"32719755"</x:f>
        <x:v>32719755</x:v>
      </x:c>
      <x:c r="S580" s="23" t="str">
        <x:v>masculino</x:v>
      </x:c>
      <x:c r="T580" s="22" t="str">
        <x:f>"FUX2C42"</x:f>
        <x:v>FUX2C42</x:v>
      </x:c>
      <x:c r="U580" s="23" t="str">
        <x:v>67.191.743 CELSON FAGNER NOGUEIRA DE AMORIM</x:v>
      </x:c>
      <x:c r="V580" s="22" t="str">
        <x:f>"288.811.548-46"</x:f>
        <x:v>288.811.548-46</x:v>
      </x:c>
      <x:c r="W580" s="22" t="str">
        <x:f>"28881154846"</x:f>
        <x:v>28881154846</x:v>
      </x:c>
      <x:c r="X580" s="23" t="str">
        <x:v>celsonamorin2@gmail.com</x:v>
      </x:c>
      <x:c r="Y580" s="22" t="str">
        <x:f>"+55 14 99646-1604"</x:f>
        <x:v>+55 14 99646-1604</x:v>
      </x:c>
      <x:c r="Z580" s="30" t="n">
        <x:v>46572</x:v>
      </x:c>
    </x:row>
    <x:row r="581" ht="18" customHeight="1">
      <x:c r="A581" s="22" t="str">
        <x:f>"c2f8b203-d263-4aec-b479-422272ec929c"</x:f>
        <x:v>c2f8b203-d263-4aec-b479-422272ec929c</x:v>
      </x:c>
      <x:c r="B581" s="23" t="str">
        <x:v>CESAR AGUIAR COELHO</x:v>
      </x:c>
      <x:c r="C581" s="23" t="str">
        <x:v>cesar aguiar coelho</x:v>
      </x:c>
      <x:c r="D581" s="22" t="str">
        <x:f>"54.914.986/0001-34"</x:f>
        <x:v>54.914.986/0001-34</x:v>
      </x:c>
      <x:c r="E581" s="22" t="str">
        <x:f>"54914986000134"</x:f>
        <x:v>54914986000134</x:v>
      </x:c>
      <x:c r="F581" s="22" t="str">
        <x:f>"051.094.398-50"</x:f>
        <x:v>051.094.398-50</x:v>
      </x:c>
      <x:c r="G581" s="22" t="str">
        <x:f>"05109439850"</x:f>
        <x:v>05109439850</x:v>
      </x:c>
      <x:c r="H581" s="23" t="str">
        <x:v>bigcoe@gmail.com</x:v>
      </x:c>
      <x:c r="I581" s="22" t="str">
        <x:f>"(18) 99706-7983"</x:f>
        <x:v>(18) 99706-7983</x:v>
      </x:c>
      <x:c r="J581" s="23" t="str">
        <x:v>RENTAL</x:v>
      </x:c>
      <x:c r="K581" s="23" t="str">
        <x:v>rental_company</x:v>
      </x:c>
      <x:c r="L581" s="24" t="b">
        <x:v>1</x:v>
      </x:c>
      <x:c r="M581" s="23" t="n">
        <x:v>1</x:v>
      </x:c>
      <x:c r="N581" s="28" t="n">
        <x:v>46219.812988715275</x:v>
      </x:c>
      <x:c r="O581" s="28" t="n">
        <x:v>46219.812988715275</x:v>
      </x:c>
      <x:c r="P581" s="23" t="str">
        <x:v>PRESIDENTE PRUDENTE</x:v>
      </x:c>
      <x:c r="Q581" s="30" t="n">
        <x:v>23640</x:v>
      </x:c>
      <x:c r="R581" s="22" t="str">
        <x:f>"18.233.554-9"</x:f>
        <x:v>18.233.554-9</x:v>
      </x:c>
      <x:c r="S581" s="23" t="str">
        <x:v>masculino</x:v>
      </x:c>
      <x:c r="T581" s="22" t="str"/>
      <x:c r="U581" s="23" t="str">
        <x:v>CESAR AGUIAR COELHO</x:v>
      </x:c>
      <x:c r="V581" s="22" t="str">
        <x:f>"051.094.398-50"</x:f>
        <x:v>051.094.398-50</x:v>
      </x:c>
      <x:c r="W581" s="22" t="str">
        <x:f>"05109439850"</x:f>
        <x:v>05109439850</x:v>
      </x:c>
      <x:c r="X581" s="23" t="str">
        <x:v>bigcoe@gmail.com</x:v>
      </x:c>
      <x:c r="Y581" s="22" t="str">
        <x:f>"(18) 99706-7983"</x:f>
        <x:v>(18) 99706-7983</x:v>
      </x:c>
      <x:c r="Z581" s="30" t="n">
        <x:v>46446</x:v>
      </x:c>
    </x:row>
    <x:row r="582" ht="18" customHeight="1">
      <x:c r="A582" s="22" t="str">
        <x:f>"91437ea6-ba34-4e66-ad77-30fe44414173"</x:f>
        <x:v>91437ea6-ba34-4e66-ad77-30fe44414173</x:v>
      </x:c>
      <x:c r="B582" s="23" t="str">
        <x:v>CESAR AUGUSTO DOS SANTOS</x:v>
      </x:c>
      <x:c r="C582" s="23" t="str">
        <x:v>cesar augusto dos santos</x:v>
      </x:c>
      <x:c r="D582" s="22" t="str">
        <x:f>"66.013.653/0001-13"</x:f>
        <x:v>66.013.653/0001-13</x:v>
      </x:c>
      <x:c r="E582" s="22" t="str">
        <x:f>"66013653000113"</x:f>
        <x:v>66013653000113</x:v>
      </x:c>
      <x:c r="F582" s="22" t="str">
        <x:f>"392.304.778-93"</x:f>
        <x:v>392.304.778-93</x:v>
      </x:c>
      <x:c r="G582" s="22" t="str">
        <x:f>"39230477893"</x:f>
        <x:v>39230477893</x:v>
      </x:c>
      <x:c r="H582" s="23" t="str">
        <x:v>augustosantoscesar92@gmail.com</x:v>
      </x:c>
      <x:c r="I582" s="22" t="str">
        <x:f>"18996395416"</x:f>
        <x:v>18996395416</x:v>
      </x:c>
      <x:c r="J582" s="23" t="str">
        <x:v>RENTAL</x:v>
      </x:c>
      <x:c r="K582" s="23" t="str">
        <x:v>rental_company</x:v>
      </x:c>
      <x:c r="L582" s="24" t="b">
        <x:v>1</x:v>
      </x:c>
      <x:c r="M582" s="23" t="n">
        <x:v>1</x:v>
      </x:c>
      <x:c r="N582" s="28" t="n">
        <x:v>46219.812988715275</x:v>
      </x:c>
      <x:c r="O582" s="28" t="n">
        <x:v>46219.812988715275</x:v>
      </x:c>
      <x:c r="P582" s="23" t="str">
        <x:v>PRESIDENTE PRUDENTE</x:v>
      </x:c>
      <x:c r="Q582" s="30" t="n">
        <x:v>33675</x:v>
      </x:c>
      <x:c r="R582" s="22" t="str">
        <x:f>"479497680"</x:f>
        <x:v>479497680</x:v>
      </x:c>
      <x:c r="S582" s="23" t="str">
        <x:v>masculino</x:v>
      </x:c>
      <x:c r="T582" s="22" t="str"/>
      <x:c r="U582" s="23" t="str">
        <x:v>CESAR AUGUSTO DOS SANTOS</x:v>
      </x:c>
      <x:c r="V582" s="22" t="str">
        <x:f>"392.304.778-93"</x:f>
        <x:v>392.304.778-93</x:v>
      </x:c>
      <x:c r="W582" s="22" t="str">
        <x:f>"39230477893"</x:f>
        <x:v>39230477893</x:v>
      </x:c>
      <x:c r="X582" s="23" t="str">
        <x:v>augustosantoscesar92@gmail.com</x:v>
      </x:c>
      <x:c r="Y582" s="22" t="str">
        <x:f>"18996395416"</x:f>
        <x:v>18996395416</x:v>
      </x:c>
      <x:c r="Z582" s="30" t="n">
        <x:v>46478</x:v>
      </x:c>
    </x:row>
    <x:row r="583" ht="18" customHeight="1">
      <x:c r="A583" s="22" t="str">
        <x:f>"2a73aeeb-8200-4fd6-971d-cda618f240f3"</x:f>
        <x:v>2a73aeeb-8200-4fd6-971d-cda618f240f3</x:v>
      </x:c>
      <x:c r="B583" s="23" t="str">
        <x:v>CHARLES ARYEL DA SILVA</x:v>
      </x:c>
      <x:c r="C583" s="23" t="str">
        <x:v>charles aryel da silva</x:v>
      </x:c>
      <x:c r="D583" s="22" t="str">
        <x:f>"50.886.756/0001-58"</x:f>
        <x:v>50.886.756/0001-58</x:v>
      </x:c>
      <x:c r="E583" s="22" t="str">
        <x:f>"50886756000158"</x:f>
        <x:v>50886756000158</x:v>
      </x:c>
      <x:c r="F583" s="22" t="str">
        <x:f>"074.255.109-10"</x:f>
        <x:v>074.255.109-10</x:v>
      </x:c>
      <x:c r="G583" s="22" t="str">
        <x:f>"07425510910"</x:f>
        <x:v>07425510910</x:v>
      </x:c>
      <x:c r="H583" s="23" t="str">
        <x:v>charlesaryel7@gmail.com</x:v>
      </x:c>
      <x:c r="I583" s="22" t="str">
        <x:f>"(16) 99416-3816"</x:f>
        <x:v>(16) 99416-3816</x:v>
      </x:c>
      <x:c r="J583" s="23" t="str">
        <x:v>SPOT</x:v>
      </x:c>
      <x:c r="K583" s="23" t="str">
        <x:v>favored_only</x:v>
      </x:c>
      <x:c r="L583" s="24" t="b">
        <x:v>1</x:v>
      </x:c>
      <x:c r="M583" s="23" t="n">
        <x:v>1</x:v>
      </x:c>
      <x:c r="N583" s="28" t="n">
        <x:v>46219.812988715275</x:v>
      </x:c>
      <x:c r="O583" s="28" t="n">
        <x:v>46219.812988715275</x:v>
      </x:c>
      <x:c r="P583" s="23" t="str">
        <x:v>RIBEIRAO PRETO</x:v>
      </x:c>
      <x:c r="Q583" s="30" t="n">
        <x:v>33525</x:v>
      </x:c>
      <x:c r="R583" s="22" t="str">
        <x:f>"53.508.602-7"</x:f>
        <x:v>53.508.602-7</x:v>
      </x:c>
      <x:c r="S583" s="23" t="str">
        <x:v>masculino</x:v>
      </x:c>
      <x:c r="T583" s="22" t="str">
        <x:f>"GCH5D09"</x:f>
        <x:v>GCH5D09</x:v>
      </x:c>
      <x:c r="U583" s="23" t="str">
        <x:v>CHARLES ARYEL DA SILVA</x:v>
      </x:c>
      <x:c r="V583" s="22" t="str">
        <x:f>"074.255.109-10"</x:f>
        <x:v>074.255.109-10</x:v>
      </x:c>
      <x:c r="W583" s="22" t="str">
        <x:f>"07425510910"</x:f>
        <x:v>07425510910</x:v>
      </x:c>
      <x:c r="X583" s="23" t="str">
        <x:v>charlesaryel7@gmail.com</x:v>
      </x:c>
      <x:c r="Y583" s="22" t="str">
        <x:f>"(16) 99416-3816"</x:f>
        <x:v>(16) 99416-3816</x:v>
      </x:c>
      <x:c r="Z583" s="30" t="n">
        <x:v>46497</x:v>
      </x:c>
    </x:row>
    <x:row r="584" ht="18" customHeight="1">
      <x:c r="A584" s="22" t="str">
        <x:f>"69d7e9ab-d00d-4c3c-a96e-7ced20842ed7"</x:f>
        <x:v>69d7e9ab-d00d-4c3c-a96e-7ced20842ed7</x:v>
      </x:c>
      <x:c r="B584" s="23" t="str">
        <x:v>CHARLES CRISTIANO FERREIRA KLEMP</x:v>
      </x:c>
      <x:c r="C584" s="23" t="str">
        <x:v>charles cristiano ferreira klemp</x:v>
      </x:c>
      <x:c r="D584" s="22" t="str">
        <x:f>"60.248.439/0001-60"</x:f>
        <x:v>60.248.439/0001-60</x:v>
      </x:c>
      <x:c r="E584" s="22" t="str">
        <x:f>"60248439000160"</x:f>
        <x:v>60248439000160</x:v>
      </x:c>
      <x:c r="F584" s="22" t="str">
        <x:f>"060.480.246-30"</x:f>
        <x:v>060.480.246-30</x:v>
      </x:c>
      <x:c r="G584" s="22" t="str">
        <x:f>"06048024630"</x:f>
        <x:v>06048024630</x:v>
      </x:c>
      <x:c r="H584" s="23" t="str">
        <x:v>Charlesferreirajulia283@gmail.com</x:v>
      </x:c>
      <x:c r="I584" s="22" t="str">
        <x:f>"35 99911-1457"</x:f>
        <x:v>35 99911-1457</x:v>
      </x:c>
      <x:c r="J584" s="23" t="str">
        <x:v>RENTAL</x:v>
      </x:c>
      <x:c r="K584" s="23" t="str">
        <x:v>rental_company</x:v>
      </x:c>
      <x:c r="L584" s="24" t="b">
        <x:v>1</x:v>
      </x:c>
      <x:c r="M584" s="23" t="n">
        <x:v>1</x:v>
      </x:c>
      <x:c r="N584" s="28" t="n">
        <x:v>46203.92184908565</x:v>
      </x:c>
      <x:c r="O584" s="28" t="n">
        <x:v>46205.60521630787</x:v>
      </x:c>
      <x:c r="P584" s="23" t="str">
        <x:v>POUSO ALEGRE</x:v>
      </x:c>
      <x:c r="Q584" s="30" t="n">
        <x:v>29282</x:v>
      </x:c>
      <x:c r="R584" s="22" t="str">
        <x:f>"7834948"</x:f>
        <x:v>7834948</x:v>
      </x:c>
      <x:c r="S584" s="23" t="str">
        <x:v>Masculino</x:v>
      </x:c>
      <x:c r="T584" s="22" t="str"/>
      <x:c r="U584" s="23" t="str">
        <x:v>CHARLES CRISTIANO FERREIRA KLEMP</x:v>
      </x:c>
      <x:c r="V584" s="22" t="str">
        <x:f>"06048024630"</x:f>
        <x:v>06048024630</x:v>
      </x:c>
      <x:c r="W584" s="22" t="str">
        <x:f>"06048024630"</x:f>
        <x:v>06048024630</x:v>
      </x:c>
      <x:c r="X584" s="23" t="str">
        <x:v>Charlesferreirajulia283@gmail.com</x:v>
      </x:c>
      <x:c r="Y584" s="22" t="str">
        <x:f>"35 99911-1457"</x:f>
        <x:v>35 99911-1457</x:v>
      </x:c>
      <x:c r="Z584" s="30" t="n">
        <x:v>46233</x:v>
      </x:c>
    </x:row>
    <x:row r="585" ht="18" customHeight="1">
      <x:c r="A585" s="22" t="str">
        <x:f>"1781f7aa-aa42-414f-9b7d-809dd126ee2a"</x:f>
        <x:v>1781f7aa-aa42-414f-9b7d-809dd126ee2a</x:v>
      </x:c>
      <x:c r="B585" s="23" t="str">
        <x:v>CHARLES DOS SANTOS MONTEIRO</x:v>
      </x:c>
      <x:c r="C585" s="23" t="str">
        <x:v>charles dos santos monteiro</x:v>
      </x:c>
      <x:c r="D585" s="22" t="str">
        <x:f>"56.894.248/0001-06"</x:f>
        <x:v>56.894.248/0001-06</x:v>
      </x:c>
      <x:c r="E585" s="22" t="str">
        <x:f>"56894248000106"</x:f>
        <x:v>56894248000106</x:v>
      </x:c>
      <x:c r="F585" s="22" t="str">
        <x:f>"134.724.237-65"</x:f>
        <x:v>134.724.237-65</x:v>
      </x:c>
      <x:c r="G585" s="22" t="str">
        <x:f>"13472423765"</x:f>
        <x:v>13472423765</x:v>
      </x:c>
      <x:c r="H585" s="23" t="str">
        <x:v>Charles.monteiro2403@gmail.com</x:v>
      </x:c>
      <x:c r="I585" s="22" t="str">
        <x:f>"21973179048"</x:f>
        <x:v>21973179048</x:v>
      </x:c>
      <x:c r="J585" s="23" t="str">
        <x:v>SPOT</x:v>
      </x:c>
      <x:c r="K585" s="23" t="str">
        <x:v>favored_only</x:v>
      </x:c>
      <x:c r="L585" s="24" t="b">
        <x:v>1</x:v>
      </x:c>
      <x:c r="M585" s="23" t="n">
        <x:v>1</x:v>
      </x:c>
      <x:c r="N585" s="28" t="n">
        <x:v>46205.606269027776</x:v>
      </x:c>
      <x:c r="O585" s="28" t="n">
        <x:v>46219.812988715275</x:v>
      </x:c>
      <x:c r="P585" s="23" t="str">
        <x:v>QUEIMADOS</x:v>
      </x:c>
      <x:c r="Q585" s="30" t="n">
        <x:v>32226</x:v>
      </x:c>
      <x:c r="R585" s="22" t="str">
        <x:f>"452362550010"</x:f>
        <x:v>452362550010</x:v>
      </x:c>
      <x:c r="S585" s="23" t="str">
        <x:v>masculino</x:v>
      </x:c>
      <x:c r="T585" s="22" t="str">
        <x:f>"LRK4A63"</x:f>
        <x:v>LRK4A63</x:v>
      </x:c>
      <x:c r="U585" s="23" t="str">
        <x:v>RICHARD JOSEPHINO CRUZ</x:v>
      </x:c>
      <x:c r="V585" s="22" t="str">
        <x:f>"171.945.817-01"</x:f>
        <x:v>171.945.817-01</x:v>
      </x:c>
      <x:c r="W585" s="22" t="str">
        <x:f>"17194581701"</x:f>
        <x:v>17194581701</x:v>
      </x:c>
      <x:c r="X585" s="23" t="str">
        <x:v>richardsophia1204@gmail.com</x:v>
      </x:c>
      <x:c r="Y585" s="22" t="str">
        <x:f>"21982554144"</x:f>
        <x:v>21982554144</x:v>
      </x:c>
      <x:c r="Z585" s="30" t="n">
        <x:v>46351</x:v>
      </x:c>
    </x:row>
    <x:row r="586" ht="18" customHeight="1">
      <x:c r="A586" s="22" t="str">
        <x:f>"2d9c7756-3667-4252-a155-598143ae7d2f"</x:f>
        <x:v>2d9c7756-3667-4252-a155-598143ae7d2f</x:v>
      </x:c>
      <x:c r="B586" s="23" t="str">
        <x:v>CHARLES NIVALDO DA SILVA</x:v>
      </x:c>
      <x:c r="C586" s="23" t="str">
        <x:v>charles nivaldo da silva</x:v>
      </x:c>
      <x:c r="D586" s="22" t="str">
        <x:f>"62.746.153/0001-30"</x:f>
        <x:v>62.746.153/0001-30</x:v>
      </x:c>
      <x:c r="E586" s="22" t="str">
        <x:f>"62746153000130"</x:f>
        <x:v>62746153000130</x:v>
      </x:c>
      <x:c r="F586" s="22" t="str">
        <x:f>"106.816.977-09"</x:f>
        <x:v>106.816.977-09</x:v>
      </x:c>
      <x:c r="G586" s="22" t="str">
        <x:f>"10681697709"</x:f>
        <x:v>10681697709</x:v>
      </x:c>
      <x:c r="H586" s="23" t="str">
        <x:v>charles3101@gmail.com</x:v>
      </x:c>
      <x:c r="I586" s="22" t="str">
        <x:f>"021984808627"</x:f>
        <x:v>021984808627</x:v>
      </x:c>
      <x:c r="J586" s="23" t="str">
        <x:v>SPOT</x:v>
      </x:c>
      <x:c r="K586" s="23" t="str">
        <x:v>favored_only</x:v>
      </x:c>
      <x:c r="L586" s="24" t="b">
        <x:v>1</x:v>
      </x:c>
      <x:c r="M586" s="23" t="n">
        <x:v>1</x:v>
      </x:c>
      <x:c r="N586" s="28" t="n">
        <x:v>46219.812988715275</x:v>
      </x:c>
      <x:c r="O586" s="28" t="n">
        <x:v>46219.812988715275</x:v>
      </x:c>
      <x:c r="P586" s="23" t="str">
        <x:v>QUEIMADOS</x:v>
      </x:c>
      <x:c r="Q586" s="30" t="n">
        <x:v>30346</x:v>
      </x:c>
      <x:c r="R586" s="22" t="str">
        <x:f>"126239599"</x:f>
        <x:v>126239599</x:v>
      </x:c>
      <x:c r="S586" s="23" t="str">
        <x:v>masculino</x:v>
      </x:c>
      <x:c r="T586" s="22" t="str">
        <x:f>"QMY6J01"</x:f>
        <x:v>QMY6J01</x:v>
      </x:c>
      <x:c r="U586" s="23" t="str">
        <x:v>CHARLES NIVALDO DA SILVA</x:v>
      </x:c>
      <x:c r="V586" s="22" t="str">
        <x:f>"106.816.977-09"</x:f>
        <x:v>106.816.977-09</x:v>
      </x:c>
      <x:c r="W586" s="22" t="str">
        <x:f>"10681697709"</x:f>
        <x:v>10681697709</x:v>
      </x:c>
      <x:c r="X586" s="23" t="str">
        <x:v>charles3101@gmail.com</x:v>
      </x:c>
      <x:c r="Y586" s="22" t="str">
        <x:f>"021984808627"</x:f>
        <x:v>021984808627</x:v>
      </x:c>
      <x:c r="Z586" s="30" t="n">
        <x:v>46571</x:v>
      </x:c>
    </x:row>
    <x:row r="587" ht="18" customHeight="1">
      <x:c r="A587" s="22" t="str">
        <x:f>"24f82b6c-2ece-4eb2-a181-0685c891862f"</x:f>
        <x:v>24f82b6c-2ece-4eb2-a181-0685c891862f</x:v>
      </x:c>
      <x:c r="B587" s="23" t="str">
        <x:v>CHARLES PEREIRA DE ALMEIDA</x:v>
      </x:c>
      <x:c r="C587" s="23" t="str">
        <x:v>charles pereira de almeida</x:v>
      </x:c>
      <x:c r="D587" s="22" t="str">
        <x:f>"31.581.821/0001-92"</x:f>
        <x:v>31.581.821/0001-92</x:v>
      </x:c>
      <x:c r="E587" s="22" t="str">
        <x:f>"31581821000192"</x:f>
        <x:v>31581821000192</x:v>
      </x:c>
      <x:c r="F587" s="22" t="str">
        <x:f>"925.630.236-53"</x:f>
        <x:v>925.630.236-53</x:v>
      </x:c>
      <x:c r="G587" s="22" t="str">
        <x:f>"92563023653"</x:f>
        <x:v>92563023653</x:v>
      </x:c>
      <x:c r="H587" s="23" t="str">
        <x:v>Charlesp.almeida2016@gmail.com</x:v>
      </x:c>
      <x:c r="I587" s="22" t="str">
        <x:f>"(31)98910-2012"</x:f>
        <x:v>(31)98910-2012</x:v>
      </x:c>
      <x:c r="J587" s="23" t="str">
        <x:v>SPOT</x:v>
      </x:c>
      <x:c r="K587" s="23" t="str">
        <x:v>favored_only</x:v>
      </x:c>
      <x:c r="L587" s="24" t="b">
        <x:v>1</x:v>
      </x:c>
      <x:c r="M587" s="23" t="n">
        <x:v>1</x:v>
      </x:c>
      <x:c r="N587" s="28" t="n">
        <x:v>46219.812988715275</x:v>
      </x:c>
      <x:c r="O587" s="28" t="n">
        <x:v>46219.812988715275</x:v>
      </x:c>
      <x:c r="P587" s="23" t="str">
        <x:v>NOVA LIMA</x:v>
      </x:c>
      <x:c r="Q587" s="30" t="n">
        <x:v>26412</x:v>
      </x:c>
      <x:c r="R587" s="22" t="str">
        <x:f>"7208313"</x:f>
        <x:v>7208313</x:v>
      </x:c>
      <x:c r="S587" s="23" t="str">
        <x:v>masculino</x:v>
      </x:c>
      <x:c r="T587" s="22" t="str">
        <x:f>"HHA7J73"</x:f>
        <x:v>HHA7J73</x:v>
      </x:c>
      <x:c r="U587" s="23" t="str">
        <x:v>CHARLES PEREIRA DE ALMEIDA</x:v>
      </x:c>
      <x:c r="V587" s="22" t="str">
        <x:f>"925.630.236-53"</x:f>
        <x:v>925.630.236-53</x:v>
      </x:c>
      <x:c r="W587" s="22" t="str">
        <x:f>"92563023653"</x:f>
        <x:v>92563023653</x:v>
      </x:c>
      <x:c r="X587" s="23" t="str">
        <x:v>Charlesp.almeida2016@gmail.com</x:v>
      </x:c>
      <x:c r="Y587" s="22" t="str">
        <x:f>"(31)98910-2012"</x:f>
        <x:v>(31)98910-2012</x:v>
      </x:c>
      <x:c r="Z587" s="30" t="n">
        <x:v>46411</x:v>
      </x:c>
    </x:row>
    <x:row r="588" ht="18" customHeight="1">
      <x:c r="A588" s="22" t="str">
        <x:f>"324df766-2d75-4436-af86-e39a65e1dc19"</x:f>
        <x:v>324df766-2d75-4436-af86-e39a65e1dc19</x:v>
      </x:c>
      <x:c r="B588" s="23" t="str">
        <x:v>CHARLLES JUNIOR CAVALCANTE DA SILVA</x:v>
      </x:c>
      <x:c r="C588" s="23" t="str">
        <x:v>charlles junior cavalcante da silva</x:v>
      </x:c>
      <x:c r="D588" s="22" t="str">
        <x:f>"65.006.192/0001-99"</x:f>
        <x:v>65.006.192/0001-99</x:v>
      </x:c>
      <x:c r="E588" s="22" t="str">
        <x:f>"65006192000199"</x:f>
        <x:v>65006192000199</x:v>
      </x:c>
      <x:c r="F588" s="22" t="str">
        <x:f>"025.607.601-42"</x:f>
        <x:v>025.607.601-42</x:v>
      </x:c>
      <x:c r="G588" s="22" t="str">
        <x:f>"02560760142"</x:f>
        <x:v>02560760142</x:v>
      </x:c>
      <x:c r="H588" s="23" t="str">
        <x:v>charllescavalcante12@gmail.com</x:v>
      </x:c>
      <x:c r="I588" s="22" t="str">
        <x:f>"65 9619-7185"</x:f>
        <x:v>65 9619-7185</x:v>
      </x:c>
      <x:c r="J588" s="23" t="str">
        <x:v>SPOT</x:v>
      </x:c>
      <x:c r="K588" s="23" t="str">
        <x:v>favored_only</x:v>
      </x:c>
      <x:c r="L588" s="24" t="b">
        <x:v>1</x:v>
      </x:c>
      <x:c r="M588" s="23" t="n">
        <x:v>1</x:v>
      </x:c>
      <x:c r="N588" s="28" t="n">
        <x:v>46219.812988715275</x:v>
      </x:c>
      <x:c r="O588" s="28" t="n">
        <x:v>46219.812988715275</x:v>
      </x:c>
      <x:c r="P588" s="23" t="str">
        <x:v>CÁCERES</x:v>
      </x:c>
      <x:c r="Q588" s="30" t="n">
        <x:v>35409</x:v>
      </x:c>
      <x:c r="R588" s="22" t="str">
        <x:f>"19932162"</x:f>
        <x:v>19932162</x:v>
      </x:c>
      <x:c r="S588" s="23" t="str">
        <x:v>masculino</x:v>
      </x:c>
      <x:c r="T588" s="22" t="str">
        <x:f>"NJU7C46"</x:f>
        <x:v>NJU7C46</x:v>
      </x:c>
      <x:c r="U588" s="23" t="str">
        <x:v>CHARLLES JUNIOR CAVALCANTE DA SILVA</x:v>
      </x:c>
      <x:c r="V588" s="22" t="str">
        <x:f>"025.607.601-42"</x:f>
        <x:v>025.607.601-42</x:v>
      </x:c>
      <x:c r="W588" s="22" t="str">
        <x:f>"02560760142"</x:f>
        <x:v>02560760142</x:v>
      </x:c>
      <x:c r="X588" s="23" t="str">
        <x:v>charllescavalcante12@gmail.com</x:v>
      </x:c>
      <x:c r="Y588" s="22" t="str">
        <x:f>"65 9619-7185"</x:f>
        <x:v>65 9619-7185</x:v>
      </x:c>
      <x:c r="Z588" s="30" t="n">
        <x:v>46429</x:v>
      </x:c>
    </x:row>
    <x:row r="589" ht="18" customHeight="1">
      <x:c r="A589" s="22" t="str">
        <x:f>"dfa88981-4059-4f9c-b72c-c89925742973"</x:f>
        <x:v>dfa88981-4059-4f9c-b72c-c89925742973</x:v>
      </x:c>
      <x:c r="B589" s="23" t="str">
        <x:v>CHRISTIAN GOMES BARRETO DE SOUZA</x:v>
      </x:c>
      <x:c r="C589" s="23" t="str">
        <x:v>christian gomes barreto de souza</x:v>
      </x:c>
      <x:c r="D589" s="22" t="str">
        <x:f>"61.529.747/0001-26"</x:f>
        <x:v>61.529.747/0001-26</x:v>
      </x:c>
      <x:c r="E589" s="22" t="str">
        <x:f>"61529747000126"</x:f>
        <x:v>61529747000126</x:v>
      </x:c>
      <x:c r="F589" s="22" t="str">
        <x:f>"178.867.487-19"</x:f>
        <x:v>178.867.487-19</x:v>
      </x:c>
      <x:c r="G589" s="22" t="str">
        <x:f>"17886748719"</x:f>
        <x:v>17886748719</x:v>
      </x:c>
      <x:c r="H589" s="23" t="str">
        <x:v>christianbarretosouza@gmail.com</x:v>
      </x:c>
      <x:c r="I589" s="22" t="str">
        <x:f>"22 996147258"</x:f>
        <x:v>22 996147258</x:v>
      </x:c>
      <x:c r="J589" s="23" t="str">
        <x:v>SPOT</x:v>
      </x:c>
      <x:c r="K589" s="23" t="str">
        <x:v>favored_only</x:v>
      </x:c>
      <x:c r="L589" s="24" t="b">
        <x:v>1</x:v>
      </x:c>
      <x:c r="M589" s="23" t="n">
        <x:v>1</x:v>
      </x:c>
      <x:c r="N589" s="28" t="n">
        <x:v>46205.60715498843</x:v>
      </x:c>
      <x:c r="O589" s="28" t="n">
        <x:v>46219.812988715275</x:v>
      </x:c>
      <x:c r="P589" s="23" t="str">
        <x:v>CAMPOS DOS GOYTACAZES</x:v>
      </x:c>
      <x:c r="Q589" s="30" t="n">
        <x:v>37844</x:v>
      </x:c>
      <x:c r="R589" s="22" t="str">
        <x:f>"268128303"</x:f>
        <x:v>268128303</x:v>
      </x:c>
      <x:c r="S589" s="23" t="str">
        <x:v>masculino</x:v>
      </x:c>
      <x:c r="T589" s="22" t="str">
        <x:f>"FCM7D32"</x:f>
        <x:v>FCM7D32</x:v>
      </x:c>
      <x:c r="U589" s="23" t="str">
        <x:v>FABIO FELIPE TAVARES VELASCO</x:v>
      </x:c>
      <x:c r="V589" s="22" t="str">
        <x:f>"194.602.247-09"</x:f>
        <x:v>194.602.247-09</x:v>
      </x:c>
      <x:c r="W589" s="22" t="str">
        <x:f>"19460224709"</x:f>
        <x:v>19460224709</x:v>
      </x:c>
      <x:c r="X589" s="23" t="str">
        <x:v>FABIOFELIPETAVARES@GMAIL.COM</x:v>
      </x:c>
      <x:c r="Y589" s="22" t="str">
        <x:f>"22V 997956696"</x:f>
        <x:v>22V 997956696</x:v>
      </x:c>
      <x:c r="Z589" s="30" t="n">
        <x:v>46401</x:v>
      </x:c>
    </x:row>
    <x:row r="590" ht="18" customHeight="1">
      <x:c r="A590" s="22" t="str">
        <x:f>"b3e65a16-bd2e-4535-970a-2444ed9d60b0"</x:f>
        <x:v>b3e65a16-bd2e-4535-970a-2444ed9d60b0</x:v>
      </x:c>
      <x:c r="B590" s="23" t="str">
        <x:v>CHRISTIAN GOMES DE OLIVEIRA ALCANTRA</x:v>
      </x:c>
      <x:c r="C590" s="23" t="str">
        <x:v>christian gomes de oliveira alcantra</x:v>
      </x:c>
      <x:c r="D590" s="22" t="str">
        <x:f>"41.380.729/0001-18"</x:f>
        <x:v>41.380.729/0001-18</x:v>
      </x:c>
      <x:c r="E590" s="22" t="str">
        <x:f>"41380729000118"</x:f>
        <x:v>41380729000118</x:v>
      </x:c>
      <x:c r="F590" s="22" t="str">
        <x:f>"010.984.681-80"</x:f>
        <x:v>010.984.681-80</x:v>
      </x:c>
      <x:c r="G590" s="22" t="str">
        <x:f>"01098468180"</x:f>
        <x:v>01098468180</x:v>
      </x:c>
      <x:c r="H590" s="23" t="str">
        <x:v>Christian_go26@outlook.com</x:v>
      </x:c>
      <x:c r="I590" s="22" t="str">
        <x:f>"(34 ) 9 9972-5519"</x:f>
        <x:v>(34 ) 9 9972-5519</x:v>
      </x:c>
      <x:c r="J590" s="23" t="str">
        <x:v>SPOT</x:v>
      </x:c>
      <x:c r="K590" s="23" t="str">
        <x:v>favored_only</x:v>
      </x:c>
      <x:c r="L590" s="24" t="b">
        <x:v>1</x:v>
      </x:c>
      <x:c r="M590" s="23" t="n">
        <x:v>1</x:v>
      </x:c>
      <x:c r="N590" s="28" t="n">
        <x:v>46203.9219084375</x:v>
      </x:c>
      <x:c r="O590" s="28" t="n">
        <x:v>46219.812988715275</x:v>
      </x:c>
      <x:c r="P590" s="23" t="str">
        <x:v>UBERLANDIA</x:v>
      </x:c>
      <x:c r="Q590" s="30" t="n">
        <x:v>31634</x:v>
      </x:c>
      <x:c r="R590" s="22" t="str">
        <x:f>"4849463"</x:f>
        <x:v>4849463</x:v>
      </x:c>
      <x:c r="S590" s="23" t="str">
        <x:v>masculino</x:v>
      </x:c>
      <x:c r="T590" s="22" t="str"/>
      <x:c r="U590" s="23" t="str">
        <x:v>CHRISTIAN GOMES DE OLIVEIRA ALCANTRA</x:v>
      </x:c>
      <x:c r="V590" s="22" t="str">
        <x:f>"010.984.681-80"</x:f>
        <x:v>010.984.681-80</x:v>
      </x:c>
      <x:c r="W590" s="22" t="str">
        <x:f>"01098468180"</x:f>
        <x:v>01098468180</x:v>
      </x:c>
      <x:c r="X590" s="23" t="str">
        <x:v>Christian_go26@outlook.com</x:v>
      </x:c>
      <x:c r="Y590" s="22" t="str">
        <x:f>"(34 ) 9 9972-5519"</x:f>
        <x:v>(34 ) 9 9972-5519</x:v>
      </x:c>
      <x:c r="Z590" s="30" t="n">
        <x:v>46383</x:v>
      </x:c>
    </x:row>
    <x:row r="591" ht="18" customHeight="1">
      <x:c r="A591" s="22" t="str">
        <x:f>"582374cf-9f69-4695-a77b-b4f84c33e80f"</x:f>
        <x:v>582374cf-9f69-4695-a77b-b4f84c33e80f</x:v>
      </x:c>
      <x:c r="B591" s="23" t="str">
        <x:v>CHRISTIAN NATHAN DA CONCEICAO VASCONCELLOS</x:v>
      </x:c>
      <x:c r="C591" s="23" t="str">
        <x:v>christian nathan da conceicao vasconcellos</x:v>
      </x:c>
      <x:c r="D591" s="22" t="str">
        <x:f>"49.911.622/0001-60"</x:f>
        <x:v>49.911.622/0001-60</x:v>
      </x:c>
      <x:c r="E591" s="22" t="str">
        <x:f>"49911622000160"</x:f>
        <x:v>49911622000160</x:v>
      </x:c>
      <x:c r="F591" s="22" t="str">
        <x:f>"198.154.537-93"</x:f>
        <x:v>198.154.537-93</x:v>
      </x:c>
      <x:c r="G591" s="22" t="str">
        <x:f>"19815453793"</x:f>
        <x:v>19815453793</x:v>
      </x:c>
      <x:c r="H591" s="23" t="str">
        <x:v>christiannayther@gmail.com</x:v>
      </x:c>
      <x:c r="I591" s="22" t="str">
        <x:f>"(21) 95932-7348"</x:f>
        <x:v>(21) 95932-7348</x:v>
      </x:c>
      <x:c r="J591" s="23" t="str">
        <x:v>SPOT</x:v>
      </x:c>
      <x:c r="K591" s="23" t="str">
        <x:v>favored_only</x:v>
      </x:c>
      <x:c r="L591" s="24" t="b">
        <x:v>1</x:v>
      </x:c>
      <x:c r="M591" s="23" t="n">
        <x:v>1</x:v>
      </x:c>
      <x:c r="N591" s="28" t="n">
        <x:v>46219.812988715275</x:v>
      </x:c>
      <x:c r="O591" s="28" t="n">
        <x:v>46219.812988715275</x:v>
      </x:c>
      <x:c r="P591" s="23" t="str">
        <x:v>QUEIMADOS</x:v>
      </x:c>
      <x:c r="Q591" s="30" t="n">
        <x:v>37798</x:v>
      </x:c>
      <x:c r="R591" s="22" t="str">
        <x:f>"282919901"</x:f>
        <x:v>282919901</x:v>
      </x:c>
      <x:c r="S591" s="23" t="str">
        <x:v>masculino</x:v>
      </x:c>
      <x:c r="T591" s="22" t="str">
        <x:f>"KVQ4D70"</x:f>
        <x:v>KVQ4D70</x:v>
      </x:c>
      <x:c r="U591" s="23" t="str">
        <x:v>CHRISTIAN NATHAN DA CONCEICAO VASCONCELLOS</x:v>
      </x:c>
      <x:c r="V591" s="22" t="str">
        <x:f>"198.154.537-93"</x:f>
        <x:v>198.154.537-93</x:v>
      </x:c>
      <x:c r="W591" s="22" t="str">
        <x:f>"19815453793"</x:f>
        <x:v>19815453793</x:v>
      </x:c>
      <x:c r="X591" s="23" t="str">
        <x:v>christiannayther@gmail.com</x:v>
      </x:c>
      <x:c r="Y591" s="22" t="str">
        <x:f>"(21) 95932-7348"</x:f>
        <x:v>(21) 95932-7348</x:v>
      </x:c>
      <x:c r="Z591" s="30" t="n">
        <x:v>46455</x:v>
      </x:c>
    </x:row>
    <x:row r="592" ht="18" customHeight="1">
      <x:c r="A592" s="22" t="str">
        <x:f>"1c6fadde-0c91-42f8-b8e6-9e76079adcf3"</x:f>
        <x:v>1c6fadde-0c91-42f8-b8e6-9e76079adcf3</x:v>
      </x:c>
      <x:c r="B592" s="23" t="str">
        <x:v>CHRYSTIAN DE OLIVEIRA STRAMBECK</x:v>
      </x:c>
      <x:c r="C592" s="23" t="str">
        <x:v>chrystian de oliveira strambeck</x:v>
      </x:c>
      <x:c r="D592" s="22" t="str">
        <x:f>"63.537.706/0001-07"</x:f>
        <x:v>63.537.706/0001-07</x:v>
      </x:c>
      <x:c r="E592" s="22" t="str">
        <x:f>"63537706000107"</x:f>
        <x:v>63537706000107</x:v>
      </x:c>
      <x:c r="F592" s="22" t="str">
        <x:f>"070.892.561-89"</x:f>
        <x:v>070.892.561-89</x:v>
      </x:c>
      <x:c r="G592" s="22" t="str">
        <x:f>"07089256189"</x:f>
        <x:v>07089256189</x:v>
      </x:c>
      <x:c r="H592" s="23" t="str">
        <x:v>Chrystianoliveiras445@gmail.com</x:v>
      </x:c>
      <x:c r="I592" s="22" t="str">
        <x:f>"65 9224-3076"</x:f>
        <x:v>65 9224-3076</x:v>
      </x:c>
      <x:c r="J592" s="23" t="str">
        <x:v>RENTAL</x:v>
      </x:c>
      <x:c r="K592" s="23" t="str">
        <x:v>rental_company</x:v>
      </x:c>
      <x:c r="L592" s="24" t="b">
        <x:v>1</x:v>
      </x:c>
      <x:c r="M592" s="23" t="n">
        <x:v>1</x:v>
      </x:c>
      <x:c r="N592" s="28" t="n">
        <x:v>46203.921887453704</x:v>
      </x:c>
      <x:c r="O592" s="28" t="n">
        <x:v>46219.812988715275</x:v>
      </x:c>
      <x:c r="P592" s="23" t="str">
        <x:v>CUIABA</x:v>
      </x:c>
      <x:c r="Q592" s="30" t="n">
        <x:v>37833</x:v>
      </x:c>
      <x:c r="R592" s="22" t="str">
        <x:f>"32955626"</x:f>
        <x:v>32955626</x:v>
      </x:c>
      <x:c r="S592" s="23" t="str">
        <x:v>masculino</x:v>
      </x:c>
      <x:c r="T592" s="22" t="str"/>
      <x:c r="U592" s="23" t="str">
        <x:v>CHRYSTIAN DE OLIVEIRA STRAMBECK</x:v>
      </x:c>
      <x:c r="V592" s="22" t="str">
        <x:f>"070.892.561-89"</x:f>
        <x:v>070.892.561-89</x:v>
      </x:c>
      <x:c r="W592" s="22" t="str">
        <x:f>"07089256189"</x:f>
        <x:v>07089256189</x:v>
      </x:c>
      <x:c r="X592" s="23" t="str">
        <x:v>Chrystianoliveiras445@gmail.com</x:v>
      </x:c>
      <x:c r="Y592" s="22" t="str">
        <x:f>"65 9224-3076"</x:f>
        <x:v>65 9224-3076</x:v>
      </x:c>
      <x:c r="Z592" s="30" t="n">
        <x:v>46332</x:v>
      </x:c>
    </x:row>
    <x:row r="593" ht="18" customHeight="1">
      <x:c r="A593" s="22" t="str">
        <x:f>"1a1e96c1-854b-42cc-836b-3026218023ee"</x:f>
        <x:v>1a1e96c1-854b-42cc-836b-3026218023ee</x:v>
      </x:c>
      <x:c r="B593" s="23" t="str">
        <x:v>CICERA JOSILANIA ALVES DIAS</x:v>
      </x:c>
      <x:c r="C593" s="23" t="str">
        <x:v>cicera josilania alves dias</x:v>
      </x:c>
      <x:c r="D593" s="22" t="str">
        <x:f>"35.428.484/0001-59"</x:f>
        <x:v>35.428.484/0001-59</x:v>
      </x:c>
      <x:c r="E593" s="22" t="str">
        <x:f>"35428484000159"</x:f>
        <x:v>35428484000159</x:v>
      </x:c>
      <x:c r="F593" s="22" t="str">
        <x:f>"442.885.108-13"</x:f>
        <x:v>442.885.108-13</x:v>
      </x:c>
      <x:c r="G593" s="22" t="str">
        <x:f>"44288510813"</x:f>
        <x:v>44288510813</x:v>
      </x:c>
      <x:c r="H593" s="23" t="str">
        <x:v>joycemayune123@gmail.com</x:v>
      </x:c>
      <x:c r="I593" s="22" t="str">
        <x:f>"44288510813"</x:f>
        <x:v>44288510813</x:v>
      </x:c>
      <x:c r="J593" s="23" t="str">
        <x:v>RENTAL</x:v>
      </x:c>
      <x:c r="K593" s="23" t="str">
        <x:v>rental_company</x:v>
      </x:c>
      <x:c r="L593" s="24" t="b">
        <x:v>1</x:v>
      </x:c>
      <x:c r="M593" s="23" t="n">
        <x:v>1</x:v>
      </x:c>
      <x:c r="N593" s="28" t="n">
        <x:v>46203.921858726855</x:v>
      </x:c>
      <x:c r="O593" s="28" t="n">
        <x:v>46219.812988715275</x:v>
      </x:c>
      <x:c r="P593" s="23" t="str">
        <x:v>BARUERI</x:v>
      </x:c>
      <x:c r="Q593" s="30" t="n">
        <x:v>34811</x:v>
      </x:c>
      <x:c r="R593" s="22" t="str">
        <x:f>"47690687"</x:f>
        <x:v>47690687</x:v>
      </x:c>
      <x:c r="S593" s="23" t="str">
        <x:v>masculino</x:v>
      </x:c>
      <x:c r="T593" s="22" t="str"/>
      <x:c r="U593" s="23" t="str">
        <x:v>CICERA JOSILANIA ALVES DIAS</x:v>
      </x:c>
      <x:c r="V593" s="22" t="str">
        <x:f>"442.885.108-13"</x:f>
        <x:v>442.885.108-13</x:v>
      </x:c>
      <x:c r="W593" s="22" t="str">
        <x:f>"44288510813"</x:f>
        <x:v>44288510813</x:v>
      </x:c>
      <x:c r="X593" s="23" t="str">
        <x:v>joycemayune123@gmail.com</x:v>
      </x:c>
      <x:c r="Y593" s="22" t="str">
        <x:f>"44288510813"</x:f>
        <x:v>44288510813</x:v>
      </x:c>
      <x:c r="Z593" s="30" t="n">
        <x:v>46261</x:v>
      </x:c>
    </x:row>
    <x:row r="594" ht="18" customHeight="1">
      <x:c r="A594" s="22" t="str">
        <x:f>"88b4ab8f-9838-4f0d-92aa-3af11cfcaa64"</x:f>
        <x:v>88b4ab8f-9838-4f0d-92aa-3af11cfcaa64</x:v>
      </x:c>
      <x:c r="B594" s="23" t="str">
        <x:v>CICERA JOSILANIA ALVES DIAS</x:v>
      </x:c>
      <x:c r="C594" s="23" t="str">
        <x:v>cicera josilania alves dias</x:v>
      </x:c>
      <x:c r="D594" s="22" t="str">
        <x:f>"62.446.944/0001-44"</x:f>
        <x:v>62.446.944/0001-44</x:v>
      </x:c>
      <x:c r="E594" s="22" t="str">
        <x:f>"62446944000144"</x:f>
        <x:v>62446944000144</x:v>
      </x:c>
      <x:c r="F594" s="22" t="str">
        <x:f>"442.885.108-13"</x:f>
        <x:v>442.885.108-13</x:v>
      </x:c>
      <x:c r="G594" s="22" t="str">
        <x:f>"44288510813"</x:f>
        <x:v>44288510813</x:v>
      </x:c>
      <x:c r="H594" s="23" t="str">
        <x:v>Joycemayune123@gmail.com</x:v>
      </x:c>
      <x:c r="I594" s="22" t="str">
        <x:f>"11959335999"</x:f>
        <x:v>11959335999</x:v>
      </x:c>
      <x:c r="J594" s="23" t="str">
        <x:v>RENTAL</x:v>
      </x:c>
      <x:c r="K594" s="23" t="str">
        <x:v>rental_company</x:v>
      </x:c>
      <x:c r="L594" s="24" t="b">
        <x:v>1</x:v>
      </x:c>
      <x:c r="M594" s="23" t="n">
        <x:v>1</x:v>
      </x:c>
      <x:c r="N594" s="28" t="n">
        <x:v>46203.921858726855</x:v>
      </x:c>
      <x:c r="O594" s="28" t="n">
        <x:v>46219.812988715275</x:v>
      </x:c>
      <x:c r="P594" s="23" t="str">
        <x:v>BARUERI</x:v>
      </x:c>
      <x:c r="Q594" s="30" t="n">
        <x:v>34811</x:v>
      </x:c>
      <x:c r="R594" s="22" t="str">
        <x:f>"47690687"</x:f>
        <x:v>47690687</x:v>
      </x:c>
      <x:c r="S594" s="23" t="str">
        <x:v>feminino</x:v>
      </x:c>
      <x:c r="T594" s="22" t="str"/>
      <x:c r="U594" s="23" t="str">
        <x:v>CICERA JOSILANIA ALVES DIAS</x:v>
      </x:c>
      <x:c r="V594" s="22" t="str">
        <x:f>"442.885.108-13"</x:f>
        <x:v>442.885.108-13</x:v>
      </x:c>
      <x:c r="W594" s="22" t="str">
        <x:f>"44288510813"</x:f>
        <x:v>44288510813</x:v>
      </x:c>
      <x:c r="X594" s="23" t="str">
        <x:v>Joycemayune123@gmail.com</x:v>
      </x:c>
      <x:c r="Y594" s="22" t="str">
        <x:f>"11959335999"</x:f>
        <x:v>11959335999</x:v>
      </x:c>
      <x:c r="Z594" s="30" t="n">
        <x:v>46261</x:v>
      </x:c>
    </x:row>
    <x:row r="595" ht="18" customHeight="1">
      <x:c r="A595" s="22" t="str">
        <x:f>"d19d95b3-4037-4feb-a734-c8a6bb2db076"</x:f>
        <x:v>d19d95b3-4037-4feb-a734-c8a6bb2db076</x:v>
      </x:c>
      <x:c r="B595" s="23" t="str">
        <x:v>CICERO DE SOUZA SILVA</x:v>
      </x:c>
      <x:c r="C595" s="23" t="str">
        <x:v>cicero de souza silva</x:v>
      </x:c>
      <x:c r="D595" s="22" t="str">
        <x:f>"65.991.355/0001-35"</x:f>
        <x:v>65.991.355/0001-35</x:v>
      </x:c>
      <x:c r="E595" s="22" t="str">
        <x:f>"65991355000135"</x:f>
        <x:v>65991355000135</x:v>
      </x:c>
      <x:c r="F595" s="22" t="str">
        <x:f>"060.152.132-30"</x:f>
        <x:v>060.152.132-30</x:v>
      </x:c>
      <x:c r="G595" s="22" t="str">
        <x:f>"06015213230"</x:f>
        <x:v>06015213230</x:v>
      </x:c>
      <x:c r="H595" s="23" t="str">
        <x:v>ciceropla2018@gmail.com</x:v>
      </x:c>
      <x:c r="I595" s="22" t="str">
        <x:f>"35984286110"</x:f>
        <x:v>35984286110</x:v>
      </x:c>
      <x:c r="J595" s="23" t="str">
        <x:v>RENTAL</x:v>
      </x:c>
      <x:c r="K595" s="23" t="str">
        <x:v>rental_company</x:v>
      </x:c>
      <x:c r="L595" s="24" t="b">
        <x:v>1</x:v>
      </x:c>
      <x:c r="M595" s="23" t="n">
        <x:v>1</x:v>
      </x:c>
      <x:c r="N595" s="28" t="n">
        <x:v>46219.812988715275</x:v>
      </x:c>
      <x:c r="O595" s="28" t="n">
        <x:v>46219.812988715275</x:v>
      </x:c>
      <x:c r="P595" s="23" t="str">
        <x:v>POUSO ALEGRE</x:v>
      </x:c>
      <x:c r="Q595" s="30" t="n">
        <x:v>36361</x:v>
      </x:c>
      <x:c r="R595" s="22" t="str">
        <x:f>"7465764"</x:f>
        <x:v>7465764</x:v>
      </x:c>
      <x:c r="S595" s="23" t="str">
        <x:v>masculino</x:v>
      </x:c>
      <x:c r="T595" s="22" t="str"/>
      <x:c r="U595" s="23" t="str">
        <x:v>CICERO DE SOUZA SILVA</x:v>
      </x:c>
      <x:c r="V595" s="22" t="str">
        <x:f>"060.152.132-30"</x:f>
        <x:v>060.152.132-30</x:v>
      </x:c>
      <x:c r="W595" s="22" t="str">
        <x:f>"06015213230"</x:f>
        <x:v>06015213230</x:v>
      </x:c>
      <x:c r="X595" s="23" t="str">
        <x:v>ciceropla2018@gmail.com</x:v>
      </x:c>
      <x:c r="Y595" s="22" t="str">
        <x:f>"35984286110"</x:f>
        <x:v>35984286110</x:v>
      </x:c>
      <x:c r="Z595" s="30" t="n">
        <x:v>46481</x:v>
      </x:c>
    </x:row>
    <x:row r="596" ht="18" customHeight="1">
      <x:c r="A596" s="22" t="str">
        <x:f>"1d881cb4-1d6c-4340-89e7-64510e801507"</x:f>
        <x:v>1d881cb4-1d6c-4340-89e7-64510e801507</x:v>
      </x:c>
      <x:c r="B596" s="23" t="str">
        <x:v>CICERO GIOVANI FERREIRA CAMARGO</x:v>
      </x:c>
      <x:c r="C596" s="23" t="str">
        <x:v>cicero giovani ferreira camargo</x:v>
      </x:c>
      <x:c r="D596" s="22" t="str">
        <x:f>"67.514.153/0001-28"</x:f>
        <x:v>67.514.153/0001-28</x:v>
      </x:c>
      <x:c r="E596" s="22" t="str">
        <x:f>"67514153000128"</x:f>
        <x:v>67514153000128</x:v>
      </x:c>
      <x:c r="F596" s="22" t="str">
        <x:f>"094.806.158-86"</x:f>
        <x:v>094.806.158-86</x:v>
      </x:c>
      <x:c r="G596" s="22" t="str">
        <x:f>"09480615886"</x:f>
        <x:v>09480615886</x:v>
      </x:c>
      <x:c r="H596" s="23" t="str">
        <x:v>gildecamargo49@gmail.com</x:v>
      </x:c>
      <x:c r="I596" s="22" t="str">
        <x:f>"17 99614-9301"</x:f>
        <x:v>17 99614-9301</x:v>
      </x:c>
      <x:c r="J596" s="23" t="str">
        <x:v>RENTAL</x:v>
      </x:c>
      <x:c r="K596" s="23" t="str">
        <x:v>rental_company</x:v>
      </x:c>
      <x:c r="L596" s="24" t="b">
        <x:v>1</x:v>
      </x:c>
      <x:c r="M596" s="23" t="n">
        <x:v>1</x:v>
      </x:c>
      <x:c r="N596" s="28" t="n">
        <x:v>46219.812988715275</x:v>
      </x:c>
      <x:c r="O596" s="28" t="n">
        <x:v>46219.812988715275</x:v>
      </x:c>
      <x:c r="P596" s="23" t="str">
        <x:v>SÃO JOSE DO RIO PRETO</x:v>
      </x:c>
      <x:c r="Q596" s="30" t="n">
        <x:v>25503</x:v>
      </x:c>
      <x:c r="R596" s="22" t="str">
        <x:f>"21556953"</x:f>
        <x:v>21556953</x:v>
      </x:c>
      <x:c r="S596" s="23" t="str">
        <x:v>masculino</x:v>
      </x:c>
      <x:c r="T596" s="22" t="str"/>
      <x:c r="U596" s="23" t="str">
        <x:v>CICERO GIOVANI FERREIRA CAMARGO</x:v>
      </x:c>
      <x:c r="V596" s="22" t="str">
        <x:f>"094.806.158-86"</x:f>
        <x:v>094.806.158-86</x:v>
      </x:c>
      <x:c r="W596" s="22" t="str">
        <x:f>"09480615886"</x:f>
        <x:v>09480615886</x:v>
      </x:c>
      <x:c r="X596" s="23" t="str">
        <x:v>gildecamargo49@gmail.com</x:v>
      </x:c>
      <x:c r="Y596" s="22" t="str">
        <x:f>"17 99614-9301"</x:f>
        <x:v>17 99614-9301</x:v>
      </x:c>
      <x:c r="Z596" s="30" t="n">
        <x:v>46555</x:v>
      </x:c>
    </x:row>
    <x:row r="597" ht="18" customHeight="1">
      <x:c r="A597" s="22" t="str">
        <x:f>"711fdc72-1e02-409e-acb8-88b6764b0842"</x:f>
        <x:v>711fdc72-1e02-409e-acb8-88b6764b0842</x:v>
      </x:c>
      <x:c r="B597" s="23" t="str">
        <x:v>CINARA RIBEIRO MONTEIRO</x:v>
      </x:c>
      <x:c r="C597" s="23" t="str">
        <x:v>cinara ribeiro monteiro</x:v>
      </x:c>
      <x:c r="D597" s="22" t="str">
        <x:f>"62.181.661/0001-18"</x:f>
        <x:v>62.181.661/0001-18</x:v>
      </x:c>
      <x:c r="E597" s="22" t="str">
        <x:f>"62181661000118"</x:f>
        <x:v>62181661000118</x:v>
      </x:c>
      <x:c r="F597" s="22" t="str">
        <x:f>"026.232.721-07"</x:f>
        <x:v>026.232.721-07</x:v>
      </x:c>
      <x:c r="G597" s="22" t="str">
        <x:f>"02623272107"</x:f>
        <x:v>02623272107</x:v>
      </x:c>
      <x:c r="H597" s="23" t="str">
        <x:v>cinaramonteiro455@gmail.com</x:v>
      </x:c>
      <x:c r="I597" s="22" t="str">
        <x:f>"67 9821-3724"</x:f>
        <x:v>67 9821-3724</x:v>
      </x:c>
      <x:c r="J597" s="23" t="str">
        <x:v>SPOT</x:v>
      </x:c>
      <x:c r="K597" s="23" t="str">
        <x:v>favored_only</x:v>
      </x:c>
      <x:c r="L597" s="24" t="b">
        <x:v>1</x:v>
      </x:c>
      <x:c r="M597" s="23" t="n">
        <x:v>1</x:v>
      </x:c>
      <x:c r="N597" s="28" t="n">
        <x:v>46203.921858726855</x:v>
      </x:c>
      <x:c r="O597" s="28" t="n">
        <x:v>46219.812988715275</x:v>
      </x:c>
      <x:c r="P597" s="23" t="str">
        <x:v>CHAPADÃO DO SUL</x:v>
      </x:c>
      <x:c r="Q597" s="30" t="n">
        <x:v>34663</x:v>
      </x:c>
      <x:c r="R597" s="22" t="str">
        <x:f>"54.683.852-2"</x:f>
        <x:v>54.683.852-2</x:v>
      </x:c>
      <x:c r="S597" s="23" t="str">
        <x:v>feminino</x:v>
      </x:c>
      <x:c r="T597" s="22" t="str">
        <x:f>"67 9821-3724"</x:f>
        <x:v>67 9821-3724</x:v>
      </x:c>
      <x:c r="U597" s="23" t="str">
        <x:v>CINARA RIBEIRO MONTEIRO</x:v>
      </x:c>
      <x:c r="V597" s="22" t="str">
        <x:f>"026.232.721-07"</x:f>
        <x:v>026.232.721-07</x:v>
      </x:c>
      <x:c r="W597" s="22" t="str">
        <x:f>"02623272107"</x:f>
        <x:v>02623272107</x:v>
      </x:c>
      <x:c r="X597" s="23" t="str">
        <x:v>cinaramonteiro455@gmail.com</x:v>
      </x:c>
      <x:c r="Y597" s="22" t="str">
        <x:f>"67 9821-3724"</x:f>
        <x:v>67 9821-3724</x:v>
      </x:c>
      <x:c r="Z597" s="30" t="n">
        <x:v>46256</x:v>
      </x:c>
    </x:row>
    <x:row r="598" ht="18" customHeight="1">
      <x:c r="A598" s="22" t="str">
        <x:f>"bd6e2332-5b93-41dd-b3d6-a9071c62a662"</x:f>
        <x:v>bd6e2332-5b93-41dd-b3d6-a9071c62a662</x:v>
      </x:c>
      <x:c r="B598" s="23" t="str">
        <x:v>CINTIA CAROLINE BARBOSA DE OLIVEIRA ALVES</x:v>
      </x:c>
      <x:c r="C598" s="23" t="str">
        <x:v>cintia caroline barbosa de oliveira alves</x:v>
      </x:c>
      <x:c r="D598" s="22" t="str">
        <x:f>"66.342.756/0001-27"</x:f>
        <x:v>66.342.756/0001-27</x:v>
      </x:c>
      <x:c r="E598" s="22" t="str">
        <x:f>"66342756000127"</x:f>
        <x:v>66342756000127</x:v>
      </x:c>
      <x:c r="F598" s="22" t="str">
        <x:f>"401.468.028-29"</x:f>
        <x:v>401.468.028-29</x:v>
      </x:c>
      <x:c r="G598" s="22" t="str">
        <x:f>"40146802829"</x:f>
        <x:v>40146802829</x:v>
      </x:c>
      <x:c r="H598" s="23" t="str">
        <x:v>cintiakety38@gmail.com</x:v>
      </x:c>
      <x:c r="I598" s="22" t="str">
        <x:f>"+55 14 99128-3128"</x:f>
        <x:v>+55 14 99128-3128</x:v>
      </x:c>
      <x:c r="J598" s="23" t="str">
        <x:v>spot</x:v>
      </x:c>
      <x:c r="K598" s="23" t="str">
        <x:v>favored_only</x:v>
      </x:c>
      <x:c r="L598" s="24" t="b">
        <x:v>1</x:v>
      </x:c>
      <x:c r="M598" s="23" t="n">
        <x:v>1</x:v>
      </x:c>
      <x:c r="N598" s="28" t="n">
        <x:v>46219.812988715275</x:v>
      </x:c>
      <x:c r="O598" s="28" t="n">
        <x:v>46219.812988715275</x:v>
      </x:c>
      <x:c r="P598" s="23" t="str">
        <x:v>MARILIA</x:v>
      </x:c>
      <x:c r="Q598" s="30" t="n">
        <x:v>33465</x:v>
      </x:c>
      <x:c r="R598" s="22" t="str">
        <x:f>"47936729"</x:f>
        <x:v>47936729</x:v>
      </x:c>
      <x:c r="S598" s="23" t="str">
        <x:v>feminino</x:v>
      </x:c>
      <x:c r="T598" s="22" t="str">
        <x:f>"FAS0C61"</x:f>
        <x:v>FAS0C61</x:v>
      </x:c>
      <x:c r="U598" s="23" t="str">
        <x:v>CINTIA CAROLINE BARBOSA DE OLIVEIRA ALVES</x:v>
      </x:c>
      <x:c r="V598" s="22" t="str">
        <x:f>"401.468.028-29"</x:f>
        <x:v>401.468.028-29</x:v>
      </x:c>
      <x:c r="W598" s="22" t="str">
        <x:f>"40146802829"</x:f>
        <x:v>40146802829</x:v>
      </x:c>
      <x:c r="X598" s="23" t="str">
        <x:v>cintiakety38@gmail.com</x:v>
      </x:c>
      <x:c r="Y598" s="22" t="str">
        <x:f>"+55 14 99128-3128"</x:f>
        <x:v>+55 14 99128-3128</x:v>
      </x:c>
      <x:c r="Z598" s="30" t="n">
        <x:v>46571</x:v>
      </x:c>
    </x:row>
    <x:row r="599" ht="18" customHeight="1">
      <x:c r="A599" s="22" t="str">
        <x:f>"4416b0e5-738a-46ab-bd27-041c4eeeff84"</x:f>
        <x:v>4416b0e5-738a-46ab-bd27-041c4eeeff84</x:v>
      </x:c>
      <x:c r="B599" s="23" t="str">
        <x:v>CINTIA LIMA GONCALVES</x:v>
      </x:c>
      <x:c r="C599" s="23" t="str">
        <x:v>cintia lima goncalves</x:v>
      </x:c>
      <x:c r="D599" s="22" t="str">
        <x:f>"13.242.355/0001-39"</x:f>
        <x:v>13.242.355/0001-39</x:v>
      </x:c>
      <x:c r="E599" s="22" t="str">
        <x:f>"13242355000139"</x:f>
        <x:v>13242355000139</x:v>
      </x:c>
      <x:c r="F599" s="22" t="str">
        <x:f>"102.349.467-17"</x:f>
        <x:v>102.349.467-17</x:v>
      </x:c>
      <x:c r="G599" s="22" t="str">
        <x:f>"10234946717"</x:f>
        <x:v>10234946717</x:v>
      </x:c>
      <x:c r="H599" s="23" t="str">
        <x:v>documentos202121@gmail.com</x:v>
      </x:c>
      <x:c r="I599" s="22" t="str">
        <x:f>"21974903144"</x:f>
        <x:v>21974903144</x:v>
      </x:c>
      <x:c r="J599" s="23" t="str">
        <x:v>SPOT</x:v>
      </x:c>
      <x:c r="K599" s="23" t="str">
        <x:v>favored_only</x:v>
      </x:c>
      <x:c r="L599" s="24" t="b">
        <x:v>1</x:v>
      </x:c>
      <x:c r="M599" s="23" t="n">
        <x:v>1</x:v>
      </x:c>
      <x:c r="N599" s="28" t="n">
        <x:v>46203.92189965278</x:v>
      </x:c>
      <x:c r="O599" s="28" t="n">
        <x:v>46219.812988715275</x:v>
      </x:c>
      <x:c r="P599" s="23" t="str">
        <x:v>CAMPO GRANDE</x:v>
      </x:c>
      <x:c r="Q599" s="30" t="n">
        <x:v>31231</x:v>
      </x:c>
      <x:c r="R599" s="22" t="str">
        <x:f>"206247298"</x:f>
        <x:v>206247298</x:v>
      </x:c>
      <x:c r="S599" s="23" t="str">
        <x:v>feminino</x:v>
      </x:c>
      <x:c r="T599" s="22" t="str">
        <x:f>"LQZ6F03"</x:f>
        <x:v>LQZ6F03</x:v>
      </x:c>
      <x:c r="U599" s="23" t="str">
        <x:v>CINTIA LIMA GONCALVES</x:v>
      </x:c>
      <x:c r="V599" s="22" t="str">
        <x:f>"102.349.467-17"</x:f>
        <x:v>102.349.467-17</x:v>
      </x:c>
      <x:c r="W599" s="22" t="str">
        <x:f>"10234946717"</x:f>
        <x:v>10234946717</x:v>
      </x:c>
      <x:c r="X599" s="23" t="str">
        <x:v>documentos202121@gmail.com</x:v>
      </x:c>
      <x:c r="Y599" s="22" t="str">
        <x:f>"21974903144"</x:f>
        <x:v>21974903144</x:v>
      </x:c>
      <x:c r="Z599" s="30" t="n">
        <x:v>46355</x:v>
      </x:c>
    </x:row>
    <x:row r="600" ht="18" customHeight="1">
      <x:c r="A600" s="22" t="str">
        <x:f>"bcb6da23-fdf5-4cd8-b132-fd5ea037171e"</x:f>
        <x:v>bcb6da23-fdf5-4cd8-b132-fd5ea037171e</x:v>
      </x:c>
      <x:c r="B600" s="23" t="str">
        <x:v>CINTIA ROSANA FREITAS VEIGAS</x:v>
      </x:c>
      <x:c r="C600" s="23" t="str">
        <x:v>cintia rosana freitas veigas</x:v>
      </x:c>
      <x:c r="D600" s="22" t="str">
        <x:f>"38.464.037/0001-43"</x:f>
        <x:v>38.464.037/0001-43</x:v>
      </x:c>
      <x:c r="E600" s="22" t="str">
        <x:f>"38464037000143"</x:f>
        <x:v>38464037000143</x:v>
      </x:c>
      <x:c r="F600" s="22" t="str">
        <x:f>"283.472.148-32"</x:f>
        <x:v>283.472.148-32</x:v>
      </x:c>
      <x:c r="G600" s="22" t="str">
        <x:f>"28347214832"</x:f>
        <x:v>28347214832</x:v>
      </x:c>
      <x:c r="H600" s="23" t="str">
        <x:v>veigaslima26@gmail.com</x:v>
      </x:c>
      <x:c r="I600" s="22" t="str">
        <x:f>"17992133135"</x:f>
        <x:v>17992133135</x:v>
      </x:c>
      <x:c r="J600" s="23" t="str">
        <x:v>RENTAL</x:v>
      </x:c>
      <x:c r="K600" s="23" t="str">
        <x:v>rental_company</x:v>
      </x:c>
      <x:c r="L600" s="24" t="b">
        <x:v>1</x:v>
      </x:c>
      <x:c r="M600" s="23" t="n">
        <x:v>1</x:v>
      </x:c>
      <x:c r="N600" s="28" t="n">
        <x:v>46205.60395355324</x:v>
      </x:c>
      <x:c r="O600" s="28" t="n">
        <x:v>46219.812988715275</x:v>
      </x:c>
      <x:c r="P600" s="23" t="str">
        <x:v>SÃO JOSE DO RIO PRETO</x:v>
      </x:c>
      <x:c r="Q600" s="30" t="n">
        <x:v>28639</x:v>
      </x:c>
      <x:c r="R600" s="22" t="str">
        <x:f>"30689961"</x:f>
        <x:v>30689961</x:v>
      </x:c>
      <x:c r="S600" s="23" t="str">
        <x:v>feminino</x:v>
      </x:c>
      <x:c r="T600" s="22" t="str">
        <x:f>"ASE0882"</x:f>
        <x:v>ASE0882</x:v>
      </x:c>
      <x:c r="U600" s="23" t="str">
        <x:v>LUIS MIGUEL VEIGAS LIMA</x:v>
      </x:c>
      <x:c r="V600" s="22" t="str">
        <x:f>"028.347.214-32"</x:f>
        <x:v>028.347.214-32</x:v>
      </x:c>
      <x:c r="W600" s="22" t="str">
        <x:f>"02834721432"</x:f>
        <x:v>02834721432</x:v>
      </x:c>
      <x:c r="X600" s="23" t="str">
        <x:v>veigaslima26@gmail.com</x:v>
      </x:c>
      <x:c r="Y600" s="22" t="str">
        <x:f>"17992133135"</x:f>
        <x:v>17992133135</x:v>
      </x:c>
      <x:c r="Z600" s="30" t="n">
        <x:v>46255</x:v>
      </x:c>
    </x:row>
    <x:row r="601" ht="18" customHeight="1">
      <x:c r="A601" s="22" t="str">
        <x:f>"33836a42-fbfa-4ba1-8ed7-c7bdb93b30c9"</x:f>
        <x:v>33836a42-fbfa-4ba1-8ed7-c7bdb93b30c9</x:v>
      </x:c>
      <x:c r="B601" s="23" t="str">
        <x:v>CINTIA ROSANA FREITAS VIEGAS</x:v>
      </x:c>
      <x:c r="C601" s="23" t="str">
        <x:v>cintia rosana freitas viegas</x:v>
      </x:c>
      <x:c r="D601" s="22" t="str">
        <x:f>"62.207.941/0001-58"</x:f>
        <x:v>62.207.941/0001-58</x:v>
      </x:c>
      <x:c r="E601" s="22" t="str">
        <x:f>"62207941000158"</x:f>
        <x:v>62207941000158</x:v>
      </x:c>
      <x:c r="F601" s="22" t="str">
        <x:f>"283.472.148-32"</x:f>
        <x:v>283.472.148-32</x:v>
      </x:c>
      <x:c r="G601" s="22" t="str">
        <x:f>"28347214832"</x:f>
        <x:v>28347214832</x:v>
      </x:c>
      <x:c r="H601" s="23" t="str">
        <x:v>cintiaviegas587@gmail.com</x:v>
      </x:c>
      <x:c r="I601" s="22" t="str">
        <x:f>"17 99213-3135"</x:f>
        <x:v>17 99213-3135</x:v>
      </x:c>
      <x:c r="J601" s="23" t="str">
        <x:v>SPOT</x:v>
      </x:c>
      <x:c r="K601" s="23" t="str">
        <x:v>favored_only</x:v>
      </x:c>
      <x:c r="L601" s="24" t="b">
        <x:v>1</x:v>
      </x:c>
      <x:c r="M601" s="23" t="n">
        <x:v>1</x:v>
      </x:c>
      <x:c r="N601" s="28" t="n">
        <x:v>46205.60412979167</x:v>
      </x:c>
      <x:c r="O601" s="28" t="n">
        <x:v>46219.812988715275</x:v>
      </x:c>
      <x:c r="P601" s="23" t="str">
        <x:v>SÃO JOSE DO RIO PRETO</x:v>
      </x:c>
      <x:c r="Q601" s="30" t="n">
        <x:v>28639</x:v>
      </x:c>
      <x:c r="R601" s="22" t="str">
        <x:f>"30689961"</x:f>
        <x:v>30689961</x:v>
      </x:c>
      <x:c r="S601" s="23" t="str">
        <x:v>feminino</x:v>
      </x:c>
      <x:c r="T601" s="22" t="str">
        <x:f>"ASE0882"</x:f>
        <x:v>ASE0882</x:v>
      </x:c>
      <x:c r="U601" s="23" t="str">
        <x:v>LUIS MIGUEL VIEGAS DE LIMA</x:v>
      </x:c>
      <x:c r="V601" s="22" t="str">
        <x:f>"459.550.088-29"</x:f>
        <x:v>459.550.088-29</x:v>
      </x:c>
      <x:c r="W601" s="22" t="str">
        <x:f>"45955008829"</x:f>
        <x:v>45955008829</x:v>
      </x:c>
      <x:c r="X601" s="23" t="str">
        <x:v>viegaslima26@gmail.com</x:v>
      </x:c>
      <x:c r="Y601" s="22" t="str">
        <x:f>"17996427706"</x:f>
        <x:v>17996427706</x:v>
      </x:c>
      <x:c r="Z601" s="30" t="n">
        <x:v>46255</x:v>
      </x:c>
    </x:row>
    <x:row r="602" ht="18" customHeight="1">
      <x:c r="A602" s="22" t="str">
        <x:f>"397f1c14-1a9f-4d73-882b-3cb0b7cbeba9"</x:f>
        <x:v>397f1c14-1a9f-4d73-882b-3cb0b7cbeba9</x:v>
      </x:c>
      <x:c r="B602" s="23" t="str">
        <x:v>CIRO AUGUSTO SANTOS DA SILVA</x:v>
      </x:c>
      <x:c r="C602" s="23" t="str">
        <x:v>ciro augusto santos da silva</x:v>
      </x:c>
      <x:c r="D602" s="22" t="str">
        <x:f>"62.423.261/0001-71"</x:f>
        <x:v>62.423.261/0001-71</x:v>
      </x:c>
      <x:c r="E602" s="22" t="str">
        <x:f>"62423261000171"</x:f>
        <x:v>62423261000171</x:v>
      </x:c>
      <x:c r="F602" s="22" t="str">
        <x:f>"031.364.217-60"</x:f>
        <x:v>031.364.217-60</x:v>
      </x:c>
      <x:c r="G602" s="22" t="str">
        <x:f>"03136421760"</x:f>
        <x:v>03136421760</x:v>
      </x:c>
      <x:c r="H602" s="23" t="str">
        <x:v>ciroemarcia@gmail.com</x:v>
      </x:c>
      <x:c r="I602" s="22" t="str">
        <x:f>"21971296476"</x:f>
        <x:v>21971296476</x:v>
      </x:c>
      <x:c r="J602" s="23" t="str">
        <x:v>SPOT</x:v>
      </x:c>
      <x:c r="K602" s="23" t="str">
        <x:v>favored_only</x:v>
      </x:c>
      <x:c r="L602" s="24" t="b">
        <x:v>1</x:v>
      </x:c>
      <x:c r="M602" s="23" t="n">
        <x:v>1</x:v>
      </x:c>
      <x:c r="N602" s="28" t="n">
        <x:v>46203.9218771875</x:v>
      </x:c>
      <x:c r="O602" s="28" t="n">
        <x:v>46219.812988715275</x:v>
      </x:c>
      <x:c r="P602" s="23" t="str">
        <x:v>QUEIMADOS</x:v>
      </x:c>
      <x:c r="Q602" s="30" t="n">
        <x:v>26208</x:v>
      </x:c>
      <x:c r="R602" s="22" t="str">
        <x:f>"88453147"</x:f>
        <x:v>88453147</x:v>
      </x:c>
      <x:c r="S602" s="23" t="str">
        <x:v>feminino</x:v>
      </x:c>
      <x:c r="T602" s="22" t="str">
        <x:f>"FAI2I31"</x:f>
        <x:v>FAI2I31</x:v>
      </x:c>
      <x:c r="U602" s="23" t="str">
        <x:v>CIRO AUGUSTO SANTOS DA SILVA</x:v>
      </x:c>
      <x:c r="V602" s="22" t="str">
        <x:f>"031.364.217-60"</x:f>
        <x:v>031.364.217-60</x:v>
      </x:c>
      <x:c r="W602" s="22" t="str">
        <x:f>"03136421760"</x:f>
        <x:v>03136421760</x:v>
      </x:c>
      <x:c r="X602" s="23" t="str">
        <x:v>ciroemarcia@gmail.com</x:v>
      </x:c>
      <x:c r="Y602" s="22" t="str">
        <x:f>"21971296476"</x:f>
        <x:v>21971296476</x:v>
      </x:c>
      <x:c r="Z602" s="30" t="n">
        <x:v>46310</x:v>
      </x:c>
    </x:row>
    <x:row r="603" ht="18" customHeight="1">
      <x:c r="A603" s="22" t="str">
        <x:f>"7c8eef11-4f39-4972-bec8-7294f72692f4"</x:f>
        <x:v>7c8eef11-4f39-4972-bec8-7294f72692f4</x:v>
      </x:c>
      <x:c r="B603" s="23" t="str">
        <x:v>CLAITON FREITAS DE ASSUNCAO</x:v>
      </x:c>
      <x:c r="C603" s="23" t="str">
        <x:v>claiton freitas de assuncao</x:v>
      </x:c>
      <x:c r="D603" s="22" t="str">
        <x:f>"61.051.552/0001-13"</x:f>
        <x:v>61.051.552/0001-13</x:v>
      </x:c>
      <x:c r="E603" s="22" t="str">
        <x:f>"61051552000113"</x:f>
        <x:v>61051552000113</x:v>
      </x:c>
      <x:c r="F603" s="22" t="str">
        <x:f>"847.328.656-15"</x:f>
        <x:v>847.328.656-15</x:v>
      </x:c>
      <x:c r="G603" s="22" t="str">
        <x:f>"84732865615"</x:f>
        <x:v>84732865615</x:v>
      </x:c>
      <x:c r="H603" s="23" t="str">
        <x:v>claitonfa@hotmail.com</x:v>
      </x:c>
      <x:c r="I603" s="22" t="str">
        <x:f>"34996469616"</x:f>
        <x:v>34996469616</x:v>
      </x:c>
      <x:c r="J603" s="23" t="str">
        <x:v>SPOT</x:v>
      </x:c>
      <x:c r="K603" s="23" t="str">
        <x:v>favored_only</x:v>
      </x:c>
      <x:c r="L603" s="24" t="b">
        <x:v>1</x:v>
      </x:c>
      <x:c r="M603" s="23" t="n">
        <x:v>1</x:v>
      </x:c>
      <x:c r="N603" s="28" t="n">
        <x:v>46203.92183332176</x:v>
      </x:c>
      <x:c r="O603" s="28" t="n">
        <x:v>46219.812988715275</x:v>
      </x:c>
      <x:c r="P603" s="23" t="str">
        <x:v>JALES</x:v>
      </x:c>
      <x:c r="Q603" s="30" t="n">
        <x:v>26507</x:v>
      </x:c>
      <x:c r="R603" s="22" t="str">
        <x:f>"6663566"</x:f>
        <x:v>6663566</x:v>
      </x:c>
      <x:c r="S603" s="23" t="str">
        <x:v>masculino</x:v>
      </x:c>
      <x:c r="T603" s="22" t="str">
        <x:f>"FXU3F30"</x:f>
        <x:v>FXU3F30</x:v>
      </x:c>
      <x:c r="U603" s="23" t="str">
        <x:v>CLAITON FREITAS DE ASSUNCAO</x:v>
      </x:c>
      <x:c r="V603" s="22" t="str">
        <x:f>"847.328.656-15"</x:f>
        <x:v>847.328.656-15</x:v>
      </x:c>
      <x:c r="W603" s="22" t="str">
        <x:f>"84732865615"</x:f>
        <x:v>84732865615</x:v>
      </x:c>
      <x:c r="X603" s="23" t="str">
        <x:v>claitonfa@hotmail.com</x:v>
      </x:c>
      <x:c r="Y603" s="22" t="str">
        <x:f>"34996469616"</x:f>
        <x:v>34996469616</x:v>
      </x:c>
      <x:c r="Z603" s="30" t="n">
        <x:v>46433</x:v>
      </x:c>
    </x:row>
    <x:row r="604" ht="18" customHeight="1">
      <x:c r="A604" s="22" t="str">
        <x:f>"3bc2ff0c-caab-41eb-b0f8-b59ae96e619d"</x:f>
        <x:v>3bc2ff0c-caab-41eb-b0f8-b59ae96e619d</x:v>
      </x:c>
      <x:c r="B604" s="23" t="str">
        <x:v>CLANDERSON DA SILVA MOURA</x:v>
      </x:c>
      <x:c r="C604" s="23" t="str">
        <x:v>clanderson da silva moura</x:v>
      </x:c>
      <x:c r="D604" s="22" t="str">
        <x:f>"58.203.865/0001-35"</x:f>
        <x:v>58.203.865/0001-35</x:v>
      </x:c>
      <x:c r="E604" s="22" t="str">
        <x:f>"58203865000135"</x:f>
        <x:v>58203865000135</x:v>
      </x:c>
      <x:c r="F604" s="22" t="str">
        <x:f>"125.127.066-21"</x:f>
        <x:v>125.127.066-21</x:v>
      </x:c>
      <x:c r="G604" s="22" t="str">
        <x:f>"12512706621"</x:f>
        <x:v>12512706621</x:v>
      </x:c>
      <x:c r="H604" s="23" t="str">
        <x:v>clandersonmoura25@gmail.com</x:v>
      </x:c>
      <x:c r="I604" s="22" t="str">
        <x:f>"34999539913"</x:f>
        <x:v>34999539913</x:v>
      </x:c>
      <x:c r="J604" s="23" t="str">
        <x:v>RENTAL</x:v>
      </x:c>
      <x:c r="K604" s="23" t="str">
        <x:v>rental_company</x:v>
      </x:c>
      <x:c r="L604" s="24" t="b">
        <x:v>1</x:v>
      </x:c>
      <x:c r="M604" s="23" t="n">
        <x:v>1</x:v>
      </x:c>
      <x:c r="N604" s="28" t="n">
        <x:v>46219.812988715275</x:v>
      </x:c>
      <x:c r="O604" s="28" t="n">
        <x:v>46219.812988715275</x:v>
      </x:c>
      <x:c r="P604" s="23" t="str">
        <x:v>UBERABA</x:v>
      </x:c>
      <x:c r="Q604" s="30" t="n">
        <x:v>33904</x:v>
      </x:c>
      <x:c r="R604" s="22" t="str">
        <x:f>"18840982"</x:f>
        <x:v>18840982</x:v>
      </x:c>
      <x:c r="S604" s="23" t="str">
        <x:v>masculino</x:v>
      </x:c>
      <x:c r="T604" s="22" t="str"/>
      <x:c r="U604" s="23" t="str">
        <x:v>CLANDERSON DA SILVA MOURA</x:v>
      </x:c>
      <x:c r="V604" s="22" t="str">
        <x:f>"125.127.066-21"</x:f>
        <x:v>125.127.066-21</x:v>
      </x:c>
      <x:c r="W604" s="22" t="str">
        <x:f>"12512706621"</x:f>
        <x:v>12512706621</x:v>
      </x:c>
      <x:c r="X604" s="23" t="str">
        <x:v>clandersonmoura25@gmail.com</x:v>
      </x:c>
      <x:c r="Y604" s="22" t="str">
        <x:f>"34999539913"</x:f>
        <x:v>34999539913</x:v>
      </x:c>
      <x:c r="Z604" s="30" t="n">
        <x:v>46532</x:v>
      </x:c>
    </x:row>
    <x:row r="605" ht="18" customHeight="1">
      <x:c r="A605" s="22" t="str">
        <x:f>"82cd448b-ea26-4033-973f-8340d4e6dce7"</x:f>
        <x:v>82cd448b-ea26-4033-973f-8340d4e6dce7</x:v>
      </x:c>
      <x:c r="B605" s="23" t="str">
        <x:v>CLAUDENIR APARECIDO MACEDO</x:v>
      </x:c>
      <x:c r="C605" s="23" t="str">
        <x:v>claudenir aparecido macedo</x:v>
      </x:c>
      <x:c r="D605" s="22" t="str">
        <x:f>"53.264.533/0001-47"</x:f>
        <x:v>53.264.533/0001-47</x:v>
      </x:c>
      <x:c r="E605" s="22" t="str">
        <x:f>"53264533000147"</x:f>
        <x:v>53264533000147</x:v>
      </x:c>
      <x:c r="F605" s="22" t="str">
        <x:f>"898.747.651-00"</x:f>
        <x:v>898.747.651-00</x:v>
      </x:c>
      <x:c r="G605" s="22" t="str">
        <x:f>"89874765100"</x:f>
        <x:v>89874765100</x:v>
      </x:c>
      <x:c r="H605" s="23" t="str">
        <x:v>lacerdadiver.go@gmail.com</x:v>
      </x:c>
      <x:c r="I605" s="22" t="str">
        <x:f>"65996235752"</x:f>
        <x:v>65996235752</x:v>
      </x:c>
      <x:c r="J605" s="23" t="str">
        <x:v>SPOT</x:v>
      </x:c>
      <x:c r="K605" s="23" t="str">
        <x:v>favored_only</x:v>
      </x:c>
      <x:c r="L605" s="24" t="b">
        <x:v>1</x:v>
      </x:c>
      <x:c r="M605" s="23" t="n">
        <x:v>1</x:v>
      </x:c>
      <x:c r="N605" s="28" t="n">
        <x:v>46205.607313622684</x:v>
      </x:c>
      <x:c r="O605" s="28" t="n">
        <x:v>46219.812988715275</x:v>
      </x:c>
      <x:c r="P605" s="23" t="str">
        <x:v>PONTES E LACERDA</x:v>
      </x:c>
      <x:c r="Q605" s="30" t="n">
        <x:v>29434</x:v>
      </x:c>
      <x:c r="R605" s="22" t="str">
        <x:f>"12334704"</x:f>
        <x:v>12334704</x:v>
      </x:c>
      <x:c r="S605" s="23" t="str">
        <x:v>masculino</x:v>
      </x:c>
      <x:c r="T605" s="22" t="str">
        <x:f>"sps1g91"</x:f>
        <x:v>sps1g91</x:v>
      </x:c>
      <x:c r="U605" s="23" t="str">
        <x:v>LEONIDAS DE PINHO E SILVA</x:v>
      </x:c>
      <x:c r="V605" s="22" t="str">
        <x:f>"659.967.903-17"</x:f>
        <x:v>659.967.903-17</x:v>
      </x:c>
      <x:c r="W605" s="22" t="str">
        <x:f>"65996790317"</x:f>
        <x:v>65996790317</x:v>
      </x:c>
      <x:c r="X605" s="23" t="str">
        <x:v>veloxlogisticamt@gmail.com</x:v>
      </x:c>
      <x:c r="Y605" s="22" t="str">
        <x:f>"692.451.851-68"</x:f>
        <x:v>692.451.851-68</x:v>
      </x:c>
      <x:c r="Z605" s="30" t="n">
        <x:v>46215</x:v>
      </x:c>
    </x:row>
    <x:row r="606" ht="18" customHeight="1">
      <x:c r="A606" s="22" t="str">
        <x:f>"dd92760d-267c-4c54-8fae-bf6529f1b7ea"</x:f>
        <x:v>dd92760d-267c-4c54-8fae-bf6529f1b7ea</x:v>
      </x:c>
      <x:c r="B606" s="23" t="str">
        <x:v>CLAUDENIZE SILVA DE JESUS</x:v>
      </x:c>
      <x:c r="C606" s="23" t="str">
        <x:v>claudenize silva de jesus</x:v>
      </x:c>
      <x:c r="D606" s="22" t="str">
        <x:f>"67.851.700/0001-60"</x:f>
        <x:v>67.851.700/0001-60</x:v>
      </x:c>
      <x:c r="E606" s="22" t="str">
        <x:f>"67851700000160"</x:f>
        <x:v>67851700000160</x:v>
      </x:c>
      <x:c r="F606" s="22" t="str">
        <x:f>"359.358.378-03"</x:f>
        <x:v>359.358.378-03</x:v>
      </x:c>
      <x:c r="G606" s="22" t="str">
        <x:f>"35935837803"</x:f>
        <x:v>35935837803</x:v>
      </x:c>
      <x:c r="H606" s="23" t="str">
        <x:v>silvanize29@gmail.com</x:v>
      </x:c>
      <x:c r="I606" s="22" t="str">
        <x:f>"(35) 98434-1412"</x:f>
        <x:v>(35) 98434-1412</x:v>
      </x:c>
      <x:c r="J606" s="23" t="str">
        <x:v>RENTAL</x:v>
      </x:c>
      <x:c r="K606" s="23" t="str">
        <x:v>rental_company</x:v>
      </x:c>
      <x:c r="L606" s="24" t="b">
        <x:v>1</x:v>
      </x:c>
      <x:c r="M606" s="23" t="n">
        <x:v>1</x:v>
      </x:c>
      <x:c r="N606" s="28" t="n">
        <x:v>46219.812988715275</x:v>
      </x:c>
      <x:c r="O606" s="28" t="n">
        <x:v>46219.812988715275</x:v>
      </x:c>
      <x:c r="P606" s="23" t="str">
        <x:v>POUSO ALEGRE</x:v>
      </x:c>
      <x:c r="Q606" s="30" t="n">
        <x:v>31575</x:v>
      </x:c>
      <x:c r="R606" s="22" t="str">
        <x:f>"41192399 SSP SP"</x:f>
        <x:v>41192399 SSP SP</x:v>
      </x:c>
      <x:c r="S606" s="23" t="str">
        <x:v>masculino</x:v>
      </x:c>
      <x:c r="T606" s="22" t="str"/>
      <x:c r="U606" s="23" t="str">
        <x:v>CLAUDENIZE SILVA DE JESUS</x:v>
      </x:c>
      <x:c r="V606" s="22" t="str">
        <x:f>"359.358.378-03"</x:f>
        <x:v>359.358.378-03</x:v>
      </x:c>
      <x:c r="W606" s="22" t="str">
        <x:f>"35935837803"</x:f>
        <x:v>35935837803</x:v>
      </x:c>
      <x:c r="X606" s="23" t="str">
        <x:v>silvanize29@gmail.com</x:v>
      </x:c>
      <x:c r="Y606" s="22" t="str">
        <x:f>"(35) 98434-1412"</x:f>
        <x:v>(35) 98434-1412</x:v>
      </x:c>
      <x:c r="Z606" s="30" t="n">
        <x:v>46574</x:v>
      </x:c>
    </x:row>
    <x:row r="607" ht="18" customHeight="1">
      <x:c r="A607" s="22" t="str">
        <x:f>"88f2e32a-04aa-46cf-b5f9-f9db9e523a7d"</x:f>
        <x:v>88f2e32a-04aa-46cf-b5f9-f9db9e523a7d</x:v>
      </x:c>
      <x:c r="B607" s="23" t="str">
        <x:v>Cláudia Papa</x:v>
      </x:c>
      <x:c r="C607" s="23" t="str">
        <x:v>claudia papa</x:v>
      </x:c>
      <x:c r="D607" s="22" t="str">
        <x:f>"63656248000125"</x:f>
        <x:v>63656248000125</x:v>
      </x:c>
      <x:c r="E607" s="22" t="str">
        <x:f>"63656248000125"</x:f>
        <x:v>63656248000125</x:v>
      </x:c>
      <x:c r="F607" s="22" t="str">
        <x:f>"315.914.708.23"</x:f>
        <x:v>315.914.708.23</x:v>
      </x:c>
      <x:c r="G607" s="22" t="str">
        <x:f>"31591470823"</x:f>
        <x:v>31591470823</x:v>
      </x:c>
      <x:c r="H607" s="23" t="str">
        <x:v>claudiapapa931@gmail.com</x:v>
      </x:c>
      <x:c r="I607" s="22" t="str">
        <x:f>"11988968522"</x:f>
        <x:v>11988968522</x:v>
      </x:c>
      <x:c r="J607" s="23" t="str">
        <x:v>RENTAL</x:v>
      </x:c>
      <x:c r="K607" s="23" t="str">
        <x:v>rental_company</x:v>
      </x:c>
      <x:c r="L607" s="24" t="b">
        <x:v>1</x:v>
      </x:c>
      <x:c r="M607" s="23" t="n">
        <x:v>1</x:v>
      </x:c>
      <x:c r="N607" s="28" t="n">
        <x:v>46203.92189965278</x:v>
      </x:c>
      <x:c r="O607" s="28" t="n">
        <x:v>46203.92189965278</x:v>
      </x:c>
      <x:c r="P607" s="23" t="str"/>
      <x:c r="Q607" s="30" t="str"/>
      <x:c r="R607" s="22" t="str"/>
      <x:c r="S607" s="23" t="str"/>
      <x:c r="T607" s="22" t="str"/>
      <x:c r="U607" s="23" t="str">
        <x:v>Cláudia Papa</x:v>
      </x:c>
      <x:c r="V607" s="22" t="str">
        <x:f>"315.914.708.23"</x:f>
        <x:v>315.914.708.23</x:v>
      </x:c>
      <x:c r="W607" s="22" t="str">
        <x:f>"31591470823"</x:f>
        <x:v>31591470823</x:v>
      </x:c>
      <x:c r="X607" s="23" t="str">
        <x:v>claudiapapa931@gmail.com</x:v>
      </x:c>
      <x:c r="Y607" s="22" t="str">
        <x:f>"11988968522"</x:f>
        <x:v>11988968522</x:v>
      </x:c>
      <x:c r="Z607" s="30" t="str"/>
    </x:row>
    <x:row r="608" ht="18" customHeight="1">
      <x:c r="A608" s="22" t="str">
        <x:f>"8fd203f1-9661-42b9-8eaa-2c4bc47a8e9b"</x:f>
        <x:v>8fd203f1-9661-42b9-8eaa-2c4bc47a8e9b</x:v>
      </x:c>
      <x:c r="B608" s="23" t="str">
        <x:v>CLAUDIMIR MARQUES DA SILVA</x:v>
      </x:c>
      <x:c r="C608" s="23" t="str">
        <x:v>claudimir marques da silva</x:v>
      </x:c>
      <x:c r="D608" s="22" t="str">
        <x:f>"62.876.945/0001-29"</x:f>
        <x:v>62.876.945/0001-29</x:v>
      </x:c>
      <x:c r="E608" s="22" t="str">
        <x:f>"62876945000129"</x:f>
        <x:v>62876945000129</x:v>
      </x:c>
      <x:c r="F608" s="22" t="str">
        <x:f>"144.069.296-30"</x:f>
        <x:v>144.069.296-30</x:v>
      </x:c>
      <x:c r="G608" s="22" t="str">
        <x:f>"14406929630"</x:f>
        <x:v>14406929630</x:v>
      </x:c>
      <x:c r="H608" s="23" t="str">
        <x:v>marquesclaudimir@gmail.com</x:v>
      </x:c>
      <x:c r="I608" s="22" t="str">
        <x:f>"34998257898"</x:f>
        <x:v>34998257898</x:v>
      </x:c>
      <x:c r="J608" s="23" t="str">
        <x:v>SPOT</x:v>
      </x:c>
      <x:c r="K608" s="23" t="str">
        <x:v>favored_only</x:v>
      </x:c>
      <x:c r="L608" s="24" t="b">
        <x:v>1</x:v>
      </x:c>
      <x:c r="M608" s="23" t="n">
        <x:v>1</x:v>
      </x:c>
      <x:c r="N608" s="28" t="n">
        <x:v>46219.812988715275</x:v>
      </x:c>
      <x:c r="O608" s="28" t="n">
        <x:v>46219.812988715275</x:v>
      </x:c>
      <x:c r="P608" s="23" t="str">
        <x:v>PATOS DE MINAS</x:v>
      </x:c>
      <x:c r="Q608" s="30" t="n">
        <x:v>35768</x:v>
      </x:c>
      <x:c r="R608" s="22" t="str">
        <x:f>"MG 20873378"</x:f>
        <x:v>MG 20873378</x:v>
      </x:c>
      <x:c r="S608" s="23" t="str">
        <x:v>masculino</x:v>
      </x:c>
      <x:c r="T608" s="22" t="str">
        <x:f>"FZY9I17"</x:f>
        <x:v>FZY9I17</x:v>
      </x:c>
      <x:c r="U608" s="23" t="str">
        <x:v>CLAUDIMIR MARQUES DA SILVA</x:v>
      </x:c>
      <x:c r="V608" s="22" t="str">
        <x:f>"144.069.296-30"</x:f>
        <x:v>144.069.296-30</x:v>
      </x:c>
      <x:c r="W608" s="22" t="str">
        <x:f>"14406929630"</x:f>
        <x:v>14406929630</x:v>
      </x:c>
      <x:c r="X608" s="23" t="str">
        <x:v>marquesclaudimir@gmail.com</x:v>
      </x:c>
      <x:c r="Y608" s="22" t="str">
        <x:f>"34998257898"</x:f>
        <x:v>34998257898</x:v>
      </x:c>
      <x:c r="Z608" s="30" t="n">
        <x:v>46487</x:v>
      </x:c>
    </x:row>
    <x:row r="609" ht="18" customHeight="1">
      <x:c r="A609" s="22" t="str">
        <x:f>"e180888b-c794-47f9-bd10-3e5b7dc4c4fa"</x:f>
        <x:v>e180888b-c794-47f9-bd10-3e5b7dc4c4fa</x:v>
      </x:c>
      <x:c r="B609" s="23" t="str">
        <x:v>CLAUDINEI ALEXANDRE DA SILVA</x:v>
      </x:c>
      <x:c r="C609" s="23" t="str">
        <x:v>claudinei alexandre da silva</x:v>
      </x:c>
      <x:c r="D609" s="22" t="str">
        <x:f>"37.085.575/0001-64"</x:f>
        <x:v>37.085.575/0001-64</x:v>
      </x:c>
      <x:c r="E609" s="22" t="str">
        <x:f>"37085575000164"</x:f>
        <x:v>37085575000164</x:v>
      </x:c>
      <x:c r="F609" s="22" t="str">
        <x:f>"160.834.948-65"</x:f>
        <x:v>160.834.948-65</x:v>
      </x:c>
      <x:c r="G609" s="22" t="str">
        <x:f>"16083494865"</x:f>
        <x:v>16083494865</x:v>
      </x:c>
      <x:c r="H609" s="23" t="str">
        <x:v>claudineialexandredasilva8@gmail.com</x:v>
      </x:c>
      <x:c r="I609" s="22" t="str">
        <x:f>"11 98176-0868"</x:f>
        <x:v>11 98176-0868</x:v>
      </x:c>
      <x:c r="J609" s="23" t="str">
        <x:v>SPOT</x:v>
      </x:c>
      <x:c r="K609" s="23" t="str">
        <x:v>favored_only</x:v>
      </x:c>
      <x:c r="L609" s="24" t="b">
        <x:v>1</x:v>
      </x:c>
      <x:c r="M609" s="23" t="n">
        <x:v>1</x:v>
      </x:c>
      <x:c r="N609" s="28" t="n">
        <x:v>46203.921852962965</x:v>
      </x:c>
      <x:c r="O609" s="28" t="n">
        <x:v>46219.812988715275</x:v>
      </x:c>
      <x:c r="P609" s="23" t="str">
        <x:v>BARUERI</x:v>
      </x:c>
      <x:c r="Q609" s="30" t="n">
        <x:v>27189</x:v>
      </x:c>
      <x:c r="R609" s="22" t="str">
        <x:f>"25692948"</x:f>
        <x:v>25692948</x:v>
      </x:c>
      <x:c r="S609" s="23" t="str">
        <x:v>masculino</x:v>
      </x:c>
      <x:c r="T609" s="22" t="str">
        <x:f>"FWL6H87"</x:f>
        <x:v>FWL6H87</x:v>
      </x:c>
      <x:c r="U609" s="23" t="str">
        <x:v>CLAUDINEI ALEXANDRE DA SILVA</x:v>
      </x:c>
      <x:c r="V609" s="22" t="str">
        <x:f>"160.834.948-65"</x:f>
        <x:v>160.834.948-65</x:v>
      </x:c>
      <x:c r="W609" s="22" t="str">
        <x:f>"16083494865"</x:f>
        <x:v>16083494865</x:v>
      </x:c>
      <x:c r="X609" s="23" t="str">
        <x:v>claudineialexandredasilva8@gmail.com</x:v>
      </x:c>
      <x:c r="Y609" s="22" t="str">
        <x:f>"11 98176-0868"</x:f>
        <x:v>11 98176-0868</x:v>
      </x:c>
      <x:c r="Z609" s="30" t="n">
        <x:v>46240</x:v>
      </x:c>
    </x:row>
    <x:row r="610" ht="18" customHeight="1">
      <x:c r="A610" s="22" t="str">
        <x:f>"8473c13c-f870-446c-bf9f-38547661ac3b"</x:f>
        <x:v>8473c13c-f870-446c-bf9f-38547661ac3b</x:v>
      </x:c>
      <x:c r="B610" s="23" t="str">
        <x:v>CLAUDINEI DA SILVA TEIXEIRA</x:v>
      </x:c>
      <x:c r="C610" s="23" t="str">
        <x:v>claudinei da silva teixeira</x:v>
      </x:c>
      <x:c r="D610" s="22" t="str">
        <x:f>"51.168.747/0001-94"</x:f>
        <x:v>51.168.747/0001-94</x:v>
      </x:c>
      <x:c r="E610" s="22" t="str">
        <x:f>"51168747000194"</x:f>
        <x:v>51168747000194</x:v>
      </x:c>
      <x:c r="F610" s="22" t="str">
        <x:f>"056.366.191-70"</x:f>
        <x:v>056.366.191-70</x:v>
      </x:c>
      <x:c r="G610" s="22" t="str">
        <x:f>"05636619170"</x:f>
        <x:v>05636619170</x:v>
      </x:c>
      <x:c r="H610" s="23" t="str">
        <x:v>teixeiraclaudinei400@gmail.com</x:v>
      </x:c>
      <x:c r="I610" s="22" t="str">
        <x:f>"67 9669-9159"</x:f>
        <x:v>67 9669-9159</x:v>
      </x:c>
      <x:c r="J610" s="23" t="str">
        <x:v>RENTAL</x:v>
      </x:c>
      <x:c r="K610" s="23" t="str">
        <x:v>rental_company</x:v>
      </x:c>
      <x:c r="L610" s="24" t="b">
        <x:v>1</x:v>
      </x:c>
      <x:c r="M610" s="23" t="n">
        <x:v>1</x:v>
      </x:c>
      <x:c r="N610" s="28" t="n">
        <x:v>46219.812988715275</x:v>
      </x:c>
      <x:c r="O610" s="28" t="n">
        <x:v>46219.812988715275</x:v>
      </x:c>
      <x:c r="P610" s="23" t="str">
        <x:v>CHAPADÃO DO SUL</x:v>
      </x:c>
      <x:c r="Q610" s="30" t="n">
        <x:v>35571</x:v>
      </x:c>
      <x:c r="R610" s="22" t="str">
        <x:f>"300032068417"</x:f>
        <x:v>300032068417</x:v>
      </x:c>
      <x:c r="S610" s="23" t="str">
        <x:v>masculino</x:v>
      </x:c>
      <x:c r="T610" s="22" t="str"/>
      <x:c r="U610" s="23" t="str">
        <x:v>CLAUDINEI DA SILVA TEIXEIRA</x:v>
      </x:c>
      <x:c r="V610" s="22" t="str">
        <x:f>"056.366.191-70"</x:f>
        <x:v>056.366.191-70</x:v>
      </x:c>
      <x:c r="W610" s="22" t="str">
        <x:f>"05636619170"</x:f>
        <x:v>05636619170</x:v>
      </x:c>
      <x:c r="X610" s="23" t="str">
        <x:v>teixeiraclaudinei400@gmail.com</x:v>
      </x:c>
      <x:c r="Y610" s="22" t="str">
        <x:f>"67 9669-9159"</x:f>
        <x:v>67 9669-9159</x:v>
      </x:c>
      <x:c r="Z610" s="30" t="n">
        <x:v>46578</x:v>
      </x:c>
    </x:row>
    <x:row r="611" ht="18" customHeight="1">
      <x:c r="A611" s="22" t="str">
        <x:f>"603fa51c-1c55-4258-9728-f7122938334f"</x:f>
        <x:v>603fa51c-1c55-4258-9728-f7122938334f</x:v>
      </x:c>
      <x:c r="B611" s="23" t="str">
        <x:v>CLAUDINEI DE SOUZA SALOMAO</x:v>
      </x:c>
      <x:c r="C611" s="23" t="str">
        <x:v>claudinei de souza salomao</x:v>
      </x:c>
      <x:c r="D611" s="22" t="str">
        <x:f>"64.437.799/0001-60"</x:f>
        <x:v>64.437.799/0001-60</x:v>
      </x:c>
      <x:c r="E611" s="22" t="str">
        <x:f>"64437799000160"</x:f>
        <x:v>64437799000160</x:v>
      </x:c>
      <x:c r="F611" s="22" t="str">
        <x:f>"065.415.866-59"</x:f>
        <x:v>065.415.866-59</x:v>
      </x:c>
      <x:c r="G611" s="22" t="str">
        <x:f>"06541586659"</x:f>
        <x:v>06541586659</x:v>
      </x:c>
      <x:c r="H611" s="23" t="str">
        <x:v>dineisalomao123@gmail.com</x:v>
      </x:c>
      <x:c r="I611" s="22" t="str">
        <x:f>"31996701235"</x:f>
        <x:v>31996701235</x:v>
      </x:c>
      <x:c r="J611" s="23" t="str">
        <x:v>SPOT</x:v>
      </x:c>
      <x:c r="K611" s="23" t="str">
        <x:v>favored_only</x:v>
      </x:c>
      <x:c r="L611" s="24" t="b">
        <x:v>1</x:v>
      </x:c>
      <x:c r="M611" s="23" t="n">
        <x:v>1</x:v>
      </x:c>
      <x:c r="N611" s="28" t="n">
        <x:v>46219.812988715275</x:v>
      </x:c>
      <x:c r="O611" s="28" t="n">
        <x:v>46219.812988715275</x:v>
      </x:c>
      <x:c r="P611" s="23" t="str">
        <x:v>VESPASIANO</x:v>
      </x:c>
      <x:c r="Q611" s="30" t="n">
        <x:v>48577</x:v>
      </x:c>
      <x:c r="R611" s="22" t="str">
        <x:f>"RG 11728594"</x:f>
        <x:v>RG 11728594</x:v>
      </x:c>
      <x:c r="S611" s="23" t="str">
        <x:v>masculino</x:v>
      </x:c>
      <x:c r="T611" s="22" t="str">
        <x:f>"PUI8J36"</x:f>
        <x:v>PUI8J36</x:v>
      </x:c>
      <x:c r="U611" s="23" t="str">
        <x:v>POLLIANE BRAGANCA CARVALHO SILVA.</x:v>
      </x:c>
      <x:c r="V611" s="22" t="str">
        <x:f>"051.467.846-12"</x:f>
        <x:v>051.467.846-12</x:v>
      </x:c>
      <x:c r="W611" s="22" t="str">
        <x:f>"05146784612"</x:f>
        <x:v>05146784612</x:v>
      </x:c>
      <x:c r="X611" s="23" t="str">
        <x:v>pollipaula2019@gmail.com</x:v>
      </x:c>
      <x:c r="Y611" s="22" t="str">
        <x:f>"3197213-7430"</x:f>
        <x:v>3197213-7430</x:v>
      </x:c>
      <x:c r="Z611" s="30" t="n">
        <x:v>46415</x:v>
      </x:c>
    </x:row>
    <x:row r="612" ht="18" customHeight="1">
      <x:c r="A612" s="22" t="str">
        <x:f>"349ebb83-f484-4a14-849c-a058aa0091b7"</x:f>
        <x:v>349ebb83-f484-4a14-849c-a058aa0091b7</x:v>
      </x:c>
      <x:c r="B612" s="23" t="str">
        <x:v>CLAUDINEI VALERIO DE SOUZA</x:v>
      </x:c>
      <x:c r="C612" s="23" t="str">
        <x:v>claudinei valerio de souza</x:v>
      </x:c>
      <x:c r="D612" s="22" t="str">
        <x:f>"64.310.958/0001-61"</x:f>
        <x:v>64.310.958/0001-61</x:v>
      </x:c>
      <x:c r="E612" s="22" t="str">
        <x:f>"64310958000161"</x:f>
        <x:v>64310958000161</x:v>
      </x:c>
      <x:c r="F612" s="22" t="str">
        <x:f>"342.107.738-08"</x:f>
        <x:v>342.107.738-08</x:v>
      </x:c>
      <x:c r="G612" s="22" t="str">
        <x:f>"34210773808"</x:f>
        <x:v>34210773808</x:v>
      </x:c>
      <x:c r="H612" s="23" t="str">
        <x:v>vizzano26@yahoo.com.br</x:v>
      </x:c>
      <x:c r="I612" s="22" t="str">
        <x:f>"18996419166"</x:f>
        <x:v>18996419166</x:v>
      </x:c>
      <x:c r="J612" s="23" t="str">
        <x:v>SPOT</x:v>
      </x:c>
      <x:c r="K612" s="23" t="str">
        <x:v>favored_only</x:v>
      </x:c>
      <x:c r="L612" s="24" t="b">
        <x:v>1</x:v>
      </x:c>
      <x:c r="M612" s="23" t="n">
        <x:v>1</x:v>
      </x:c>
      <x:c r="N612" s="28" t="n">
        <x:v>46219.812988715275</x:v>
      </x:c>
      <x:c r="O612" s="28" t="n">
        <x:v>46219.812988715275</x:v>
      </x:c>
      <x:c r="P612" s="23" t="str">
        <x:v>MARILIA</x:v>
      </x:c>
      <x:c r="Q612" s="30" t="n">
        <x:v>31259</x:v>
      </x:c>
      <x:c r="R612" s="22" t="str">
        <x:f>"41280765.8"</x:f>
        <x:v>41280765.8</x:v>
      </x:c>
      <x:c r="S612" s="23" t="str">
        <x:v>masculino</x:v>
      </x:c>
      <x:c r="T612" s="22" t="str">
        <x:f>"FXB0F35"</x:f>
        <x:v>FXB0F35</x:v>
      </x:c>
      <x:c r="U612" s="23" t="str">
        <x:v>CLAUDINEI VALERIO DE SOUZA</x:v>
      </x:c>
      <x:c r="V612" s="22" t="str">
        <x:f>"342.107.738-08"</x:f>
        <x:v>342.107.738-08</x:v>
      </x:c>
      <x:c r="W612" s="22" t="str">
        <x:f>"34210773808"</x:f>
        <x:v>34210773808</x:v>
      </x:c>
      <x:c r="X612" s="23" t="str">
        <x:v>vizzano26@yahoo.com.br</x:v>
      </x:c>
      <x:c r="Y612" s="22" t="str">
        <x:f>"18996419166"</x:f>
        <x:v>18996419166</x:v>
      </x:c>
      <x:c r="Z612" s="30" t="n">
        <x:v>46408</x:v>
      </x:c>
    </x:row>
    <x:row r="613" ht="18" customHeight="1">
      <x:c r="A613" s="22" t="str">
        <x:f>"94c32bc2-f112-4b3b-b4b4-e6d1d85d9d84"</x:f>
        <x:v>94c32bc2-f112-4b3b-b4b4-e6d1d85d9d84</x:v>
      </x:c>
      <x:c r="B613" s="23" t="str">
        <x:v>CLAUDINEY DA SILVA</x:v>
      </x:c>
      <x:c r="C613" s="23" t="str">
        <x:v>claudiney da silva</x:v>
      </x:c>
      <x:c r="D613" s="22" t="str">
        <x:f>"61.530.339/0001-94"</x:f>
        <x:v>61.530.339/0001-94</x:v>
      </x:c>
      <x:c r="E613" s="22" t="str">
        <x:f>"61530339000194"</x:f>
        <x:v>61530339000194</x:v>
      </x:c>
      <x:c r="F613" s="22" t="str">
        <x:f>"027.777.806-92"</x:f>
        <x:v>027.777.806-92</x:v>
      </x:c>
      <x:c r="G613" s="22" t="str">
        <x:f>"02777780692"</x:f>
        <x:v>02777780692</x:v>
      </x:c>
      <x:c r="H613" s="23" t="str">
        <x:v>claudineyobracivil@gmail.com</x:v>
      </x:c>
      <x:c r="I613" s="22" t="str">
        <x:f>"+55 31 8976-7678"</x:f>
        <x:v>+55 31 8976-7678</x:v>
      </x:c>
      <x:c r="J613" s="23" t="str">
        <x:v>SPOT</x:v>
      </x:c>
      <x:c r="K613" s="23" t="str">
        <x:v>favored_only</x:v>
      </x:c>
      <x:c r="L613" s="24" t="b">
        <x:v>1</x:v>
      </x:c>
      <x:c r="M613" s="23" t="n">
        <x:v>1</x:v>
      </x:c>
      <x:c r="N613" s="28" t="n">
        <x:v>46205.60713210648</x:v>
      </x:c>
      <x:c r="O613" s="28" t="n">
        <x:v>46219.812988715275</x:v>
      </x:c>
      <x:c r="P613" s="23" t="str">
        <x:v>IPATINGA</x:v>
      </x:c>
      <x:c r="Q613" s="30" t="n">
        <x:v>27756</x:v>
      </x:c>
      <x:c r="R613" s="22" t="str">
        <x:f>"88439155"</x:f>
        <x:v>88439155</x:v>
      </x:c>
      <x:c r="S613" s="23" t="str">
        <x:v>masculino</x:v>
      </x:c>
      <x:c r="T613" s="22" t="str">
        <x:f>"RNG9E04"</x:f>
        <x:v>RNG9E04</x:v>
      </x:c>
      <x:c r="U613" s="23" t="str">
        <x:v>GABRIEL JHONATA NETO SILVA</x:v>
      </x:c>
      <x:c r="V613" s="22" t="str">
        <x:f>"115.821.846-07"</x:f>
        <x:v>115.821.846-07</x:v>
      </x:c>
      <x:c r="W613" s="22" t="str">
        <x:f>"11582184607"</x:f>
        <x:v>11582184607</x:v>
      </x:c>
      <x:c r="X613" s="23" t="str">
        <x:v>gabrieljhonata450@gmail.com</x:v>
      </x:c>
      <x:c r="Y613" s="22" t="str">
        <x:f>"+55 31 8976-7679"</x:f>
        <x:v>+55 31 8976-7679</x:v>
      </x:c>
      <x:c r="Z613" s="30" t="n">
        <x:v>46400</x:v>
      </x:c>
    </x:row>
    <x:row r="614" ht="18" customHeight="1">
      <x:c r="A614" s="22" t="str">
        <x:f>"c5ea47d2-5402-4899-8507-1261a9dfa928"</x:f>
        <x:v>c5ea47d2-5402-4899-8507-1261a9dfa928</x:v>
      </x:c>
      <x:c r="B614" s="23" t="str">
        <x:v>CLAUDINEY FERREIRA</x:v>
      </x:c>
      <x:c r="C614" s="23" t="str">
        <x:v>claudiney ferreira</x:v>
      </x:c>
      <x:c r="D614" s="22" t="str">
        <x:f>"54.343.125/0001-43"</x:f>
        <x:v>54.343.125/0001-43</x:v>
      </x:c>
      <x:c r="E614" s="22" t="str">
        <x:f>"54343125000143"</x:f>
        <x:v>54343125000143</x:v>
      </x:c>
      <x:c r="F614" s="22" t="str">
        <x:f>"016.076.821-76"</x:f>
        <x:v>016.076.821-76</x:v>
      </x:c>
      <x:c r="G614" s="22" t="str">
        <x:f>"01607682176"</x:f>
        <x:v>01607682176</x:v>
      </x:c>
      <x:c r="H614" s="23" t="str">
        <x:v>fclaudiney715@gmail.com</x:v>
      </x:c>
      <x:c r="I614" s="22" t="str">
        <x:f>"65992432045"</x:f>
        <x:v>65992432045</x:v>
      </x:c>
      <x:c r="J614" s="23" t="str">
        <x:v>spot</x:v>
      </x:c>
      <x:c r="K614" s="23" t="str">
        <x:v>favored_only</x:v>
      </x:c>
      <x:c r="L614" s="24" t="b">
        <x:v>1</x:v>
      </x:c>
      <x:c r="M614" s="23" t="n">
        <x:v>1</x:v>
      </x:c>
      <x:c r="N614" s="28" t="n">
        <x:v>46219.812988715275</x:v>
      </x:c>
      <x:c r="O614" s="28" t="n">
        <x:v>46219.812988715275</x:v>
      </x:c>
      <x:c r="P614" s="23" t="str">
        <x:v>CUIABA</x:v>
      </x:c>
      <x:c r="Q614" s="30" t="n">
        <x:v>32054</x:v>
      </x:c>
      <x:c r="R614" s="22" t="str">
        <x:f>"1607682176"</x:f>
        <x:v>1607682176</x:v>
      </x:c>
      <x:c r="S614" s="23" t="str">
        <x:v>masculino</x:v>
      </x:c>
      <x:c r="T614" s="22" t="str">
        <x:f>"QOM0D59"</x:f>
        <x:v>QOM0D59</x:v>
      </x:c>
      <x:c r="U614" s="23" t="str">
        <x:v>MYLLENA CAMPOS DUARTE</x:v>
      </x:c>
      <x:c r="V614" s="22" t="str">
        <x:f>"052.585.551-35"</x:f>
        <x:v>052.585.551-35</x:v>
      </x:c>
      <x:c r="W614" s="22" t="str">
        <x:f>"05258555135"</x:f>
        <x:v>05258555135</x:v>
      </x:c>
      <x:c r="X614" s="23" t="str">
        <x:v>myllena_duarte@outlook.com.br</x:v>
      </x:c>
      <x:c r="Y614" s="22" t="str">
        <x:f>"(65)992732499"</x:f>
        <x:v>(65)992732499</x:v>
      </x:c>
      <x:c r="Z614" s="30" t="n">
        <x:v>46537</x:v>
      </x:c>
    </x:row>
    <x:row r="615" ht="18" customHeight="1">
      <x:c r="A615" s="22" t="str">
        <x:f>"fb3f17da-1317-4df2-a853-1c09f77ca29f"</x:f>
        <x:v>fb3f17da-1317-4df2-a853-1c09f77ca29f</x:v>
      </x:c>
      <x:c r="B615" s="23" t="str">
        <x:v>CLAUDIO ALVES DE OLIVEIRA</x:v>
      </x:c>
      <x:c r="C615" s="23" t="str">
        <x:v>claudio alves de oliveira</x:v>
      </x:c>
      <x:c r="D615" s="22" t="str">
        <x:f>"49.972.503/0001-18"</x:f>
        <x:v>49.972.503/0001-18</x:v>
      </x:c>
      <x:c r="E615" s="22" t="str">
        <x:f>"49972503000118"</x:f>
        <x:v>49972503000118</x:v>
      </x:c>
      <x:c r="F615" s="22" t="str">
        <x:f>"107.352.397-70"</x:f>
        <x:v>107.352.397-70</x:v>
      </x:c>
      <x:c r="G615" s="22" t="str">
        <x:f>"10735239770"</x:f>
        <x:v>10735239770</x:v>
      </x:c>
      <x:c r="H615" s="23" t="str">
        <x:v>oliveiraalvesclaudio24@gmail.com</x:v>
      </x:c>
      <x:c r="I615" s="22" t="str">
        <x:f>"021975850940"</x:f>
        <x:v>021975850940</x:v>
      </x:c>
      <x:c r="J615" s="23" t="str">
        <x:v>SPOT</x:v>
      </x:c>
      <x:c r="K615" s="23" t="str">
        <x:v>favored_only</x:v>
      </x:c>
      <x:c r="L615" s="24" t="b">
        <x:v>1</x:v>
      </x:c>
      <x:c r="M615" s="23" t="n">
        <x:v>1</x:v>
      </x:c>
      <x:c r="N615" s="28" t="n">
        <x:v>46219.812988715275</x:v>
      </x:c>
      <x:c r="O615" s="28" t="n">
        <x:v>46219.812988715275</x:v>
      </x:c>
      <x:c r="P615" s="23" t="str">
        <x:v>CORDOVIL</x:v>
      </x:c>
      <x:c r="Q615" s="30" t="n">
        <x:v>31121</x:v>
      </x:c>
      <x:c r="R615" s="22" t="str">
        <x:f>"203736517"</x:f>
        <x:v>203736517</x:v>
      </x:c>
      <x:c r="S615" s="23" t="str">
        <x:v>masculino</x:v>
      </x:c>
      <x:c r="T615" s="22" t="str">
        <x:f>"LRW3E66"</x:f>
        <x:v>LRW3E66</x:v>
      </x:c>
      <x:c r="U615" s="23" t="str">
        <x:v>CLAUDIO ALVES DE OLIVEIRA</x:v>
      </x:c>
      <x:c r="V615" s="22" t="str">
        <x:f>"107.352.397-70"</x:f>
        <x:v>107.352.397-70</x:v>
      </x:c>
      <x:c r="W615" s="22" t="str">
        <x:f>"10735239770"</x:f>
        <x:v>10735239770</x:v>
      </x:c>
      <x:c r="X615" s="23" t="str">
        <x:v>oliveiraalvesclaudio24@gmail.com</x:v>
      </x:c>
      <x:c r="Y615" s="22" t="str">
        <x:f>"021975850940"</x:f>
        <x:v>021975850940</x:v>
      </x:c>
      <x:c r="Z615" s="30" t="n">
        <x:v>46464</x:v>
      </x:c>
    </x:row>
    <x:row r="616" ht="18" customHeight="1">
      <x:c r="A616" s="22" t="str">
        <x:f>"0690437b-2be7-46e5-9f65-71920bb3a139"</x:f>
        <x:v>0690437b-2be7-46e5-9f65-71920bb3a139</x:v>
      </x:c>
      <x:c r="B616" s="23" t="str">
        <x:v>CLAUDIO AUGUSTO GOMES</x:v>
      </x:c>
      <x:c r="C616" s="23" t="str">
        <x:v>claudio augusto gomes</x:v>
      </x:c>
      <x:c r="D616" s="22" t="str">
        <x:f>"64.176.698/0001-83"</x:f>
        <x:v>64.176.698/0001-83</x:v>
      </x:c>
      <x:c r="E616" s="22" t="str">
        <x:f>"64176698000183"</x:f>
        <x:v>64176698000183</x:v>
      </x:c>
      <x:c r="F616" s="22" t="str">
        <x:f>"710.514.211-10"</x:f>
        <x:v>710.514.211-10</x:v>
      </x:c>
      <x:c r="G616" s="22" t="str">
        <x:f>"71051421110"</x:f>
        <x:v>71051421110</x:v>
      </x:c>
      <x:c r="H616" s="23" t="str">
        <x:v>claudiomountainbike675@gmail.com</x:v>
      </x:c>
      <x:c r="I616" s="22" t="str">
        <x:f>"62 993613108"</x:f>
        <x:v>62 993613108</x:v>
      </x:c>
      <x:c r="J616" s="23" t="str">
        <x:v>SPOT</x:v>
      </x:c>
      <x:c r="K616" s="23" t="str">
        <x:v>favored_only</x:v>
      </x:c>
      <x:c r="L616" s="24" t="b">
        <x:v>1</x:v>
      </x:c>
      <x:c r="M616" s="23" t="n">
        <x:v>1</x:v>
      </x:c>
      <x:c r="N616" s="28" t="n">
        <x:v>46219.812988715275</x:v>
      </x:c>
      <x:c r="O616" s="28" t="n">
        <x:v>46219.812988715275</x:v>
      </x:c>
      <x:c r="P616" s="23" t="str">
        <x:v>GOIANIA</x:v>
      </x:c>
      <x:c r="Q616" s="30" t="n">
        <x:v>37789</x:v>
      </x:c>
      <x:c r="R616" s="22" t="str">
        <x:f>"7020381"</x:f>
        <x:v>7020381</x:v>
      </x:c>
      <x:c r="S616" s="23" t="str">
        <x:v>masculino</x:v>
      </x:c>
      <x:c r="T616" s="22" t="str">
        <x:f>"NWP8F21"</x:f>
        <x:v>NWP8F21</x:v>
      </x:c>
      <x:c r="U616" s="23" t="str">
        <x:v>CLAUDIO AUGUSTO GOMES</x:v>
      </x:c>
      <x:c r="V616" s="22" t="str">
        <x:f>"710.514.211-10"</x:f>
        <x:v>710.514.211-10</x:v>
      </x:c>
      <x:c r="W616" s="22" t="str">
        <x:f>"71051421110"</x:f>
        <x:v>71051421110</x:v>
      </x:c>
      <x:c r="X616" s="23" t="str">
        <x:v>claudiomountainbike675@gmail.com</x:v>
      </x:c>
      <x:c r="Y616" s="22" t="str">
        <x:f>"62 993613108"</x:f>
        <x:v>62 993613108</x:v>
      </x:c>
      <x:c r="Z616" s="30" t="n">
        <x:v>46416</x:v>
      </x:c>
    </x:row>
    <x:row r="617" ht="18" customHeight="1">
      <x:c r="A617" s="22" t="str">
        <x:f>"0c94b433-b25b-4e42-828d-5a9607eae16b"</x:f>
        <x:v>0c94b433-b25b-4e42-828d-5a9607eae16b</x:v>
      </x:c>
      <x:c r="B617" s="23" t="str">
        <x:v>CLAUDIO AUGUSTO GOMES</x:v>
      </x:c>
      <x:c r="C617" s="23" t="str">
        <x:v>claudio augusto gomes</x:v>
      </x:c>
      <x:c r="D617" s="22" t="str">
        <x:f>"37.823.997/0001-90"</x:f>
        <x:v>37.823.997/0001-90</x:v>
      </x:c>
      <x:c r="E617" s="22" t="str">
        <x:f>"37823997000190"</x:f>
        <x:v>37823997000190</x:v>
      </x:c>
      <x:c r="F617" s="22" t="str">
        <x:f>"710.514.211-10"</x:f>
        <x:v>710.514.211-10</x:v>
      </x:c>
      <x:c r="G617" s="22" t="str">
        <x:f>"71051421110"</x:f>
        <x:v>71051421110</x:v>
      </x:c>
      <x:c r="H617" s="23" t="str">
        <x:v>claudiomountainbike675@gmail.com</x:v>
      </x:c>
      <x:c r="I617" s="22" t="str">
        <x:f>"62993613108"</x:f>
        <x:v>62993613108</x:v>
      </x:c>
      <x:c r="J617" s="23" t="str">
        <x:v>SPOT</x:v>
      </x:c>
      <x:c r="K617" s="23" t="str">
        <x:v>favored_only</x:v>
      </x:c>
      <x:c r="L617" s="24" t="b">
        <x:v>1</x:v>
      </x:c>
      <x:c r="M617" s="23" t="n">
        <x:v>1</x:v>
      </x:c>
      <x:c r="N617" s="28" t="n">
        <x:v>46205.606068333334</x:v>
      </x:c>
      <x:c r="O617" s="28" t="n">
        <x:v>46219.812988715275</x:v>
      </x:c>
      <x:c r="P617" s="23" t="str">
        <x:v>GOIANIA</x:v>
      </x:c>
      <x:c r="Q617" s="30" t="n">
        <x:v>37789</x:v>
      </x:c>
      <x:c r="R617" s="22" t="str">
        <x:f>"7020381"</x:f>
        <x:v>7020381</x:v>
      </x:c>
      <x:c r="S617" s="23" t="str">
        <x:v>masculino</x:v>
      </x:c>
      <x:c r="T617" s="22" t="str">
        <x:f>"NWP8F21"</x:f>
        <x:v>NWP8F21</x:v>
      </x:c>
      <x:c r="U617" s="23" t="str">
        <x:v>DANILLO BACIEL ALMEIDA</x:v>
      </x:c>
      <x:c r="V617" s="22" t="str">
        <x:f>"038.768.901-01"</x:f>
        <x:v>038.768.901-01</x:v>
      </x:c>
      <x:c r="W617" s="22" t="str">
        <x:f>"03876890101"</x:f>
        <x:v>03876890101</x:v>
      </x:c>
      <x:c r="X617" s="23" t="str">
        <x:v>rtp.cargas@gmail.com</x:v>
      </x:c>
      <x:c r="Y617" s="22" t="str">
        <x:f>"62991277279"</x:f>
        <x:v>62991277279</x:v>
      </x:c>
      <x:c r="Z617" s="30" t="n">
        <x:v>46343</x:v>
      </x:c>
    </x:row>
    <x:row r="618" ht="18" customHeight="1">
      <x:c r="A618" s="22" t="str">
        <x:f>"c9470142-2626-42c9-b856-6606b2f7338a"</x:f>
        <x:v>c9470142-2626-42c9-b856-6606b2f7338a</x:v>
      </x:c>
      <x:c r="B618" s="23" t="str">
        <x:v>CLAUDIO CANDIDO</x:v>
      </x:c>
      <x:c r="C618" s="23" t="str">
        <x:v>claudio candido</x:v>
      </x:c>
      <x:c r="D618" s="22" t="str">
        <x:f>"42.410.200/0001-62"</x:f>
        <x:v>42.410.200/0001-62</x:v>
      </x:c>
      <x:c r="E618" s="22" t="str">
        <x:f>"42410200000162"</x:f>
        <x:v>42410200000162</x:v>
      </x:c>
      <x:c r="F618" s="22" t="str">
        <x:f>"127.297.236-41"</x:f>
        <x:v>127.297.236-41</x:v>
      </x:c>
      <x:c r="G618" s="22" t="str">
        <x:f>"12729723641"</x:f>
        <x:v>12729723641</x:v>
      </x:c>
      <x:c r="H618" s="23" t="str">
        <x:v>claudiocandido199720@gmail.com</x:v>
      </x:c>
      <x:c r="I618" s="22" t="str">
        <x:f>"3598807-0669"</x:f>
        <x:v>3598807-0669</x:v>
      </x:c>
      <x:c r="J618" s="23" t="str">
        <x:v>SPOT</x:v>
      </x:c>
      <x:c r="K618" s="23" t="str">
        <x:v>favored_only</x:v>
      </x:c>
      <x:c r="L618" s="24" t="b">
        <x:v>1</x:v>
      </x:c>
      <x:c r="M618" s="23" t="n">
        <x:v>1</x:v>
      </x:c>
      <x:c r="N618" s="28" t="n">
        <x:v>46219.79396105324</x:v>
      </x:c>
      <x:c r="O618" s="28" t="n">
        <x:v>46219.812988715275</x:v>
      </x:c>
      <x:c r="P618" s="23" t="str">
        <x:v>GUAXUPE</x:v>
      </x:c>
      <x:c r="Q618" s="30" t="n">
        <x:v>35683</x:v>
      </x:c>
      <x:c r="R618" s="22" t="str">
        <x:f>"622171902"</x:f>
        <x:v>622171902</x:v>
      </x:c>
      <x:c r="S618" s="23" t="str">
        <x:v>masculino</x:v>
      </x:c>
      <x:c r="T618" s="22" t="str">
        <x:f>"fdj7h04"</x:f>
        <x:v>fdj7h04</x:v>
      </x:c>
      <x:c r="U618" s="23" t="str">
        <x:v>RICARDO BARROS VECCHI</x:v>
      </x:c>
      <x:c r="V618" s="22" t="str">
        <x:f>"117.673.196-30"</x:f>
        <x:v>117.673.196-30</x:v>
      </x:c>
      <x:c r="W618" s="22" t="str">
        <x:f>"11767319630"</x:f>
        <x:v>11767319630</x:v>
      </x:c>
      <x:c r="X618" s="23" t="str">
        <x:v>ricardo.vecchi2013@gmail.com</x:v>
      </x:c>
      <x:c r="Y618" s="22" t="str">
        <x:f>"35998933894"</x:f>
        <x:v>35998933894</x:v>
      </x:c>
      <x:c r="Z618" s="30" t="n">
        <x:v>46219</x:v>
      </x:c>
    </x:row>
    <x:row r="619" ht="18" customHeight="1">
      <x:c r="A619" s="22" t="str">
        <x:f>"f13f31d2-f619-4bc8-bd77-e22f2d79f8ca"</x:f>
        <x:v>f13f31d2-f619-4bc8-bd77-e22f2d79f8ca</x:v>
      </x:c>
      <x:c r="B619" s="23" t="str">
        <x:v>CLAUDIO CANDIDO</x:v>
      </x:c>
      <x:c r="C619" s="23" t="str">
        <x:v>claudio candido</x:v>
      </x:c>
      <x:c r="D619" s="22" t="str">
        <x:f>"63.459.145/0001-75"</x:f>
        <x:v>63.459.145/0001-75</x:v>
      </x:c>
      <x:c r="E619" s="22" t="str">
        <x:f>"63459145000175"</x:f>
        <x:v>63459145000175</x:v>
      </x:c>
      <x:c r="F619" s="22" t="str">
        <x:f>"127.297.236-41"</x:f>
        <x:v>127.297.236-41</x:v>
      </x:c>
      <x:c r="G619" s="22" t="str">
        <x:f>"12729723641"</x:f>
        <x:v>12729723641</x:v>
      </x:c>
      <x:c r="H619" s="23" t="str">
        <x:v>CLAUDIOCANDIDO199720@GMAIL.COM</x:v>
      </x:c>
      <x:c r="I619" s="22" t="str">
        <x:f>"3598807-0669"</x:f>
        <x:v>3598807-0669</x:v>
      </x:c>
      <x:c r="J619" s="23" t="str">
        <x:v>SPOT</x:v>
      </x:c>
      <x:c r="K619" s="23" t="str">
        <x:v>favored_only</x:v>
      </x:c>
      <x:c r="L619" s="24" t="b">
        <x:v>1</x:v>
      </x:c>
      <x:c r="M619" s="23" t="n">
        <x:v>1</x:v>
      </x:c>
      <x:c r="N619" s="28" t="n">
        <x:v>46203.92189965278</x:v>
      </x:c>
      <x:c r="O619" s="28" t="n">
        <x:v>46219.812988715275</x:v>
      </x:c>
      <x:c r="P619" s="23" t="str">
        <x:v>GUAXUPE</x:v>
      </x:c>
      <x:c r="Q619" s="30" t="n">
        <x:v>35683</x:v>
      </x:c>
      <x:c r="R619" s="22" t="str">
        <x:f>"622171902"</x:f>
        <x:v>622171902</x:v>
      </x:c>
      <x:c r="S619" s="23" t="str">
        <x:v>masculino</x:v>
      </x:c>
      <x:c r="T619" s="22" t="str">
        <x:f>"FDJ7H04"</x:f>
        <x:v>FDJ7H04</x:v>
      </x:c>
      <x:c r="U619" s="23" t="str">
        <x:v>CLAUDIO CANDIDO</x:v>
      </x:c>
      <x:c r="V619" s="22" t="str">
        <x:f>"127.297.236-41"</x:f>
        <x:v>127.297.236-41</x:v>
      </x:c>
      <x:c r="W619" s="22" t="str">
        <x:f>"12729723641"</x:f>
        <x:v>12729723641</x:v>
      </x:c>
      <x:c r="X619" s="23" t="str">
        <x:v>CLAUDIOCANDIDO199720@GMAIL.COM</x:v>
      </x:c>
      <x:c r="Y619" s="22" t="str">
        <x:f>"3598807-0669"</x:f>
        <x:v>3598807-0669</x:v>
      </x:c>
      <x:c r="Z619" s="30" t="n">
        <x:v>46219</x:v>
      </x:c>
    </x:row>
    <x:row r="620" ht="18" customHeight="1">
      <x:c r="A620" s="22" t="str">
        <x:f>"8c645e60-1013-49ba-88b7-a8fb8b57b76b"</x:f>
        <x:v>8c645e60-1013-49ba-88b7-a8fb8b57b76b</x:v>
      </x:c>
      <x:c r="B620" s="23" t="str">
        <x:v>CLAUDIO CESAR RODRIGUES</x:v>
      </x:c>
      <x:c r="C620" s="23" t="str">
        <x:v>claudio cesar rodrigues</x:v>
      </x:c>
      <x:c r="D620" s="22" t="str">
        <x:f>"61.311.629/0001-47"</x:f>
        <x:v>61.311.629/0001-47</x:v>
      </x:c>
      <x:c r="E620" s="22" t="str">
        <x:f>"61311629000147"</x:f>
        <x:v>61311629000147</x:v>
      </x:c>
      <x:c r="F620" s="22" t="str">
        <x:f>"681.741.286-20"</x:f>
        <x:v>681.741.286-20</x:v>
      </x:c>
      <x:c r="G620" s="22" t="str">
        <x:f>"68174128620"</x:f>
        <x:v>68174128620</x:v>
      </x:c>
      <x:c r="H620" s="23" t="str">
        <x:v>robocopclaudio41@gmail.com</x:v>
      </x:c>
      <x:c r="I620" s="22" t="str">
        <x:f>"(34) 9 9650 9252"</x:f>
        <x:v>(34) 9 9650 9252</x:v>
      </x:c>
      <x:c r="J620" s="23" t="str">
        <x:v>SPOT</x:v>
      </x:c>
      <x:c r="K620" s="23" t="str">
        <x:v>favored_only</x:v>
      </x:c>
      <x:c r="L620" s="24" t="b">
        <x:v>1</x:v>
      </x:c>
      <x:c r="M620" s="23" t="n">
        <x:v>1</x:v>
      </x:c>
      <x:c r="N620" s="28" t="n">
        <x:v>46203.9218771875</x:v>
      </x:c>
      <x:c r="O620" s="28" t="n">
        <x:v>46219.812988715275</x:v>
      </x:c>
      <x:c r="P620" s="23" t="str">
        <x:v>UBERABA</x:v>
      </x:c>
      <x:c r="Q620" s="30" t="n">
        <x:v>25892</x:v>
      </x:c>
      <x:c r="R620" s="22" t="str">
        <x:f>"4782708"</x:f>
        <x:v>4782708</x:v>
      </x:c>
      <x:c r="S620" s="23" t="str">
        <x:v>masculino</x:v>
      </x:c>
      <x:c r="T620" s="22" t="str">
        <x:f>"BBA1H30"</x:f>
        <x:v>BBA1H30</x:v>
      </x:c>
      <x:c r="U620" s="23" t="str">
        <x:v>CLAUDIO CESAR RODRIGUES</x:v>
      </x:c>
      <x:c r="V620" s="22" t="str">
        <x:f>"681.741.286-20"</x:f>
        <x:v>681.741.286-20</x:v>
      </x:c>
      <x:c r="W620" s="22" t="str">
        <x:f>"68174128620"</x:f>
        <x:v>68174128620</x:v>
      </x:c>
      <x:c r="X620" s="23" t="str">
        <x:v>robocopclaudio41@gmail.com</x:v>
      </x:c>
      <x:c r="Y620" s="22" t="str">
        <x:f>"(34) 9 9650 9252"</x:f>
        <x:v>(34) 9 9650 9252</x:v>
      </x:c>
      <x:c r="Z620" s="30" t="n">
        <x:v>46305</x:v>
      </x:c>
    </x:row>
    <x:row r="621" ht="18" customHeight="1">
      <x:c r="A621" s="22" t="str">
        <x:f>"d7039660-f26e-4fd4-bbb3-6b7d7767798d"</x:f>
        <x:v>d7039660-f26e-4fd4-bbb3-6b7d7767798d</x:v>
      </x:c>
      <x:c r="B621" s="23" t="str">
        <x:v>CLAUDIO FONTANA</x:v>
      </x:c>
      <x:c r="C621" s="23" t="str">
        <x:v>claudio fontana</x:v>
      </x:c>
      <x:c r="D621" s="22" t="str">
        <x:f>"37.823.997/0001-90"</x:f>
        <x:v>37.823.997/0001-90</x:v>
      </x:c>
      <x:c r="E621" s="22" t="str">
        <x:f>"37823997000190"</x:f>
        <x:v>37823997000190</x:v>
      </x:c>
      <x:c r="F621" s="22" t="str">
        <x:f>"021.655.521-33"</x:f>
        <x:v>021.655.521-33</x:v>
      </x:c>
      <x:c r="G621" s="22" t="str">
        <x:f>"02165552133"</x:f>
        <x:v>02165552133</x:v>
      </x:c>
      <x:c r="H621" s="23" t="str">
        <x:v>claudiofontana18@icloud.com</x:v>
      </x:c>
      <x:c r="I621" s="22" t="str">
        <x:f>"67 9692-3249"</x:f>
        <x:v>67 9692-3249</x:v>
      </x:c>
      <x:c r="J621" s="23" t="str">
        <x:v>SPOT</x:v>
      </x:c>
      <x:c r="K621" s="23" t="str">
        <x:v>favored_only</x:v>
      </x:c>
      <x:c r="L621" s="24" t="b">
        <x:v>1</x:v>
      </x:c>
      <x:c r="M621" s="23" t="n">
        <x:v>1</x:v>
      </x:c>
      <x:c r="N621" s="28" t="n">
        <x:v>46219.812988715275</x:v>
      </x:c>
      <x:c r="O621" s="28" t="n">
        <x:v>46219.812988715275</x:v>
      </x:c>
      <x:c r="P621" s="23" t="str">
        <x:v>CHAPADÃO DO SUL</x:v>
      </x:c>
      <x:c r="Q621" s="30" t="n">
        <x:v>30790</x:v>
      </x:c>
      <x:c r="R621" s="22" t="str">
        <x:f>"1501121"</x:f>
        <x:v>1501121</x:v>
      </x:c>
      <x:c r="S621" s="23" t="str">
        <x:v>masculino</x:v>
      </x:c>
      <x:c r="T621" s="22" t="str">
        <x:f>"OAY2J21"</x:f>
        <x:v>OAY2J21</x:v>
      </x:c>
      <x:c r="U621" s="23" t="str">
        <x:v>RODOPRIME TRANSPORTES E CARGAS LTDA</x:v>
      </x:c>
      <x:c r="V621" s="22" t="str">
        <x:f>"038.768.901-01"</x:f>
        <x:v>038.768.901-01</x:v>
      </x:c>
      <x:c r="W621" s="22" t="str">
        <x:f>"03876890101"</x:f>
        <x:v>03876890101</x:v>
      </x:c>
      <x:c r="X621" s="23" t="str">
        <x:v>rtp.cargas@gmail.com</x:v>
      </x:c>
      <x:c r="Y621" s="22" t="str">
        <x:f>"62991277279"</x:f>
        <x:v>62991277279</x:v>
      </x:c>
      <x:c r="Z621" s="30" t="n">
        <x:v>46443</x:v>
      </x:c>
    </x:row>
    <x:row r="622" ht="18" customHeight="1">
      <x:c r="A622" s="22" t="str">
        <x:f>"5b48a7e2-7685-43e8-b541-c092ddea1ab3"</x:f>
        <x:v>5b48a7e2-7685-43e8-b541-c092ddea1ab3</x:v>
      </x:c>
      <x:c r="B622" s="23" t="str">
        <x:v>CLAUDIO GONCALVES SILVA</x:v>
      </x:c>
      <x:c r="C622" s="23" t="str">
        <x:v>claudio goncalves silva</x:v>
      </x:c>
      <x:c r="D622" s="22" t="str">
        <x:f>"38.203.182/0001-70"</x:f>
        <x:v>38.203.182/0001-70</x:v>
      </x:c>
      <x:c r="E622" s="22" t="str">
        <x:f>"38203182000170"</x:f>
        <x:v>38203182000170</x:v>
      </x:c>
      <x:c r="F622" s="22" t="str">
        <x:f>"768.112.045-91"</x:f>
        <x:v>768.112.045-91</x:v>
      </x:c>
      <x:c r="G622" s="22" t="str">
        <x:f>"76811204591"</x:f>
        <x:v>76811204591</x:v>
      </x:c>
      <x:c r="H622" s="23" t="str">
        <x:v>crreformasemgeralltda@gmail.com</x:v>
      </x:c>
      <x:c r="I622" s="22" t="str">
        <x:f>"21972383477"</x:f>
        <x:v>21972383477</x:v>
      </x:c>
      <x:c r="J622" s="23" t="str">
        <x:v>SPOT</x:v>
      </x:c>
      <x:c r="K622" s="23" t="str">
        <x:v>favored_only</x:v>
      </x:c>
      <x:c r="L622" s="24" t="b">
        <x:v>1</x:v>
      </x:c>
      <x:c r="M622" s="23" t="n">
        <x:v>1</x:v>
      </x:c>
      <x:c r="N622" s="28" t="n">
        <x:v>46203.92183332176</x:v>
      </x:c>
      <x:c r="O622" s="28" t="n">
        <x:v>46219.812988715275</x:v>
      </x:c>
      <x:c r="P622" s="23" t="str">
        <x:v>QUEIMADOS</x:v>
      </x:c>
      <x:c r="Q622" s="30" t="n">
        <x:v>27221</x:v>
      </x:c>
      <x:c r="R622" s="22" t="str">
        <x:f>"708884180"</x:f>
        <x:v>708884180</x:v>
      </x:c>
      <x:c r="S622" s="23" t="str">
        <x:v>masculino</x:v>
      </x:c>
      <x:c r="T622" s="22" t="str">
        <x:f>"KZL4I48"</x:f>
        <x:v>KZL4I48</x:v>
      </x:c>
      <x:c r="U622" s="23" t="str">
        <x:v>CLAUDIO GONCALVES SILVA</x:v>
      </x:c>
      <x:c r="V622" s="22" t="str">
        <x:f>"768.112.045-91"</x:f>
        <x:v>768.112.045-91</x:v>
      </x:c>
      <x:c r="W622" s="22" t="str">
        <x:f>"76811204591"</x:f>
        <x:v>76811204591</x:v>
      </x:c>
      <x:c r="X622" s="23" t="str">
        <x:v>crreformasemgeralltda@gmail.com</x:v>
      </x:c>
      <x:c r="Y622" s="22" t="str">
        <x:f>"21972383477"</x:f>
        <x:v>21972383477</x:v>
      </x:c>
      <x:c r="Z622" s="30" t="n">
        <x:v>46374</x:v>
      </x:c>
    </x:row>
    <x:row r="623" ht="18" customHeight="1">
      <x:c r="A623" s="22" t="str">
        <x:f>"a34f68bd-5bc5-49de-bb12-b9e4c2b4ca7c"</x:f>
        <x:v>a34f68bd-5bc5-49de-bb12-b9e4c2b4ca7c</x:v>
      </x:c>
      <x:c r="B623" s="23" t="str">
        <x:v>CLAUDIO HEBER COIMBRA DOS SANTOS</x:v>
      </x:c>
      <x:c r="C623" s="23" t="str">
        <x:v>claudio heber coimbra dos santos</x:v>
      </x:c>
      <x:c r="D623" s="22" t="str">
        <x:f>"61.034.230/0001-66"</x:f>
        <x:v>61.034.230/0001-66</x:v>
      </x:c>
      <x:c r="E623" s="22" t="str">
        <x:f>"61034230000166"</x:f>
        <x:v>61034230000166</x:v>
      </x:c>
      <x:c r="F623" s="22" t="str">
        <x:f>"042.079.091-84"</x:f>
        <x:v>042.079.091-84</x:v>
      </x:c>
      <x:c r="G623" s="22" t="str">
        <x:f>"04207909184"</x:f>
        <x:v>04207909184</x:v>
      </x:c>
      <x:c r="H623" s="23" t="str">
        <x:v>claudioheberc@gmail.com</x:v>
      </x:c>
      <x:c r="I623" s="22" t="str">
        <x:f>"65993038801"</x:f>
        <x:v>65993038801</x:v>
      </x:c>
      <x:c r="J623" s="23" t="str">
        <x:v>SPOT</x:v>
      </x:c>
      <x:c r="K623" s="23" t="str">
        <x:v>favored_only</x:v>
      </x:c>
      <x:c r="L623" s="24" t="b">
        <x:v>1</x:v>
      </x:c>
      <x:c r="M623" s="23" t="n">
        <x:v>1</x:v>
      </x:c>
      <x:c r="N623" s="28" t="n">
        <x:v>46205.6063794213</x:v>
      </x:c>
      <x:c r="O623" s="28" t="n">
        <x:v>46219.812988715275</x:v>
      </x:c>
      <x:c r="P623" s="23" t="str">
        <x:v>CUIABA</x:v>
      </x:c>
      <x:c r="Q623" s="30" t="n">
        <x:v>33788</x:v>
      </x:c>
      <x:c r="R623" s="22" t="str">
        <x:f>"21203482"</x:f>
        <x:v>21203482</x:v>
      </x:c>
      <x:c r="S623" s="23" t="str">
        <x:v>masculino</x:v>
      </x:c>
      <x:c r="T623" s="22" t="str">
        <x:f>"RRW5A71"</x:f>
        <x:v>RRW5A71</x:v>
      </x:c>
      <x:c r="U623" s="23" t="str">
        <x:v>WANESSA KAROLYNE SOUZA LINO</x:v>
      </x:c>
      <x:c r="V623" s="22" t="str">
        <x:f>"061.856.251-64"</x:f>
        <x:v>061.856.251-64</x:v>
      </x:c>
      <x:c r="W623" s="22" t="str">
        <x:f>"06185625164"</x:f>
        <x:v>06185625164</x:v>
      </x:c>
      <x:c r="X623" s="23" t="str">
        <x:v>Wanessakarolyne0@icloud.com</x:v>
      </x:c>
      <x:c r="Y623" s="22" t="str">
        <x:f>"(65)98471-1107"</x:f>
        <x:v>(65)98471-1107</x:v>
      </x:c>
      <x:c r="Z623" s="30" t="n">
        <x:v>46357</x:v>
      </x:c>
    </x:row>
    <x:row r="624" ht="18" customHeight="1">
      <x:c r="A624" s="22" t="str">
        <x:f>"540e206c-7842-44cd-86a3-a255d2e3bb98"</x:f>
        <x:v>540e206c-7842-44cd-86a3-a255d2e3bb98</x:v>
      </x:c>
      <x:c r="B624" s="23" t="str">
        <x:v>CLAUDIO MARCIO DA SILVA BARBOSA</x:v>
      </x:c>
      <x:c r="C624" s="23" t="str">
        <x:v>claudio marcio da silva barbosa</x:v>
      </x:c>
      <x:c r="D624" s="22" t="str">
        <x:f>"66.001.453/0001-40"</x:f>
        <x:v>66.001.453/0001-40</x:v>
      </x:c>
      <x:c r="E624" s="22" t="str">
        <x:f>"66001453000140"</x:f>
        <x:v>66001453000140</x:v>
      </x:c>
      <x:c r="F624" s="22" t="str">
        <x:f>"051.439.487-03"</x:f>
        <x:v>051.439.487-03</x:v>
      </x:c>
      <x:c r="G624" s="22" t="str">
        <x:f>"05143948703"</x:f>
        <x:v>05143948703</x:v>
      </x:c>
      <x:c r="H624" s="23" t="str">
        <x:v>claudio83marcio@gmail.com</x:v>
      </x:c>
      <x:c r="I624" s="22" t="str">
        <x:f>"( 21 ) 9798 28820"</x:f>
        <x:v>( 21 ) 9798 28820</x:v>
      </x:c>
      <x:c r="J624" s="23" t="str">
        <x:v>SPOT</x:v>
      </x:c>
      <x:c r="K624" s="23" t="str">
        <x:v>favored_only</x:v>
      </x:c>
      <x:c r="L624" s="24" t="b">
        <x:v>1</x:v>
      </x:c>
      <x:c r="M624" s="23" t="n">
        <x:v>1</x:v>
      </x:c>
      <x:c r="N624" s="28" t="n">
        <x:v>46219.812988715275</x:v>
      </x:c>
      <x:c r="O624" s="28" t="n">
        <x:v>46219.812988715275</x:v>
      </x:c>
      <x:c r="P624" s="23" t="str">
        <x:v>CORDOVIL</x:v>
      </x:c>
      <x:c r="Q624" s="30" t="n">
        <x:v>28649</x:v>
      </x:c>
      <x:c r="R624" s="22" t="str">
        <x:f>"101.409.82- 9"</x:f>
        <x:v>101.409.82- 9</x:v>
      </x:c>
      <x:c r="S624" s="23" t="str">
        <x:v>masculino</x:v>
      </x:c>
      <x:c r="T624" s="22" t="str">
        <x:f>"RKJ3I03"</x:f>
        <x:v>RKJ3I03</x:v>
      </x:c>
      <x:c r="U624" s="23" t="str">
        <x:v>ALYNE CORREA RAMOS</x:v>
      </x:c>
      <x:c r="V624" s="22" t="str">
        <x:f>"073.105.507-14"</x:f>
        <x:v>073.105.507-14</x:v>
      </x:c>
      <x:c r="W624" s="22" t="str">
        <x:f>"07310550714"</x:f>
        <x:v>07310550714</x:v>
      </x:c>
      <x:c r="X624" s="23" t="str">
        <x:v>alynecorrea77@gmail.com</x:v>
      </x:c>
      <x:c r="Y624" s="22" t="str">
        <x:f>"21 96593 1197"</x:f>
        <x:v>21 96593 1197</x:v>
      </x:c>
      <x:c r="Z624" s="30" t="n">
        <x:v>46560</x:v>
      </x:c>
    </x:row>
    <x:row r="625" ht="18" customHeight="1">
      <x:c r="A625" s="22" t="str">
        <x:f>"80ef3327-363c-4686-82b5-e4daa1a77d75"</x:f>
        <x:v>80ef3327-363c-4686-82b5-e4daa1a77d75</x:v>
      </x:c>
      <x:c r="B625" s="23" t="str">
        <x:v>CLAUDIO MATHEUS CEZARIO FACHINI</x:v>
      </x:c>
      <x:c r="C625" s="23" t="str">
        <x:v>claudio matheus cezario fachini</x:v>
      </x:c>
      <x:c r="D625" s="22" t="str">
        <x:f>"59.597.896/0001-80"</x:f>
        <x:v>59.597.896/0001-80</x:v>
      </x:c>
      <x:c r="E625" s="22" t="str">
        <x:f>"59597896000180"</x:f>
        <x:v>59597896000180</x:v>
      </x:c>
      <x:c r="F625" s="22" t="str">
        <x:f>"467.310.038-75"</x:f>
        <x:v>467.310.038-75</x:v>
      </x:c>
      <x:c r="G625" s="22" t="str">
        <x:f>"46731003875"</x:f>
        <x:v>46731003875</x:v>
      </x:c>
      <x:c r="H625" s="23" t="str">
        <x:v>claudiomatheusfachini@gmail.com</x:v>
      </x:c>
      <x:c r="I625" s="22" t="str">
        <x:f>"18996907664"</x:f>
        <x:v>18996907664</x:v>
      </x:c>
      <x:c r="J625" s="23" t="str">
        <x:v>SPOT</x:v>
      </x:c>
      <x:c r="K625" s="23" t="str">
        <x:v>favored_only</x:v>
      </x:c>
      <x:c r="L625" s="24" t="b">
        <x:v>1</x:v>
      </x:c>
      <x:c r="M625" s="23" t="n">
        <x:v>1</x:v>
      </x:c>
      <x:c r="N625" s="28" t="n">
        <x:v>46219.79396105324</x:v>
      </x:c>
      <x:c r="O625" s="28" t="n">
        <x:v>46219.812988715275</x:v>
      </x:c>
      <x:c r="P625" s="23" t="str">
        <x:v>ARAÇATUBA</x:v>
      </x:c>
      <x:c r="Q625" s="30" t="n">
        <x:v>35754</x:v>
      </x:c>
      <x:c r="R625" s="22" t="str">
        <x:f>"39660273"</x:f>
        <x:v>39660273</x:v>
      </x:c>
      <x:c r="S625" s="23" t="str">
        <x:v>masculino</x:v>
      </x:c>
      <x:c r="T625" s="22" t="str">
        <x:f>"SUU1C01"</x:f>
        <x:v>SUU1C01</x:v>
      </x:c>
      <x:c r="U625" s="23" t="str">
        <x:v>CLAUDIO MATHEUS CEZARIO FACHINI</x:v>
      </x:c>
      <x:c r="V625" s="22" t="str">
        <x:f>"467.310.038-75"</x:f>
        <x:v>467.310.038-75</x:v>
      </x:c>
      <x:c r="W625" s="22" t="str">
        <x:f>"46731003875"</x:f>
        <x:v>46731003875</x:v>
      </x:c>
      <x:c r="X625" s="23" t="str">
        <x:v>claudiomatheusfachini@gmail.com</x:v>
      </x:c>
      <x:c r="Y625" s="22" t="str">
        <x:f>"18996907664"</x:f>
        <x:v>18996907664</x:v>
      </x:c>
      <x:c r="Z625" s="30" t="n">
        <x:v>46242</x:v>
      </x:c>
    </x:row>
    <x:row r="626" ht="18" customHeight="1">
      <x:c r="A626" s="22" t="str">
        <x:f>"1fcaee60-89c2-4bdf-bc9e-fb3d0c51bb67"</x:f>
        <x:v>1fcaee60-89c2-4bdf-bc9e-fb3d0c51bb67</x:v>
      </x:c>
      <x:c r="B626" s="23" t="str">
        <x:v>Claudio Neilon de Souza</x:v>
      </x:c>
      <x:c r="C626" s="23" t="str">
        <x:v>claudio neilon de souza</x:v>
      </x:c>
      <x:c r="D626" s="22" t="str">
        <x:f>"42.833.531/0001-05"</x:f>
        <x:v>42.833.531/0001-05</x:v>
      </x:c>
      <x:c r="E626" s="22" t="str">
        <x:f>"42833531000105"</x:f>
        <x:v>42833531000105</x:v>
      </x:c>
      <x:c r="F626" s="22" t="str">
        <x:f>"054.655.706-60"</x:f>
        <x:v>054.655.706-60</x:v>
      </x:c>
      <x:c r="G626" s="22" t="str">
        <x:f>"05465570660"</x:f>
        <x:v>05465570660</x:v>
      </x:c>
      <x:c r="H626" s="23" t="str">
        <x:v>claudio.neilon@gmail.com</x:v>
      </x:c>
      <x:c r="I626" s="22" t="str">
        <x:f>"31991823322"</x:f>
        <x:v>31991823322</x:v>
      </x:c>
      <x:c r="J626" s="23" t="str">
        <x:v>RENTAL</x:v>
      </x:c>
      <x:c r="K626" s="23" t="str">
        <x:v>rental_company</x:v>
      </x:c>
      <x:c r="L626" s="24" t="b">
        <x:v>1</x:v>
      </x:c>
      <x:c r="M626" s="23" t="n">
        <x:v>1</x:v>
      </x:c>
      <x:c r="N626" s="28" t="n">
        <x:v>46203.921840393516</x:v>
      </x:c>
      <x:c r="O626" s="28" t="n">
        <x:v>46205.60501637732</x:v>
      </x:c>
      <x:c r="P626" s="23" t="str">
        <x:v>CONTAGEM</x:v>
      </x:c>
      <x:c r="Q626" s="30" t="n">
        <x:v>29784</x:v>
      </x:c>
      <x:c r="R626" s="22" t="str">
        <x:f>"10043140"</x:f>
        <x:v>10043140</x:v>
      </x:c>
      <x:c r="S626" s="23" t="str">
        <x:v>Masculino</x:v>
      </x:c>
      <x:c r="T626" s="22" t="str"/>
      <x:c r="U626" s="23" t="str">
        <x:v>Claudio Neilon de Souza</x:v>
      </x:c>
      <x:c r="V626" s="22" t="str">
        <x:f>"05465570660"</x:f>
        <x:v>05465570660</x:v>
      </x:c>
      <x:c r="W626" s="22" t="str">
        <x:f>"05465570660"</x:f>
        <x:v>05465570660</x:v>
      </x:c>
      <x:c r="X626" s="23" t="str">
        <x:v>claudio.neilon@gmail.com</x:v>
      </x:c>
      <x:c r="Y626" s="22" t="str">
        <x:f>"31991823322"</x:f>
        <x:v>31991823322</x:v>
      </x:c>
      <x:c r="Z626" s="30" t="n">
        <x:v>46222</x:v>
      </x:c>
    </x:row>
    <x:row r="627" ht="18" customHeight="1">
      <x:c r="A627" s="22" t="str">
        <x:f>"34c48fb2-4b6a-4727-b36a-776ced813983"</x:f>
        <x:v>34c48fb2-4b6a-4727-b36a-776ced813983</x:v>
      </x:c>
      <x:c r="B627" s="23" t="str">
        <x:v>CLAUDIONOR FREITAS CARNEIRO</x:v>
      </x:c>
      <x:c r="C627" s="23" t="str">
        <x:v>claudionor freitas carneiro</x:v>
      </x:c>
      <x:c r="D627" s="22" t="str">
        <x:f>"21.072.461/0001-40"</x:f>
        <x:v>21.072.461/0001-40</x:v>
      </x:c>
      <x:c r="E627" s="22" t="str">
        <x:f>"21072461000140"</x:f>
        <x:v>21072461000140</x:v>
      </x:c>
      <x:c r="F627" s="22" t="str">
        <x:f>"948.809.645-49"</x:f>
        <x:v>948.809.645-49</x:v>
      </x:c>
      <x:c r="G627" s="22" t="str">
        <x:f>"94880964549"</x:f>
        <x:v>94880964549</x:v>
      </x:c>
      <x:c r="H627" s="23" t="str">
        <x:v>claudionorfreitascarneiro@gmail.com</x:v>
      </x:c>
      <x:c r="I627" s="22" t="str">
        <x:f>"16982710916"</x:f>
        <x:v>16982710916</x:v>
      </x:c>
      <x:c r="J627" s="23" t="str">
        <x:v>SPOT</x:v>
      </x:c>
      <x:c r="K627" s="23" t="str">
        <x:v>favored_only</x:v>
      </x:c>
      <x:c r="L627" s="24" t="b">
        <x:v>1</x:v>
      </x:c>
      <x:c r="M627" s="23" t="n">
        <x:v>1</x:v>
      </x:c>
      <x:c r="N627" s="28" t="n">
        <x:v>46219.812988715275</x:v>
      </x:c>
      <x:c r="O627" s="28" t="n">
        <x:v>46219.812988715275</x:v>
      </x:c>
      <x:c r="P627" s="23" t="str">
        <x:v>RIBEIRAO PRETO</x:v>
      </x:c>
      <x:c r="Q627" s="30" t="n">
        <x:v>26440</x:v>
      </x:c>
      <x:c r="R627" s="22" t="str">
        <x:f>"08884508 77"</x:f>
        <x:v>08884508 77</x:v>
      </x:c>
      <x:c r="S627" s="23" t="str">
        <x:v>masculino</x:v>
      </x:c>
      <x:c r="T627" s="22" t="str">
        <x:f>"FRR9A57"</x:f>
        <x:v>FRR9A57</x:v>
      </x:c>
      <x:c r="U627" s="23" t="str">
        <x:v>CLAUDIONOR FREITAS CARNEIRO</x:v>
      </x:c>
      <x:c r="V627" s="22" t="str">
        <x:f>"948.809.645-49"</x:f>
        <x:v>948.809.645-49</x:v>
      </x:c>
      <x:c r="W627" s="22" t="str">
        <x:f>"94880964549"</x:f>
        <x:v>94880964549</x:v>
      </x:c>
      <x:c r="X627" s="23" t="str">
        <x:v>claudionorfreitascarneiro@gmail.com</x:v>
      </x:c>
      <x:c r="Y627" s="22" t="str">
        <x:f>"16982710916"</x:f>
        <x:v>16982710916</x:v>
      </x:c>
      <x:c r="Z627" s="30" t="n">
        <x:v>46497</x:v>
      </x:c>
    </x:row>
    <x:row r="628" ht="18" customHeight="1">
      <x:c r="A628" s="22" t="str">
        <x:f>"89e417a4-8e1e-449e-b18a-7996f4ea7a68"</x:f>
        <x:v>89e417a4-8e1e-449e-b18a-7996f4ea7a68</x:v>
      </x:c>
      <x:c r="B628" s="23" t="str">
        <x:v>CLAUDIO ROBERTO DOS SANTOS CERQUEIRA</x:v>
      </x:c>
      <x:c r="C628" s="23" t="str">
        <x:v>claudio roberto dos santos cerqueira</x:v>
      </x:c>
      <x:c r="D628" s="22" t="str">
        <x:f>"50.458.487/0001-29"</x:f>
        <x:v>50.458.487/0001-29</x:v>
      </x:c>
      <x:c r="E628" s="22" t="str">
        <x:f>"50458487000129"</x:f>
        <x:v>50458487000129</x:v>
      </x:c>
      <x:c r="F628" s="22" t="str">
        <x:f>"285.219.208-06"</x:f>
        <x:v>285.219.208-06</x:v>
      </x:c>
      <x:c r="G628" s="22" t="str">
        <x:f>"28521920806"</x:f>
        <x:v>28521920806</x:v>
      </x:c>
      <x:c r="H628" s="23" t="str">
        <x:v>cerqueiraclaudio756@gmail.com</x:v>
      </x:c>
      <x:c r="I628" s="22" t="str">
        <x:f>"18996112368"</x:f>
        <x:v>18996112368</x:v>
      </x:c>
      <x:c r="J628" s="23" t="str">
        <x:v>RENTAL</x:v>
      </x:c>
      <x:c r="K628" s="23" t="str">
        <x:v>rental_company</x:v>
      </x:c>
      <x:c r="L628" s="24" t="b">
        <x:v>1</x:v>
      </x:c>
      <x:c r="M628" s="23" t="n">
        <x:v>1</x:v>
      </x:c>
      <x:c r="N628" s="28" t="n">
        <x:v>46219.812988715275</x:v>
      </x:c>
      <x:c r="O628" s="28" t="n">
        <x:v>46219.812988715275</x:v>
      </x:c>
      <x:c r="P628" s="23" t="str">
        <x:v>PRESIDENTE PRUDENTE</x:v>
      </x:c>
      <x:c r="Q628" s="30" t="n">
        <x:v>29025</x:v>
      </x:c>
      <x:c r="R628" s="22" t="str">
        <x:f>"29066201-1"</x:f>
        <x:v>29066201-1</x:v>
      </x:c>
      <x:c r="S628" s="23" t="str">
        <x:v>masculino</x:v>
      </x:c>
      <x:c r="T628" s="22" t="str"/>
      <x:c r="U628" s="23" t="str">
        <x:v>CLAUDIO ROBERTO DOS SANTOS CERQUEIRA</x:v>
      </x:c>
      <x:c r="V628" s="22" t="str">
        <x:f>"285.219.208-06"</x:f>
        <x:v>285.219.208-06</x:v>
      </x:c>
      <x:c r="W628" s="22" t="str">
        <x:f>"28521920806"</x:f>
        <x:v>28521920806</x:v>
      </x:c>
      <x:c r="X628" s="23" t="str">
        <x:v>cerqueiraclaudio756@gmail.com</x:v>
      </x:c>
      <x:c r="Y628" s="22" t="str">
        <x:f>"18996112368"</x:f>
        <x:v>18996112368</x:v>
      </x:c>
      <x:c r="Z628" s="30" t="n">
        <x:v>46446</x:v>
      </x:c>
    </x:row>
    <x:row r="629" ht="18" customHeight="1">
      <x:c r="A629" s="22" t="str">
        <x:f>"fca288e9-c22e-4d92-97cb-29dd6b38577e"</x:f>
        <x:v>fca288e9-c22e-4d92-97cb-29dd6b38577e</x:v>
      </x:c>
      <x:c r="B629" s="23" t="str">
        <x:v>CLAUDIO SALES DE SOUZA</x:v>
      </x:c>
      <x:c r="C629" s="23" t="str">
        <x:v>claudio sales de souza</x:v>
      </x:c>
      <x:c r="D629" s="22" t="str">
        <x:f>"58.715.934/0001-90"</x:f>
        <x:v>58.715.934/0001-90</x:v>
      </x:c>
      <x:c r="E629" s="22" t="str">
        <x:f>"58715934000190"</x:f>
        <x:v>58715934000190</x:v>
      </x:c>
      <x:c r="F629" s="22" t="str">
        <x:f>"867.236.001-00"</x:f>
        <x:v>867.236.001-00</x:v>
      </x:c>
      <x:c r="G629" s="22" t="str">
        <x:f>"86723600100"</x:f>
        <x:v>86723600100</x:v>
      </x:c>
      <x:c r="H629" s="23" t="str">
        <x:v>gaiteiromilionarioshow@gmail.com</x:v>
      </x:c>
      <x:c r="I629" s="22" t="str">
        <x:f>"(17) 98209-9032"</x:f>
        <x:v>(17) 98209-9032</x:v>
      </x:c>
      <x:c r="J629" s="23" t="str">
        <x:v>SPOT</x:v>
      </x:c>
      <x:c r="K629" s="23" t="str">
        <x:v>favored_only</x:v>
      </x:c>
      <x:c r="L629" s="24" t="b">
        <x:v>1</x:v>
      </x:c>
      <x:c r="M629" s="23" t="n">
        <x:v>1</x:v>
      </x:c>
      <x:c r="N629" s="28" t="n">
        <x:v>46219.812988715275</x:v>
      </x:c>
      <x:c r="O629" s="28" t="n">
        <x:v>46219.812988715275</x:v>
      </x:c>
      <x:c r="P629" s="23" t="str">
        <x:v>JALES</x:v>
      </x:c>
      <x:c r="Q629" s="30" t="n">
        <x:v>28563</x:v>
      </x:c>
      <x:c r="R629" s="22" t="str">
        <x:f>"38861562"</x:f>
        <x:v>38861562</x:v>
      </x:c>
      <x:c r="S629" s="23" t="str">
        <x:v>masculino</x:v>
      </x:c>
      <x:c r="T629" s="22" t="str">
        <x:f>"RUG1B21"</x:f>
        <x:v>RUG1B21</x:v>
      </x:c>
      <x:c r="U629" s="23" t="str">
        <x:v>CLAUDIO SALES DE SOUZA</x:v>
      </x:c>
      <x:c r="V629" s="22" t="str">
        <x:f>"867.236.001-00"</x:f>
        <x:v>867.236.001-00</x:v>
      </x:c>
      <x:c r="W629" s="22" t="str">
        <x:f>"86723600100"</x:f>
        <x:v>86723600100</x:v>
      </x:c>
      <x:c r="X629" s="23" t="str">
        <x:v>gaiteiromilionarioshow@gmail.com</x:v>
      </x:c>
      <x:c r="Y629" s="22" t="str">
        <x:f>"(17) 98209-9032"</x:f>
        <x:v>(17) 98209-9032</x:v>
      </x:c>
      <x:c r="Z629" s="30" t="n">
        <x:v>46547</x:v>
      </x:c>
    </x:row>
    <x:row r="630" ht="18" customHeight="1">
      <x:c r="A630" s="22" t="str">
        <x:f>"62221989-b619-40fc-9a89-2c7c06725bc5"</x:f>
        <x:v>62221989-b619-40fc-9a89-2c7c06725bc5</x:v>
      </x:c>
      <x:c r="B630" s="23" t="str">
        <x:v>CLAUDIO VINICIUS SILVA DOS SANTOS</x:v>
      </x:c>
      <x:c r="C630" s="23" t="str">
        <x:v>claudio vinicius silva dos santos</x:v>
      </x:c>
      <x:c r="D630" s="22" t="str">
        <x:f>"62.129.749/0001-90"</x:f>
        <x:v>62.129.749/0001-90</x:v>
      </x:c>
      <x:c r="E630" s="22" t="str">
        <x:f>"62129749000190"</x:f>
        <x:v>62129749000190</x:v>
      </x:c>
      <x:c r="F630" s="22" t="str">
        <x:f>"147.109.717-06"</x:f>
        <x:v>147.109.717-06</x:v>
      </x:c>
      <x:c r="G630" s="22" t="str">
        <x:f>"14710971706"</x:f>
        <x:v>14710971706</x:v>
      </x:c>
      <x:c r="H630" s="23" t="str">
        <x:v>Claudio.rua.o@gmail.com</x:v>
      </x:c>
      <x:c r="I630" s="22" t="str">
        <x:f>"21 99180-0609"</x:f>
        <x:v>21 99180-0609</x:v>
      </x:c>
      <x:c r="J630" s="23" t="str">
        <x:v>SPOT</x:v>
      </x:c>
      <x:c r="K630" s="23" t="str">
        <x:v>favored_only</x:v>
      </x:c>
      <x:c r="L630" s="24" t="b">
        <x:v>1</x:v>
      </x:c>
      <x:c r="M630" s="23" t="n">
        <x:v>1</x:v>
      </x:c>
      <x:c r="N630" s="28" t="n">
        <x:v>46203.921887453704</x:v>
      </x:c>
      <x:c r="O630" s="28" t="n">
        <x:v>46219.812988715275</x:v>
      </x:c>
      <x:c r="P630" s="23" t="str">
        <x:v>CAMPO GRANDE</x:v>
      </x:c>
      <x:c r="Q630" s="30" t="n">
        <x:v>34242</x:v>
      </x:c>
      <x:c r="R630" s="22" t="str">
        <x:f>"276112240"</x:f>
        <x:v>276112240</x:v>
      </x:c>
      <x:c r="S630" s="23" t="str">
        <x:v>masculino</x:v>
      </x:c>
      <x:c r="T630" s="22" t="str">
        <x:f>"KVS9J61"</x:f>
        <x:v>KVS9J61</x:v>
      </x:c>
      <x:c r="U630" s="23" t="str">
        <x:v>CLAUDIO VINICIUS SILVA DOS SANTOS</x:v>
      </x:c>
      <x:c r="V630" s="22" t="str">
        <x:f>"147.109.717-06"</x:f>
        <x:v>147.109.717-06</x:v>
      </x:c>
      <x:c r="W630" s="22" t="str">
        <x:f>"14710971706"</x:f>
        <x:v>14710971706</x:v>
      </x:c>
      <x:c r="X630" s="23" t="str">
        <x:v>Claudio.rua.o@gmail.com</x:v>
      </x:c>
      <x:c r="Y630" s="22" t="str">
        <x:f>"21 99180-0609"</x:f>
        <x:v>21 99180-0609</x:v>
      </x:c>
      <x:c r="Z630" s="30" t="n">
        <x:v>46331</x:v>
      </x:c>
    </x:row>
    <x:row r="631" ht="18" customHeight="1">
      <x:c r="A631" s="22" t="str">
        <x:f>"f71f5e30-4653-4a17-a314-fcb6062bec56"</x:f>
        <x:v>f71f5e30-4653-4a17-a314-fcb6062bec56</x:v>
      </x:c>
      <x:c r="B631" s="23" t="str">
        <x:v>CLAUDOMIRO PASCOAL DE MIRANDA</x:v>
      </x:c>
      <x:c r="C631" s="23" t="str">
        <x:v>claudomiro pascoal de miranda</x:v>
      </x:c>
      <x:c r="D631" s="22" t="str">
        <x:f>"42.109.115/0001-69"</x:f>
        <x:v>42.109.115/0001-69</x:v>
      </x:c>
      <x:c r="E631" s="22" t="str">
        <x:f>"42109115000169"</x:f>
        <x:v>42109115000169</x:v>
      </x:c>
      <x:c r="F631" s="22" t="str">
        <x:f>"550.372.246-91"</x:f>
        <x:v>550.372.246-91</x:v>
      </x:c>
      <x:c r="G631" s="22" t="str">
        <x:f>"55037224691"</x:f>
        <x:v>55037224691</x:v>
      </x:c>
      <x:c r="H631" s="23" t="str">
        <x:v>claudomiromirandausa1205@gmail.com</x:v>
      </x:c>
      <x:c r="I631" s="22" t="str">
        <x:f>"33999541205"</x:f>
        <x:v>33999541205</x:v>
      </x:c>
      <x:c r="J631" s="23" t="str">
        <x:v>SPOT</x:v>
      </x:c>
      <x:c r="K631" s="23" t="str">
        <x:v>favored_only</x:v>
      </x:c>
      <x:c r="L631" s="24" t="b">
        <x:v>1</x:v>
      </x:c>
      <x:c r="M631" s="23" t="n">
        <x:v>1</x:v>
      </x:c>
      <x:c r="N631" s="28" t="n">
        <x:v>46203.921824756944</x:v>
      </x:c>
      <x:c r="O631" s="28" t="n">
        <x:v>46219.812988715275</x:v>
      </x:c>
      <x:c r="P631" s="23" t="str">
        <x:v>GUANHAES</x:v>
      </x:c>
      <x:c r="Q631" s="30" t="n">
        <x:v>23872</x:v>
      </x:c>
      <x:c r="R631" s="22" t="str">
        <x:f>"3636938"</x:f>
        <x:v>3636938</x:v>
      </x:c>
      <x:c r="S631" s="23" t="str">
        <x:v>masculino</x:v>
      </x:c>
      <x:c r="T631" s="22" t="str">
        <x:f>"PXJ9D88"</x:f>
        <x:v>PXJ9D88</x:v>
      </x:c>
      <x:c r="U631" s="23" t="str">
        <x:v>CLAUDOMIRO PASCOAL DE MIRANDA</x:v>
      </x:c>
      <x:c r="V631" s="22" t="str">
        <x:f>"550.372.246-91"</x:f>
        <x:v>550.372.246-91</x:v>
      </x:c>
      <x:c r="W631" s="22" t="str">
        <x:f>"55037224691"</x:f>
        <x:v>55037224691</x:v>
      </x:c>
      <x:c r="X631" s="23" t="str">
        <x:v>claudomiromirandausa1205@gmail.com</x:v>
      </x:c>
      <x:c r="Y631" s="22" t="str">
        <x:f>"33999541205"</x:f>
        <x:v>33999541205</x:v>
      </x:c>
      <x:c r="Z631" s="30" t="n">
        <x:v>46294</x:v>
      </x:c>
    </x:row>
    <x:row r="632" ht="18" customHeight="1">
      <x:c r="A632" s="22" t="str">
        <x:f>"84710d74-264e-4653-84a2-394407f74a70"</x:f>
        <x:v>84710d74-264e-4653-84a2-394407f74a70</x:v>
      </x:c>
      <x:c r="B632" s="23" t="str">
        <x:v>CLAYSON DA TRINDADE IVO</x:v>
      </x:c>
      <x:c r="C632" s="23" t="str">
        <x:v>clayson da trindade ivo</x:v>
      </x:c>
      <x:c r="D632" s="22" t="str">
        <x:f>"64.466.276/0001-42"</x:f>
        <x:v>64.466.276/0001-42</x:v>
      </x:c>
      <x:c r="E632" s="22" t="str">
        <x:f>"64466276000142"</x:f>
        <x:v>64466276000142</x:v>
      </x:c>
      <x:c r="F632" s="22" t="str">
        <x:f>"091.244.457-62"</x:f>
        <x:v>091.244.457-62</x:v>
      </x:c>
      <x:c r="G632" s="22" t="str">
        <x:f>"09124445762"</x:f>
        <x:v>09124445762</x:v>
      </x:c>
      <x:c r="H632" s="23" t="str">
        <x:v>claysonivo@icloud.com</x:v>
      </x:c>
      <x:c r="I632" s="22" t="str">
        <x:f>"21994059074"</x:f>
        <x:v>21994059074</x:v>
      </x:c>
      <x:c r="J632" s="23" t="str">
        <x:v>SPOT</x:v>
      </x:c>
      <x:c r="K632" s="23" t="str">
        <x:v>favored_only</x:v>
      </x:c>
      <x:c r="L632" s="24" t="b">
        <x:v>1</x:v>
      </x:c>
      <x:c r="M632" s="23" t="n">
        <x:v>1</x:v>
      </x:c>
      <x:c r="N632" s="28" t="n">
        <x:v>46219.812988715275</x:v>
      </x:c>
      <x:c r="O632" s="28" t="n">
        <x:v>46219.812988715275</x:v>
      </x:c>
      <x:c r="P632" s="23" t="str">
        <x:v>CORDOVIL</x:v>
      </x:c>
      <x:c r="Q632" s="30" t="n">
        <x:v>30016</x:v>
      </x:c>
      <x:c r="R632" s="22" t="str">
        <x:f>"12124946-0"</x:f>
        <x:v>12124946-0</x:v>
      </x:c>
      <x:c r="S632" s="23" t="str">
        <x:v>masculino</x:v>
      </x:c>
      <x:c r="T632" s="22" t="str">
        <x:f>"Kys-9045"</x:f>
        <x:v>Kys-9045</x:v>
      </x:c>
      <x:c r="U632" s="23" t="str">
        <x:v>CLAYSON DA TRINDADE IVO</x:v>
      </x:c>
      <x:c r="V632" s="22" t="str">
        <x:f>"091.244.457-62"</x:f>
        <x:v>091.244.457-62</x:v>
      </x:c>
      <x:c r="W632" s="22" t="str">
        <x:f>"09124445762"</x:f>
        <x:v>09124445762</x:v>
      </x:c>
      <x:c r="X632" s="23" t="str">
        <x:v>claysonivo@icloud.com</x:v>
      </x:c>
      <x:c r="Y632" s="22" t="str">
        <x:f>"21994059074"</x:f>
        <x:v>21994059074</x:v>
      </x:c>
      <x:c r="Z632" s="30" t="n">
        <x:v>46451</x:v>
      </x:c>
    </x:row>
    <x:row r="633" ht="18" customHeight="1">
      <x:c r="A633" s="22" t="str">
        <x:f>"2222c404-2907-4112-b9ee-28923ffd2384"</x:f>
        <x:v>2222c404-2907-4112-b9ee-28923ffd2384</x:v>
      </x:c>
      <x:c r="B633" s="23" t="str">
        <x:v>CLAYTON DAVID ERNESTO</x:v>
      </x:c>
      <x:c r="C633" s="23" t="str">
        <x:v>clayton david ernesto</x:v>
      </x:c>
      <x:c r="D633" s="22" t="str">
        <x:f>"62.200.115/0001-87"</x:f>
        <x:v>62.200.115/0001-87</x:v>
      </x:c>
      <x:c r="E633" s="22" t="str">
        <x:f>"62200115000187"</x:f>
        <x:v>62200115000187</x:v>
      </x:c>
      <x:c r="F633" s="22" t="str">
        <x:f>"441.757.268-29"</x:f>
        <x:v>441.757.268-29</x:v>
      </x:c>
      <x:c r="G633" s="22" t="str">
        <x:f>"44175726829"</x:f>
        <x:v>44175726829</x:v>
      </x:c>
      <x:c r="H633" s="23" t="str">
        <x:v>claytonfysty21@gmail.com</x:v>
      </x:c>
      <x:c r="I633" s="22" t="str">
        <x:f>"16992392668"</x:f>
        <x:v>16992392668</x:v>
      </x:c>
      <x:c r="J633" s="23" t="str">
        <x:v>RENTAL</x:v>
      </x:c>
      <x:c r="K633" s="23" t="str">
        <x:v>rental_company</x:v>
      </x:c>
      <x:c r="L633" s="24" t="b">
        <x:v>1</x:v>
      </x:c>
      <x:c r="M633" s="23" t="n">
        <x:v>1</x:v>
      </x:c>
      <x:c r="N633" s="28" t="n">
        <x:v>46219.812988715275</x:v>
      </x:c>
      <x:c r="O633" s="28" t="n">
        <x:v>46219.812988715275</x:v>
      </x:c>
      <x:c r="P633" s="23" t="str">
        <x:v>SÃO CARLOS</x:v>
      </x:c>
      <x:c r="Q633" s="30" t="n">
        <x:v>34263</x:v>
      </x:c>
      <x:c r="R633" s="22" t="str">
        <x:f>"44175726829"</x:f>
        <x:v>44175726829</x:v>
      </x:c>
      <x:c r="S633" s="23" t="str">
        <x:v>masculino</x:v>
      </x:c>
      <x:c r="T633" s="22" t="str"/>
      <x:c r="U633" s="23" t="str">
        <x:v>CLAYTON DAVID ERNESTO</x:v>
      </x:c>
      <x:c r="V633" s="22" t="str">
        <x:f>"441.757.268-29"</x:f>
        <x:v>441.757.268-29</x:v>
      </x:c>
      <x:c r="W633" s="22" t="str">
        <x:f>"44175726829"</x:f>
        <x:v>44175726829</x:v>
      </x:c>
      <x:c r="X633" s="23" t="str">
        <x:v>claytonfysty21@gmail.com</x:v>
      </x:c>
      <x:c r="Y633" s="22" t="str">
        <x:f>"16992392668"</x:f>
        <x:v>16992392668</x:v>
      </x:c>
      <x:c r="Z633" s="30" t="n">
        <x:v>46583</x:v>
      </x:c>
    </x:row>
    <x:row r="634" ht="18" customHeight="1">
      <x:c r="A634" s="22" t="str">
        <x:f>"f31ea3ac-e094-471e-8b2f-5314f4b6a6d2"</x:f>
        <x:v>f31ea3ac-e094-471e-8b2f-5314f4b6a6d2</x:v>
      </x:c>
      <x:c r="B634" s="23" t="str">
        <x:v>CLEBER ARAUJO TOLENTINO</x:v>
      </x:c>
      <x:c r="C634" s="23" t="str">
        <x:v>cleber araujo tolentino</x:v>
      </x:c>
      <x:c r="D634" s="22" t="str">
        <x:f>"55.432.027/0001-45"</x:f>
        <x:v>55.432.027/0001-45</x:v>
      </x:c>
      <x:c r="E634" s="22" t="str">
        <x:f>"55432027000145"</x:f>
        <x:v>55432027000145</x:v>
      </x:c>
      <x:c r="F634" s="22" t="str">
        <x:f>"085.593.828-52"</x:f>
        <x:v>085.593.828-52</x:v>
      </x:c>
      <x:c r="G634" s="22" t="str">
        <x:f>"08559382852"</x:f>
        <x:v>08559382852</x:v>
      </x:c>
      <x:c r="H634" s="23" t="str">
        <x:v>cleberaraujo376@gmail.com</x:v>
      </x:c>
      <x:c r="I634" s="22" t="str">
        <x:f>"11956063446"</x:f>
        <x:v>11956063446</x:v>
      </x:c>
      <x:c r="J634" s="23" t="str">
        <x:v>SPOT</x:v>
      </x:c>
      <x:c r="K634" s="23" t="str">
        <x:v>favored_only</x:v>
      </x:c>
      <x:c r="L634" s="24" t="b">
        <x:v>1</x:v>
      </x:c>
      <x:c r="M634" s="23" t="n">
        <x:v>1</x:v>
      </x:c>
      <x:c r="N634" s="28" t="n">
        <x:v>46205.606604409724</x:v>
      </x:c>
      <x:c r="O634" s="28" t="n">
        <x:v>46219.812988715275</x:v>
      </x:c>
      <x:c r="P634" s="23" t="str">
        <x:v>PRESIDENTE PRUDENTE</x:v>
      </x:c>
      <x:c r="Q634" s="30" t="n">
        <x:v>23822</x:v>
      </x:c>
      <x:c r="R634" s="22" t="str">
        <x:f>"16765696"</x:f>
        <x:v>16765696</x:v>
      </x:c>
      <x:c r="S634" s="23" t="str">
        <x:v>masculino</x:v>
      </x:c>
      <x:c r="T634" s="22" t="str">
        <x:f>"GFH6C45"</x:f>
        <x:v>GFH6C45</x:v>
      </x:c>
      <x:c r="U634" s="23" t="str">
        <x:v>NEIDE ALVES DA ROCHA DA SILVA</x:v>
      </x:c>
      <x:c r="V634" s="22" t="str">
        <x:f>"181.522.688-95"</x:f>
        <x:v>181.522.688-95</x:v>
      </x:c>
      <x:c r="W634" s="22" t="str">
        <x:f>"18152268895"</x:f>
        <x:v>18152268895</x:v>
      </x:c>
      <x:c r="X634" s="23" t="str">
        <x:v>ns1467506@gmail.com</x:v>
      </x:c>
      <x:c r="Y634" s="22" t="str">
        <x:f>"19983389902"</x:f>
        <x:v>19983389902</x:v>
      </x:c>
      <x:c r="Z634" s="30" t="n">
        <x:v>46366</x:v>
      </x:c>
    </x:row>
    <x:row r="635" ht="18" customHeight="1">
      <x:c r="A635" s="22" t="str">
        <x:f>"c71785a3-580d-49ab-942a-75dfcd56dad9"</x:f>
        <x:v>c71785a3-580d-49ab-942a-75dfcd56dad9</x:v>
      </x:c>
      <x:c r="B635" s="23" t="str">
        <x:v>CLEBER DA SILVA</x:v>
      </x:c>
      <x:c r="C635" s="23" t="str">
        <x:v>cleber da silva</x:v>
      </x:c>
      <x:c r="D635" s="22" t="str">
        <x:f>"61.534.114/0001-06"</x:f>
        <x:v>61.534.114/0001-06</x:v>
      </x:c>
      <x:c r="E635" s="22" t="str">
        <x:f>"61534114000106"</x:f>
        <x:v>61534114000106</x:v>
      </x:c>
      <x:c r="F635" s="22" t="str">
        <x:f>"341.262.868-96"</x:f>
        <x:v>341.262.868-96</x:v>
      </x:c>
      <x:c r="G635" s="22" t="str">
        <x:f>"34126286896"</x:f>
        <x:v>34126286896</x:v>
      </x:c>
      <x:c r="H635" s="23" t="str">
        <x:v>cleberd472@gmail.com</x:v>
      </x:c>
      <x:c r="I635" s="22" t="str">
        <x:f>"1197856-6518"</x:f>
        <x:v>1197856-6518</x:v>
      </x:c>
      <x:c r="J635" s="23" t="str">
        <x:v>SPOT</x:v>
      </x:c>
      <x:c r="K635" s="23" t="str">
        <x:v>favored_only</x:v>
      </x:c>
      <x:c r="L635" s="24" t="b">
        <x:v>1</x:v>
      </x:c>
      <x:c r="M635" s="23" t="n">
        <x:v>1</x:v>
      </x:c>
      <x:c r="N635" s="28" t="n">
        <x:v>46203.92186462963</x:v>
      </x:c>
      <x:c r="O635" s="28" t="n">
        <x:v>46219.812988715275</x:v>
      </x:c>
      <x:c r="P635" s="23" t="str">
        <x:v>BARUERI</x:v>
      </x:c>
      <x:c r="Q635" s="30" t="n">
        <x:v>30606</x:v>
      </x:c>
      <x:c r="R635" s="22" t="str">
        <x:f>"43436087"</x:f>
        <x:v>43436087</x:v>
      </x:c>
      <x:c r="S635" s="23" t="str">
        <x:v>masculino</x:v>
      </x:c>
      <x:c r="T635" s="22" t="str">
        <x:f>"DVR6C59"</x:f>
        <x:v>DVR6C59</x:v>
      </x:c>
      <x:c r="U635" s="23" t="str">
        <x:v>CLEBER DA SILVA</x:v>
      </x:c>
      <x:c r="V635" s="22" t="str">
        <x:f>"341.262.868-96"</x:f>
        <x:v>341.262.868-96</x:v>
      </x:c>
      <x:c r="W635" s="22" t="str">
        <x:f>"34126286896"</x:f>
        <x:v>34126286896</x:v>
      </x:c>
      <x:c r="X635" s="23" t="str">
        <x:v>cleberd472@gmail.com</x:v>
      </x:c>
      <x:c r="Y635" s="22" t="str">
        <x:f>"1197856-6518"</x:f>
        <x:v>1197856-6518</x:v>
      </x:c>
      <x:c r="Z635" s="30" t="n">
        <x:v>46271</x:v>
      </x:c>
    </x:row>
    <x:row r="636" ht="18" customHeight="1">
      <x:c r="A636" s="22" t="str">
        <x:f>"c1acc512-ba24-4f6e-bf9f-b32ff2405dc5"</x:f>
        <x:v>c1acc512-ba24-4f6e-bf9f-b32ff2405dc5</x:v>
      </x:c>
      <x:c r="B636" s="23" t="str">
        <x:v>CLEBER JUNIOR OLIVEIRA COSTA</x:v>
      </x:c>
      <x:c r="C636" s="23" t="str">
        <x:v>cleber junior oliveira costa</x:v>
      </x:c>
      <x:c r="D636" s="22" t="str">
        <x:f>"61.584.948/0001-26"</x:f>
        <x:v>61.584.948/0001-26</x:v>
      </x:c>
      <x:c r="E636" s="22" t="str">
        <x:f>"61584948000126"</x:f>
        <x:v>61584948000126</x:v>
      </x:c>
      <x:c r="F636" s="22" t="str">
        <x:f>"532.086.818-95"</x:f>
        <x:v>532.086.818-95</x:v>
      </x:c>
      <x:c r="G636" s="22" t="str">
        <x:f>"53208681895"</x:f>
        <x:v>53208681895</x:v>
      </x:c>
      <x:c r="H636" s="23" t="str">
        <x:v>Clebercostacosta990@gmail.com</x:v>
      </x:c>
      <x:c r="I636" s="22" t="str">
        <x:f>"18996758652"</x:f>
        <x:v>18996758652</x:v>
      </x:c>
      <x:c r="J636" s="23" t="str">
        <x:v>RENTAL</x:v>
      </x:c>
      <x:c r="K636" s="23" t="str">
        <x:v>rental_company</x:v>
      </x:c>
      <x:c r="L636" s="24" t="b">
        <x:v>1</x:v>
      </x:c>
      <x:c r="M636" s="23" t="n">
        <x:v>1</x:v>
      </x:c>
      <x:c r="N636" s="28" t="n">
        <x:v>46203.92186888889</x:v>
      </x:c>
      <x:c r="O636" s="28" t="n">
        <x:v>46219.812988715275</x:v>
      </x:c>
      <x:c r="P636" s="23" t="str">
        <x:v>PRESIDENTE PRUDENTE</x:v>
      </x:c>
      <x:c r="Q636" s="30" t="n">
        <x:v>37394</x:v>
      </x:c>
      <x:c r="R636" s="22" t="str">
        <x:f>"58711843X"</x:f>
        <x:v>58711843X</x:v>
      </x:c>
      <x:c r="S636" s="23" t="str">
        <x:v>masculino</x:v>
      </x:c>
      <x:c r="T636" s="22" t="str"/>
      <x:c r="U636" s="23" t="str">
        <x:v>CLEBER JUNIOR OLIVEIRA COSTA</x:v>
      </x:c>
      <x:c r="V636" s="22" t="str">
        <x:f>"532.086.818-95"</x:f>
        <x:v>532.086.818-95</x:v>
      </x:c>
      <x:c r="W636" s="22" t="str">
        <x:f>"53208681895"</x:f>
        <x:v>53208681895</x:v>
      </x:c>
      <x:c r="X636" s="23" t="str">
        <x:v>Clebercostacosta990@gmail.com</x:v>
      </x:c>
      <x:c r="Y636" s="22" t="str">
        <x:f>"18996758652"</x:f>
        <x:v>18996758652</x:v>
      </x:c>
      <x:c r="Z636" s="30" t="n">
        <x:v>46301</x:v>
      </x:c>
    </x:row>
    <x:row r="637" ht="18" customHeight="1">
      <x:c r="A637" s="22" t="str">
        <x:f>"035d7eb5-484f-43c1-aba6-9728bc960e45"</x:f>
        <x:v>035d7eb5-484f-43c1-aba6-9728bc960e45</x:v>
      </x:c>
      <x:c r="B637" s="23" t="str">
        <x:v>CLEBER PINHEIRO DE FREITAS</x:v>
      </x:c>
      <x:c r="C637" s="23" t="str">
        <x:v>cleber pinheiro de freitas</x:v>
      </x:c>
      <x:c r="D637" s="22" t="str">
        <x:f>"53.567.810/0001-90"</x:f>
        <x:v>53.567.810/0001-90</x:v>
      </x:c>
      <x:c r="E637" s="22" t="str">
        <x:f>"53567810000190"</x:f>
        <x:v>53567810000190</x:v>
      </x:c>
      <x:c r="F637" s="22" t="str">
        <x:f>"027.452.361-21"</x:f>
        <x:v>027.452.361-21</x:v>
      </x:c>
      <x:c r="G637" s="22" t="str">
        <x:f>"02745236121"</x:f>
        <x:v>02745236121</x:v>
      </x:c>
      <x:c r="H637" s="23" t="str">
        <x:v>Cleberpinheiro993@gmail.com</x:v>
      </x:c>
      <x:c r="I637" s="22" t="str">
        <x:f>"67998470581"</x:f>
        <x:v>67998470581</x:v>
      </x:c>
      <x:c r="J637" s="23" t="str">
        <x:v>spot</x:v>
      </x:c>
      <x:c r="K637" s="23" t="str">
        <x:v>favored_only</x:v>
      </x:c>
      <x:c r="L637" s="24" t="b">
        <x:v>1</x:v>
      </x:c>
      <x:c r="M637" s="23" t="n">
        <x:v>1</x:v>
      </x:c>
      <x:c r="N637" s="28" t="n">
        <x:v>46219.812988715275</x:v>
      </x:c>
      <x:c r="O637" s="28" t="n">
        <x:v>46219.812988715275</x:v>
      </x:c>
      <x:c r="P637" s="23" t="str">
        <x:v>CHAPADÃO DO SUL</x:v>
      </x:c>
      <x:c r="Q637" s="30" t="n">
        <x:v>33732</x:v>
      </x:c>
      <x:c r="R637" s="22" t="str">
        <x:f>"20235364"</x:f>
        <x:v>20235364</x:v>
      </x:c>
      <x:c r="S637" s="23" t="str">
        <x:v>masculino</x:v>
      </x:c>
      <x:c r="T637" s="22" t="str">
        <x:f>"OOL2I67"</x:f>
        <x:v>OOL2I67</x:v>
      </x:c>
      <x:c r="U637" s="23" t="str">
        <x:v>CLEBER PINHEIRO DE FREITAS</x:v>
      </x:c>
      <x:c r="V637" s="22" t="str">
        <x:f>"027.452.361-21"</x:f>
        <x:v>027.452.361-21</x:v>
      </x:c>
      <x:c r="W637" s="22" t="str">
        <x:f>"02745236121"</x:f>
        <x:v>02745236121</x:v>
      </x:c>
      <x:c r="X637" s="23" t="str">
        <x:v>Cleberpinheiro993@gmail.com</x:v>
      </x:c>
      <x:c r="Y637" s="22" t="str">
        <x:f>"67998470581"</x:f>
        <x:v>67998470581</x:v>
      </x:c>
      <x:c r="Z637" s="30" t="n">
        <x:v>46575</x:v>
      </x:c>
    </x:row>
    <x:row r="638" ht="18" customHeight="1">
      <x:c r="A638" s="22" t="str">
        <x:f>"52c4a3b6-e03e-427c-b3a0-e676afcf1049"</x:f>
        <x:v>52c4a3b6-e03e-427c-b3a0-e676afcf1049</x:v>
      </x:c>
      <x:c r="B638" s="23" t="str">
        <x:v>CLEBERSON ALEXANDRE PINHEIRO SANTANA</x:v>
      </x:c>
      <x:c r="C638" s="23" t="str">
        <x:v>cleberson alexandre pinheiro santana</x:v>
      </x:c>
      <x:c r="D638" s="22" t="str">
        <x:f>"61.328.526/0001-90"</x:f>
        <x:v>61.328.526/0001-90</x:v>
      </x:c>
      <x:c r="E638" s="22" t="str">
        <x:f>"61328526000190"</x:f>
        <x:v>61328526000190</x:v>
      </x:c>
      <x:c r="F638" s="22" t="str">
        <x:f>"047.643.751-25"</x:f>
        <x:v>047.643.751-25</x:v>
      </x:c>
      <x:c r="G638" s="22" t="str">
        <x:f>"04764375125"</x:f>
        <x:v>04764375125</x:v>
      </x:c>
      <x:c r="H638" s="23" t="str">
        <x:v>clebersonalexandre_pinheiro@hotmail.com</x:v>
      </x:c>
      <x:c r="I638" s="22" t="str">
        <x:f>"(65) 996860298"</x:f>
        <x:v>(65) 996860298</x:v>
      </x:c>
      <x:c r="J638" s="23" t="str">
        <x:v>SPOT</x:v>
      </x:c>
      <x:c r="K638" s="23" t="str">
        <x:v>favored_only</x:v>
      </x:c>
      <x:c r="L638" s="24" t="b">
        <x:v>1</x:v>
      </x:c>
      <x:c r="M638" s="23" t="n">
        <x:v>1</x:v>
      </x:c>
      <x:c r="N638" s="28" t="n">
        <x:v>46205.60365644676</x:v>
      </x:c>
      <x:c r="O638" s="28" t="n">
        <x:v>46219.812988715275</x:v>
      </x:c>
      <x:c r="P638" s="23" t="str">
        <x:v>CUIABA</x:v>
      </x:c>
      <x:c r="Q638" s="30" t="n">
        <x:v>34437</x:v>
      </x:c>
      <x:c r="R638" s="22" t="str">
        <x:f>"17584990"</x:f>
        <x:v>17584990</x:v>
      </x:c>
      <x:c r="S638" s="23" t="str">
        <x:v>masculino</x:v>
      </x:c>
      <x:c r="T638" s="22" t="str">
        <x:f>"GJY5G90"</x:f>
        <x:v>GJY5G90</x:v>
      </x:c>
      <x:c r="U638" s="23" t="str">
        <x:v>RONNYCLEITON MUNHOZ SILVA</x:v>
      </x:c>
      <x:c r="V638" s="22" t="str">
        <x:f>"032.746.191-83"</x:f>
        <x:v>032.746.191-83</x:v>
      </x:c>
      <x:c r="W638" s="22" t="str">
        <x:f>"03274619183"</x:f>
        <x:v>03274619183</x:v>
      </x:c>
      <x:c r="X638" s="23" t="str">
        <x:v>munhoz.silva9@gmail.com</x:v>
      </x:c>
      <x:c r="Y638" s="22" t="str">
        <x:f>"65 99671-9003"</x:f>
        <x:v>65 99671-9003</x:v>
      </x:c>
      <x:c r="Z638" s="30" t="n">
        <x:v>46233</x:v>
      </x:c>
    </x:row>
    <x:row r="639" ht="18" customHeight="1">
      <x:c r="A639" s="22" t="str">
        <x:f>"bc699cbe-0ab9-414c-9058-62971a428ed4"</x:f>
        <x:v>bc699cbe-0ab9-414c-9058-62971a428ed4</x:v>
      </x:c>
      <x:c r="B639" s="23" t="str">
        <x:v>CLEBERSON SILVA DA COSTA</x:v>
      </x:c>
      <x:c r="C639" s="23" t="str">
        <x:v>cleberson silva da costa</x:v>
      </x:c>
      <x:c r="D639" s="22" t="str">
        <x:f>"50.584.075/0001-35"</x:f>
        <x:v>50.584.075/0001-35</x:v>
      </x:c>
      <x:c r="E639" s="22" t="str">
        <x:f>"50584075000135"</x:f>
        <x:v>50584075000135</x:v>
      </x:c>
      <x:c r="F639" s="22" t="str">
        <x:f>"100.442.176-28"</x:f>
        <x:v>100.442.176-28</x:v>
      </x:c>
      <x:c r="G639" s="22" t="str">
        <x:f>"10044217628"</x:f>
        <x:v>10044217628</x:v>
      </x:c>
      <x:c r="H639" s="23" t="str">
        <x:v>clebersailva13@gmail.com</x:v>
      </x:c>
      <x:c r="I639" s="22" t="str">
        <x:f>"(75)98115-2353"</x:f>
        <x:v>(75)98115-2353</x:v>
      </x:c>
      <x:c r="J639" s="23" t="str">
        <x:v>RENTAL</x:v>
      </x:c>
      <x:c r="K639" s="23" t="str">
        <x:v>rental_company</x:v>
      </x:c>
      <x:c r="L639" s="24" t="b">
        <x:v>1</x:v>
      </x:c>
      <x:c r="M639" s="23" t="n">
        <x:v>1</x:v>
      </x:c>
      <x:c r="N639" s="28" t="n">
        <x:v>46219.812988715275</x:v>
      </x:c>
      <x:c r="O639" s="28" t="n">
        <x:v>46219.812988715275</x:v>
      </x:c>
      <x:c r="P639" s="23" t="str">
        <x:v>POUSO ALEGRE</x:v>
      </x:c>
      <x:c r="Q639" s="30" t="n">
        <x:v>33614</x:v>
      </x:c>
      <x:c r="R639" s="22" t="str">
        <x:f>"16689660 MG"</x:f>
        <x:v>16689660 MG</x:v>
      </x:c>
      <x:c r="S639" s="23" t="str">
        <x:v>masculino</x:v>
      </x:c>
      <x:c r="T639" s="22" t="str"/>
      <x:c r="U639" s="23" t="str">
        <x:v>CLEBERSON SILVA DA COSTA</x:v>
      </x:c>
      <x:c r="V639" s="22" t="str">
        <x:f>"100.442.176-28"</x:f>
        <x:v>100.442.176-28</x:v>
      </x:c>
      <x:c r="W639" s="22" t="str">
        <x:f>"10044217628"</x:f>
        <x:v>10044217628</x:v>
      </x:c>
      <x:c r="X639" s="23" t="str">
        <x:v>clebersailva13@gmail.com</x:v>
      </x:c>
      <x:c r="Y639" s="22" t="str">
        <x:f>"(75)98115-2353"</x:f>
        <x:v>(75)98115-2353</x:v>
      </x:c>
      <x:c r="Z639" s="30" t="n">
        <x:v>46548</x:v>
      </x:c>
    </x:row>
    <x:row r="640" ht="18" customHeight="1">
      <x:c r="A640" s="22" t="str">
        <x:f>"d4b849ff-3763-4702-8c9c-a228ec67b10f"</x:f>
        <x:v>d4b849ff-3763-4702-8c9c-a228ec67b10f</x:v>
      </x:c>
      <x:c r="B640" s="23" t="str">
        <x:v>CLEDMILTON ALVES PEREIRA</x:v>
      </x:c>
      <x:c r="C640" s="23" t="str">
        <x:v>cledmilton alves pereira</x:v>
      </x:c>
      <x:c r="D640" s="22" t="str">
        <x:f>"65.281.653/0001-31"</x:f>
        <x:v>65.281.653/0001-31</x:v>
      </x:c>
      <x:c r="E640" s="22" t="str">
        <x:f>"65281653000131"</x:f>
        <x:v>65281653000131</x:v>
      </x:c>
      <x:c r="F640" s="22" t="str">
        <x:f>"065.986.346-44"</x:f>
        <x:v>065.986.346-44</x:v>
      </x:c>
      <x:c r="G640" s="22" t="str">
        <x:f>"06598634644"</x:f>
        <x:v>06598634644</x:v>
      </x:c>
      <x:c r="H640" s="23" t="str">
        <x:v>cledmiltonpereira@gmail.com</x:v>
      </x:c>
      <x:c r="I640" s="22" t="str">
        <x:f>"33987286967"</x:f>
        <x:v>33987286967</x:v>
      </x:c>
      <x:c r="J640" s="23" t="str">
        <x:v>SPOT</x:v>
      </x:c>
      <x:c r="K640" s="23" t="str">
        <x:v>favored_only</x:v>
      </x:c>
      <x:c r="L640" s="24" t="b">
        <x:v>1</x:v>
      </x:c>
      <x:c r="M640" s="23" t="n">
        <x:v>1</x:v>
      </x:c>
      <x:c r="N640" s="28" t="n">
        <x:v>46219.812988715275</x:v>
      </x:c>
      <x:c r="O640" s="28" t="n">
        <x:v>46219.812988715275</x:v>
      </x:c>
      <x:c r="P640" s="23" t="str">
        <x:v>IPATINGA</x:v>
      </x:c>
      <x:c r="Q640" s="30" t="n">
        <x:v>30513</x:v>
      </x:c>
      <x:c r="R640" s="22" t="str">
        <x:f>"MG 12749511 PC MG"</x:f>
        <x:v>MG 12749511 PC MG</x:v>
      </x:c>
      <x:c r="S640" s="23" t="str">
        <x:v>masculino</x:v>
      </x:c>
      <x:c r="T640" s="22" t="str">
        <x:f>"QXA7G45"</x:f>
        <x:v>QXA7G45</x:v>
      </x:c>
      <x:c r="U640" s="23" t="str">
        <x:v>CLEDMILTON ALVES PEREIRA</x:v>
      </x:c>
      <x:c r="V640" s="22" t="str">
        <x:f>"065.986.346-44"</x:f>
        <x:v>065.986.346-44</x:v>
      </x:c>
      <x:c r="W640" s="22" t="str">
        <x:f>"06598634644"</x:f>
        <x:v>06598634644</x:v>
      </x:c>
      <x:c r="X640" s="23" t="str">
        <x:v>cledmiltonpereira@gmail.com</x:v>
      </x:c>
      <x:c r="Y640" s="22" t="str">
        <x:f>"33987286967"</x:f>
        <x:v>33987286967</x:v>
      </x:c>
      <x:c r="Z640" s="30" t="n">
        <x:v>46477</x:v>
      </x:c>
    </x:row>
    <x:row r="641" ht="18" customHeight="1">
      <x:c r="A641" s="22" t="str">
        <x:f>"c6d769f0-9964-4559-b0ce-9e8b1deb2c54"</x:f>
        <x:v>c6d769f0-9964-4559-b0ce-9e8b1deb2c54</x:v>
      </x:c>
      <x:c r="B641" s="23" t="str">
        <x:v>CLEITON ARRIATE</x:v>
      </x:c>
      <x:c r="C641" s="23" t="str">
        <x:v>cleiton arriate</x:v>
      </x:c>
      <x:c r="D641" s="22" t="str">
        <x:f>"46.423.494/0001-18"</x:f>
        <x:v>46.423.494/0001-18</x:v>
      </x:c>
      <x:c r="E641" s="22" t="str">
        <x:f>"46423494000118"</x:f>
        <x:v>46423494000118</x:v>
      </x:c>
      <x:c r="F641" s="22" t="str">
        <x:f>"018.928.671-76"</x:f>
        <x:v>018.928.671-76</x:v>
      </x:c>
      <x:c r="G641" s="22" t="str">
        <x:f>"01892867176"</x:f>
        <x:v>01892867176</x:v>
      </x:c>
      <x:c r="H641" s="23" t="str">
        <x:v>Arriatecleiton2005@gmail.com</x:v>
      </x:c>
      <x:c r="I641" s="22" t="str">
        <x:f>"65996581236"</x:f>
        <x:v>65996581236</x:v>
      </x:c>
      <x:c r="J641" s="23" t="str">
        <x:v>SPOT</x:v>
      </x:c>
      <x:c r="K641" s="23" t="str">
        <x:v>favored_only</x:v>
      </x:c>
      <x:c r="L641" s="24" t="b">
        <x:v>1</x:v>
      </x:c>
      <x:c r="M641" s="23" t="n">
        <x:v>1</x:v>
      </x:c>
      <x:c r="N641" s="28" t="n">
        <x:v>46219.812988715275</x:v>
      </x:c>
      <x:c r="O641" s="28" t="n">
        <x:v>46219.812988715275</x:v>
      </x:c>
      <x:c r="P641" s="23" t="str">
        <x:v>PONTES E LACERDA</x:v>
      </x:c>
      <x:c r="Q641" s="30" t="n">
        <x:v>32283</x:v>
      </x:c>
      <x:c r="R641" s="22" t="str">
        <x:f>"17938180"</x:f>
        <x:v>17938180</x:v>
      </x:c>
      <x:c r="S641" s="23" t="str">
        <x:v>masculino</x:v>
      </x:c>
      <x:c r="T641" s="22" t="str">
        <x:f>"RVQ8G15"</x:f>
        <x:v>RVQ8G15</x:v>
      </x:c>
      <x:c r="U641" s="23" t="str">
        <x:v>CLEITON ARRIATE</x:v>
      </x:c>
      <x:c r="V641" s="22" t="str">
        <x:f>"018.928.671-76"</x:f>
        <x:v>018.928.671-76</x:v>
      </x:c>
      <x:c r="W641" s="22" t="str">
        <x:f>"01892867176"</x:f>
        <x:v>01892867176</x:v>
      </x:c>
      <x:c r="X641" s="23" t="str">
        <x:v>Arriatecleiton2005@gmail.com</x:v>
      </x:c>
      <x:c r="Y641" s="22" t="str">
        <x:f>"65996581236"</x:f>
        <x:v>65996581236</x:v>
      </x:c>
      <x:c r="Z641" s="30" t="n">
        <x:v>46499</x:v>
      </x:c>
    </x:row>
    <x:row r="642" ht="18" customHeight="1">
      <x:c r="A642" s="22" t="str">
        <x:f>"4ef743ce-eff8-4fc5-b981-b5117553f02b"</x:f>
        <x:v>4ef743ce-eff8-4fc5-b981-b5117553f02b</x:v>
      </x:c>
      <x:c r="B642" s="23" t="str">
        <x:v>CLEITON AUGUSTO DOS SANTOS JUNIOR</x:v>
      </x:c>
      <x:c r="C642" s="23" t="str">
        <x:v>cleiton augusto dos santos junior</x:v>
      </x:c>
      <x:c r="D642" s="22" t="str">
        <x:f>"28.986.630/0001-04"</x:f>
        <x:v>28.986.630/0001-04</x:v>
      </x:c>
      <x:c r="E642" s="22" t="str">
        <x:f>"28986630000104"</x:f>
        <x:v>28986630000104</x:v>
      </x:c>
      <x:c r="F642" s="22" t="str">
        <x:f>"019.452.376-43"</x:f>
        <x:v>019.452.376-43</x:v>
      </x:c>
      <x:c r="G642" s="22" t="str">
        <x:f>"01945237643"</x:f>
        <x:v>01945237643</x:v>
      </x:c>
      <x:c r="H642" s="23" t="str">
        <x:v>cleitonaugusto50@hotmail.com</x:v>
      </x:c>
      <x:c r="I642" s="22" t="str">
        <x:f>"33999316519"</x:f>
        <x:v>33999316519</x:v>
      </x:c>
      <x:c r="J642" s="23" t="str">
        <x:v>spot</x:v>
      </x:c>
      <x:c r="K642" s="23" t="str">
        <x:v>favored_only</x:v>
      </x:c>
      <x:c r="L642" s="24" t="b">
        <x:v>1</x:v>
      </x:c>
      <x:c r="M642" s="23" t="n">
        <x:v>1</x:v>
      </x:c>
      <x:c r="N642" s="28" t="n">
        <x:v>46219.812988715275</x:v>
      </x:c>
      <x:c r="O642" s="28" t="n">
        <x:v>46219.812988715275</x:v>
      </x:c>
      <x:c r="P642" s="23" t="str">
        <x:v>GUANHAES</x:v>
      </x:c>
      <x:c r="Q642" s="30" t="n">
        <x:v>37369</x:v>
      </x:c>
      <x:c r="R642" s="22" t="str">
        <x:f>"6188"</x:f>
        <x:v>6188</x:v>
      </x:c>
      <x:c r="S642" s="23" t="str">
        <x:v>masculino</x:v>
      </x:c>
      <x:c r="T642" s="22" t="str">
        <x:f>"SHQ3B31"</x:f>
        <x:v>SHQ3B31</x:v>
      </x:c>
      <x:c r="U642" s="23" t="str">
        <x:v>VICTOR HENRIQUE AGUIAR QUINTAO</x:v>
      </x:c>
      <x:c r="V642" s="22" t="str">
        <x:f>"092.168.536-03"</x:f>
        <x:v>092.168.536-03</x:v>
      </x:c>
      <x:c r="W642" s="22" t="str">
        <x:f>"09216853603"</x:f>
        <x:v>09216853603</x:v>
      </x:c>
      <x:c r="X642" s="23" t="str">
        <x:v>victoraguiarquintao@gmail.com</x:v>
      </x:c>
      <x:c r="Y642" s="22" t="str">
        <x:f>"33988979540"</x:f>
        <x:v>33988979540</x:v>
      </x:c>
      <x:c r="Z642" s="30" t="n">
        <x:v>46554</x:v>
      </x:c>
    </x:row>
    <x:row r="643" ht="18" customHeight="1">
      <x:c r="A643" s="22" t="str">
        <x:f>"542c2157-04a2-43aa-a63e-70eb8e4a7102"</x:f>
        <x:v>542c2157-04a2-43aa-a63e-70eb8e4a7102</x:v>
      </x:c>
      <x:c r="B643" s="23" t="str">
        <x:v>CLEITON AUGUSTO DOS SANTOS JUNIOR</x:v>
      </x:c>
      <x:c r="C643" s="23" t="str">
        <x:v>cleiton augusto dos santos junior</x:v>
      </x:c>
      <x:c r="D643" s="22" t="str">
        <x:f>"65.893.022/0001-73"</x:f>
        <x:v>65.893.022/0001-73</x:v>
      </x:c>
      <x:c r="E643" s="22" t="str">
        <x:f>"65893022000173"</x:f>
        <x:v>65893022000173</x:v>
      </x:c>
      <x:c r="F643" s="22" t="str">
        <x:f>"019.452.376-43"</x:f>
        <x:v>019.452.376-43</x:v>
      </x:c>
      <x:c r="G643" s="22" t="str">
        <x:f>"01945237643"</x:f>
        <x:v>01945237643</x:v>
      </x:c>
      <x:c r="H643" s="23" t="str">
        <x:v>cleitonaugusto50@hotmail.com</x:v>
      </x:c>
      <x:c r="I643" s="22" t="str">
        <x:f>"33999316519"</x:f>
        <x:v>33999316519</x:v>
      </x:c>
      <x:c r="J643" s="23" t="str">
        <x:v>SPOT</x:v>
      </x:c>
      <x:c r="K643" s="23" t="str">
        <x:v>favored_only</x:v>
      </x:c>
      <x:c r="L643" s="24" t="b">
        <x:v>1</x:v>
      </x:c>
      <x:c r="M643" s="23" t="n">
        <x:v>2</x:v>
      </x:c>
      <x:c r="N643" s="28" t="n">
        <x:v>46219.812988715275</x:v>
      </x:c>
      <x:c r="O643" s="28" t="n">
        <x:v>46219.812988715275</x:v>
      </x:c>
      <x:c r="P643" s="23" t="str">
        <x:v>GUANHAES</x:v>
      </x:c>
      <x:c r="Q643" s="30" t="n">
        <x:v>37369</x:v>
      </x:c>
      <x:c r="R643" s="22" t="str">
        <x:f>"6188"</x:f>
        <x:v>6188</x:v>
      </x:c>
      <x:c r="S643" s="23" t="str">
        <x:v>masculino</x:v>
      </x:c>
      <x:c r="T643" s="22" t="str">
        <x:f>"SHQ3B31"</x:f>
        <x:v>SHQ3B31</x:v>
      </x:c>
      <x:c r="U643" s="23" t="str">
        <x:v>CLEITON AUGUSTO DOS SANTOS JUNIOR</x:v>
      </x:c>
      <x:c r="V643" s="22" t="str">
        <x:f>"019.452.376-43"</x:f>
        <x:v>019.452.376-43</x:v>
      </x:c>
      <x:c r="W643" s="22" t="str">
        <x:f>"01945237643"</x:f>
        <x:v>01945237643</x:v>
      </x:c>
      <x:c r="X643" s="23" t="str">
        <x:v>cleitonaugusto50@hotmail.com</x:v>
      </x:c>
      <x:c r="Y643" s="22" t="str">
        <x:f>"33999316519"</x:f>
        <x:v>33999316519</x:v>
      </x:c>
      <x:c r="Z643" s="30" t="n">
        <x:v>46476</x:v>
      </x:c>
    </x:row>
    <x:row r="644" ht="18" customHeight="1">
      <x:c r="A644" s="22" t="str">
        <x:f>"2406b4e3-65db-4c7f-8f84-af64d88112a0"</x:f>
        <x:v>2406b4e3-65db-4c7f-8f84-af64d88112a0</x:v>
      </x:c>
      <x:c r="B644" s="23" t="str">
        <x:v>CLEITON DE ALMEIDA RODRIGUES</x:v>
      </x:c>
      <x:c r="C644" s="23" t="str">
        <x:v>cleiton de almeida rodrigues</x:v>
      </x:c>
      <x:c r="D644" s="22" t="str">
        <x:f>"23.853.787/0001-30"</x:f>
        <x:v>23.853.787/0001-30</x:v>
      </x:c>
      <x:c r="E644" s="22" t="str">
        <x:f>"23853787000130"</x:f>
        <x:v>23853787000130</x:v>
      </x:c>
      <x:c r="F644" s="22" t="str">
        <x:f>"003.769.561-43"</x:f>
        <x:v>003.769.561-43</x:v>
      </x:c>
      <x:c r="G644" s="22" t="str">
        <x:f>"00376956143"</x:f>
        <x:v>00376956143</x:v>
      </x:c>
      <x:c r="H644" s="23" t="str">
        <x:v>cleitonalmeidarodrigues9@gmail.com</x:v>
      </x:c>
      <x:c r="I644" s="22" t="str">
        <x:f>"65996440467"</x:f>
        <x:v>65996440467</x:v>
      </x:c>
      <x:c r="J644" s="23" t="str">
        <x:v>SPOT</x:v>
      </x:c>
      <x:c r="K644" s="23" t="str">
        <x:v>favored_only</x:v>
      </x:c>
      <x:c r="L644" s="24" t="b">
        <x:v>1</x:v>
      </x:c>
      <x:c r="M644" s="23" t="n">
        <x:v>1</x:v>
      </x:c>
      <x:c r="N644" s="28" t="n">
        <x:v>46205.60460637732</x:v>
      </x:c>
      <x:c r="O644" s="28" t="n">
        <x:v>46219.812988715275</x:v>
      </x:c>
      <x:c r="P644" s="23" t="str">
        <x:v>CÁCERES</x:v>
      </x:c>
      <x:c r="Q644" s="30" t="n">
        <x:v>36456</x:v>
      </x:c>
      <x:c r="R644" s="22" t="str">
        <x:f>"14092611"</x:f>
        <x:v>14092611</x:v>
      </x:c>
      <x:c r="S644" s="23" t="str">
        <x:v>masculino</x:v>
      </x:c>
      <x:c r="T644" s="22" t="str">
        <x:f>"KAT1A15"</x:f>
        <x:v>KAT1A15</x:v>
      </x:c>
      <x:c r="U644" s="23" t="str">
        <x:v>RODRIGO CASTRILLON LARA VEIGA</x:v>
      </x:c>
      <x:c r="V644" s="22" t="str">
        <x:f>"018.967.361-30"</x:f>
        <x:v>018.967.361-30</x:v>
      </x:c>
      <x:c r="W644" s="22" t="str">
        <x:f>"01896736130"</x:f>
        <x:v>01896736130</x:v>
      </x:c>
      <x:c r="X644" s="23" t="str">
        <x:v>castrillon.rodrigo@gmail.com</x:v>
      </x:c>
      <x:c r="Y644" s="22" t="str">
        <x:f>"65996440467"</x:f>
        <x:v>65996440467</x:v>
      </x:c>
      <x:c r="Z644" s="30" t="n">
        <x:v>46284</x:v>
      </x:c>
    </x:row>
    <x:row r="645" ht="18" customHeight="1">
      <x:c r="A645" s="22" t="str">
        <x:f>"cfa72c54-7690-4b48-93e4-d52da168d679"</x:f>
        <x:v>cfa72c54-7690-4b48-93e4-d52da168d679</x:v>
      </x:c>
      <x:c r="B645" s="23" t="str">
        <x:v>CLEITON FERREIRA DE OLIVEIRA</x:v>
      </x:c>
      <x:c r="C645" s="23" t="str">
        <x:v>cleiton ferreira de oliveira</x:v>
      </x:c>
      <x:c r="D645" s="22" t="str">
        <x:f>"62.814.894/0001-00"</x:f>
        <x:v>62.814.894/0001-00</x:v>
      </x:c>
      <x:c r="E645" s="22" t="str">
        <x:f>"62814894000100"</x:f>
        <x:v>62814894000100</x:v>
      </x:c>
      <x:c r="F645" s="22" t="str">
        <x:f>"709.974.301-50"</x:f>
        <x:v>709.974.301-50</x:v>
      </x:c>
      <x:c r="G645" s="22" t="str">
        <x:f>"70997430150"</x:f>
        <x:v>70997430150</x:v>
      </x:c>
      <x:c r="H645" s="23" t="str">
        <x:v>cleiton19102002@gmail.com</x:v>
      </x:c>
      <x:c r="I645" s="22" t="str">
        <x:f>"62993651355"</x:f>
        <x:v>62993651355</x:v>
      </x:c>
      <x:c r="J645" s="23" t="str">
        <x:v>SPOT</x:v>
      </x:c>
      <x:c r="K645" s="23" t="str">
        <x:v>favored_only</x:v>
      </x:c>
      <x:c r="L645" s="24" t="b">
        <x:v>1</x:v>
      </x:c>
      <x:c r="M645" s="23" t="n">
        <x:v>1</x:v>
      </x:c>
      <x:c r="N645" s="28" t="n">
        <x:v>46219.812988715275</x:v>
      </x:c>
      <x:c r="O645" s="28" t="n">
        <x:v>46219.812988715275</x:v>
      </x:c>
      <x:c r="P645" s="23" t="str">
        <x:v>GOIANIA</x:v>
      </x:c>
      <x:c r="Q645" s="30" t="n">
        <x:v>37548</x:v>
      </x:c>
      <x:c r="R645" s="22" t="str">
        <x:f>"6957747"</x:f>
        <x:v>6957747</x:v>
      </x:c>
      <x:c r="S645" s="23" t="str">
        <x:v>masculino</x:v>
      </x:c>
      <x:c r="T645" s="22" t="str">
        <x:f>"PQP9C95"</x:f>
        <x:v>PQP9C95</x:v>
      </x:c>
      <x:c r="U645" s="23" t="str">
        <x:v>CLEITON FERREIRA DE OLIVEIRA</x:v>
      </x:c>
      <x:c r="V645" s="22" t="str">
        <x:f>"709.974.301-50"</x:f>
        <x:v>709.974.301-50</x:v>
      </x:c>
      <x:c r="W645" s="22" t="str">
        <x:f>"70997430150"</x:f>
        <x:v>70997430150</x:v>
      </x:c>
      <x:c r="X645" s="23" t="str">
        <x:v>cleiton19102002@gmail.com</x:v>
      </x:c>
      <x:c r="Y645" s="22" t="str">
        <x:f>"62993651355"</x:f>
        <x:v>62993651355</x:v>
      </x:c>
      <x:c r="Z645" s="30" t="n">
        <x:v>46549</x:v>
      </x:c>
    </x:row>
    <x:row r="646" ht="18" customHeight="1">
      <x:c r="A646" s="22" t="str">
        <x:f>"2d601299-e648-4d53-87da-2fe72aefc438"</x:f>
        <x:v>2d601299-e648-4d53-87da-2fe72aefc438</x:v>
      </x:c>
      <x:c r="B646" s="23" t="str">
        <x:v>CLEITON HENRIQUE DA SILVA</x:v>
      </x:c>
      <x:c r="C646" s="23" t="str">
        <x:v>cleiton henrique da silva</x:v>
      </x:c>
      <x:c r="D646" s="22" t="str">
        <x:f>"52.085.109/0001-72"</x:f>
        <x:v>52.085.109/0001-72</x:v>
      </x:c>
      <x:c r="E646" s="22" t="str">
        <x:f>"52085109000172"</x:f>
        <x:v>52085109000172</x:v>
      </x:c>
      <x:c r="F646" s="22" t="str">
        <x:f>"136.082.016-70"</x:f>
        <x:v>136.082.016-70</x:v>
      </x:c>
      <x:c r="G646" s="22" t="str">
        <x:f>"13608201670"</x:f>
        <x:v>13608201670</x:v>
      </x:c>
      <x:c r="H646" s="23" t="str">
        <x:v>cleitonsilvahenrique@gmail.com</x:v>
      </x:c>
      <x:c r="I646" s="22" t="str">
        <x:f>"(31) 97212-1507"</x:f>
        <x:v>(31) 97212-1507</x:v>
      </x:c>
      <x:c r="J646" s="23" t="str">
        <x:v>SPOT</x:v>
      </x:c>
      <x:c r="K646" s="23" t="str">
        <x:v>favored_only</x:v>
      </x:c>
      <x:c r="L646" s="24" t="b">
        <x:v>1</x:v>
      </x:c>
      <x:c r="M646" s="23" t="n">
        <x:v>1</x:v>
      </x:c>
      <x:c r="N646" s="28" t="n">
        <x:v>46205.60412523148</x:v>
      </x:c>
      <x:c r="O646" s="28" t="n">
        <x:v>46219.812988715275</x:v>
      </x:c>
      <x:c r="P646" s="23" t="str">
        <x:v>IPATINGA</x:v>
      </x:c>
      <x:c r="Q646" s="30" t="n">
        <x:v>35991</x:v>
      </x:c>
      <x:c r="R646" s="22" t="str">
        <x:f>"19917081"</x:f>
        <x:v>19917081</x:v>
      </x:c>
      <x:c r="S646" s="23" t="str">
        <x:v>masculino</x:v>
      </x:c>
      <x:c r="T646" s="22" t="str">
        <x:f>"HMV2H35"</x:f>
        <x:v>HMV2H35</x:v>
      </x:c>
      <x:c r="U646" s="23" t="str">
        <x:v>PRICILIA MARQUES DE MOURA</x:v>
      </x:c>
      <x:c r="V646" s="22" t="str">
        <x:f>"079.291.606-96"</x:f>
        <x:v>079.291.606-96</x:v>
      </x:c>
      <x:c r="W646" s="22" t="str">
        <x:f>"07929160696"</x:f>
        <x:v>07929160696</x:v>
      </x:c>
      <x:c r="X646" s="23" t="str">
        <x:v>priciliamarques@hotmail.com</x:v>
      </x:c>
      <x:c r="Y646" s="22" t="str">
        <x:f>"(31) 98528-0872"</x:f>
        <x:v>(31) 98528-0872</x:v>
      </x:c>
      <x:c r="Z646" s="30" t="n">
        <x:v>46259</x:v>
      </x:c>
    </x:row>
    <x:row r="647" ht="18" customHeight="1">
      <x:c r="A647" s="22" t="str">
        <x:f>"a7e82aa0-063d-4059-8780-4569003c072a"</x:f>
        <x:v>a7e82aa0-063d-4059-8780-4569003c072a</x:v>
      </x:c>
      <x:c r="B647" s="23" t="str">
        <x:v>CLEITON JEAN PADILHA MARANGONE</x:v>
      </x:c>
      <x:c r="C647" s="23" t="str">
        <x:v>cleiton jean padilha marangone</x:v>
      </x:c>
      <x:c r="D647" s="22" t="str">
        <x:f>"45.980.138/0001-32"</x:f>
        <x:v>45.980.138/0001-32</x:v>
      </x:c>
      <x:c r="E647" s="22" t="str">
        <x:f>"45980138000132"</x:f>
        <x:v>45980138000132</x:v>
      </x:c>
      <x:c r="F647" s="22" t="str">
        <x:f>"333.791.088-20"</x:f>
        <x:v>333.791.088-20</x:v>
      </x:c>
      <x:c r="G647" s="22" t="str">
        <x:f>"33379108820"</x:f>
        <x:v>33379108820</x:v>
      </x:c>
      <x:c r="H647" s="23" t="str">
        <x:v>cleitonpinturas@gmail.com</x:v>
      </x:c>
      <x:c r="I647" s="22" t="str">
        <x:f>"17996161853"</x:f>
        <x:v>17996161853</x:v>
      </x:c>
      <x:c r="J647" s="23" t="str">
        <x:v>SPOT</x:v>
      </x:c>
      <x:c r="K647" s="23" t="str">
        <x:v>favored_only</x:v>
      </x:c>
      <x:c r="L647" s="24" t="b">
        <x:v>1</x:v>
      </x:c>
      <x:c r="M647" s="23" t="n">
        <x:v>1</x:v>
      </x:c>
      <x:c r="N647" s="28" t="n">
        <x:v>46219.812988715275</x:v>
      </x:c>
      <x:c r="O647" s="28" t="n">
        <x:v>46219.812988715275</x:v>
      </x:c>
      <x:c r="P647" s="23" t="str">
        <x:v>JALES</x:v>
      </x:c>
      <x:c r="Q647" s="30" t="n">
        <x:v>31082</x:v>
      </x:c>
      <x:c r="R647" s="22" t="str">
        <x:f>"40120632"</x:f>
        <x:v>40120632</x:v>
      </x:c>
      <x:c r="S647" s="23" t="str">
        <x:v>masculino</x:v>
      </x:c>
      <x:c r="T647" s="22" t="str">
        <x:f>"FkA5b95"</x:f>
        <x:v>FkA5b95</x:v>
      </x:c>
      <x:c r="U647" s="23" t="str">
        <x:v>JOVENI OLIVEIRA PEREIRA</x:v>
      </x:c>
      <x:c r="V647" s="22" t="str">
        <x:f>"398.065.448-62"</x:f>
        <x:v>398.065.448-62</x:v>
      </x:c>
      <x:c r="W647" s="22" t="str">
        <x:f>"39806544862"</x:f>
        <x:v>39806544862</x:v>
      </x:c>
      <x:c r="X647" s="23" t="str">
        <x:v>cleitonpinturas@gmail.com</x:v>
      </x:c>
      <x:c r="Y647" s="22" t="str">
        <x:f>"17996161853"</x:f>
        <x:v>17996161853</x:v>
      </x:c>
      <x:c r="Z647" s="30" t="n">
        <x:v>46491</x:v>
      </x:c>
    </x:row>
    <x:row r="648" ht="18" customHeight="1">
      <x:c r="A648" s="22" t="str">
        <x:f>"60da6fef-88e5-497b-8403-b932f4d32432"</x:f>
        <x:v>60da6fef-88e5-497b-8403-b932f4d32432</x:v>
      </x:c>
      <x:c r="B648" s="23" t="str">
        <x:v>CLEITON MARTINS DOS SANTOS</x:v>
      </x:c>
      <x:c r="C648" s="23" t="str">
        <x:v>cleiton martins dos santos</x:v>
      </x:c>
      <x:c r="D648" s="22" t="str">
        <x:f>"64.023.658/0001-00"</x:f>
        <x:v>64.023.658/0001-00</x:v>
      </x:c>
      <x:c r="E648" s="22" t="str">
        <x:f>"64023658000100"</x:f>
        <x:v>64023658000100</x:v>
      </x:c>
      <x:c r="F648" s="22" t="str">
        <x:f>"162.163.378-07"</x:f>
        <x:v>162.163.378-07</x:v>
      </x:c>
      <x:c r="G648" s="22" t="str">
        <x:f>"16216337807"</x:f>
        <x:v>16216337807</x:v>
      </x:c>
      <x:c r="H648" s="23" t="str">
        <x:v>Cleitimsantos75@gmail.com</x:v>
      </x:c>
      <x:c r="I648" s="22" t="str">
        <x:f>"17 99129-2666"</x:f>
        <x:v>17 99129-2666</x:v>
      </x:c>
      <x:c r="J648" s="23" t="str">
        <x:v>SPOT</x:v>
      </x:c>
      <x:c r="K648" s="23" t="str">
        <x:v>favored_only</x:v>
      </x:c>
      <x:c r="L648" s="24" t="b">
        <x:v>1</x:v>
      </x:c>
      <x:c r="M648" s="23" t="n">
        <x:v>1</x:v>
      </x:c>
      <x:c r="N648" s="28" t="n">
        <x:v>46203.92186462963</x:v>
      </x:c>
      <x:c r="O648" s="28" t="n">
        <x:v>46219.812988715275</x:v>
      </x:c>
      <x:c r="P648" s="23" t="str">
        <x:v>BARRETOS</x:v>
      </x:c>
      <x:c r="Q648" s="30" t="n">
        <x:v>28189</x:v>
      </x:c>
      <x:c r="R648" s="22" t="str">
        <x:f>"26729654"</x:f>
        <x:v>26729654</x:v>
      </x:c>
      <x:c r="S648" s="23" t="str">
        <x:v>masculino</x:v>
      </x:c>
      <x:c r="T648" s="22" t="str">
        <x:f>"EGQ0E65"</x:f>
        <x:v>EGQ0E65</x:v>
      </x:c>
      <x:c r="U648" s="23" t="str">
        <x:v>CLEITON MARTINS DOS SANTOS</x:v>
      </x:c>
      <x:c r="V648" s="22" t="str">
        <x:f>"162.163.378-07"</x:f>
        <x:v>162.163.378-07</x:v>
      </x:c>
      <x:c r="W648" s="22" t="str">
        <x:f>"16216337807"</x:f>
        <x:v>16216337807</x:v>
      </x:c>
      <x:c r="X648" s="23" t="str">
        <x:v>Cleitimsantos75@gmail.com</x:v>
      </x:c>
      <x:c r="Y648" s="22" t="str">
        <x:f>"17 99129-2666"</x:f>
        <x:v>17 99129-2666</x:v>
      </x:c>
      <x:c r="Z648" s="30" t="n">
        <x:v>46274</x:v>
      </x:c>
    </x:row>
    <x:row r="649" ht="18" customHeight="1">
      <x:c r="A649" s="22" t="str">
        <x:f>"7a303db9-51b7-4f91-b58b-e8a243f9e572"</x:f>
        <x:v>7a303db9-51b7-4f91-b58b-e8a243f9e572</x:v>
      </x:c>
      <x:c r="B649" s="23" t="str">
        <x:v>CLEITON OLIVEIRA DOS SANTOS</x:v>
      </x:c>
      <x:c r="C649" s="23" t="str">
        <x:v>cleiton oliveira dos santos</x:v>
      </x:c>
      <x:c r="D649" s="22" t="str">
        <x:f>"50.697.764/0001-56"</x:f>
        <x:v>50.697.764/0001-56</x:v>
      </x:c>
      <x:c r="E649" s="22" t="str">
        <x:f>"50697764000156"</x:f>
        <x:v>50697764000156</x:v>
      </x:c>
      <x:c r="F649" s="22" t="str">
        <x:f>"132.506.316-98"</x:f>
        <x:v>132.506.316-98</x:v>
      </x:c>
      <x:c r="G649" s="22" t="str">
        <x:f>"13250631698"</x:f>
        <x:v>13250631698</x:v>
      </x:c>
      <x:c r="H649" s="23" t="str">
        <x:v>cleitobdi@gmail.com</x:v>
      </x:c>
      <x:c r="I649" s="22" t="str">
        <x:f>"31993322781"</x:f>
        <x:v>31993322781</x:v>
      </x:c>
      <x:c r="J649" s="23" t="str">
        <x:v>RENTAL</x:v>
      </x:c>
      <x:c r="K649" s="23" t="str">
        <x:v>rental_company</x:v>
      </x:c>
      <x:c r="L649" s="24" t="b">
        <x:v>1</x:v>
      </x:c>
      <x:c r="M649" s="23" t="n">
        <x:v>1</x:v>
      </x:c>
      <x:c r="N649" s="28" t="n">
        <x:v>46203.921904421295</x:v>
      </x:c>
      <x:c r="O649" s="28" t="n">
        <x:v>46219.812988715275</x:v>
      </x:c>
      <x:c r="P649" s="23" t="str">
        <x:v>NOVA LIMA</x:v>
      </x:c>
      <x:c r="Q649" s="30" t="n">
        <x:v>35956</x:v>
      </x:c>
      <x:c r="R649" s="22" t="str">
        <x:f>"MG16290297"</x:f>
        <x:v>MG16290297</x:v>
      </x:c>
      <x:c r="S649" s="23" t="str">
        <x:v>masculino</x:v>
      </x:c>
      <x:c r="T649" s="22" t="str"/>
      <x:c r="U649" s="23" t="str">
        <x:v>CLEITON OLIVEIRA DOS SANTOS</x:v>
      </x:c>
      <x:c r="V649" s="22" t="str">
        <x:f>"132.506.316-98"</x:f>
        <x:v>132.506.316-98</x:v>
      </x:c>
      <x:c r="W649" s="22" t="str">
        <x:f>"13250631698"</x:f>
        <x:v>13250631698</x:v>
      </x:c>
      <x:c r="X649" s="23" t="str">
        <x:v>cleitobdi@gmail.com</x:v>
      </x:c>
      <x:c r="Y649" s="22" t="str">
        <x:f>"31993322781"</x:f>
        <x:v>31993322781</x:v>
      </x:c>
      <x:c r="Z649" s="30" t="n">
        <x:v>46374</x:v>
      </x:c>
    </x:row>
    <x:row r="650" ht="18" customHeight="1">
      <x:c r="A650" s="22" t="str">
        <x:f>"54a7d615-9fec-4e79-a7a6-df877ae26916"</x:f>
        <x:v>54a7d615-9fec-4e79-a7a6-df877ae26916</x:v>
      </x:c>
      <x:c r="B650" s="23" t="str">
        <x:v>CLEITON RIBEIRO VITORIA JUNIOR</x:v>
      </x:c>
      <x:c r="C650" s="23" t="str">
        <x:v>cleiton ribeiro vitoria junior</x:v>
      </x:c>
      <x:c r="D650" s="22" t="str">
        <x:f>"58.304.305/0001-77"</x:f>
        <x:v>58.304.305/0001-77</x:v>
      </x:c>
      <x:c r="E650" s="22" t="str">
        <x:f>"58304305000177"</x:f>
        <x:v>58304305000177</x:v>
      </x:c>
      <x:c r="F650" s="22" t="str">
        <x:f>"060.830.171-06"</x:f>
        <x:v>060.830.171-06</x:v>
      </x:c>
      <x:c r="G650" s="22" t="str">
        <x:f>"06083017106"</x:f>
        <x:v>06083017106</x:v>
      </x:c>
      <x:c r="H650" s="23" t="str">
        <x:v>ribeirocleiton602@gmail.com</x:v>
      </x:c>
      <x:c r="I650" s="22" t="str">
        <x:f>"65 99285-0994"</x:f>
        <x:v>65 99285-0994</x:v>
      </x:c>
      <x:c r="J650" s="23" t="str">
        <x:v>RENTAL</x:v>
      </x:c>
      <x:c r="K650" s="23" t="str">
        <x:v>rental_company</x:v>
      </x:c>
      <x:c r="L650" s="24" t="b">
        <x:v>1</x:v>
      </x:c>
      <x:c r="M650" s="23" t="n">
        <x:v>1</x:v>
      </x:c>
      <x:c r="N650" s="28" t="n">
        <x:v>46203.92191240741</x:v>
      </x:c>
      <x:c r="O650" s="28" t="n">
        <x:v>46219.812988715275</x:v>
      </x:c>
      <x:c r="P650" s="23" t="str">
        <x:v>CUIABA</x:v>
      </x:c>
      <x:c r="Q650" s="30" t="n">
        <x:v>36835</x:v>
      </x:c>
      <x:c r="R650" s="22" t="str">
        <x:f>"2468986-6"</x:f>
        <x:v>2468986-6</x:v>
      </x:c>
      <x:c r="S650" s="23" t="str">
        <x:v>masculino</x:v>
      </x:c>
      <x:c r="T650" s="22" t="str"/>
      <x:c r="U650" s="23" t="str">
        <x:v>CLEITON RIBEIRO VITORIA JUNIOR</x:v>
      </x:c>
      <x:c r="V650" s="22" t="str">
        <x:f>"060.830.171-06"</x:f>
        <x:v>060.830.171-06</x:v>
      </x:c>
      <x:c r="W650" s="22" t="str">
        <x:f>"06083017106"</x:f>
        <x:v>06083017106</x:v>
      </x:c>
      <x:c r="X650" s="23" t="str">
        <x:v>ribeirocleiton602@gmail.com</x:v>
      </x:c>
      <x:c r="Y650" s="22" t="str">
        <x:f>"65 99285-0994"</x:f>
        <x:v>65 99285-0994</x:v>
      </x:c>
      <x:c r="Z650" s="30" t="n">
        <x:v>46402</x:v>
      </x:c>
    </x:row>
    <x:row r="651" ht="18" customHeight="1">
      <x:c r="A651" s="22" t="str">
        <x:f>"443134d2-4ec1-403f-a62f-4c808fa3c6d1"</x:f>
        <x:v>443134d2-4ec1-403f-a62f-4c808fa3c6d1</x:v>
      </x:c>
      <x:c r="B651" s="23" t="str">
        <x:v>CLEMER GOMES ANTUNES</x:v>
      </x:c>
      <x:c r="C651" s="23" t="str">
        <x:v>clemer gomes antunes</x:v>
      </x:c>
      <x:c r="D651" s="22" t="str">
        <x:f>"35.624.269/0001-23"</x:f>
        <x:v>35.624.269/0001-23</x:v>
      </x:c>
      <x:c r="E651" s="22" t="str">
        <x:f>"35624269000123"</x:f>
        <x:v>35624269000123</x:v>
      </x:c>
      <x:c r="F651" s="22" t="str">
        <x:f>"144.690.006-12"</x:f>
        <x:v>144.690.006-12</x:v>
      </x:c>
      <x:c r="G651" s="22" t="str">
        <x:f>"14469000612"</x:f>
        <x:v>14469000612</x:v>
      </x:c>
      <x:c r="H651" s="23" t="str">
        <x:v>Cllemerquartin@gmail.com</x:v>
      </x:c>
      <x:c r="I651" s="22" t="str">
        <x:f>"34 99730-8022"</x:f>
        <x:v>34 99730-8022</x:v>
      </x:c>
      <x:c r="J651" s="23" t="str">
        <x:v>RENTAL</x:v>
      </x:c>
      <x:c r="K651" s="23" t="str">
        <x:v>rental_company</x:v>
      </x:c>
      <x:c r="L651" s="24" t="b">
        <x:v>1</x:v>
      </x:c>
      <x:c r="M651" s="23" t="n">
        <x:v>1</x:v>
      </x:c>
      <x:c r="N651" s="28" t="n">
        <x:v>46219.812988715275</x:v>
      </x:c>
      <x:c r="O651" s="28" t="n">
        <x:v>46219.812988715275</x:v>
      </x:c>
      <x:c r="P651" s="23" t="str">
        <x:v>UBERLANDIA</x:v>
      </x:c>
      <x:c r="Q651" s="30" t="n">
        <x:v>36361</x:v>
      </x:c>
      <x:c r="R651" s="22" t="str">
        <x:f>"MG20887467 PC MG"</x:f>
        <x:v>MG20887467 PC MG</x:v>
      </x:c>
      <x:c r="S651" s="23" t="str">
        <x:v>masculino</x:v>
      </x:c>
      <x:c r="T651" s="22" t="str"/>
      <x:c r="U651" s="23" t="str">
        <x:v>CLEMER GOMES ANTUNES</x:v>
      </x:c>
      <x:c r="V651" s="22" t="str">
        <x:f>"144.690.006-12"</x:f>
        <x:v>144.690.006-12</x:v>
      </x:c>
      <x:c r="W651" s="22" t="str">
        <x:f>"14469000612"</x:f>
        <x:v>14469000612</x:v>
      </x:c>
      <x:c r="X651" s="23" t="str">
        <x:v>Cllemerquartin@gmail.com</x:v>
      </x:c>
      <x:c r="Y651" s="22" t="str">
        <x:f>"34 99730-8022"</x:f>
        <x:v>34 99730-8022</x:v>
      </x:c>
      <x:c r="Z651" s="30" t="n">
        <x:v>46525</x:v>
      </x:c>
    </x:row>
    <x:row r="652" ht="18" customHeight="1">
      <x:c r="A652" s="22" t="str">
        <x:f>"5a3431f0-c3e9-444d-8447-b8b36dcccc76"</x:f>
        <x:v>5a3431f0-c3e9-444d-8447-b8b36dcccc76</x:v>
      </x:c>
      <x:c r="B652" s="23" t="str">
        <x:v>CLEOMAR FARIAS SILVA</x:v>
      </x:c>
      <x:c r="C652" s="23" t="str">
        <x:v>cleomar farias silva</x:v>
      </x:c>
      <x:c r="D652" s="22" t="str">
        <x:f>"63.338.715/0001-79"</x:f>
        <x:v>63.338.715/0001-79</x:v>
      </x:c>
      <x:c r="E652" s="22" t="str">
        <x:f>"63338715000179"</x:f>
        <x:v>63338715000179</x:v>
      </x:c>
      <x:c r="F652" s="22" t="str">
        <x:f>"460.744.906-78"</x:f>
        <x:v>460.744.906-78</x:v>
      </x:c>
      <x:c r="G652" s="22" t="str">
        <x:f>"46074490678"</x:f>
        <x:v>46074490678</x:v>
      </x:c>
      <x:c r="H652" s="23" t="str">
        <x:v>uberfloresta@gmail.com</x:v>
      </x:c>
      <x:c r="I652" s="22" t="str">
        <x:f>"83999815310"</x:f>
        <x:v>83999815310</x:v>
      </x:c>
      <x:c r="J652" s="23" t="str">
        <x:v>RENTAL</x:v>
      </x:c>
      <x:c r="K652" s="23" t="str">
        <x:v>rental_company</x:v>
      </x:c>
      <x:c r="L652" s="24" t="b">
        <x:v>1</x:v>
      </x:c>
      <x:c r="M652" s="23" t="n">
        <x:v>1</x:v>
      </x:c>
      <x:c r="N652" s="28" t="n">
        <x:v>46219.812988715275</x:v>
      </x:c>
      <x:c r="O652" s="28" t="n">
        <x:v>46219.812988715275</x:v>
      </x:c>
      <x:c r="P652" s="23" t="str">
        <x:v>UBERLANDIA</x:v>
      </x:c>
      <x:c r="Q652" s="30" t="n">
        <x:v>23158</x:v>
      </x:c>
      <x:c r="R652" s="22" t="str">
        <x:f>"2794308"</x:f>
        <x:v>2794308</x:v>
      </x:c>
      <x:c r="S652" s="23" t="str">
        <x:v>masculino</x:v>
      </x:c>
      <x:c r="T652" s="22" t="str"/>
      <x:c r="U652" s="23" t="str">
        <x:v>CLEOMAR FARIAS SILVA</x:v>
      </x:c>
      <x:c r="V652" s="22" t="str">
        <x:f>"460.744.906-78"</x:f>
        <x:v>460.744.906-78</x:v>
      </x:c>
      <x:c r="W652" s="22" t="str">
        <x:f>"46074490678"</x:f>
        <x:v>46074490678</x:v>
      </x:c>
      <x:c r="X652" s="23" t="str">
        <x:v>uberfloresta@gmail.com</x:v>
      </x:c>
      <x:c r="Y652" s="22" t="str">
        <x:f>"83999815310"</x:f>
        <x:v>83999815310</x:v>
      </x:c>
      <x:c r="Z652" s="30" t="n">
        <x:v>46409</x:v>
      </x:c>
    </x:row>
    <x:row r="653" ht="18" customHeight="1">
      <x:c r="A653" s="22" t="str">
        <x:f>"31c572f0-5833-43a5-b6e1-e533d7c0bf0a"</x:f>
        <x:v>31c572f0-5833-43a5-b6e1-e533d7c0bf0a</x:v>
      </x:c>
      <x:c r="B653" s="23" t="str">
        <x:v>CLESIO ALVES DE SOUZA</x:v>
      </x:c>
      <x:c r="C653" s="23" t="str">
        <x:v>clesio alves de souza</x:v>
      </x:c>
      <x:c r="D653" s="22" t="str">
        <x:f>"35306798000189"</x:f>
        <x:v>35306798000189</x:v>
      </x:c>
      <x:c r="E653" s="22" t="str">
        <x:f>"35306798000189"</x:f>
        <x:v>35306798000189</x:v>
      </x:c>
      <x:c r="F653" s="22" t="str">
        <x:f>"02039836101"</x:f>
        <x:v>02039836101</x:v>
      </x:c>
      <x:c r="G653" s="22" t="str">
        <x:f>"02039836101"</x:f>
        <x:v>02039836101</x:v>
      </x:c>
      <x:c r="H653" s="23" t="str">
        <x:v>clesioalves601@gmail.com</x:v>
      </x:c>
      <x:c r="I653" s="22" t="str">
        <x:f>"62985458244"</x:f>
        <x:v>62985458244</x:v>
      </x:c>
      <x:c r="J653" s="23" t="str">
        <x:v>SPOT</x:v>
      </x:c>
      <x:c r="K653" s="23" t="str">
        <x:v>favored_only</x:v>
      </x:c>
      <x:c r="L653" s="24" t="b">
        <x:v>1</x:v>
      </x:c>
      <x:c r="M653" s="23" t="n">
        <x:v>1</x:v>
      </x:c>
      <x:c r="N653" s="28" t="n">
        <x:v>46203.92183332176</x:v>
      </x:c>
      <x:c r="O653" s="28" t="n">
        <x:v>46203.92183332176</x:v>
      </x:c>
      <x:c r="P653" s="23" t="str"/>
      <x:c r="Q653" s="30" t="str"/>
      <x:c r="R653" s="22" t="str"/>
      <x:c r="S653" s="23" t="str"/>
      <x:c r="T653" s="22" t="str"/>
      <x:c r="U653" s="23" t="str">
        <x:v>CLESIO ALVES DE SOUZA</x:v>
      </x:c>
      <x:c r="V653" s="22" t="str">
        <x:f>"02039836101"</x:f>
        <x:v>02039836101</x:v>
      </x:c>
      <x:c r="W653" s="22" t="str">
        <x:f>"02039836101"</x:f>
        <x:v>02039836101</x:v>
      </x:c>
      <x:c r="X653" s="23" t="str">
        <x:v>clesioalves601@gmail.com</x:v>
      </x:c>
      <x:c r="Y653" s="22" t="str">
        <x:f>"62985458244"</x:f>
        <x:v>62985458244</x:v>
      </x:c>
      <x:c r="Z653" s="30" t="str"/>
    </x:row>
    <x:row r="654" ht="18" customHeight="1">
      <x:c r="A654" s="22" t="str">
        <x:f>"dab73d0a-d30f-4a8e-8fd3-be79e86d7bab"</x:f>
        <x:v>dab73d0a-d30f-4a8e-8fd3-be79e86d7bab</x:v>
      </x:c>
      <x:c r="B654" s="23" t="str">
        <x:v>CLEVERSON NONATO SILVA</x:v>
      </x:c>
      <x:c r="C654" s="23" t="str">
        <x:v>cleverson nonato silva</x:v>
      </x:c>
      <x:c r="D654" s="22" t="str">
        <x:f>"63.687.658/0001-33"</x:f>
        <x:v>63.687.658/0001-33</x:v>
      </x:c>
      <x:c r="E654" s="22" t="str">
        <x:f>"63687658000133"</x:f>
        <x:v>63687658000133</x:v>
      </x:c>
      <x:c r="F654" s="22" t="str">
        <x:f>"056.318.786-74"</x:f>
        <x:v>056.318.786-74</x:v>
      </x:c>
      <x:c r="G654" s="22" t="str">
        <x:f>"05631878674"</x:f>
        <x:v>05631878674</x:v>
      </x:c>
      <x:c r="H654" s="23" t="str">
        <x:v>cleversons1@hotmail.com</x:v>
      </x:c>
      <x:c r="I654" s="22" t="str">
        <x:f>"3192904102"</x:f>
        <x:v>3192904102</x:v>
      </x:c>
      <x:c r="J654" s="23" t="str">
        <x:v>SPOT</x:v>
      </x:c>
      <x:c r="K654" s="23" t="str">
        <x:v>favored_only</x:v>
      </x:c>
      <x:c r="L654" s="24" t="b">
        <x:v>1</x:v>
      </x:c>
      <x:c r="M654" s="23" t="n">
        <x:v>1</x:v>
      </x:c>
      <x:c r="N654" s="28" t="n">
        <x:v>46203.921904421295</x:v>
      </x:c>
      <x:c r="O654" s="28" t="n">
        <x:v>46219.812988715275</x:v>
      </x:c>
      <x:c r="P654" s="23" t="str">
        <x:v>CONTAGEM</x:v>
      </x:c>
      <x:c r="Q654" s="30" t="n">
        <x:v>29855</x:v>
      </x:c>
      <x:c r="R654" s="22" t="str">
        <x:f>"MG11120562"</x:f>
        <x:v>MG11120562</x:v>
      </x:c>
      <x:c r="S654" s="23" t="str">
        <x:v>masculino</x:v>
      </x:c>
      <x:c r="T654" s="22" t="str">
        <x:f>"RMG8H78"</x:f>
        <x:v>RMG8H78</x:v>
      </x:c>
      <x:c r="U654" s="23" t="str">
        <x:v>CLEVERSON NONATO SILVA</x:v>
      </x:c>
      <x:c r="V654" s="22" t="str">
        <x:f>"000.563.187-86"</x:f>
        <x:v>000.563.187-86</x:v>
      </x:c>
      <x:c r="W654" s="22" t="str">
        <x:f>"00056318786"</x:f>
        <x:v>00056318786</x:v>
      </x:c>
      <x:c r="X654" s="23" t="str">
        <x:v>cleversons1@hotmail.com</x:v>
      </x:c>
      <x:c r="Y654" s="22" t="str">
        <x:f>"3192904102"</x:f>
        <x:v>3192904102</x:v>
      </x:c>
      <x:c r="Z654" s="30" t="n">
        <x:v>46361</x:v>
      </x:c>
    </x:row>
    <x:row r="655" ht="18" customHeight="1">
      <x:c r="A655" s="22" t="str">
        <x:f>"df21546d-648e-410b-926b-ee064881dea2"</x:f>
        <x:v>df21546d-648e-410b-926b-ee064881dea2</x:v>
      </x:c>
      <x:c r="B655" s="23" t="str">
        <x:v>CLEVERSON TEIXEIRA DE OLIVEIRA</x:v>
      </x:c>
      <x:c r="C655" s="23" t="str">
        <x:v>cleverson teixeira de oliveira</x:v>
      </x:c>
      <x:c r="D655" s="22" t="str">
        <x:f>"491272550001090"</x:f>
        <x:v>491272550001090</x:v>
      </x:c>
      <x:c r="E655" s="22" t="str">
        <x:f>"491272550001090"</x:f>
        <x:v>491272550001090</x:v>
      </x:c>
      <x:c r="F655" s="22" t="str">
        <x:f>"058.391.877-80"</x:f>
        <x:v>058.391.877-80</x:v>
      </x:c>
      <x:c r="G655" s="22" t="str">
        <x:f>"05839187780"</x:f>
        <x:v>05839187780</x:v>
      </x:c>
      <x:c r="H655" s="23" t="str">
        <x:v>clevinho.underberg@gmail.com</x:v>
      </x:c>
      <x:c r="I655" s="22" t="str">
        <x:f>"21 998057432"</x:f>
        <x:v>21 998057432</x:v>
      </x:c>
      <x:c r="J655" s="23" t="str">
        <x:v>SPOT</x:v>
      </x:c>
      <x:c r="K655" s="23" t="str">
        <x:v>favored_only</x:v>
      </x:c>
      <x:c r="L655" s="24" t="b">
        <x:v>1</x:v>
      </x:c>
      <x:c r="M655" s="23" t="n">
        <x:v>1</x:v>
      </x:c>
      <x:c r="N655" s="28" t="n">
        <x:v>46219.812988715275</x:v>
      </x:c>
      <x:c r="O655" s="28" t="n">
        <x:v>46219.812988715275</x:v>
      </x:c>
      <x:c r="P655" s="23" t="str">
        <x:v>CAMPO GRANDE</x:v>
      </x:c>
      <x:c r="Q655" s="30" t="n">
        <x:v>32368</x:v>
      </x:c>
      <x:c r="R655" s="22" t="str">
        <x:f>"212739098"</x:f>
        <x:v>212739098</x:v>
      </x:c>
      <x:c r="S655" s="23" t="str">
        <x:v>masculino</x:v>
      </x:c>
      <x:c r="T655" s="22" t="str">
        <x:f>"ELW4E79"</x:f>
        <x:v>ELW4E79</x:v>
      </x:c>
      <x:c r="U655" s="23" t="str">
        <x:v>CLEVERSON TEIXEIRA DE OLIVEIRA</x:v>
      </x:c>
      <x:c r="V655" s="22" t="str">
        <x:f>"058.391.877-80"</x:f>
        <x:v>058.391.877-80</x:v>
      </x:c>
      <x:c r="W655" s="22" t="str">
        <x:f>"05839187780"</x:f>
        <x:v>05839187780</x:v>
      </x:c>
      <x:c r="X655" s="23" t="str">
        <x:v>clevinho.underberg@gmail.com</x:v>
      </x:c>
      <x:c r="Y655" s="22" t="str">
        <x:f>"21 998057432"</x:f>
        <x:v>21 998057432</x:v>
      </x:c>
      <x:c r="Z655" s="30" t="n">
        <x:v>46441</x:v>
      </x:c>
    </x:row>
    <x:row r="656" ht="18" customHeight="1">
      <x:c r="A656" s="22" t="str">
        <x:f>"f90cc9b8-ac98-4601-8b87-1f37ef0eacc0"</x:f>
        <x:v>f90cc9b8-ac98-4601-8b87-1f37ef0eacc0</x:v>
      </x:c>
      <x:c r="B656" s="23" t="str">
        <x:v>CLEYSON ELOY RIBEIRO</x:v>
      </x:c>
      <x:c r="C656" s="23" t="str">
        <x:v>cleyson eloy ribeiro</x:v>
      </x:c>
      <x:c r="D656" s="22" t="str">
        <x:f>"57.676.387/0001-18"</x:f>
        <x:v>57.676.387/0001-18</x:v>
      </x:c>
      <x:c r="E656" s="22" t="str">
        <x:f>"57676387000118"</x:f>
        <x:v>57676387000118</x:v>
      </x:c>
      <x:c r="F656" s="22" t="str">
        <x:f>"091.352.476-06"</x:f>
        <x:v>091.352.476-06</x:v>
      </x:c>
      <x:c r="G656" s="22" t="str">
        <x:f>"09135247606"</x:f>
        <x:v>09135247606</x:v>
      </x:c>
      <x:c r="H656" s="23" t="str">
        <x:v>cleysoneloy@gmail.com</x:v>
      </x:c>
      <x:c r="I656" s="22" t="str">
        <x:f>"+55 31 8490-9912"</x:f>
        <x:v>+55 31 8490-9912</x:v>
      </x:c>
      <x:c r="J656" s="23" t="str">
        <x:v>SPOT</x:v>
      </x:c>
      <x:c r="K656" s="23" t="str">
        <x:v>favored_only</x:v>
      </x:c>
      <x:c r="L656" s="24" t="b">
        <x:v>1</x:v>
      </x:c>
      <x:c r="M656" s="23" t="n">
        <x:v>3</x:v>
      </x:c>
      <x:c r="N656" s="28" t="n">
        <x:v>46203.921852962965</x:v>
      </x:c>
      <x:c r="O656" s="28" t="n">
        <x:v>46219.812988715275</x:v>
      </x:c>
      <x:c r="P656" s="23" t="str">
        <x:v>CONCEIÇÃO DO MATO DENTRO</x:v>
      </x:c>
      <x:c r="Q656" s="30" t="n">
        <x:v>31882</x:v>
      </x:c>
      <x:c r="R656" s="22" t="str">
        <x:f>"16022037"</x:f>
        <x:v>16022037</x:v>
      </x:c>
      <x:c r="S656" s="23" t="str">
        <x:v>masculino</x:v>
      </x:c>
      <x:c r="T656" s="22" t="str">
        <x:f>"PVQ0I43"</x:f>
        <x:v>PVQ0I43</x:v>
      </x:c>
      <x:c r="U656" s="23" t="str">
        <x:v>CLEYSON ELOY RIBEIRO</x:v>
      </x:c>
      <x:c r="V656" s="22" t="str">
        <x:f>"091.352.476-06"</x:f>
        <x:v>091.352.476-06</x:v>
      </x:c>
      <x:c r="W656" s="22" t="str">
        <x:f>"09135247606"</x:f>
        <x:v>09135247606</x:v>
      </x:c>
      <x:c r="X656" s="23" t="str">
        <x:v>cleysoneloy@gmail.com</x:v>
      </x:c>
      <x:c r="Y656" s="22" t="str">
        <x:f>"+55 31 8490-9912"</x:f>
        <x:v>+55 31 8490-9912</x:v>
      </x:c>
      <x:c r="Z656" s="30" t="n">
        <x:v>46563</x:v>
      </x:c>
    </x:row>
    <x:row r="657" ht="18" customHeight="1">
      <x:c r="A657" s="22" t="str">
        <x:f>"4e635581-3a34-45ec-92c2-3e4d90827b9c"</x:f>
        <x:v>4e635581-3a34-45ec-92c2-3e4d90827b9c</x:v>
      </x:c>
      <x:c r="B657" s="23" t="str">
        <x:v>CLEYTON BORGES CARDOSO JUNIOR</x:v>
      </x:c>
      <x:c r="C657" s="23" t="str">
        <x:v>cleyton borges cardoso junior</x:v>
      </x:c>
      <x:c r="D657" s="22" t="str">
        <x:f>"45.523.919/0001-06"</x:f>
        <x:v>45.523.919/0001-06</x:v>
      </x:c>
      <x:c r="E657" s="22" t="str">
        <x:f>"45523919000106"</x:f>
        <x:v>45523919000106</x:v>
      </x:c>
      <x:c r="F657" s="22" t="str">
        <x:f>"064.035.101.85"</x:f>
        <x:v>064.035.101.85</x:v>
      </x:c>
      <x:c r="G657" s="22" t="str">
        <x:f>"06403510185"</x:f>
        <x:v>06403510185</x:v>
      </x:c>
      <x:c r="H657" s="23" t="str">
        <x:v>cleytonjunior.com@hotmail.com</x:v>
      </x:c>
      <x:c r="I657" s="22" t="str">
        <x:f>"62 9 8574-9961"</x:f>
        <x:v>62 9 8574-9961</x:v>
      </x:c>
      <x:c r="J657" s="23" t="str">
        <x:v>SPOT</x:v>
      </x:c>
      <x:c r="K657" s="23" t="str">
        <x:v>favored_only</x:v>
      </x:c>
      <x:c r="L657" s="24" t="b">
        <x:v>1</x:v>
      </x:c>
      <x:c r="M657" s="23" t="n">
        <x:v>3</x:v>
      </x:c>
      <x:c r="N657" s="28" t="n">
        <x:v>46203.92183017361</x:v>
      </x:c>
      <x:c r="O657" s="28" t="n">
        <x:v>46203.92183017361</x:v>
      </x:c>
      <x:c r="P657" s="23" t="str"/>
      <x:c r="Q657" s="30" t="str"/>
      <x:c r="R657" s="22" t="str"/>
      <x:c r="S657" s="23" t="str"/>
      <x:c r="T657" s="22" t="str"/>
      <x:c r="U657" s="23" t="str">
        <x:v>CLEYTON BORGES CARDOSO JUNIOR</x:v>
      </x:c>
      <x:c r="V657" s="22" t="str">
        <x:f>"06403510185"</x:f>
        <x:v>06403510185</x:v>
      </x:c>
      <x:c r="W657" s="22" t="str">
        <x:f>"06403510185"</x:f>
        <x:v>06403510185</x:v>
      </x:c>
      <x:c r="X657" s="23" t="str">
        <x:v>cleytonjunior.com@hotmail.com</x:v>
      </x:c>
      <x:c r="Y657" s="22" t="str">
        <x:f>"62 9 85749961"</x:f>
        <x:v>62 9 85749961</x:v>
      </x:c>
      <x:c r="Z657" s="30" t="str"/>
    </x:row>
    <x:row r="658" ht="18" customHeight="1">
      <x:c r="A658" s="22" t="str">
        <x:f>"1142f870-545e-4609-8efc-85b53c39c629"</x:f>
        <x:v>1142f870-545e-4609-8efc-85b53c39c629</x:v>
      </x:c>
      <x:c r="B658" s="23" t="str">
        <x:v>CLEYTON HENRIQUE CUNHA</x:v>
      </x:c>
      <x:c r="C658" s="23" t="str">
        <x:v>cleyton henrique cunha</x:v>
      </x:c>
      <x:c r="D658" s="22" t="str">
        <x:f>"61.519.519/0001-75"</x:f>
        <x:v>61.519.519/0001-75</x:v>
      </x:c>
      <x:c r="E658" s="22" t="str">
        <x:f>"61519519000175"</x:f>
        <x:v>61519519000175</x:v>
      </x:c>
      <x:c r="F658" s="22" t="str">
        <x:f>"028.668.026-24"</x:f>
        <x:v>028.668.026-24</x:v>
      </x:c>
      <x:c r="G658" s="22" t="str">
        <x:f>"02866802624"</x:f>
        <x:v>02866802624</x:v>
      </x:c>
      <x:c r="H658" s="23" t="str">
        <x:v>MEDINACONT@YAHOO.COM.BR</x:v>
      </x:c>
      <x:c r="I658" s="22" t="str">
        <x:f>"3198788‑0534"</x:f>
        <x:v>3198788‑0534</x:v>
      </x:c>
      <x:c r="J658" s="23" t="str">
        <x:v>SPOT</x:v>
      </x:c>
      <x:c r="K658" s="23" t="str">
        <x:v>favored_only</x:v>
      </x:c>
      <x:c r="L658" s="24" t="b">
        <x:v>1</x:v>
      </x:c>
      <x:c r="M658" s="23" t="n">
        <x:v>1</x:v>
      </x:c>
      <x:c r="N658" s="28" t="n">
        <x:v>46219.812988715275</x:v>
      </x:c>
      <x:c r="O658" s="28" t="n">
        <x:v>46219.812988715275</x:v>
      </x:c>
      <x:c r="P658" s="23" t="str">
        <x:v>GUANHAES</x:v>
      </x:c>
      <x:c r="Q658" s="30" t="n">
        <x:v>27624</x:v>
      </x:c>
      <x:c r="R658" s="22" t="str">
        <x:f>"7691413"</x:f>
        <x:v>7691413</x:v>
      </x:c>
      <x:c r="S658" s="23" t="str">
        <x:v>masculino</x:v>
      </x:c>
      <x:c r="T658" s="22" t="str">
        <x:f>"FJT8I45"</x:f>
        <x:v>FJT8I45</x:v>
      </x:c>
      <x:c r="U658" s="23" t="str">
        <x:v>CONTEL LTDA</x:v>
      </x:c>
      <x:c r="V658" s="22" t="str">
        <x:f>"069.066.716-13"</x:f>
        <x:v>069.066.716-13</x:v>
      </x:c>
      <x:c r="W658" s="22" t="str">
        <x:f>"06906671613"</x:f>
        <x:v>06906671613</x:v>
      </x:c>
      <x:c r="X658" s="23" t="str">
        <x:v>MEDINACONT@YAHOO.COM.BR</x:v>
      </x:c>
      <x:c r="Y658" s="22" t="str">
        <x:f>"(31) 3476-6552"</x:f>
        <x:v>(31) 3476-6552</x:v>
      </x:c>
      <x:c r="Z658" s="30" t="n">
        <x:v>46571</x:v>
      </x:c>
    </x:row>
    <x:row r="659" ht="18" customHeight="1">
      <x:c r="A659" s="22" t="str">
        <x:f>"7c071f11-e6b8-418c-b2ef-2d9291860d96"</x:f>
        <x:v>7c071f11-e6b8-418c-b2ef-2d9291860d96</x:v>
      </x:c>
      <x:c r="B659" s="23" t="str">
        <x:v>CLEYTON LUCIANO FURLAN</x:v>
      </x:c>
      <x:c r="C659" s="23" t="str">
        <x:v>cleyton luciano furlan</x:v>
      </x:c>
      <x:c r="D659" s="22" t="str">
        <x:f>"25.136.738/0001-01"</x:f>
        <x:v>25.136.738/0001-01</x:v>
      </x:c>
      <x:c r="E659" s="22" t="str">
        <x:f>"25136738000101"</x:f>
        <x:v>25136738000101</x:v>
      </x:c>
      <x:c r="F659" s="22" t="str">
        <x:f>"328.889.468-82"</x:f>
        <x:v>328.889.468-82</x:v>
      </x:c>
      <x:c r="G659" s="22" t="str">
        <x:f>"32888946882"</x:f>
        <x:v>32888946882</x:v>
      </x:c>
      <x:c r="H659" s="23" t="str">
        <x:v>cleytonlucianofurlan@gmail.com</x:v>
      </x:c>
      <x:c r="I659" s="22" t="str">
        <x:f>"(11)933823558"</x:f>
        <x:v>(11)933823558</x:v>
      </x:c>
      <x:c r="J659" s="23" t="str">
        <x:v>RENTAL</x:v>
      </x:c>
      <x:c r="K659" s="23" t="str">
        <x:v>rental_company</x:v>
      </x:c>
      <x:c r="L659" s="24" t="b">
        <x:v>1</x:v>
      </x:c>
      <x:c r="M659" s="23" t="n">
        <x:v>1</x:v>
      </x:c>
      <x:c r="N659" s="28" t="n">
        <x:v>46203.92189965278</x:v>
      </x:c>
      <x:c r="O659" s="28" t="n">
        <x:v>46219.812988715275</x:v>
      </x:c>
      <x:c r="P659" s="23" t="str">
        <x:v>PRESIDENTE PRUDENTE</x:v>
      </x:c>
      <x:c r="Q659" s="30" t="n">
        <x:v>30933</x:v>
      </x:c>
      <x:c r="R659" s="22" t="str">
        <x:f>"33303914"</x:f>
        <x:v>33303914</x:v>
      </x:c>
      <x:c r="S659" s="23" t="str">
        <x:v>masculino</x:v>
      </x:c>
      <x:c r="T659" s="22" t="str"/>
      <x:c r="U659" s="23" t="str">
        <x:v>CLEYTON LUCIANO FURLAN</x:v>
      </x:c>
      <x:c r="V659" s="22" t="str">
        <x:f>"328.889.468-82"</x:f>
        <x:v>328.889.468-82</x:v>
      </x:c>
      <x:c r="W659" s="22" t="str">
        <x:f>"32888946882"</x:f>
        <x:v>32888946882</x:v>
      </x:c>
      <x:c r="X659" s="23" t="str">
        <x:v>cleytonlucianofurlan@gmail.com</x:v>
      </x:c>
      <x:c r="Y659" s="22" t="str">
        <x:f>"(11)933823558"</x:f>
        <x:v>(11)933823558</x:v>
      </x:c>
      <x:c r="Z659" s="30" t="n">
        <x:v>46353</x:v>
      </x:c>
    </x:row>
    <x:row r="660" ht="18" customHeight="1">
      <x:c r="A660" s="22" t="str">
        <x:f>"ba3923f5-c0ce-4448-87c8-9032a5246223"</x:f>
        <x:v>ba3923f5-c0ce-4448-87c8-9032a5246223</x:v>
      </x:c>
      <x:c r="B660" s="23" t="str">
        <x:v>CLEYTON SILVA NOGUEIRA</x:v>
      </x:c>
      <x:c r="C660" s="23" t="str">
        <x:v>cleyton silva nogueira</x:v>
      </x:c>
      <x:c r="D660" s="22" t="str">
        <x:f>"63.668.260/0001-50"</x:f>
        <x:v>63.668.260/0001-50</x:v>
      </x:c>
      <x:c r="E660" s="22" t="str">
        <x:f>"63668260000150"</x:f>
        <x:v>63668260000150</x:v>
      </x:c>
      <x:c r="F660" s="22" t="str">
        <x:f>"640.805.361-00"</x:f>
        <x:v>640.805.361-00</x:v>
      </x:c>
      <x:c r="G660" s="22" t="str">
        <x:f>"64080536100"</x:f>
        <x:v>64080536100</x:v>
      </x:c>
      <x:c r="H660" s="23" t="str">
        <x:v>Cleytonsilvanogueira95@gmail.com</x:v>
      </x:c>
      <x:c r="I660" s="22" t="str">
        <x:f>"34998841189"</x:f>
        <x:v>34998841189</x:v>
      </x:c>
      <x:c r="J660" s="23" t="str">
        <x:v>SPOT</x:v>
      </x:c>
      <x:c r="K660" s="23" t="str">
        <x:v>favored_only</x:v>
      </x:c>
      <x:c r="L660" s="24" t="b">
        <x:v>1</x:v>
      </x:c>
      <x:c r="M660" s="23" t="n">
        <x:v>1</x:v>
      </x:c>
      <x:c r="N660" s="28" t="n">
        <x:v>46203.92189349537</x:v>
      </x:c>
      <x:c r="O660" s="28" t="n">
        <x:v>46219.812988715275</x:v>
      </x:c>
      <x:c r="P660" s="23" t="str">
        <x:v>UBERLANDIA</x:v>
      </x:c>
      <x:c r="Q660" s="30" t="n">
        <x:v>27139</x:v>
      </x:c>
      <x:c r="R660" s="22" t="str">
        <x:f>"579959697"</x:f>
        <x:v>579959697</x:v>
      </x:c>
      <x:c r="S660" s="23" t="str">
        <x:v>masculino</x:v>
      </x:c>
      <x:c r="T660" s="22" t="str">
        <x:f>"TXS4F67"</x:f>
        <x:v>TXS4F67</x:v>
      </x:c>
      <x:c r="U660" s="23" t="str">
        <x:v>CLEYTON SILVA NOGUEIRA</x:v>
      </x:c>
      <x:c r="V660" s="22" t="str">
        <x:f>"640.805.361-00"</x:f>
        <x:v>640.805.361-00</x:v>
      </x:c>
      <x:c r="W660" s="22" t="str">
        <x:f>"64080536100"</x:f>
        <x:v>64080536100</x:v>
      </x:c>
      <x:c r="X660" s="23" t="str">
        <x:v>Cleytonsilvanogueira95@gmail.com</x:v>
      </x:c>
      <x:c r="Y660" s="22" t="str">
        <x:f>"34998841189"</x:f>
        <x:v>34998841189</x:v>
      </x:c>
      <x:c r="Z660" s="30" t="n">
        <x:v>46340</x:v>
      </x:c>
    </x:row>
    <x:row r="661" ht="18" customHeight="1">
      <x:c r="A661" s="22" t="str">
        <x:f>"cd9b76fc-84ed-482b-a1ca-82bccea2405f"</x:f>
        <x:v>cd9b76fc-84ed-482b-a1ca-82bccea2405f</x:v>
      </x:c>
      <x:c r="B661" s="23" t="str">
        <x:v>CLODOALDO CIRILO</x:v>
      </x:c>
      <x:c r="C661" s="23" t="str">
        <x:v>clodoaldo cirilo</x:v>
      </x:c>
      <x:c r="D661" s="22" t="str">
        <x:f>"61.568.137/0001-31"</x:f>
        <x:v>61.568.137/0001-31</x:v>
      </x:c>
      <x:c r="E661" s="22" t="str">
        <x:f>"61568137000131"</x:f>
        <x:v>61568137000131</x:v>
      </x:c>
      <x:c r="F661" s="22" t="str">
        <x:f>"024.615.729-17"</x:f>
        <x:v>024.615.729-17</x:v>
      </x:c>
      <x:c r="G661" s="22" t="str">
        <x:f>"02461572917"</x:f>
        <x:v>02461572917</x:v>
      </x:c>
      <x:c r="H661" s="23" t="str">
        <x:v>ciriloclodoaldo@gmail.com</x:v>
      </x:c>
      <x:c r="I661" s="22" t="str">
        <x:f>"+55 43 9605-3800"</x:f>
        <x:v>+55 43 9605-3800</x:v>
      </x:c>
      <x:c r="J661" s="23" t="str">
        <x:v>spot</x:v>
      </x:c>
      <x:c r="K661" s="23" t="str">
        <x:v>favored_only</x:v>
      </x:c>
      <x:c r="L661" s="24" t="b">
        <x:v>1</x:v>
      </x:c>
      <x:c r="M661" s="23" t="n">
        <x:v>1</x:v>
      </x:c>
      <x:c r="N661" s="28" t="n">
        <x:v>46219.812988715275</x:v>
      </x:c>
      <x:c r="O661" s="28" t="n">
        <x:v>46219.812988715275</x:v>
      </x:c>
      <x:c r="P661" s="23" t="str">
        <x:v>MARILIA</x:v>
      </x:c>
      <x:c r="Q661" s="30" t="n">
        <x:v>28907</x:v>
      </x:c>
      <x:c r="R661" s="22" t="str">
        <x:f>"68203538"</x:f>
        <x:v>68203538</x:v>
      </x:c>
      <x:c r="S661" s="23" t="str">
        <x:v>masculino</x:v>
      </x:c>
      <x:c r="T661" s="22" t="str">
        <x:f>"AYA4D26"</x:f>
        <x:v>AYA4D26</x:v>
      </x:c>
      <x:c r="U661" s="23" t="str">
        <x:v>61.568.137 ALADINE DOMINIQUE POSS PARREIRA CIRILO</x:v>
      </x:c>
      <x:c r="V661" s="22" t="str">
        <x:f>"065.003.429-50"</x:f>
        <x:v>065.003.429-50</x:v>
      </x:c>
      <x:c r="W661" s="22" t="str">
        <x:f>"06500342950"</x:f>
        <x:v>06500342950</x:v>
      </x:c>
      <x:c r="X661" s="23" t="str">
        <x:v>aladinecmk@hotmail.com</x:v>
      </x:c>
      <x:c r="Y661" s="22" t="str">
        <x:f>"43988553111"</x:f>
        <x:v>43988553111</x:v>
      </x:c>
      <x:c r="Z661" s="30" t="n">
        <x:v>46557</x:v>
      </x:c>
    </x:row>
    <x:row r="662" ht="18" customHeight="1">
      <x:c r="A662" s="22" t="str">
        <x:f>"c9c421ce-943c-458e-9e59-dcf48f7ec992"</x:f>
        <x:v>c9c421ce-943c-458e-9e59-dcf48f7ec992</x:v>
      </x:c>
      <x:c r="B662" s="23" t="str">
        <x:v>CLODOALDO MACHADO THOME</x:v>
      </x:c>
      <x:c r="C662" s="23" t="str">
        <x:v>clodoaldo machado thome</x:v>
      </x:c>
      <x:c r="D662" s="22" t="str">
        <x:f>"59.484.684/0001-97"</x:f>
        <x:v>59.484.684/0001-97</x:v>
      </x:c>
      <x:c r="E662" s="22" t="str">
        <x:f>"59484684000197"</x:f>
        <x:v>59484684000197</x:v>
      </x:c>
      <x:c r="F662" s="22" t="str">
        <x:f>"229.509.998-24"</x:f>
        <x:v>229.509.998-24</x:v>
      </x:c>
      <x:c r="G662" s="22" t="str">
        <x:f>"22950999824"</x:f>
        <x:v>22950999824</x:v>
      </x:c>
      <x:c r="H662" s="23" t="str">
        <x:v>clodoaldo.thome@gmail.com</x:v>
      </x:c>
      <x:c r="I662" s="22" t="str">
        <x:f>"17 99189-4489"</x:f>
        <x:v>17 99189-4489</x:v>
      </x:c>
      <x:c r="J662" s="23" t="str">
        <x:v>SPOT</x:v>
      </x:c>
      <x:c r="K662" s="23" t="str">
        <x:v>favored_only</x:v>
      </x:c>
      <x:c r="L662" s="24" t="b">
        <x:v>1</x:v>
      </x:c>
      <x:c r="M662" s="23" t="n">
        <x:v>1</x:v>
      </x:c>
      <x:c r="N662" s="28" t="n">
        <x:v>46219.812988715275</x:v>
      </x:c>
      <x:c r="O662" s="28" t="n">
        <x:v>46219.812988715275</x:v>
      </x:c>
      <x:c r="P662" s="23" t="str">
        <x:v>BARRETOS</x:v>
      </x:c>
      <x:c r="Q662" s="30" t="n">
        <x:v>31960</x:v>
      </x:c>
      <x:c r="R662" s="22" t="str">
        <x:f>"40494705"</x:f>
        <x:v>40494705</x:v>
      </x:c>
      <x:c r="S662" s="23" t="str">
        <x:v>masculino</x:v>
      </x:c>
      <x:c r="T662" s="22" t="str">
        <x:f>"EVC3D22"</x:f>
        <x:v>EVC3D22</x:v>
      </x:c>
      <x:c r="U662" s="23" t="str">
        <x:v>CLODOALDO MACHADO THOME</x:v>
      </x:c>
      <x:c r="V662" s="22" t="str">
        <x:f>"229.509.998-24"</x:f>
        <x:v>229.509.998-24</x:v>
      </x:c>
      <x:c r="W662" s="22" t="str">
        <x:f>"22950999824"</x:f>
        <x:v>22950999824</x:v>
      </x:c>
      <x:c r="X662" s="23" t="str">
        <x:v>clodoaldo.thome@gmail.com</x:v>
      </x:c>
      <x:c r="Y662" s="22" t="str">
        <x:f>"17 99189-4489"</x:f>
        <x:v>17 99189-4489</x:v>
      </x:c>
      <x:c r="Z662" s="30" t="n">
        <x:v>46476</x:v>
      </x:c>
    </x:row>
    <x:row r="663" ht="18" customHeight="1">
      <x:c r="A663" s="22" t="str">
        <x:f>"3d49107f-63eb-4450-9b3f-0e28099774fc"</x:f>
        <x:v>3d49107f-63eb-4450-9b3f-0e28099774fc</x:v>
      </x:c>
      <x:c r="B663" s="23" t="str">
        <x:v>CONCEICAO APARECIDA NUNES</x:v>
      </x:c>
      <x:c r="C663" s="23" t="str">
        <x:v>conceicao aparecida nunes</x:v>
      </x:c>
      <x:c r="D663" s="22" t="str">
        <x:f>"65.513.928/0001-15"</x:f>
        <x:v>65.513.928/0001-15</x:v>
      </x:c>
      <x:c r="E663" s="22" t="str">
        <x:f>"65513928000115"</x:f>
        <x:v>65513928000115</x:v>
      </x:c>
      <x:c r="F663" s="22" t="str">
        <x:f>"010.616.298-56"</x:f>
        <x:v>010.616.298-56</x:v>
      </x:c>
      <x:c r="G663" s="22" t="str">
        <x:f>"01061629856"</x:f>
        <x:v>01061629856</x:v>
      </x:c>
      <x:c r="H663" s="23" t="str">
        <x:v>C.nene@hotmail.com</x:v>
      </x:c>
      <x:c r="I663" s="22" t="str">
        <x:f>"35 9710-9955"</x:f>
        <x:v>35 9710-9955</x:v>
      </x:c>
      <x:c r="J663" s="23" t="str">
        <x:v>SPOT</x:v>
      </x:c>
      <x:c r="K663" s="23" t="str">
        <x:v>favored_only</x:v>
      </x:c>
      <x:c r="L663" s="24" t="b">
        <x:v>1</x:v>
      </x:c>
      <x:c r="M663" s="23" t="n">
        <x:v>1</x:v>
      </x:c>
      <x:c r="N663" s="28" t="n">
        <x:v>46219.812988715275</x:v>
      </x:c>
      <x:c r="O663" s="28" t="n">
        <x:v>46219.812988715275</x:v>
      </x:c>
      <x:c r="P663" s="23" t="str">
        <x:v>GUAXUPE</x:v>
      </x:c>
      <x:c r="Q663" s="30" t="n">
        <x:v>21683</x:v>
      </x:c>
      <x:c r="R663" s="22" t="str">
        <x:f>"13256743"</x:f>
        <x:v>13256743</x:v>
      </x:c>
      <x:c r="S663" s="23" t="str">
        <x:v>feminino</x:v>
      </x:c>
      <x:c r="T663" s="22" t="str">
        <x:f>"FNG8B62"</x:f>
        <x:v>FNG8B62</x:v>
      </x:c>
      <x:c r="U663" s="23" t="str">
        <x:v>JAQUELINE APARECIDA DE CARVALHO</x:v>
      </x:c>
      <x:c r="V663" s="22" t="str">
        <x:f>"143.261.376-65"</x:f>
        <x:v>143.261.376-65</x:v>
      </x:c>
      <x:c r="W663" s="22" t="str">
        <x:f>"14326137665"</x:f>
        <x:v>14326137665</x:v>
      </x:c>
      <x:c r="X663" s="23" t="str">
        <x:v>Jaquelinecarvalho018@gmail.com</x:v>
      </x:c>
      <x:c r="Y663" s="22" t="str">
        <x:f>"35 9977-7025"</x:f>
        <x:v>35 9977-7025</x:v>
      </x:c>
      <x:c r="Z663" s="30" t="n">
        <x:v>46457</x:v>
      </x:c>
    </x:row>
    <x:row r="664" ht="18" customHeight="1">
      <x:c r="A664" s="22" t="str">
        <x:f>"5210f030-820e-4f68-bf92-c2848fff42a2"</x:f>
        <x:v>5210f030-820e-4f68-bf92-c2848fff42a2</x:v>
      </x:c>
      <x:c r="B664" s="23" t="str">
        <x:v>CONCEICAO DE MARIA LISBOA MOURA</x:v>
      </x:c>
      <x:c r="C664" s="23" t="str">
        <x:v>conceicao de maria lisboa moura</x:v>
      </x:c>
      <x:c r="D664" s="22" t="str">
        <x:f>"58.056.827/0001-05"</x:f>
        <x:v>58.056.827/0001-05</x:v>
      </x:c>
      <x:c r="E664" s="22" t="str">
        <x:f>"58056827000105"</x:f>
        <x:v>58056827000105</x:v>
      </x:c>
      <x:c r="F664" s="22" t="str">
        <x:f>"625.308.362-72"</x:f>
        <x:v>625.308.362-72</x:v>
      </x:c>
      <x:c r="G664" s="22" t="str">
        <x:f>"62530836272"</x:f>
        <x:v>62530836272</x:v>
      </x:c>
      <x:c r="H664" s="23" t="str">
        <x:v>cmlm2077@gmail.com</x:v>
      </x:c>
      <x:c r="I664" s="22" t="str">
        <x:f>"66 984425166"</x:f>
        <x:v>66 984425166</x:v>
      </x:c>
      <x:c r="J664" s="23" t="str">
        <x:v>SPOT</x:v>
      </x:c>
      <x:c r="K664" s="23" t="str">
        <x:v>favored_only</x:v>
      </x:c>
      <x:c r="L664" s="24" t="b">
        <x:v>1</x:v>
      </x:c>
      <x:c r="M664" s="23" t="n">
        <x:v>1</x:v>
      </x:c>
      <x:c r="N664" s="28" t="n">
        <x:v>46205.60555315972</x:v>
      </x:c>
      <x:c r="O664" s="28" t="n">
        <x:v>46219.812988715275</x:v>
      </x:c>
      <x:c r="P664" s="23" t="str">
        <x:v>SINOP</x:v>
      </x:c>
      <x:c r="Q664" s="30" t="n">
        <x:v>28476</x:v>
      </x:c>
      <x:c r="R664" s="22" t="str">
        <x:f>"2850608"</x:f>
        <x:v>2850608</x:v>
      </x:c>
      <x:c r="S664" s="23" t="str">
        <x:v>feminino</x:v>
      </x:c>
      <x:c r="T664" s="22" t="str">
        <x:f>"OBV385"</x:f>
        <x:v>OBV385</x:v>
      </x:c>
      <x:c r="U664" s="23" t="str">
        <x:v>BETOEL SEBRA BAIA</x:v>
      </x:c>
      <x:c r="V664" s="22" t="str">
        <x:f>"001.073.692-14"</x:f>
        <x:v>001.073.692-14</x:v>
      </x:c>
      <x:c r="W664" s="22" t="str">
        <x:f>"00107369214"</x:f>
        <x:v>00107369214</x:v>
      </x:c>
      <x:c r="X664" s="23" t="str">
        <x:v>betobaiassc@gmail.com</x:v>
      </x:c>
      <x:c r="Y664" s="22" t="str">
        <x:f>"66 984425166"</x:f>
        <x:v>66 984425166</x:v>
      </x:c>
      <x:c r="Z664" s="30" t="n">
        <x:v>46326</x:v>
      </x:c>
    </x:row>
    <x:row r="665" ht="18" customHeight="1">
      <x:c r="A665" s="22" t="str">
        <x:f>"f072ced9-5dff-484d-9d24-01739e2faf91"</x:f>
        <x:v>f072ced9-5dff-484d-9d24-01739e2faf91</x:v>
      </x:c>
      <x:c r="B665" s="23" t="str">
        <x:v>CRISTHIAN JUNIOR JOSE DA SILVEIRA</x:v>
      </x:c>
      <x:c r="C665" s="23" t="str">
        <x:v>cristhian junior jose da silveira</x:v>
      </x:c>
      <x:c r="D665" s="22" t="str">
        <x:f>"58.598.430/0001-37"</x:f>
        <x:v>58.598.430/0001-37</x:v>
      </x:c>
      <x:c r="E665" s="22" t="str">
        <x:f>"58598430000137"</x:f>
        <x:v>58598430000137</x:v>
      </x:c>
      <x:c r="F665" s="22" t="str">
        <x:f>"131.562.376-55"</x:f>
        <x:v>131.562.376-55</x:v>
      </x:c>
      <x:c r="G665" s="22" t="str">
        <x:f>"13156237655"</x:f>
        <x:v>13156237655</x:v>
      </x:c>
      <x:c r="H665" s="23" t="str">
        <x:v>juniorjosecristhian@gmail.com</x:v>
      </x:c>
      <x:c r="I665" s="22" t="str">
        <x:f>"03499733-8667"</x:f>
        <x:v>03499733-8667</x:v>
      </x:c>
      <x:c r="J665" s="23" t="str">
        <x:v>SPOT</x:v>
      </x:c>
      <x:c r="K665" s="23" t="str">
        <x:v>favored_only</x:v>
      </x:c>
      <x:c r="L665" s="24" t="b">
        <x:v>1</x:v>
      </x:c>
      <x:c r="M665" s="23" t="n">
        <x:v>1</x:v>
      </x:c>
      <x:c r="N665" s="28" t="n">
        <x:v>46219.812988715275</x:v>
      </x:c>
      <x:c r="O665" s="28" t="n">
        <x:v>46219.812988715275</x:v>
      </x:c>
      <x:c r="P665" s="23" t="str">
        <x:v>PATOS DE MINAS</x:v>
      </x:c>
      <x:c r="Q665" s="30" t="n">
        <x:v>35876</x:v>
      </x:c>
      <x:c r="R665" s="22" t="str">
        <x:f>"13156237655 PC"</x:f>
        <x:v>13156237655 PC</x:v>
      </x:c>
      <x:c r="S665" s="23" t="str">
        <x:v>masculino</x:v>
      </x:c>
      <x:c r="T665" s="22" t="str">
        <x:f>"GAX5I08"</x:f>
        <x:v>GAX5I08</x:v>
      </x:c>
      <x:c r="U665" s="23" t="str">
        <x:v>ADRIANO JULIAO PERES DA SILVEIRA</x:v>
      </x:c>
      <x:c r="V665" s="22" t="str">
        <x:f>"114.902.156-03"</x:f>
        <x:v>114.902.156-03</x:v>
      </x:c>
      <x:c r="W665" s="22" t="str">
        <x:f>"11490215603"</x:f>
        <x:v>11490215603</x:v>
      </x:c>
      <x:c r="X665" s="23" t="str">
        <x:v>adrianojuliaops@gmail.com</x:v>
      </x:c>
      <x:c r="Y665" s="22" t="str">
        <x:f>"34 9805-3878"</x:f>
        <x:v>34 9805-3878</x:v>
      </x:c>
      <x:c r="Z665" s="30" t="n">
        <x:v>46535</x:v>
      </x:c>
    </x:row>
    <x:row r="666" ht="18" customHeight="1">
      <x:c r="A666" s="22" t="str">
        <x:f>"ba2cdf55-ee35-482f-b2a8-e5b2ebec15bf"</x:f>
        <x:v>ba2cdf55-ee35-482f-b2a8-e5b2ebec15bf</x:v>
      </x:c>
      <x:c r="B666" s="23" t="str">
        <x:v>CRISTHIAN PABLO PEREIRA FERREIRA</x:v>
      </x:c>
      <x:c r="C666" s="23" t="str">
        <x:v>cristhian pablo pereira ferreira</x:v>
      </x:c>
      <x:c r="D666" s="22" t="str">
        <x:f>"63.141.327/0001-01"</x:f>
        <x:v>63.141.327/0001-01</x:v>
      </x:c>
      <x:c r="E666" s="22" t="str">
        <x:f>"63141327000101"</x:f>
        <x:v>63141327000101</x:v>
      </x:c>
      <x:c r="F666" s="22" t="str">
        <x:f>"114.507.436-76"</x:f>
        <x:v>114.507.436-76</x:v>
      </x:c>
      <x:c r="G666" s="22" t="str">
        <x:f>"11450743676"</x:f>
        <x:v>11450743676</x:v>
      </x:c>
      <x:c r="H666" s="23" t="str">
        <x:v>cristhian.pablo@hotmail.com</x:v>
      </x:c>
      <x:c r="I666" s="22" t="str">
        <x:f>"34 8425-8665"</x:f>
        <x:v>34 8425-8665</x:v>
      </x:c>
      <x:c r="J666" s="23" t="str">
        <x:v>RENTAL</x:v>
      </x:c>
      <x:c r="K666" s="23" t="str">
        <x:v>rental_company</x:v>
      </x:c>
      <x:c r="L666" s="24" t="b">
        <x:v>1</x:v>
      </x:c>
      <x:c r="M666" s="23" t="n">
        <x:v>2</x:v>
      </x:c>
      <x:c r="N666" s="28" t="n">
        <x:v>46219.812988715275</x:v>
      </x:c>
      <x:c r="O666" s="28" t="n">
        <x:v>46219.812988715275</x:v>
      </x:c>
      <x:c r="P666" s="23" t="str">
        <x:v>PATOS DE MINAS</x:v>
      </x:c>
      <x:c r="Q666" s="30" t="n">
        <x:v>34628</x:v>
      </x:c>
      <x:c r="R666" s="22" t="str">
        <x:f>"MG 15793776"</x:f>
        <x:v>MG 15793776</x:v>
      </x:c>
      <x:c r="S666" s="23" t="str">
        <x:v>masculino</x:v>
      </x:c>
      <x:c r="T666" s="22" t="str">
        <x:f>"QIL5B87"</x:f>
        <x:v>QIL5B87</x:v>
      </x:c>
      <x:c r="U666" s="23" t="str">
        <x:v>CRISTHIAN PABLO PEREIRA FERREIRA</x:v>
      </x:c>
      <x:c r="V666" s="22" t="str">
        <x:f>"114.507.436-76"</x:f>
        <x:v>114.507.436-76</x:v>
      </x:c>
      <x:c r="W666" s="22" t="str">
        <x:f>"11450743676"</x:f>
        <x:v>11450743676</x:v>
      </x:c>
      <x:c r="X666" s="23" t="str">
        <x:v>cristhian.pablo@hotmail.com</x:v>
      </x:c>
      <x:c r="Y666" s="22" t="str">
        <x:f>"34 8425-8665"</x:f>
        <x:v>34 8425-8665</x:v>
      </x:c>
      <x:c r="Z666" s="30" t="n">
        <x:v>46463</x:v>
      </x:c>
    </x:row>
    <x:row r="667" ht="18" customHeight="1">
      <x:c r="A667" s="22" t="str">
        <x:f>"a9a1aba8-909d-4cd1-9999-5f44aa4133fc"</x:f>
        <x:v>a9a1aba8-909d-4cd1-9999-5f44aa4133fc</x:v>
      </x:c>
      <x:c r="B667" s="23" t="str">
        <x:v>CRISTHIAN RODRIGUES CRUZ CAMPOS</x:v>
      </x:c>
      <x:c r="C667" s="23" t="str">
        <x:v>cristhian rodrigues cruz campos</x:v>
      </x:c>
      <x:c r="D667" s="22" t="str">
        <x:f>"48.840.944/0001-01"</x:f>
        <x:v>48.840.944/0001-01</x:v>
      </x:c>
      <x:c r="E667" s="22" t="str">
        <x:f>"48840944000101"</x:f>
        <x:v>48840944000101</x:v>
      </x:c>
      <x:c r="F667" s="22" t="str">
        <x:f>"061.191.491-39"</x:f>
        <x:v>061.191.491-39</x:v>
      </x:c>
      <x:c r="G667" s="22" t="str">
        <x:f>"06119149139"</x:f>
        <x:v>06119149139</x:v>
      </x:c>
      <x:c r="H667" s="23" t="str">
        <x:v>cristhianrodrigues47@gmail.com</x:v>
      </x:c>
      <x:c r="I667" s="22" t="str">
        <x:f>"65996440467"</x:f>
        <x:v>65996440467</x:v>
      </x:c>
      <x:c r="J667" s="23" t="str">
        <x:v>SPOT</x:v>
      </x:c>
      <x:c r="K667" s="23" t="str">
        <x:v>favored_only</x:v>
      </x:c>
      <x:c r="L667" s="24" t="b">
        <x:v>1</x:v>
      </x:c>
      <x:c r="M667" s="23" t="n">
        <x:v>1</x:v>
      </x:c>
      <x:c r="N667" s="28" t="n">
        <x:v>46205.60703699074</x:v>
      </x:c>
      <x:c r="O667" s="28" t="n">
        <x:v>46219.812988715275</x:v>
      </x:c>
      <x:c r="P667" s="23" t="str">
        <x:v>CÁCERES</x:v>
      </x:c>
      <x:c r="Q667" s="30" t="n">
        <x:v>36331</x:v>
      </x:c>
      <x:c r="R667" s="22" t="str">
        <x:f>"6119149139"</x:f>
        <x:v>6119149139</x:v>
      </x:c>
      <x:c r="S667" s="23" t="str">
        <x:v>masculino</x:v>
      </x:c>
      <x:c r="T667" s="22" t="str">
        <x:f>"OBE6774"</x:f>
        <x:v>OBE6774</x:v>
      </x:c>
      <x:c r="U667" s="23" t="str">
        <x:v>GILSON WERNEK KURY VEIGA</x:v>
      </x:c>
      <x:c r="V667" s="22" t="str">
        <x:f>"951.145.998-87"</x:f>
        <x:v>951.145.998-87</x:v>
      </x:c>
      <x:c r="W667" s="22" t="str">
        <x:f>"95114599887"</x:f>
        <x:v>95114599887</x:v>
      </x:c>
      <x:c r="X667" s="23" t="str">
        <x:v>Gwkury@gmail.cok</x:v>
      </x:c>
      <x:c r="Y667" s="22" t="str">
        <x:f>"65996440467"</x:f>
        <x:v>65996440467</x:v>
      </x:c>
      <x:c r="Z667" s="30" t="n">
        <x:v>46395</x:v>
      </x:c>
    </x:row>
    <x:row r="668" ht="18" customHeight="1">
      <x:c r="A668" s="22" t="str">
        <x:f>"d2a8dfe7-960a-450d-8a0d-fadd63f36781"</x:f>
        <x:v>d2a8dfe7-960a-450d-8a0d-fadd63f36781</x:v>
      </x:c>
      <x:c r="B668" s="23" t="str">
        <x:v>CRISTIAN DIEISON TITO CORREA</x:v>
      </x:c>
      <x:c r="C668" s="23" t="str">
        <x:v>cristian dieison tito correa</x:v>
      </x:c>
      <x:c r="D668" s="22" t="str">
        <x:f>"62.724.368/0001-50"</x:f>
        <x:v>62.724.368/0001-50</x:v>
      </x:c>
      <x:c r="E668" s="22" t="str">
        <x:f>"62724368000150"</x:f>
        <x:v>62724368000150</x:v>
      </x:c>
      <x:c r="F668" s="22" t="str">
        <x:f>"335.586.498-59"</x:f>
        <x:v>335.586.498-59</x:v>
      </x:c>
      <x:c r="G668" s="22" t="str">
        <x:f>"33558649859"</x:f>
        <x:v>33558649859</x:v>
      </x:c>
      <x:c r="H668" s="23" t="str">
        <x:v>titoc7927@gmail.com</x:v>
      </x:c>
      <x:c r="I668" s="22" t="str">
        <x:f>"(18) 98805-4805"</x:f>
        <x:v>(18) 98805-4805</x:v>
      </x:c>
      <x:c r="J668" s="23" t="str">
        <x:v>SPOT</x:v>
      </x:c>
      <x:c r="K668" s="23" t="str">
        <x:v>favored_only</x:v>
      </x:c>
      <x:c r="L668" s="24" t="b">
        <x:v>1</x:v>
      </x:c>
      <x:c r="M668" s="23" t="n">
        <x:v>1</x:v>
      </x:c>
      <x:c r="N668" s="28" t="n">
        <x:v>46203.92186888889</x:v>
      </x:c>
      <x:c r="O668" s="28" t="n">
        <x:v>46219.812988715275</x:v>
      </x:c>
      <x:c r="P668" s="23" t="str">
        <x:v>PRESIDENTE PRUDENTE</x:v>
      </x:c>
      <x:c r="Q668" s="30" t="n">
        <x:v>31807</x:v>
      </x:c>
      <x:c r="R668" s="22" t="str">
        <x:f>"40099897"</x:f>
        <x:v>40099897</x:v>
      </x:c>
      <x:c r="S668" s="23" t="str">
        <x:v>masculino</x:v>
      </x:c>
      <x:c r="T668" s="22" t="str">
        <x:f>"FLP2E25"</x:f>
        <x:v>FLP2E25</x:v>
      </x:c>
      <x:c r="U668" s="23" t="str">
        <x:v>CRISTIAN DIEISON TITO CORREA</x:v>
      </x:c>
      <x:c r="V668" s="22" t="str">
        <x:f>"335.586.498-59"</x:f>
        <x:v>335.586.498-59</x:v>
      </x:c>
      <x:c r="W668" s="22" t="str">
        <x:f>"33558649859"</x:f>
        <x:v>33558649859</x:v>
      </x:c>
      <x:c r="X668" s="23" t="str">
        <x:v>titoc7927@gmail.com</x:v>
      </x:c>
      <x:c r="Y668" s="22" t="str">
        <x:f>"(18) 98805-4805"</x:f>
        <x:v>(18) 98805-4805</x:v>
      </x:c>
      <x:c r="Z668" s="30" t="n">
        <x:v>46288</x:v>
      </x:c>
    </x:row>
    <x:row r="669" ht="18" customHeight="1">
      <x:c r="A669" s="22" t="str">
        <x:f>"c34ab858-c54d-45c4-80b9-fbd05087113e"</x:f>
        <x:v>c34ab858-c54d-45c4-80b9-fbd05087113e</x:v>
      </x:c>
      <x:c r="B669" s="23" t="str">
        <x:v>CRISTIANE PEREIRA DOS SANTOS VIANA</x:v>
      </x:c>
      <x:c r="C669" s="23" t="str">
        <x:v>cristiane pereira dos santos viana</x:v>
      </x:c>
      <x:c r="D669" s="22" t="str">
        <x:f>"62.417.546/0001-08"</x:f>
        <x:v>62.417.546/0001-08</x:v>
      </x:c>
      <x:c r="E669" s="22" t="str">
        <x:f>"62417546000108"</x:f>
        <x:v>62417546000108</x:v>
      </x:c>
      <x:c r="F669" s="22" t="str">
        <x:f>"069.596.027-00"</x:f>
        <x:v>069.596.027-00</x:v>
      </x:c>
      <x:c r="G669" s="22" t="str">
        <x:f>"06959602700"</x:f>
        <x:v>06959602700</x:v>
      </x:c>
      <x:c r="H669" s="23" t="str">
        <x:v>tcornelio703@gmail.com</x:v>
      </x:c>
      <x:c r="I669" s="22" t="str">
        <x:f>"21 965040902"</x:f>
        <x:v>21 965040902</x:v>
      </x:c>
      <x:c r="J669" s="23" t="str">
        <x:v>SPOT</x:v>
      </x:c>
      <x:c r="K669" s="23" t="str">
        <x:v>favored_only</x:v>
      </x:c>
      <x:c r="L669" s="24" t="b">
        <x:v>1</x:v>
      </x:c>
      <x:c r="M669" s="23" t="n">
        <x:v>1</x:v>
      </x:c>
      <x:c r="N669" s="28" t="n">
        <x:v>46203.92188238426</x:v>
      </x:c>
      <x:c r="O669" s="28" t="n">
        <x:v>46203.92188238426</x:v>
      </x:c>
      <x:c r="P669" s="23" t="str"/>
      <x:c r="Q669" s="30" t="str"/>
      <x:c r="R669" s="22" t="str"/>
      <x:c r="S669" s="23" t="str"/>
      <x:c r="T669" s="22" t="str"/>
      <x:c r="U669" s="23" t="str">
        <x:v>CRISTIANE PEREIRA DOS SANTOS VIANA</x:v>
      </x:c>
      <x:c r="V669" s="22" t="str">
        <x:f>"069.596.027-00"</x:f>
        <x:v>069.596.027-00</x:v>
      </x:c>
      <x:c r="W669" s="22" t="str">
        <x:f>"06959602700"</x:f>
        <x:v>06959602700</x:v>
      </x:c>
      <x:c r="X669" s="23" t="str">
        <x:v>tcornelio703@gmail.com</x:v>
      </x:c>
      <x:c r="Y669" s="22" t="str">
        <x:f>"21 965040902"</x:f>
        <x:v>21 965040902</x:v>
      </x:c>
      <x:c r="Z669" s="30" t="str"/>
    </x:row>
    <x:row r="670" ht="18" customHeight="1">
      <x:c r="A670" s="22" t="str">
        <x:f>"1fac4142-3dad-4b0d-a57b-864cb82f3e07"</x:f>
        <x:v>1fac4142-3dad-4b0d-a57b-864cb82f3e07</x:v>
      </x:c>
      <x:c r="B670" s="23" t="str">
        <x:v>CRISTIANI MARIA PAIM</x:v>
      </x:c>
      <x:c r="C670" s="23" t="str">
        <x:v>cristiani maria paim</x:v>
      </x:c>
      <x:c r="D670" s="22" t="str">
        <x:f>"65.149.648/0001-70"</x:f>
        <x:v>65.149.648/0001-70</x:v>
      </x:c>
      <x:c r="E670" s="22" t="str">
        <x:f>"65149648000170"</x:f>
        <x:v>65149648000170</x:v>
      </x:c>
      <x:c r="F670" s="22" t="str">
        <x:f>"009.831.981-79"</x:f>
        <x:v>009.831.981-79</x:v>
      </x:c>
      <x:c r="G670" s="22" t="str">
        <x:f>"00983198179"</x:f>
        <x:v>00983198179</x:v>
      </x:c>
      <x:c r="H670" s="23" t="str">
        <x:v>cris.castelo@hotmail.com</x:v>
      </x:c>
      <x:c r="I670" s="22" t="str">
        <x:f>"66 99927-1775"</x:f>
        <x:v>66 99927-1775</x:v>
      </x:c>
      <x:c r="J670" s="23" t="str">
        <x:v>SPOT</x:v>
      </x:c>
      <x:c r="K670" s="23" t="str">
        <x:v>favored_only</x:v>
      </x:c>
      <x:c r="L670" s="24" t="b">
        <x:v>1</x:v>
      </x:c>
      <x:c r="M670" s="23" t="n">
        <x:v>1</x:v>
      </x:c>
      <x:c r="N670" s="28" t="n">
        <x:v>46219.812988715275</x:v>
      </x:c>
      <x:c r="O670" s="28" t="n">
        <x:v>46219.812988715275</x:v>
      </x:c>
      <x:c r="P670" s="23" t="str">
        <x:v>SINOP</x:v>
      </x:c>
      <x:c r="Q670" s="30" t="n">
        <x:v>30708</x:v>
      </x:c>
      <x:c r="R670" s="22" t="str">
        <x:f>"16708962"</x:f>
        <x:v>16708962</x:v>
      </x:c>
      <x:c r="S670" s="23" t="str">
        <x:v>feminino</x:v>
      </x:c>
      <x:c r="T670" s="22" t="str">
        <x:f>"NEB1761"</x:f>
        <x:v>NEB1761</x:v>
      </x:c>
      <x:c r="U670" s="23" t="str">
        <x:v>CRISTIANI MARIA PAIM</x:v>
      </x:c>
      <x:c r="V670" s="22" t="str">
        <x:f>"009.831.981-79"</x:f>
        <x:v>009.831.981-79</x:v>
      </x:c>
      <x:c r="W670" s="22" t="str">
        <x:f>"00983198179"</x:f>
        <x:v>00983198179</x:v>
      </x:c>
      <x:c r="X670" s="23" t="str">
        <x:v>cris.castelo@hotmail.com</x:v>
      </x:c>
      <x:c r="Y670" s="22" t="str">
        <x:f>"66 99927-1775"</x:f>
        <x:v>66 99927-1775</x:v>
      </x:c>
      <x:c r="Z670" s="30" t="n">
        <x:v>46438</x:v>
      </x:c>
    </x:row>
    <x:row r="671" ht="18" customHeight="1">
      <x:c r="A671" s="22" t="str">
        <x:f>"70bd4dcb-077a-4ec2-99ec-dc546aabe12d"</x:f>
        <x:v>70bd4dcb-077a-4ec2-99ec-dc546aabe12d</x:v>
      </x:c>
      <x:c r="B671" s="23" t="str">
        <x:v>CRISTIAN LUCAS MACHADO DA SILVA</x:v>
      </x:c>
      <x:c r="C671" s="23" t="str">
        <x:v>cristian lucas machado da silva</x:v>
      </x:c>
      <x:c r="D671" s="22" t="str">
        <x:f>"63.085.701/0001-90"</x:f>
        <x:v>63.085.701/0001-90</x:v>
      </x:c>
      <x:c r="E671" s="22" t="str">
        <x:f>"63085701000190"</x:f>
        <x:v>63085701000190</x:v>
      </x:c>
      <x:c r="F671" s="22" t="str">
        <x:f>"163.979.397-66"</x:f>
        <x:v>163.979.397-66</x:v>
      </x:c>
      <x:c r="G671" s="22" t="str">
        <x:f>"16397939766"</x:f>
        <x:v>16397939766</x:v>
      </x:c>
      <x:c r="H671" s="23" t="str">
        <x:v>lucaswhz172@gmail.com</x:v>
      </x:c>
      <x:c r="I671" s="22" t="str">
        <x:f>"21984203573"</x:f>
        <x:v>21984203573</x:v>
      </x:c>
      <x:c r="J671" s="23" t="str">
        <x:v>SPOT</x:v>
      </x:c>
      <x:c r="K671" s="23" t="str">
        <x:v>favored_only</x:v>
      </x:c>
      <x:c r="L671" s="24" t="b">
        <x:v>1</x:v>
      </x:c>
      <x:c r="M671" s="23" t="n">
        <x:v>1</x:v>
      </x:c>
      <x:c r="N671" s="28" t="n">
        <x:v>46219.812988715275</x:v>
      </x:c>
      <x:c r="O671" s="28" t="n">
        <x:v>46219.812988715275</x:v>
      </x:c>
      <x:c r="P671" s="23" t="str">
        <x:v>QUEIMADOS</x:v>
      </x:c>
      <x:c r="Q671" s="30" t="n">
        <x:v>37327</x:v>
      </x:c>
      <x:c r="R671" s="22" t="str">
        <x:f>"306623083"</x:f>
        <x:v>306623083</x:v>
      </x:c>
      <x:c r="S671" s="23" t="str">
        <x:v>masculino</x:v>
      </x:c>
      <x:c r="T671" s="22" t="str">
        <x:f>"QMS6E82"</x:f>
        <x:v>QMS6E82</x:v>
      </x:c>
      <x:c r="U671" s="23" t="str">
        <x:v>CRISTIAN LUCAS MACHADO DA SILVA</x:v>
      </x:c>
      <x:c r="V671" s="22" t="str">
        <x:f>"163.979.367-66"</x:f>
        <x:v>163.979.367-66</x:v>
      </x:c>
      <x:c r="W671" s="22" t="str">
        <x:f>"16397936766"</x:f>
        <x:v>16397936766</x:v>
      </x:c>
      <x:c r="X671" s="23" t="str">
        <x:v>lucaswhz172@gmail.com</x:v>
      </x:c>
      <x:c r="Y671" s="22" t="str">
        <x:f>"21984203573"</x:f>
        <x:v>21984203573</x:v>
      </x:c>
      <x:c r="Z671" s="30" t="n">
        <x:v>46571</x:v>
      </x:c>
    </x:row>
    <x:row r="672" ht="18" customHeight="1">
      <x:c r="A672" s="22" t="str">
        <x:f>"6e121f56-9342-4384-a4fb-5b929c158296"</x:f>
        <x:v>6e121f56-9342-4384-a4fb-5b929c158296</x:v>
      </x:c>
      <x:c r="B672" s="23" t="str">
        <x:v>CRISTIAN MARIANO MAIA</x:v>
      </x:c>
      <x:c r="C672" s="23" t="str">
        <x:v>cristian mariano maia</x:v>
      </x:c>
      <x:c r="D672" s="22" t="str">
        <x:f>"41.607.630/0001-06"</x:f>
        <x:v>41.607.630/0001-06</x:v>
      </x:c>
      <x:c r="E672" s="22" t="str">
        <x:f>"41607630000106"</x:f>
        <x:v>41607630000106</x:v>
      </x:c>
      <x:c r="F672" s="22" t="str">
        <x:f>"183.395.507-21"</x:f>
        <x:v>183.395.507-21</x:v>
      </x:c>
      <x:c r="G672" s="22" t="str">
        <x:f>"18339550721"</x:f>
        <x:v>18339550721</x:v>
      </x:c>
      <x:c r="H672" s="23" t="str">
        <x:v>cristyangaspar2000@gmail.com</x:v>
      </x:c>
      <x:c r="I672" s="22" t="str">
        <x:f>"22 997362483"</x:f>
        <x:v>22 997362483</x:v>
      </x:c>
      <x:c r="J672" s="23" t="str">
        <x:v>SPOT</x:v>
      </x:c>
      <x:c r="K672" s="23" t="str">
        <x:v>favored_only</x:v>
      </x:c>
      <x:c r="L672" s="24" t="b">
        <x:v>1</x:v>
      </x:c>
      <x:c r="M672" s="23" t="n">
        <x:v>1</x:v>
      </x:c>
      <x:c r="N672" s="28" t="n">
        <x:v>46205.606436828704</x:v>
      </x:c>
      <x:c r="O672" s="28" t="n">
        <x:v>46219.812988715275</x:v>
      </x:c>
      <x:c r="P672" s="23" t="str">
        <x:v>CAMPOS DOS GOYTACAZES</x:v>
      </x:c>
      <x:c r="Q672" s="30" t="n">
        <x:v>38088</x:v>
      </x:c>
      <x:c r="R672" s="22" t="str">
        <x:f>"314148735"</x:f>
        <x:v>314148735</x:v>
      </x:c>
      <x:c r="S672" s="23" t="str">
        <x:v>masculino</x:v>
      </x:c>
      <x:c r="T672" s="22" t="str">
        <x:f>"LRF9C22"</x:f>
        <x:v>LRF9C22</x:v>
      </x:c>
      <x:c r="U672" s="23" t="str">
        <x:v>JONATHAN BARRETO DE AZEVEDO</x:v>
      </x:c>
      <x:c r="V672" s="22" t="str">
        <x:f>"096.145.137-80"</x:f>
        <x:v>096.145.137-80</x:v>
      </x:c>
      <x:c r="W672" s="22" t="str">
        <x:f>"09614513780"</x:f>
        <x:v>09614513780</x:v>
      </x:c>
      <x:c r="X672" s="23" t="str">
        <x:v>jonathanbaa35@gmail.com</x:v>
      </x:c>
      <x:c r="Y672" s="22" t="str">
        <x:f>"22999681203"</x:f>
        <x:v>22999681203</x:v>
      </x:c>
      <x:c r="Z672" s="30" t="n">
        <x:v>46408</x:v>
      </x:c>
    </x:row>
    <x:row r="673" ht="18" customHeight="1">
      <x:c r="A673" s="22" t="str">
        <x:f>"b86fdb0c-cc99-4c5a-9292-f731ee144124"</x:f>
        <x:v>b86fdb0c-cc99-4c5a-9292-f731ee144124</x:v>
      </x:c>
      <x:c r="B673" s="23" t="str">
        <x:v>CRISTIAN MARIANO MAIA</x:v>
      </x:c>
      <x:c r="C673" s="23" t="str">
        <x:v>cristian mariano maia</x:v>
      </x:c>
      <x:c r="D673" s="22" t="str">
        <x:f>"64.711.366/0001-51"</x:f>
        <x:v>64.711.366/0001-51</x:v>
      </x:c>
      <x:c r="E673" s="22" t="str">
        <x:f>"64711366000151"</x:f>
        <x:v>64711366000151</x:v>
      </x:c>
      <x:c r="F673" s="22" t="str">
        <x:f>"183.395.507-21"</x:f>
        <x:v>183.395.507-21</x:v>
      </x:c>
      <x:c r="G673" s="22" t="str">
        <x:f>"18339550721"</x:f>
        <x:v>18339550721</x:v>
      </x:c>
      <x:c r="H673" s="23" t="str">
        <x:v>cristyangaspar2000@gmail.com</x:v>
      </x:c>
      <x:c r="I673" s="22" t="str">
        <x:f>"22 997362483"</x:f>
        <x:v>22 997362483</x:v>
      </x:c>
      <x:c r="J673" s="23" t="str">
        <x:v>RENTAL</x:v>
      </x:c>
      <x:c r="K673" s="23" t="str">
        <x:v>rental_company</x:v>
      </x:c>
      <x:c r="L673" s="24" t="b">
        <x:v>1</x:v>
      </x:c>
      <x:c r="M673" s="23" t="n">
        <x:v>1</x:v>
      </x:c>
      <x:c r="N673" s="28" t="n">
        <x:v>46219.812988715275</x:v>
      </x:c>
      <x:c r="O673" s="28" t="n">
        <x:v>46219.812988715275</x:v>
      </x:c>
      <x:c r="P673" s="23" t="str">
        <x:v>CAMPOS DOS GOYTACAZES</x:v>
      </x:c>
      <x:c r="Q673" s="30" t="n">
        <x:v>38088</x:v>
      </x:c>
      <x:c r="R673" s="22" t="str">
        <x:f>"314148735"</x:f>
        <x:v>314148735</x:v>
      </x:c>
      <x:c r="S673" s="23" t="str">
        <x:v>masculino</x:v>
      </x:c>
      <x:c r="T673" s="22" t="str"/>
      <x:c r="U673" s="23" t="str">
        <x:v>CRISTIAN MARIANO MAIA</x:v>
      </x:c>
      <x:c r="V673" s="22" t="str">
        <x:f>"183.395.507-21"</x:f>
        <x:v>183.395.507-21</x:v>
      </x:c>
      <x:c r="W673" s="22" t="str">
        <x:f>"18339550721"</x:f>
        <x:v>18339550721</x:v>
      </x:c>
      <x:c r="X673" s="23" t="str">
        <x:v>cristyangaspar2000@gmail.com</x:v>
      </x:c>
      <x:c r="Y673" s="22" t="str">
        <x:f>"22 997362483"</x:f>
        <x:v>22 997362483</x:v>
      </x:c>
      <x:c r="Z673" s="30" t="n">
        <x:v>46414</x:v>
      </x:c>
    </x:row>
    <x:row r="674" ht="18" customHeight="1">
      <x:c r="A674" s="22" t="str">
        <x:f>"b5f643fe-0c04-43e1-8c31-95f6788a6123"</x:f>
        <x:v>b5f643fe-0c04-43e1-8c31-95f6788a6123</x:v>
      </x:c>
      <x:c r="B674" s="23" t="str">
        <x:v>CRISTIANO APARECIDO SIMOES FONSECA</x:v>
      </x:c>
      <x:c r="C674" s="23" t="str">
        <x:v>cristiano aparecido simoes fonseca</x:v>
      </x:c>
      <x:c r="D674" s="22" t="str">
        <x:f>"65.102.695/0001-68"</x:f>
        <x:v>65.102.695/0001-68</x:v>
      </x:c>
      <x:c r="E674" s="22" t="str">
        <x:f>"65102695000168"</x:f>
        <x:v>65102695000168</x:v>
      </x:c>
      <x:c r="F674" s="22" t="str">
        <x:f>"146.792.526-85"</x:f>
        <x:v>146.792.526-85</x:v>
      </x:c>
      <x:c r="G674" s="22" t="str">
        <x:f>"14679252685"</x:f>
        <x:v>14679252685</x:v>
      </x:c>
      <x:c r="H674" s="23" t="str">
        <x:v>simoesfonseca2022@gmail.com</x:v>
      </x:c>
      <x:c r="I674" s="22" t="str">
        <x:f>"(31) 7587-5257"</x:f>
        <x:v>(31) 7587-5257</x:v>
      </x:c>
      <x:c r="J674" s="23" t="str">
        <x:v>RENTAL</x:v>
      </x:c>
      <x:c r="K674" s="23" t="str">
        <x:v>rental_company</x:v>
      </x:c>
      <x:c r="L674" s="24" t="b">
        <x:v>1</x:v>
      </x:c>
      <x:c r="M674" s="23" t="n">
        <x:v>1</x:v>
      </x:c>
      <x:c r="N674" s="28" t="n">
        <x:v>46219.812988715275</x:v>
      </x:c>
      <x:c r="O674" s="28" t="n">
        <x:v>46219.812988715275</x:v>
      </x:c>
      <x:c r="P674" s="23" t="str">
        <x:v>GUANHAES</x:v>
      </x:c>
      <x:c r="Q674" s="30" t="n">
        <x:v>36086</x:v>
      </x:c>
      <x:c r="R674" s="22" t="str">
        <x:f>"21093020"</x:f>
        <x:v>21093020</x:v>
      </x:c>
      <x:c r="S674" s="23" t="str">
        <x:v>masculino</x:v>
      </x:c>
      <x:c r="T674" s="22" t="str"/>
      <x:c r="U674" s="23" t="str">
        <x:v>CRISTIANO APARECIDO SIMOES FONSECA</x:v>
      </x:c>
      <x:c r="V674" s="22" t="str">
        <x:f>"146.792.526-85"</x:f>
        <x:v>146.792.526-85</x:v>
      </x:c>
      <x:c r="W674" s="22" t="str">
        <x:f>"14679252685"</x:f>
        <x:v>14679252685</x:v>
      </x:c>
      <x:c r="X674" s="23" t="str">
        <x:v>simoesfonseca2022@gmail.com</x:v>
      </x:c>
      <x:c r="Y674" s="22" t="str">
        <x:f>"(31) 7587-5257"</x:f>
        <x:v>(31) 7587-5257</x:v>
      </x:c>
      <x:c r="Z674" s="30" t="n">
        <x:v>46430</x:v>
      </x:c>
    </x:row>
    <x:row r="675" ht="18" customHeight="1">
      <x:c r="A675" s="22" t="str">
        <x:f>"b627a2c0-57db-44b6-81e9-04b8b2992d45"</x:f>
        <x:v>b627a2c0-57db-44b6-81e9-04b8b2992d45</x:v>
      </x:c>
      <x:c r="B675" s="23" t="str">
        <x:v>CRISTIANO CARVALHO DA SILVA</x:v>
      </x:c>
      <x:c r="C675" s="23" t="str">
        <x:v>cristiano carvalho da silva</x:v>
      </x:c>
      <x:c r="D675" s="22" t="str">
        <x:f>"38.288.772/0001-43"</x:f>
        <x:v>38.288.772/0001-43</x:v>
      </x:c>
      <x:c r="E675" s="22" t="str">
        <x:f>"38288772000143"</x:f>
        <x:v>38288772000143</x:v>
      </x:c>
      <x:c r="F675" s="22" t="str">
        <x:f>"261.983.298-52"</x:f>
        <x:v>261.983.298-52</x:v>
      </x:c>
      <x:c r="G675" s="22" t="str">
        <x:f>"26198329852"</x:f>
        <x:v>26198329852</x:v>
      </x:c>
      <x:c r="H675" s="23" t="str">
        <x:v>cluizaugusto732@gmail.com</x:v>
      </x:c>
      <x:c r="I675" s="22" t="str">
        <x:f>"(11)994784-1467"</x:f>
        <x:v>(11)994784-1467</x:v>
      </x:c>
      <x:c r="J675" s="23" t="str">
        <x:v>SPOT</x:v>
      </x:c>
      <x:c r="K675" s="23" t="str">
        <x:v>favored_only</x:v>
      </x:c>
      <x:c r="L675" s="24" t="b">
        <x:v>1</x:v>
      </x:c>
      <x:c r="M675" s="23" t="n">
        <x:v>1</x:v>
      </x:c>
      <x:c r="N675" s="28" t="n">
        <x:v>46203.92184908565</x:v>
      </x:c>
      <x:c r="O675" s="28" t="n">
        <x:v>46205.60515200232</x:v>
      </x:c>
      <x:c r="P675" s="23" t="str">
        <x:v>POUSO ALEGRE</x:v>
      </x:c>
      <x:c r="Q675" s="30" t="n">
        <x:v>28521</x:v>
      </x:c>
      <x:c r="R675" s="22" t="str">
        <x:f>"25788831 SSP SP"</x:f>
        <x:v>25788831 SSP SP</x:v>
      </x:c>
      <x:c r="S675" s="23" t="str">
        <x:v>Masculino</x:v>
      </x:c>
      <x:c r="T675" s="22" t="str">
        <x:f>"FED0J47"</x:f>
        <x:v>FED0J47</x:v>
      </x:c>
      <x:c r="U675" s="23" t="str">
        <x:v>CRISTIANO CARVALHO DA SILVA</x:v>
      </x:c>
      <x:c r="V675" s="22" t="str">
        <x:f>"261.983.298-52"</x:f>
        <x:v>261.983.298-52</x:v>
      </x:c>
      <x:c r="W675" s="22" t="str">
        <x:f>"26198329852"</x:f>
        <x:v>26198329852</x:v>
      </x:c>
      <x:c r="X675" s="23" t="str">
        <x:v>cluizaugusto732@gmail.com</x:v>
      </x:c>
      <x:c r="Y675" s="22" t="str">
        <x:f>"(11)994784-1467"</x:f>
        <x:v>(11)994784-1467</x:v>
      </x:c>
      <x:c r="Z675" s="30" t="n">
        <x:v>46229</x:v>
      </x:c>
    </x:row>
    <x:row r="676" ht="18" customHeight="1">
      <x:c r="A676" s="22" t="str">
        <x:f>"d131ec50-4bfb-48fb-845e-4a27f84c8143"</x:f>
        <x:v>d131ec50-4bfb-48fb-845e-4a27f84c8143</x:v>
      </x:c>
      <x:c r="B676" s="23" t="str">
        <x:v>CRISTIANO CHAVES DE OLIVEIRA</x:v>
      </x:c>
      <x:c r="C676" s="23" t="str">
        <x:v>cristiano chaves de oliveira</x:v>
      </x:c>
      <x:c r="D676" s="22" t="str">
        <x:f>"54.703.966/0001-14"</x:f>
        <x:v>54.703.966/0001-14</x:v>
      </x:c>
      <x:c r="E676" s="22" t="str">
        <x:f>"54703966000114"</x:f>
        <x:v>54703966000114</x:v>
      </x:c>
      <x:c r="F676" s="22" t="str">
        <x:f>"040.075.476-29"</x:f>
        <x:v>040.075.476-29</x:v>
      </x:c>
      <x:c r="G676" s="22" t="str">
        <x:f>"04007547629"</x:f>
        <x:v>04007547629</x:v>
      </x:c>
      <x:c r="H676" s="23" t="str">
        <x:v>cristiano.chaves2@gmail.com</x:v>
      </x:c>
      <x:c r="I676" s="22" t="str">
        <x:f>"34997678549"</x:f>
        <x:v>34997678549</x:v>
      </x:c>
      <x:c r="J676" s="23" t="str">
        <x:v>RENTAL</x:v>
      </x:c>
      <x:c r="K676" s="23" t="str">
        <x:v>rental_company</x:v>
      </x:c>
      <x:c r="L676" s="24" t="b">
        <x:v>1</x:v>
      </x:c>
      <x:c r="M676" s="23" t="n">
        <x:v>1</x:v>
      </x:c>
      <x:c r="N676" s="28" t="n">
        <x:v>46219.812988715275</x:v>
      </x:c>
      <x:c r="O676" s="28" t="n">
        <x:v>46219.812988715275</x:v>
      </x:c>
      <x:c r="P676" s="23" t="str">
        <x:v>UBERABA</x:v>
      </x:c>
      <x:c r="Q676" s="30" t="n">
        <x:v>28623</x:v>
      </x:c>
      <x:c r="R676" s="22" t="str">
        <x:f>"11134650"</x:f>
        <x:v>11134650</x:v>
      </x:c>
      <x:c r="S676" s="23" t="str">
        <x:v>masculino</x:v>
      </x:c>
      <x:c r="T676" s="22" t="str"/>
      <x:c r="U676" s="23" t="str">
        <x:v>CRISTIANO CHAVES DE OLIVEIRA</x:v>
      </x:c>
      <x:c r="V676" s="22" t="str">
        <x:f>"040.075.476-29"</x:f>
        <x:v>040.075.476-29</x:v>
      </x:c>
      <x:c r="W676" s="22" t="str">
        <x:f>"04007547629"</x:f>
        <x:v>04007547629</x:v>
      </x:c>
      <x:c r="X676" s="23" t="str">
        <x:v>cristiano.chaves2@gmail.com</x:v>
      </x:c>
      <x:c r="Y676" s="22" t="str">
        <x:f>"34997678549"</x:f>
        <x:v>34997678549</x:v>
      </x:c>
      <x:c r="Z676" s="30" t="n">
        <x:v>46518</x:v>
      </x:c>
    </x:row>
    <x:row r="677" ht="18" customHeight="1">
      <x:c r="A677" s="22" t="str">
        <x:f>"ce3ab7f6-d15b-476e-ad19-361b8333a5d1"</x:f>
        <x:v>ce3ab7f6-d15b-476e-ad19-361b8333a5d1</x:v>
      </x:c>
      <x:c r="B677" s="23" t="str">
        <x:v>CRISTIANO DANTAS</x:v>
      </x:c>
      <x:c r="C677" s="23" t="str">
        <x:v>cristiano dantas</x:v>
      </x:c>
      <x:c r="D677" s="22" t="str">
        <x:f>"47.352.784/0001-80"</x:f>
        <x:v>47.352.784/0001-80</x:v>
      </x:c>
      <x:c r="E677" s="22" t="str">
        <x:f>"47352784000180"</x:f>
        <x:v>47352784000180</x:v>
      </x:c>
      <x:c r="F677" s="22" t="str">
        <x:f>"010.233.961-90"</x:f>
        <x:v>010.233.961-90</x:v>
      </x:c>
      <x:c r="G677" s="22" t="str">
        <x:f>"01023396190"</x:f>
        <x:v>01023396190</x:v>
      </x:c>
      <x:c r="H677" s="23" t="str">
        <x:v>cdantasmal@hotmail.com</x:v>
      </x:c>
      <x:c r="I677" s="22" t="str">
        <x:f>"65 992846246"</x:f>
        <x:v>65 992846246</x:v>
      </x:c>
      <x:c r="J677" s="23" t="str">
        <x:v>SPOT</x:v>
      </x:c>
      <x:c r="K677" s="23" t="str">
        <x:v>favored_only</x:v>
      </x:c>
      <x:c r="L677" s="24" t="b">
        <x:v>1</x:v>
      </x:c>
      <x:c r="M677" s="23" t="n">
        <x:v>1</x:v>
      </x:c>
      <x:c r="N677" s="28" t="n">
        <x:v>46205.60481451389</x:v>
      </x:c>
      <x:c r="O677" s="28" t="n">
        <x:v>46219.812988715275</x:v>
      </x:c>
      <x:c r="P677" s="23" t="str">
        <x:v>PONTES E LACERDA</x:v>
      </x:c>
      <x:c r="Q677" s="30" t="n">
        <x:v>31515</x:v>
      </x:c>
      <x:c r="R677" s="22" t="str">
        <x:f>"15728110"</x:f>
        <x:v>15728110</x:v>
      </x:c>
      <x:c r="S677" s="23" t="str">
        <x:v>masculino</x:v>
      </x:c>
      <x:c r="T677" s="22" t="str">
        <x:f>"RAY3A20"</x:f>
        <x:v>RAY3A20</x:v>
      </x:c>
      <x:c r="U677" s="23" t="str">
        <x:v>WESLEY SANTOS ABREU</x:v>
      </x:c>
      <x:c r="V677" s="22" t="str">
        <x:f>"062.631.491-75"</x:f>
        <x:v>062.631.491-75</x:v>
      </x:c>
      <x:c r="W677" s="22" t="str">
        <x:f>"06263149175"</x:f>
        <x:v>06263149175</x:v>
      </x:c>
      <x:c r="X677" s="23" t="str">
        <x:v>wesleysantosabreu13@gmail.com</x:v>
      </x:c>
      <x:c r="Y677" s="22" t="str">
        <x:f>"65993081162"</x:f>
        <x:v>65993081162</x:v>
      </x:c>
      <x:c r="Z677" s="30" t="n">
        <x:v>46298</x:v>
      </x:c>
    </x:row>
    <x:row r="678" ht="18" customHeight="1">
      <x:c r="A678" s="22" t="str">
        <x:f>"ca78a9cb-8086-49ec-aec1-475564dc5951"</x:f>
        <x:v>ca78a9cb-8086-49ec-aec1-475564dc5951</x:v>
      </x:c>
      <x:c r="B678" s="23" t="str">
        <x:v>CRISTIANO DA SILVA MARCAL</x:v>
      </x:c>
      <x:c r="C678" s="23" t="str">
        <x:v>cristiano da silva marcal</x:v>
      </x:c>
      <x:c r="D678" s="22" t="str">
        <x:f>"63.183.680/0001-46"</x:f>
        <x:v>63.183.680/0001-46</x:v>
      </x:c>
      <x:c r="E678" s="22" t="str">
        <x:f>"63183680000146"</x:f>
        <x:v>63183680000146</x:v>
      </x:c>
      <x:c r="F678" s="22" t="str">
        <x:f>"705.615.586-39"</x:f>
        <x:v>705.615.586-39</x:v>
      </x:c>
      <x:c r="G678" s="22" t="str">
        <x:f>"70561558639"</x:f>
        <x:v>70561558639</x:v>
      </x:c>
      <x:c r="H678" s="23" t="str">
        <x:v>Kikimarshall123@gmail.com</x:v>
      </x:c>
      <x:c r="I678" s="22" t="str">
        <x:f>"(35) 99718-1815"</x:f>
        <x:v>(35) 99718-1815</x:v>
      </x:c>
      <x:c r="J678" s="23" t="str">
        <x:v>RENTAL</x:v>
      </x:c>
      <x:c r="K678" s="23" t="str">
        <x:v>rental_company</x:v>
      </x:c>
      <x:c r="L678" s="24" t="b">
        <x:v>1</x:v>
      </x:c>
      <x:c r="M678" s="23" t="n">
        <x:v>1</x:v>
      </x:c>
      <x:c r="N678" s="28" t="n">
        <x:v>46203.9218771875</x:v>
      </x:c>
      <x:c r="O678" s="28" t="n">
        <x:v>46219.812988715275</x:v>
      </x:c>
      <x:c r="P678" s="23" t="str">
        <x:v>POUSO ALEGRE</x:v>
      </x:c>
      <x:c r="Q678" s="30" t="n">
        <x:v>37446</x:v>
      </x:c>
      <x:c r="R678" s="22" t="str">
        <x:f>"23082684 SSP MG"</x:f>
        <x:v>23082684 SSP MG</x:v>
      </x:c>
      <x:c r="S678" s="23" t="str">
        <x:v>masculino</x:v>
      </x:c>
      <x:c r="T678" s="22" t="str"/>
      <x:c r="U678" s="23" t="str">
        <x:v>CRISTIANO DA SILVA MARCAL</x:v>
      </x:c>
      <x:c r="V678" s="22" t="str">
        <x:f>"705.615.586-39"</x:f>
        <x:v>705.615.586-39</x:v>
      </x:c>
      <x:c r="W678" s="22" t="str">
        <x:f>"70561558639"</x:f>
        <x:v>70561558639</x:v>
      </x:c>
      <x:c r="X678" s="23" t="str">
        <x:v>Kikimarshall123@gmail.com</x:v>
      </x:c>
      <x:c r="Y678" s="22" t="str">
        <x:f>"(35) 99718-1815"</x:f>
        <x:v>(35) 99718-1815</x:v>
      </x:c>
      <x:c r="Z678" s="30" t="n">
        <x:v>46310</x:v>
      </x:c>
    </x:row>
    <x:row r="679" ht="18" customHeight="1">
      <x:c r="A679" s="22" t="str">
        <x:f>"1c944c10-4f5f-4a4b-9da3-167d23c48fa5"</x:f>
        <x:v>1c944c10-4f5f-4a4b-9da3-167d23c48fa5</x:v>
      </x:c>
      <x:c r="B679" s="23" t="str">
        <x:v>CRISTIANO HENRIQUE SILVA PEREIRA</x:v>
      </x:c>
      <x:c r="C679" s="23" t="str">
        <x:v>cristiano henrique silva pereira</x:v>
      </x:c>
      <x:c r="D679" s="22" t="str">
        <x:f>"67.559.776/0001-17"</x:f>
        <x:v>67.559.776/0001-17</x:v>
      </x:c>
      <x:c r="E679" s="22" t="str">
        <x:f>"67559776000117"</x:f>
        <x:v>67559776000117</x:v>
      </x:c>
      <x:c r="F679" s="22" t="str">
        <x:f>"455.395.258-09"</x:f>
        <x:v>455.395.258-09</x:v>
      </x:c>
      <x:c r="G679" s="22" t="str">
        <x:f>"45539525809"</x:f>
        <x:v>45539525809</x:v>
      </x:c>
      <x:c r="H679" s="23" t="str">
        <x:v>cristianohenrique2037@gmail.com</x:v>
      </x:c>
      <x:c r="I679" s="22" t="str">
        <x:f>"16997082308"</x:f>
        <x:v>16997082308</x:v>
      </x:c>
      <x:c r="J679" s="23" t="str">
        <x:v>RENTAL</x:v>
      </x:c>
      <x:c r="K679" s="23" t="str">
        <x:v>rental_company</x:v>
      </x:c>
      <x:c r="L679" s="24" t="b">
        <x:v>1</x:v>
      </x:c>
      <x:c r="M679" s="23" t="n">
        <x:v>1</x:v>
      </x:c>
      <x:c r="N679" s="28" t="n">
        <x:v>46219.812988715275</x:v>
      </x:c>
      <x:c r="O679" s="28" t="n">
        <x:v>46219.812988715275</x:v>
      </x:c>
      <x:c r="P679" s="23" t="str">
        <x:v>SÃO CARLOS</x:v>
      </x:c>
      <x:c r="Q679" s="30" t="n">
        <x:v>37909</x:v>
      </x:c>
      <x:c r="R679" s="22" t="str">
        <x:f>"70082675"</x:f>
        <x:v>70082675</x:v>
      </x:c>
      <x:c r="S679" s="23" t="str">
        <x:v>masculino</x:v>
      </x:c>
      <x:c r="T679" s="22" t="str"/>
      <x:c r="U679" s="23" t="str">
        <x:v>CRISTIANO HENRIQUE SILVA PEREIRA</x:v>
      </x:c>
      <x:c r="V679" s="22" t="str">
        <x:f>"455.395.258-09"</x:f>
        <x:v>455.395.258-09</x:v>
      </x:c>
      <x:c r="W679" s="22" t="str">
        <x:f>"45539525809"</x:f>
        <x:v>45539525809</x:v>
      </x:c>
      <x:c r="X679" s="23" t="str">
        <x:v>cristianohenrique2037@gmail.com</x:v>
      </x:c>
      <x:c r="Y679" s="22" t="str">
        <x:f>"16997082308"</x:f>
        <x:v>16997082308</x:v>
      </x:c>
      <x:c r="Z679" s="30" t="n">
        <x:v>46568</x:v>
      </x:c>
    </x:row>
    <x:row r="680" ht="18" customHeight="1">
      <x:c r="A680" s="22" t="str">
        <x:f>"02dba9e6-41c0-4415-8c81-d5a94c01e1ae"</x:f>
        <x:v>02dba9e6-41c0-4415-8c81-d5a94c01e1ae</x:v>
      </x:c>
      <x:c r="B680" s="23" t="str">
        <x:v>CRISTIANO HONORATO DOS SANTOS</x:v>
      </x:c>
      <x:c r="C680" s="23" t="str">
        <x:v>cristiano honorato dos santos</x:v>
      </x:c>
      <x:c r="D680" s="22" t="str">
        <x:f>"55.585.215/0001-03"</x:f>
        <x:v>55.585.215/0001-03</x:v>
      </x:c>
      <x:c r="E680" s="22" t="str">
        <x:f>"55585215000103"</x:f>
        <x:v>55585215000103</x:v>
      </x:c>
      <x:c r="F680" s="22" t="str">
        <x:f>"328.107.938-59"</x:f>
        <x:v>328.107.938-59</x:v>
      </x:c>
      <x:c r="G680" s="22" t="str">
        <x:f>"32810793859"</x:f>
        <x:v>32810793859</x:v>
      </x:c>
      <x:c r="H680" s="23" t="str">
        <x:v>sonatra123@gmail.com</x:v>
      </x:c>
      <x:c r="I680" s="22" t="str">
        <x:f>"11958100057"</x:f>
        <x:v>11958100057</x:v>
      </x:c>
      <x:c r="J680" s="23" t="str">
        <x:v>SPOT</x:v>
      </x:c>
      <x:c r="K680" s="23" t="str">
        <x:v>favored_only</x:v>
      </x:c>
      <x:c r="L680" s="24" t="b">
        <x:v>1</x:v>
      </x:c>
      <x:c r="M680" s="23" t="n">
        <x:v>1</x:v>
      </x:c>
      <x:c r="N680" s="28" t="n">
        <x:v>46219.812988715275</x:v>
      </x:c>
      <x:c r="O680" s="28" t="n">
        <x:v>46219.812988715275</x:v>
      </x:c>
      <x:c r="P680" s="23" t="str">
        <x:v>BARUERI</x:v>
      </x:c>
      <x:c r="Q680" s="30" t="n">
        <x:v>30623</x:v>
      </x:c>
      <x:c r="R680" s="22" t="str">
        <x:f>"40627112"</x:f>
        <x:v>40627112</x:v>
      </x:c>
      <x:c r="S680" s="23" t="str">
        <x:v>masculino</x:v>
      </x:c>
      <x:c r="T680" s="22" t="str">
        <x:f>"RFQ5G46"</x:f>
        <x:v>RFQ5G46</x:v>
      </x:c>
      <x:c r="U680" s="23" t="str">
        <x:v>CRISTIANO HONORATO DOS SANTOS</x:v>
      </x:c>
      <x:c r="V680" s="22" t="str">
        <x:f>"328.107.938-59"</x:f>
        <x:v>328.107.938-59</x:v>
      </x:c>
      <x:c r="W680" s="22" t="str">
        <x:f>"32810793859"</x:f>
        <x:v>32810793859</x:v>
      </x:c>
      <x:c r="X680" s="23" t="str">
        <x:v>sonatra123@gmail.com</x:v>
      </x:c>
      <x:c r="Y680" s="22" t="str">
        <x:f>"11958100057"</x:f>
        <x:v>11958100057</x:v>
      </x:c>
      <x:c r="Z680" s="30" t="n">
        <x:v>46472</x:v>
      </x:c>
    </x:row>
    <x:row r="681" ht="18" customHeight="1">
      <x:c r="A681" s="22" t="str">
        <x:f>"09d84572-61d4-432a-abdd-61afcc247a4f"</x:f>
        <x:v>09d84572-61d4-432a-abdd-61afcc247a4f</x:v>
      </x:c>
      <x:c r="B681" s="23" t="str">
        <x:v>CRISTIANO LEAL DE BARROS DE SOUZA</x:v>
      </x:c>
      <x:c r="C681" s="23" t="str">
        <x:v>cristiano leal de barros de souza</x:v>
      </x:c>
      <x:c r="D681" s="22" t="str">
        <x:f>"62.073.709/0001-74"</x:f>
        <x:v>62.073.709/0001-74</x:v>
      </x:c>
      <x:c r="E681" s="22" t="str">
        <x:f>"62073709000174"</x:f>
        <x:v>62073709000174</x:v>
      </x:c>
      <x:c r="F681" s="22" t="str">
        <x:f>"040.334.829-38"</x:f>
        <x:v>040.334.829-38</x:v>
      </x:c>
      <x:c r="G681" s="22" t="str">
        <x:f>"04033482938"</x:f>
        <x:v>04033482938</x:v>
      </x:c>
      <x:c r="H681" s="23" t="str">
        <x:v>souzalimacris2610@gmail.com</x:v>
      </x:c>
      <x:c r="I681" s="22" t="str">
        <x:f>"+55 41 9128-8329"</x:f>
        <x:v>+55 41 9128-8329</x:v>
      </x:c>
      <x:c r="J681" s="23" t="str">
        <x:v>SPOT</x:v>
      </x:c>
      <x:c r="K681" s="23" t="str">
        <x:v>favored_only</x:v>
      </x:c>
      <x:c r="L681" s="24" t="b">
        <x:v>1</x:v>
      </x:c>
      <x:c r="M681" s="23" t="n">
        <x:v>1</x:v>
      </x:c>
      <x:c r="N681" s="28" t="n">
        <x:v>46203.92191240741</x:v>
      </x:c>
      <x:c r="O681" s="28" t="n">
        <x:v>46219.812988715275</x:v>
      </x:c>
      <x:c r="P681" s="23" t="str">
        <x:v>SINOP</x:v>
      </x:c>
      <x:c r="Q681" s="30" t="n">
        <x:v>30981</x:v>
      </x:c>
      <x:c r="R681" s="22" t="str">
        <x:f>"130189598"</x:f>
        <x:v>130189598</x:v>
      </x:c>
      <x:c r="S681" s="23" t="str">
        <x:v>masculino</x:v>
      </x:c>
      <x:c r="T681" s="22" t="str">
        <x:f>"RDX5I75"</x:f>
        <x:v>RDX5I75</x:v>
      </x:c>
      <x:c r="U681" s="23" t="str">
        <x:v>CRISTIANO LEAL DE BARROS DE SOUZA</x:v>
      </x:c>
      <x:c r="V681" s="22" t="str">
        <x:f>"040.334.829-38"</x:f>
        <x:v>040.334.829-38</x:v>
      </x:c>
      <x:c r="W681" s="22" t="str">
        <x:f>"04033482938"</x:f>
        <x:v>04033482938</x:v>
      </x:c>
      <x:c r="X681" s="23" t="str">
        <x:v>souzalimacris2610@gmail.com</x:v>
      </x:c>
      <x:c r="Y681" s="22" t="str">
        <x:f>"+55 41 9128-8329"</x:f>
        <x:v>+55 41 9128-8329</x:v>
      </x:c>
      <x:c r="Z681" s="30" t="n">
        <x:v>46229</x:v>
      </x:c>
    </x:row>
    <x:row r="682" ht="18" customHeight="1">
      <x:c r="A682" s="22" t="str">
        <x:f>"abbf92a2-94fb-455c-9944-b8b9e6d974b5"</x:f>
        <x:v>abbf92a2-94fb-455c-9944-b8b9e6d974b5</x:v>
      </x:c>
      <x:c r="B682" s="23" t="str">
        <x:v>CRISTIANO MANSUR DOS SANTOS</x:v>
      </x:c>
      <x:c r="C682" s="23" t="str">
        <x:v>cristiano mansur dos santos</x:v>
      </x:c>
      <x:c r="D682" s="22" t="str">
        <x:f>"56.945.766/0001-01"</x:f>
        <x:v>56.945.766/0001-01</x:v>
      </x:c>
      <x:c r="E682" s="22" t="str">
        <x:f>"56945766000101"</x:f>
        <x:v>56945766000101</x:v>
      </x:c>
      <x:c r="F682" s="22" t="str">
        <x:f>"115.404.927-29"</x:f>
        <x:v>115.404.927-29</x:v>
      </x:c>
      <x:c r="G682" s="22" t="str">
        <x:f>"11540492729"</x:f>
        <x:v>11540492729</x:v>
      </x:c>
      <x:c r="H682" s="23" t="str">
        <x:v>mansurbr@gmail.com</x:v>
      </x:c>
      <x:c r="I682" s="22" t="str">
        <x:f>"22998281178"</x:f>
        <x:v>22998281178</x:v>
      </x:c>
      <x:c r="J682" s="23" t="str">
        <x:v>SPOT</x:v>
      </x:c>
      <x:c r="K682" s="23" t="str">
        <x:v>favored_only</x:v>
      </x:c>
      <x:c r="L682" s="24" t="b">
        <x:v>1</x:v>
      </x:c>
      <x:c r="M682" s="23" t="n">
        <x:v>1</x:v>
      </x:c>
      <x:c r="N682" s="28" t="n">
        <x:v>46203.9218771875</x:v>
      </x:c>
      <x:c r="O682" s="28" t="n">
        <x:v>46219.812988715275</x:v>
      </x:c>
      <x:c r="P682" s="23" t="str">
        <x:v>CAMPOS DOS GOYTACAZES</x:v>
      </x:c>
      <x:c r="Q682" s="30" t="n">
        <x:v>31592</x:v>
      </x:c>
      <x:c r="R682" s="22" t="str">
        <x:f>"216192393"</x:f>
        <x:v>216192393</x:v>
      </x:c>
      <x:c r="S682" s="23" t="str">
        <x:v>masculino</x:v>
      </x:c>
      <x:c r="T682" s="22" t="str">
        <x:f>"LLA8E60"</x:f>
        <x:v>LLA8E60</x:v>
      </x:c>
      <x:c r="U682" s="23" t="str">
        <x:v>CRISTIANO MANSUR DOS SANTOS</x:v>
      </x:c>
      <x:c r="V682" s="22" t="str">
        <x:f>"115.404.927-29"</x:f>
        <x:v>115.404.927-29</x:v>
      </x:c>
      <x:c r="W682" s="22" t="str">
        <x:f>"11540492729"</x:f>
        <x:v>11540492729</x:v>
      </x:c>
      <x:c r="X682" s="23" t="str">
        <x:v>mansurbr@gmail.com</x:v>
      </x:c>
      <x:c r="Y682" s="22" t="str">
        <x:f>"22998281178"</x:f>
        <x:v>22998281178</x:v>
      </x:c>
      <x:c r="Z682" s="30" t="n">
        <x:v>46305</x:v>
      </x:c>
    </x:row>
    <x:row r="683" ht="18" customHeight="1">
      <x:c r="A683" s="22" t="str">
        <x:f>"4e7e5464-ebda-4bc8-8d5b-710b49d25c7c"</x:f>
        <x:v>4e7e5464-ebda-4bc8-8d5b-710b49d25c7c</x:v>
      </x:c>
      <x:c r="B683" s="23" t="str">
        <x:v>CRISTIANO NUNES SARAIVA</x:v>
      </x:c>
      <x:c r="C683" s="23" t="str">
        <x:v>cristiano nunes saraiva</x:v>
      </x:c>
      <x:c r="D683" s="22" t="str">
        <x:f>"64.687.117/0001-78"</x:f>
        <x:v>64.687.117/0001-78</x:v>
      </x:c>
      <x:c r="E683" s="22" t="str">
        <x:f>"64687117000178"</x:f>
        <x:v>64687117000178</x:v>
      </x:c>
      <x:c r="F683" s="22" t="str">
        <x:f>"057.072.616-64"</x:f>
        <x:v>057.072.616-64</x:v>
      </x:c>
      <x:c r="G683" s="22" t="str">
        <x:f>"05707261664"</x:f>
        <x:v>05707261664</x:v>
      </x:c>
      <x:c r="H683" s="23" t="str">
        <x:v>saraiva.cristiano@hotmail.com</x:v>
      </x:c>
      <x:c r="I683" s="22" t="str">
        <x:f>"( 34) 992374122"</x:f>
        <x:v>( 34) 992374122</x:v>
      </x:c>
      <x:c r="J683" s="23" t="str">
        <x:v>rental</x:v>
      </x:c>
      <x:c r="K683" s="23" t="str">
        <x:v>rental_company</x:v>
      </x:c>
      <x:c r="L683" s="24" t="b">
        <x:v>1</x:v>
      </x:c>
      <x:c r="M683" s="23" t="n">
        <x:v>1</x:v>
      </x:c>
      <x:c r="N683" s="28" t="n">
        <x:v>46219.812988715275</x:v>
      </x:c>
      <x:c r="O683" s="28" t="n">
        <x:v>46219.812988715275</x:v>
      </x:c>
      <x:c r="P683" s="23" t="str">
        <x:v>UBERLANDIA</x:v>
      </x:c>
      <x:c r="Q683" s="30" t="n">
        <x:v>28433</x:v>
      </x:c>
      <x:c r="R683" s="22" t="str">
        <x:f>"13055132"</x:f>
        <x:v>13055132</x:v>
      </x:c>
      <x:c r="S683" s="23" t="str">
        <x:v>masculino</x:v>
      </x:c>
      <x:c r="T683" s="22" t="str"/>
      <x:c r="U683" s="23" t="str">
        <x:v>CRISTIANO NUNES SARAIVA</x:v>
      </x:c>
      <x:c r="V683" s="22" t="str">
        <x:f>"057.072.616-64"</x:f>
        <x:v>057.072.616-64</x:v>
      </x:c>
      <x:c r="W683" s="22" t="str">
        <x:f>"05707261664"</x:f>
        <x:v>05707261664</x:v>
      </x:c>
      <x:c r="X683" s="23" t="str">
        <x:v>saraiva.cristiano@hotmail.com</x:v>
      </x:c>
      <x:c r="Y683" s="22" t="str">
        <x:f>"( 34) 992374122"</x:f>
        <x:v>( 34) 992374122</x:v>
      </x:c>
      <x:c r="Z683" s="30" t="n">
        <x:v>46540</x:v>
      </x:c>
    </x:row>
    <x:row r="684" ht="18" customHeight="1">
      <x:c r="A684" s="22" t="str">
        <x:f>"0e3f830e-44eb-4ab6-8d24-6c6168c193db"</x:f>
        <x:v>0e3f830e-44eb-4ab6-8d24-6c6168c193db</x:v>
      </x:c>
      <x:c r="B684" s="23" t="str">
        <x:v>CRISTIANO REIS DE OLIVEIRA</x:v>
      </x:c>
      <x:c r="C684" s="23" t="str">
        <x:v>cristiano reis de oliveira</x:v>
      </x:c>
      <x:c r="D684" s="22" t="str">
        <x:f>"64.221.513/0001-05"</x:f>
        <x:v>64.221.513/0001-05</x:v>
      </x:c>
      <x:c r="E684" s="22" t="str">
        <x:f>"64221513000105"</x:f>
        <x:v>64221513000105</x:v>
      </x:c>
      <x:c r="F684" s="22" t="str">
        <x:f>"076.496.006-70"</x:f>
        <x:v>076.496.006-70</x:v>
      </x:c>
      <x:c r="G684" s="22" t="str">
        <x:f>"07649600670"</x:f>
        <x:v>07649600670</x:v>
      </x:c>
      <x:c r="H684" s="23" t="str">
        <x:v>cristianodph@gmail.com</x:v>
      </x:c>
      <x:c r="I684" s="22" t="str">
        <x:f>"(34)99944-7241"</x:f>
        <x:v>(34)99944-7241</x:v>
      </x:c>
      <x:c r="J684" s="23" t="str">
        <x:v>SPOT</x:v>
      </x:c>
      <x:c r="K684" s="23" t="str">
        <x:v>favored_only</x:v>
      </x:c>
      <x:c r="L684" s="24" t="b">
        <x:v>1</x:v>
      </x:c>
      <x:c r="M684" s="23" t="n">
        <x:v>1</x:v>
      </x:c>
      <x:c r="N684" s="28" t="n">
        <x:v>46219.812988715275</x:v>
      </x:c>
      <x:c r="O684" s="28" t="n">
        <x:v>46219.812988715275</x:v>
      </x:c>
      <x:c r="P684" s="23" t="str">
        <x:v>UBERABA</x:v>
      </x:c>
      <x:c r="Q684" s="30" t="n">
        <x:v>31794</x:v>
      </x:c>
      <x:c r="R684" s="22" t="str">
        <x:f>"M 10523049"</x:f>
        <x:v>M 10523049</x:v>
      </x:c>
      <x:c r="S684" s="23" t="str">
        <x:v>masculino</x:v>
      </x:c>
      <x:c r="T684" s="22" t="str">
        <x:f>"QHY3G56"</x:f>
        <x:v>QHY3G56</x:v>
      </x:c>
      <x:c r="U684" s="23" t="str">
        <x:v>CRISTIANO REIS DE OLIVEIRA</x:v>
      </x:c>
      <x:c r="V684" s="22" t="str">
        <x:f>"076.496.006-70"</x:f>
        <x:v>076.496.006-70</x:v>
      </x:c>
      <x:c r="W684" s="22" t="str">
        <x:f>"07649600670"</x:f>
        <x:v>07649600670</x:v>
      </x:c>
      <x:c r="X684" s="23" t="str">
        <x:v>cristianodph@gmail.com</x:v>
      </x:c>
      <x:c r="Y684" s="22" t="str">
        <x:f>"(34)99944-7241"</x:f>
        <x:v>(34)99944-7241</x:v>
      </x:c>
      <x:c r="Z684" s="30" t="n">
        <x:v>46464</x:v>
      </x:c>
    </x:row>
    <x:row r="685" ht="18" customHeight="1">
      <x:c r="A685" s="22" t="str">
        <x:f>"d479f317-b68c-4256-9638-8ec4114987d3"</x:f>
        <x:v>d479f317-b68c-4256-9638-8ec4114987d3</x:v>
      </x:c>
      <x:c r="B685" s="23" t="str">
        <x:v>Cristiano Rogerio Mangolim</x:v>
      </x:c>
      <x:c r="C685" s="23" t="str">
        <x:v>cristiano rogerio mangolim</x:v>
      </x:c>
      <x:c r="D685" s="22" t="str">
        <x:f>"52.090.193/0001-12"</x:f>
        <x:v>52.090.193/0001-12</x:v>
      </x:c>
      <x:c r="E685" s="22" t="str">
        <x:f>"52090193000112"</x:f>
        <x:v>52090193000112</x:v>
      </x:c>
      <x:c r="F685" s="22" t="str">
        <x:f>"045.350.431-08"</x:f>
        <x:v>045.350.431-08</x:v>
      </x:c>
      <x:c r="G685" s="22" t="str">
        <x:f>"04535043108"</x:f>
        <x:v>04535043108</x:v>
      </x:c>
      <x:c r="H685" s="23" t="str">
        <x:v>cristianorogeriomangolim@gmail.com</x:v>
      </x:c>
      <x:c r="I685" s="22" t="str">
        <x:f>"(66) 992370774"</x:f>
        <x:v>(66) 992370774</x:v>
      </x:c>
      <x:c r="J685" s="23" t="str">
        <x:v>SPOT</x:v>
      </x:c>
      <x:c r="K685" s="23" t="str">
        <x:v>favored_only</x:v>
      </x:c>
      <x:c r="L685" s="24" t="b">
        <x:v>1</x:v>
      </x:c>
      <x:c r="M685" s="23" t="n">
        <x:v>3</x:v>
      </x:c>
      <x:c r="N685" s="28" t="n">
        <x:v>46203.92183017361</x:v>
      </x:c>
      <x:c r="O685" s="28" t="n">
        <x:v>46203.92183017361</x:v>
      </x:c>
      <x:c r="P685" s="23" t="str"/>
      <x:c r="Q685" s="30" t="str"/>
      <x:c r="R685" s="22" t="str"/>
      <x:c r="S685" s="23" t="str"/>
      <x:c r="T685" s="22" t="str"/>
      <x:c r="U685" s="23" t="str">
        <x:v>Cristiano Rogerio Mangolim</x:v>
      </x:c>
      <x:c r="V685" s="22" t="str">
        <x:f>"045.350.431-08"</x:f>
        <x:v>045.350.431-08</x:v>
      </x:c>
      <x:c r="W685" s="22" t="str">
        <x:f>"04535043108"</x:f>
        <x:v>04535043108</x:v>
      </x:c>
      <x:c r="X685" s="23" t="str">
        <x:v>cristianorogeriomangolim@gmail.com</x:v>
      </x:c>
      <x:c r="Y685" s="22" t="str">
        <x:f>"66) 992370774"</x:f>
        <x:v>66) 992370774</x:v>
      </x:c>
      <x:c r="Z685" s="30" t="str"/>
    </x:row>
    <x:row r="686" ht="18" customHeight="1">
      <x:c r="A686" s="22" t="str">
        <x:f>"bd698fdf-8fa6-4b19-8e9b-2d57160a7a12"</x:f>
        <x:v>bd698fdf-8fa6-4b19-8e9b-2d57160a7a12</x:v>
      </x:c>
      <x:c r="B686" s="23" t="str">
        <x:v>CRISTIAN REIS DA COSTA</x:v>
      </x:c>
      <x:c r="C686" s="23" t="str">
        <x:v>cristian reis da costa</x:v>
      </x:c>
      <x:c r="D686" s="22" t="str">
        <x:f>"64.818.870/0001-55"</x:f>
        <x:v>64.818.870/0001-55</x:v>
      </x:c>
      <x:c r="E686" s="22" t="str">
        <x:f>"64818870000155"</x:f>
        <x:v>64818870000155</x:v>
      </x:c>
      <x:c r="F686" s="22" t="str">
        <x:f>"438.924.948-78"</x:f>
        <x:v>438.924.948-78</x:v>
      </x:c>
      <x:c r="G686" s="22" t="str">
        <x:f>"43892494878"</x:f>
        <x:v>43892494878</x:v>
      </x:c>
      <x:c r="H686" s="23" t="str">
        <x:v>cristian.reis.costa@gmail.com</x:v>
      </x:c>
      <x:c r="I686" s="22" t="str">
        <x:f>"17992232079"</x:f>
        <x:v>17992232079</x:v>
      </x:c>
      <x:c r="J686" s="23" t="str">
        <x:v>SPOT</x:v>
      </x:c>
      <x:c r="K686" s="23" t="str">
        <x:v>favored_only</x:v>
      </x:c>
      <x:c r="L686" s="24" t="b">
        <x:v>1</x:v>
      </x:c>
      <x:c r="M686" s="23" t="n">
        <x:v>1</x:v>
      </x:c>
      <x:c r="N686" s="28" t="n">
        <x:v>46219.812988715275</x:v>
      </x:c>
      <x:c r="O686" s="28" t="n">
        <x:v>46219.812988715275</x:v>
      </x:c>
      <x:c r="P686" s="23" t="str">
        <x:v>SÃO JOSE DO RIO PRETO</x:v>
      </x:c>
      <x:c r="Q686" s="30" t="n">
        <x:v>35867</x:v>
      </x:c>
      <x:c r="R686" s="22" t="str">
        <x:f>"54173900"</x:f>
        <x:v>54173900</x:v>
      </x:c>
      <x:c r="S686" s="23" t="str">
        <x:v>masculino</x:v>
      </x:c>
      <x:c r="T686" s="22" t="str">
        <x:f>"NRN9D16"</x:f>
        <x:v>NRN9D16</x:v>
      </x:c>
      <x:c r="U686" s="23" t="str">
        <x:v>CRISTIAN REIS DA COSTA</x:v>
      </x:c>
      <x:c r="V686" s="22" t="str">
        <x:f>"438.924.948-78"</x:f>
        <x:v>438.924.948-78</x:v>
      </x:c>
      <x:c r="W686" s="22" t="str">
        <x:f>"43892494878"</x:f>
        <x:v>43892494878</x:v>
      </x:c>
      <x:c r="X686" s="23" t="str">
        <x:v>cristian.reis.costa@gmail.com</x:v>
      </x:c>
      <x:c r="Y686" s="22" t="str">
        <x:f>"17992232079"</x:f>
        <x:v>17992232079</x:v>
      </x:c>
      <x:c r="Z686" s="30" t="n">
        <x:v>46420</x:v>
      </x:c>
    </x:row>
    <x:row r="687" ht="18" customHeight="1">
      <x:c r="A687" s="22" t="str">
        <x:f>"89dd2057-bb28-47fd-ba81-dfa01967b371"</x:f>
        <x:v>89dd2057-bb28-47fd-ba81-dfa01967b371</x:v>
      </x:c>
      <x:c r="B687" s="23" t="str">
        <x:v>CRISTINA ANNES DOS SANTOS</x:v>
      </x:c>
      <x:c r="C687" s="23" t="str">
        <x:v>cristina annes dos santos</x:v>
      </x:c>
      <x:c r="D687" s="22" t="str">
        <x:f>"62.358.223/0001-82"</x:f>
        <x:v>62.358.223/0001-82</x:v>
      </x:c>
      <x:c r="E687" s="22" t="str">
        <x:f>"62358223000182"</x:f>
        <x:v>62358223000182</x:v>
      </x:c>
      <x:c r="F687" s="22" t="str">
        <x:f>"304.147.018-79"</x:f>
        <x:v>304.147.018-79</x:v>
      </x:c>
      <x:c r="G687" s="22" t="str">
        <x:f>"30414701879"</x:f>
        <x:v>30414701879</x:v>
      </x:c>
      <x:c r="H687" s="23" t="str">
        <x:v>cristinaannes365@gmail.com</x:v>
      </x:c>
      <x:c r="I687" s="22" t="str">
        <x:f>"16 99210-9407"</x:f>
        <x:v>16 99210-9407</x:v>
      </x:c>
      <x:c r="J687" s="23" t="str">
        <x:v>DESCONHECIDO</x:v>
      </x:c>
      <x:c r="K687" s="23" t="str">
        <x:v>favored_only</x:v>
      </x:c>
      <x:c r="L687" s="24" t="b">
        <x:v>1</x:v>
      </x:c>
      <x:c r="M687" s="23" t="n">
        <x:v>1</x:v>
      </x:c>
      <x:c r="N687" s="28" t="n">
        <x:v>46219.812988715275</x:v>
      </x:c>
      <x:c r="O687" s="28" t="n">
        <x:v>46219.812988715275</x:v>
      </x:c>
      <x:c r="P687" s="23" t="str">
        <x:v>RIBEIRAO PRETO</x:v>
      </x:c>
      <x:c r="Q687" s="30" t="n">
        <x:v>29931</x:v>
      </x:c>
      <x:c r="R687" s="22" t="str">
        <x:f>"41379286"</x:f>
        <x:v>41379286</x:v>
      </x:c>
      <x:c r="S687" s="23" t="str">
        <x:v>feminino</x:v>
      </x:c>
      <x:c r="T687" s="22" t="str">
        <x:f>"CPN4F29"</x:f>
        <x:v>CPN4F29</x:v>
      </x:c>
      <x:c r="U687" s="23" t="str">
        <x:v>CRISTINA ANNES DOS SANTOS</x:v>
      </x:c>
      <x:c r="V687" s="22" t="str">
        <x:f>"304.147.018-79"</x:f>
        <x:v>304.147.018-79</x:v>
      </x:c>
      <x:c r="W687" s="22" t="str">
        <x:f>"30414701879"</x:f>
        <x:v>30414701879</x:v>
      </x:c>
      <x:c r="X687" s="23" t="str">
        <x:v>cristinaannes365@gmail.com</x:v>
      </x:c>
      <x:c r="Y687" s="22" t="str">
        <x:f>"16 99210-9407"</x:f>
        <x:v>16 99210-9407</x:v>
      </x:c>
      <x:c r="Z687" s="30" t="n">
        <x:v>46414</x:v>
      </x:c>
    </x:row>
    <x:row r="688" ht="18" customHeight="1">
      <x:c r="A688" s="22" t="str">
        <x:f>"104d7c29-0807-43e1-8727-41cd75293ebf"</x:f>
        <x:v>104d7c29-0807-43e1-8727-41cd75293ebf</x:v>
      </x:c>
      <x:c r="B688" s="23" t="str">
        <x:v>CYNESIO PINTO DE CARVALHO NETTO</x:v>
      </x:c>
      <x:c r="C688" s="23" t="str">
        <x:v>cynesio pinto de carvalho netto</x:v>
      </x:c>
      <x:c r="D688" s="22" t="str">
        <x:f>"63.336.174/0001-40"</x:f>
        <x:v>63.336.174/0001-40</x:v>
      </x:c>
      <x:c r="E688" s="22" t="str">
        <x:f>"63336174000140"</x:f>
        <x:v>63336174000140</x:v>
      </x:c>
      <x:c r="F688" s="22" t="str">
        <x:f>"395.363.958-78"</x:f>
        <x:v>395.363.958-78</x:v>
      </x:c>
      <x:c r="G688" s="22" t="str">
        <x:f>"39536395878"</x:f>
        <x:v>39536395878</x:v>
      </x:c>
      <x:c r="H688" s="23" t="str">
        <x:v>cynesionn@gmail.com</x:v>
      </x:c>
      <x:c r="I688" s="22" t="str">
        <x:f>"18 98813-8107"</x:f>
        <x:v>18 98813-8107</x:v>
      </x:c>
      <x:c r="J688" s="23" t="str">
        <x:v>RENTAL</x:v>
      </x:c>
      <x:c r="K688" s="23" t="str">
        <x:v>rental_company</x:v>
      </x:c>
      <x:c r="L688" s="24" t="b">
        <x:v>1</x:v>
      </x:c>
      <x:c r="M688" s="23" t="n">
        <x:v>1</x:v>
      </x:c>
      <x:c r="N688" s="28" t="n">
        <x:v>46203.92188238426</x:v>
      </x:c>
      <x:c r="O688" s="28" t="n">
        <x:v>46219.812988715275</x:v>
      </x:c>
      <x:c r="P688" s="23" t="str">
        <x:v>PRESIDENTE PRUDENTE</x:v>
      </x:c>
      <x:c r="Q688" s="30" t="n">
        <x:v>38384</x:v>
      </x:c>
      <x:c r="R688" s="22" t="str">
        <x:f>"55983424X"</x:f>
        <x:v>55983424X</x:v>
      </x:c>
      <x:c r="S688" s="23" t="str">
        <x:v>masculino</x:v>
      </x:c>
      <x:c r="T688" s="22" t="str"/>
      <x:c r="U688" s="23" t="str">
        <x:v>CYNESIO PINTO DE CARVALHO NETTO</x:v>
      </x:c>
      <x:c r="V688" s="22" t="str">
        <x:f>"395.363.958-78"</x:f>
        <x:v>395.363.958-78</x:v>
      </x:c>
      <x:c r="W688" s="22" t="str">
        <x:f>"39536395878"</x:f>
        <x:v>39536395878</x:v>
      </x:c>
      <x:c r="X688" s="23" t="str">
        <x:v>cynesionn@gmail.com</x:v>
      </x:c>
      <x:c r="Y688" s="22" t="str">
        <x:f>"18 98813-8107"</x:f>
        <x:v>18 98813-8107</x:v>
      </x:c>
      <x:c r="Z688" s="30" t="n">
        <x:v>46318</x:v>
      </x:c>
    </x:row>
    <x:row r="689" ht="18" customHeight="1">
      <x:c r="A689" s="22" t="str">
        <x:f>"3b48d717-9e50-4e44-9d3f-9d8571663d84"</x:f>
        <x:v>3b48d717-9e50-4e44-9d3f-9d8571663d84</x:v>
      </x:c>
      <x:c r="B689" s="23" t="str">
        <x:v>DAIANA APARECIDA DOS SANTOS NOLON</x:v>
      </x:c>
      <x:c r="C689" s="23" t="str">
        <x:v>daiana aparecida dos santos nolon</x:v>
      </x:c>
      <x:c r="D689" s="22" t="str">
        <x:f>"67.041.092/0001-29"</x:f>
        <x:v>67.041.092/0001-29</x:v>
      </x:c>
      <x:c r="E689" s="22" t="str">
        <x:f>"67041092000129"</x:f>
        <x:v>67041092000129</x:v>
      </x:c>
      <x:c r="F689" s="22" t="str">
        <x:f>"376.979.498-22"</x:f>
        <x:v>376.979.498-22</x:v>
      </x:c>
      <x:c r="G689" s="22" t="str">
        <x:f>"37697949822"</x:f>
        <x:v>37697949822</x:v>
      </x:c>
      <x:c r="H689" s="23" t="str">
        <x:v>kairanolon6@gmail.com</x:v>
      </x:c>
      <x:c r="I689" s="22" t="str">
        <x:f>"+55 14 99141-9570"</x:f>
        <x:v>+55 14 99141-9570</x:v>
      </x:c>
      <x:c r="J689" s="23" t="str">
        <x:v>SPOT</x:v>
      </x:c>
      <x:c r="K689" s="23" t="str">
        <x:v>favored_only</x:v>
      </x:c>
      <x:c r="L689" s="24" t="b">
        <x:v>1</x:v>
      </x:c>
      <x:c r="M689" s="23" t="n">
        <x:v>2</x:v>
      </x:c>
      <x:c r="N689" s="28" t="n">
        <x:v>46219.812988715275</x:v>
      </x:c>
      <x:c r="O689" s="28" t="n">
        <x:v>46219.812988715275</x:v>
      </x:c>
      <x:c r="P689" s="23" t="str">
        <x:v>MARILIA</x:v>
      </x:c>
      <x:c r="Q689" s="30" t="n">
        <x:v>32778</x:v>
      </x:c>
      <x:c r="R689" s="22" t="str">
        <x:f>"45802387"</x:f>
        <x:v>45802387</x:v>
      </x:c>
      <x:c r="S689" s="23" t="str">
        <x:v>feminino</x:v>
      </x:c>
      <x:c r="T689" s="22" t="str">
        <x:f>"FOZ9C92"</x:f>
        <x:v>FOZ9C92</x:v>
      </x:c>
      <x:c r="U689" s="23" t="str">
        <x:v>DAIANA APARECIDA DOS SANTOS NOLON</x:v>
      </x:c>
      <x:c r="V689" s="22" t="str">
        <x:f>"376.979.498-22"</x:f>
        <x:v>376.979.498-22</x:v>
      </x:c>
      <x:c r="W689" s="22" t="str">
        <x:f>"37697949822"</x:f>
        <x:v>37697949822</x:v>
      </x:c>
      <x:c r="X689" s="23" t="str">
        <x:v>kairanolon6@gmail.com</x:v>
      </x:c>
      <x:c r="Y689" s="22" t="str">
        <x:f>"+55 14 99141-9570"</x:f>
        <x:v>+55 14 99141-9570</x:v>
      </x:c>
      <x:c r="Z689" s="30" t="n">
        <x:v>46553</x:v>
      </x:c>
    </x:row>
    <x:row r="690" ht="18" customHeight="1">
      <x:c r="A690" s="22" t="str">
        <x:f>"27b5506f-3f08-41b5-b6cd-9404664a8dd1"</x:f>
        <x:v>27b5506f-3f08-41b5-b6cd-9404664a8dd1</x:v>
      </x:c>
      <x:c r="B690" s="23" t="str">
        <x:v>DAIANE CRISTINA AGOSTINHO FERREIRA</x:v>
      </x:c>
      <x:c r="C690" s="23" t="str">
        <x:v>daiane cristina agostinho ferreira</x:v>
      </x:c>
      <x:c r="D690" s="22" t="str">
        <x:f>"60.359.164/0001-31"</x:f>
        <x:v>60.359.164/0001-31</x:v>
      </x:c>
      <x:c r="E690" s="22" t="str">
        <x:f>"60359164000131"</x:f>
        <x:v>60359164000131</x:v>
      </x:c>
      <x:c r="F690" s="22" t="str">
        <x:f>"365.416.178-21"</x:f>
        <x:v>365.416.178-21</x:v>
      </x:c>
      <x:c r="G690" s="22" t="str">
        <x:f>"36541617821"</x:f>
        <x:v>36541617821</x:v>
      </x:c>
      <x:c r="H690" s="23" t="str">
        <x:v>daianeagostinhoferreira@gmail.com</x:v>
      </x:c>
      <x:c r="I690" s="22" t="str">
        <x:f>"16996146485"</x:f>
        <x:v>16996146485</x:v>
      </x:c>
      <x:c r="J690" s="23" t="str">
        <x:v>SPOT</x:v>
      </x:c>
      <x:c r="K690" s="23" t="str">
        <x:v>favored_only</x:v>
      </x:c>
      <x:c r="L690" s="24" t="b">
        <x:v>1</x:v>
      </x:c>
      <x:c r="M690" s="23" t="n">
        <x:v>1</x:v>
      </x:c>
      <x:c r="N690" s="28" t="n">
        <x:v>46203.9218771875</x:v>
      </x:c>
      <x:c r="O690" s="28" t="n">
        <x:v>46219.812988715275</x:v>
      </x:c>
      <x:c r="P690" s="23" t="str">
        <x:v>SÃO CARLOS</x:v>
      </x:c>
      <x:c r="Q690" s="30" t="n">
        <x:v>31663</x:v>
      </x:c>
      <x:c r="R690" s="22" t="str">
        <x:f>"41059406-4"</x:f>
        <x:v>41059406-4</x:v>
      </x:c>
      <x:c r="S690" s="23" t="str">
        <x:v>feminino</x:v>
      </x:c>
      <x:c r="T690" s="22" t="str">
        <x:f>"EFS8688"</x:f>
        <x:v>EFS8688</x:v>
      </x:c>
      <x:c r="U690" s="23" t="str">
        <x:v>DAIANE CRISTINA AGOSTINHO FERREIRA</x:v>
      </x:c>
      <x:c r="V690" s="22" t="str">
        <x:f>"365.416.178-21"</x:f>
        <x:v>365.416.178-21</x:v>
      </x:c>
      <x:c r="W690" s="22" t="str">
        <x:f>"36541617821"</x:f>
        <x:v>36541617821</x:v>
      </x:c>
      <x:c r="X690" s="23" t="str">
        <x:v>daianeagostinhoferreira@gmail.com</x:v>
      </x:c>
      <x:c r="Y690" s="22" t="str">
        <x:f>"16996146485"</x:f>
        <x:v>16996146485</x:v>
      </x:c>
      <x:c r="Z690" s="30" t="n">
        <x:v>46305</x:v>
      </x:c>
    </x:row>
    <x:row r="691" ht="18" customHeight="1">
      <x:c r="A691" s="22" t="str">
        <x:f>"dce6c0d7-aba3-49b9-8cfa-3ceb59f8fcae"</x:f>
        <x:v>dce6c0d7-aba3-49b9-8cfa-3ceb59f8fcae</x:v>
      </x:c>
      <x:c r="B691" s="23" t="str">
        <x:v>DAIANE DA SILVA</x:v>
      </x:c>
      <x:c r="C691" s="23" t="str">
        <x:v>daiane da silva</x:v>
      </x:c>
      <x:c r="D691" s="22" t="str">
        <x:f>"61.509.317/0001-42"</x:f>
        <x:v>61.509.317/0001-42</x:v>
      </x:c>
      <x:c r="E691" s="22" t="str">
        <x:f>"61509317000142"</x:f>
        <x:v>61509317000142</x:v>
      </x:c>
      <x:c r="F691" s="22" t="str">
        <x:f>"049.098.141-08"</x:f>
        <x:v>049.098.141-08</x:v>
      </x:c>
      <x:c r="G691" s="22" t="str">
        <x:f>"04909814108"</x:f>
        <x:v>04909814108</x:v>
      </x:c>
      <x:c r="H691" s="23" t="str">
        <x:v>daianesilvasouza2026@gmail.com</x:v>
      </x:c>
      <x:c r="I691" s="22" t="str">
        <x:f>"66 9957-9201"</x:f>
        <x:v>66 9957-9201</x:v>
      </x:c>
      <x:c r="J691" s="23" t="str">
        <x:v>SPOT</x:v>
      </x:c>
      <x:c r="K691" s="23" t="str">
        <x:v>favored_only</x:v>
      </x:c>
      <x:c r="L691" s="24" t="b">
        <x:v>1</x:v>
      </x:c>
      <x:c r="M691" s="23" t="n">
        <x:v>1</x:v>
      </x:c>
      <x:c r="N691" s="28" t="n">
        <x:v>46219.812988715275</x:v>
      </x:c>
      <x:c r="O691" s="28" t="n">
        <x:v>46219.812988715275</x:v>
      </x:c>
      <x:c r="P691" s="23" t="str">
        <x:v>SINOP</x:v>
      </x:c>
      <x:c r="Q691" s="30" t="n">
        <x:v>35059</x:v>
      </x:c>
      <x:c r="R691" s="22" t="str">
        <x:f>"24682110"</x:f>
        <x:v>24682110</x:v>
      </x:c>
      <x:c r="S691" s="23" t="str">
        <x:v>feminino</x:v>
      </x:c>
      <x:c r="T691" s="22" t="str">
        <x:f>"JIK8D48"</x:f>
        <x:v>JIK8D48</x:v>
      </x:c>
      <x:c r="U691" s="23" t="str">
        <x:v>ADALBERTO BATISA DE SOUZA</x:v>
      </x:c>
      <x:c r="V691" s="22" t="str">
        <x:f>"050.118.891-65"</x:f>
        <x:v>050.118.891-65</x:v>
      </x:c>
      <x:c r="W691" s="22" t="str">
        <x:f>"05011889165"</x:f>
        <x:v>05011889165</x:v>
      </x:c>
      <x:c r="X691" s="23" t="str">
        <x:v>souzaadalberto48@gmail.com</x:v>
      </x:c>
      <x:c r="Y691" s="22" t="str">
        <x:f>"66 9601-3512"</x:f>
        <x:v>66 9601-3512</x:v>
      </x:c>
      <x:c r="Z691" s="30" t="n">
        <x:v>46442</x:v>
      </x:c>
    </x:row>
    <x:row r="692" ht="18" customHeight="1">
      <x:c r="A692" s="22" t="str">
        <x:f>"462f6782-f853-4de3-b7e1-e85bdab5395c"</x:f>
        <x:v>462f6782-f853-4de3-b7e1-e85bdab5395c</x:v>
      </x:c>
      <x:c r="B692" s="23" t="str">
        <x:v>DAIANE DOS SANTOS DELAZARI</x:v>
      </x:c>
      <x:c r="C692" s="23" t="str">
        <x:v>daiane dos santos delazari</x:v>
      </x:c>
      <x:c r="D692" s="22" t="str">
        <x:f>"65.883.270/0001-33"</x:f>
        <x:v>65.883.270/0001-33</x:v>
      </x:c>
      <x:c r="E692" s="22" t="str">
        <x:f>"65883270000133"</x:f>
        <x:v>65883270000133</x:v>
      </x:c>
      <x:c r="F692" s="22" t="str">
        <x:f>"421.300.228-47"</x:f>
        <x:v>421.300.228-47</x:v>
      </x:c>
      <x:c r="G692" s="22" t="str">
        <x:f>"42130022847"</x:f>
        <x:v>42130022847</x:v>
      </x:c>
      <x:c r="H692" s="23" t="str">
        <x:v>Daiane.e@live.com</x:v>
      </x:c>
      <x:c r="I692" s="22" t="str">
        <x:f>"11999965486"</x:f>
        <x:v>11999965486</x:v>
      </x:c>
      <x:c r="J692" s="23" t="str">
        <x:v>RENTAL</x:v>
      </x:c>
      <x:c r="K692" s="23" t="str">
        <x:v>rental_company</x:v>
      </x:c>
      <x:c r="L692" s="24" t="b">
        <x:v>1</x:v>
      </x:c>
      <x:c r="M692" s="23" t="n">
        <x:v>1</x:v>
      </x:c>
      <x:c r="N692" s="28" t="n">
        <x:v>46219.812988715275</x:v>
      </x:c>
      <x:c r="O692" s="28" t="n">
        <x:v>46219.812988715275</x:v>
      </x:c>
      <x:c r="P692" s="23" t="str">
        <x:v>BARUERI</x:v>
      </x:c>
      <x:c r="Q692" s="30" t="n">
        <x:v>34515</x:v>
      </x:c>
      <x:c r="R692" s="22" t="str">
        <x:f>"3.824.120-4"</x:f>
        <x:v>3.824.120-4</x:v>
      </x:c>
      <x:c r="S692" s="23" t="str">
        <x:v>feminino</x:v>
      </x:c>
      <x:c r="T692" s="22" t="str"/>
      <x:c r="U692" s="23" t="str">
        <x:v>DAIANE DOS SANTOS DELAZARI</x:v>
      </x:c>
      <x:c r="V692" s="22" t="str">
        <x:f>"421.300.228-47"</x:f>
        <x:v>421.300.228-47</x:v>
      </x:c>
      <x:c r="W692" s="22" t="str">
        <x:f>"42130022847"</x:f>
        <x:v>42130022847</x:v>
      </x:c>
      <x:c r="X692" s="23" t="str">
        <x:v>Daiane.e@live.com</x:v>
      </x:c>
      <x:c r="Y692" s="22" t="str">
        <x:f>"11999965486"</x:f>
        <x:v>11999965486</x:v>
      </x:c>
      <x:c r="Z692" s="30" t="n">
        <x:v>46491</x:v>
      </x:c>
    </x:row>
    <x:row r="693" ht="18" customHeight="1">
      <x:c r="A693" s="22" t="str">
        <x:f>"ef214cf4-2403-45fe-a112-6c4b976e43eb"</x:f>
        <x:v>ef214cf4-2403-45fe-a112-6c4b976e43eb</x:v>
      </x:c>
      <x:c r="B693" s="23" t="str">
        <x:v>DAIANE PEREIRA BATISTA MONCAO</x:v>
      </x:c>
      <x:c r="C693" s="23" t="str">
        <x:v>daiane pereira batista moncao</x:v>
      </x:c>
      <x:c r="D693" s="22" t="str">
        <x:f>"63.728.955/0001-80"</x:f>
        <x:v>63.728.955/0001-80</x:v>
      </x:c>
      <x:c r="E693" s="22" t="str">
        <x:f>"63728955000180"</x:f>
        <x:v>63728955000180</x:v>
      </x:c>
      <x:c r="F693" s="22" t="str">
        <x:f>"136.966.067-74"</x:f>
        <x:v>136.966.067-74</x:v>
      </x:c>
      <x:c r="G693" s="22" t="str">
        <x:f>"13696606774"</x:f>
        <x:v>13696606774</x:v>
      </x:c>
      <x:c r="H693" s="23" t="str">
        <x:v>pereirabatistamoncaodaiane@gmail.com</x:v>
      </x:c>
      <x:c r="I693" s="22" t="str">
        <x:f>"21965257484"</x:f>
        <x:v>21965257484</x:v>
      </x:c>
      <x:c r="J693" s="23" t="str">
        <x:v>SPOT</x:v>
      </x:c>
      <x:c r="K693" s="23" t="str">
        <x:v>favored_only</x:v>
      </x:c>
      <x:c r="L693" s="24" t="b">
        <x:v>1</x:v>
      </x:c>
      <x:c r="M693" s="23" t="n">
        <x:v>1</x:v>
      </x:c>
      <x:c r="N693" s="28" t="n">
        <x:v>46219.812988715275</x:v>
      </x:c>
      <x:c r="O693" s="28" t="n">
        <x:v>46219.812988715275</x:v>
      </x:c>
      <x:c r="P693" s="23" t="str">
        <x:v>CAMPO GRANDE</x:v>
      </x:c>
      <x:c r="Q693" s="30" t="n">
        <x:v>32982</x:v>
      </x:c>
      <x:c r="R693" s="22" t="str">
        <x:f>"6543618"</x:f>
        <x:v>6543618</x:v>
      </x:c>
      <x:c r="S693" s="23" t="str">
        <x:v>feminino</x:v>
      </x:c>
      <x:c r="T693" s="22" t="str">
        <x:f>"EYB6070"</x:f>
        <x:v>EYB6070</x:v>
      </x:c>
      <x:c r="U693" s="23" t="str">
        <x:v>DAIANE PEREIRA BATISTA MONCAO</x:v>
      </x:c>
      <x:c r="V693" s="22" t="str">
        <x:f>"136.966.067-74"</x:f>
        <x:v>136.966.067-74</x:v>
      </x:c>
      <x:c r="W693" s="22" t="str">
        <x:f>"13696606774"</x:f>
        <x:v>13696606774</x:v>
      </x:c>
      <x:c r="X693" s="23" t="str">
        <x:v>pereirabatistamoncaodaiane@gmail.com</x:v>
      </x:c>
      <x:c r="Y693" s="22" t="str">
        <x:f>"21965257484"</x:f>
        <x:v>21965257484</x:v>
      </x:c>
      <x:c r="Z693" s="30" t="n">
        <x:v>46477</x:v>
      </x:c>
    </x:row>
    <x:row r="694" ht="18" customHeight="1">
      <x:c r="A694" s="22" t="str">
        <x:f>"a863a3bd-e16b-42d3-b0b2-4da2dee4918c"</x:f>
        <x:v>a863a3bd-e16b-42d3-b0b2-4da2dee4918c</x:v>
      </x:c>
      <x:c r="B694" s="23" t="str">
        <x:v>DAIANI FERREIRA LIMA</x:v>
      </x:c>
      <x:c r="C694" s="23" t="str">
        <x:v>daiani ferreira lima</x:v>
      </x:c>
      <x:c r="D694" s="22" t="str">
        <x:f>"66.359.582/0001-05"</x:f>
        <x:v>66.359.582/0001-05</x:v>
      </x:c>
      <x:c r="E694" s="22" t="str">
        <x:f>"66359582000105"</x:f>
        <x:v>66359582000105</x:v>
      </x:c>
      <x:c r="F694" s="22" t="str">
        <x:f>"407.651.468-86"</x:f>
        <x:v>407.651.468-86</x:v>
      </x:c>
      <x:c r="G694" s="22" t="str">
        <x:f>"40765146886"</x:f>
        <x:v>40765146886</x:v>
      </x:c>
      <x:c r="H694" s="23" t="str">
        <x:v>daiani.lima@outlook.com</x:v>
      </x:c>
      <x:c r="I694" s="22" t="str">
        <x:f>"16982205009"</x:f>
        <x:v>16982205009</x:v>
      </x:c>
      <x:c r="J694" s="23" t="str">
        <x:v>RENTALS</x:v>
      </x:c>
      <x:c r="K694" s="23" t="str">
        <x:v>rental_company</x:v>
      </x:c>
      <x:c r="L694" s="24" t="b">
        <x:v>1</x:v>
      </x:c>
      <x:c r="M694" s="23" t="n">
        <x:v>1</x:v>
      </x:c>
      <x:c r="N694" s="28" t="n">
        <x:v>46219.812988715275</x:v>
      </x:c>
      <x:c r="O694" s="28" t="n">
        <x:v>46219.812988715275</x:v>
      </x:c>
      <x:c r="P694" s="23" t="str">
        <x:v>SÃO CARLOS</x:v>
      </x:c>
      <x:c r="Q694" s="30" t="n">
        <x:v>33737</x:v>
      </x:c>
      <x:c r="R694" s="22" t="str">
        <x:f>"48.496.448-3"</x:f>
        <x:v>48.496.448-3</x:v>
      </x:c>
      <x:c r="S694" s="23" t="str">
        <x:v>feminino</x:v>
      </x:c>
      <x:c r="T694" s="22" t="str"/>
      <x:c r="U694" s="23" t="str">
        <x:v>DAIANI FERREIRA LIMA</x:v>
      </x:c>
      <x:c r="V694" s="22" t="str">
        <x:f>"407.651.468-86"</x:f>
        <x:v>407.651.468-86</x:v>
      </x:c>
      <x:c r="W694" s="22" t="str">
        <x:f>"40765146886"</x:f>
        <x:v>40765146886</x:v>
      </x:c>
      <x:c r="X694" s="23" t="str">
        <x:v>daiani.lima@outlook.com</x:v>
      </x:c>
      <x:c r="Y694" s="22" t="str">
        <x:f>"16982205009"</x:f>
        <x:v>16982205009</x:v>
      </x:c>
      <x:c r="Z694" s="30" t="n">
        <x:v>46547</x:v>
      </x:c>
    </x:row>
    <x:row r="695" ht="18" customHeight="1">
      <x:c r="A695" s="22" t="str">
        <x:f>"0d6d01cc-f5be-46e5-a3c9-3a710756c15e"</x:f>
        <x:v>0d6d01cc-f5be-46e5-a3c9-3a710756c15e</x:v>
      </x:c>
      <x:c r="B695" s="23" t="str">
        <x:v>DAIR MORAIS PESSOA JUNIOR</x:v>
      </x:c>
      <x:c r="C695" s="23" t="str">
        <x:v>dair morais pessoa junior</x:v>
      </x:c>
      <x:c r="D695" s="22" t="str">
        <x:f>"65.203.464/0001-40"</x:f>
        <x:v>65.203.464/0001-40</x:v>
      </x:c>
      <x:c r="E695" s="22" t="str">
        <x:f>"65203464000140"</x:f>
        <x:v>65203464000140</x:v>
      </x:c>
      <x:c r="F695" s="22" t="str">
        <x:f>"289.315.518-94"</x:f>
        <x:v>289.315.518-94</x:v>
      </x:c>
      <x:c r="G695" s="22" t="str">
        <x:f>"28931551894"</x:f>
        <x:v>28931551894</x:v>
      </x:c>
      <x:c r="H695" s="23" t="str">
        <x:v>dairmpj3@gmail.com</x:v>
      </x:c>
      <x:c r="I695" s="22" t="str">
        <x:f>"14988115914"</x:f>
        <x:v>14988115914</x:v>
      </x:c>
      <x:c r="J695" s="23" t="str">
        <x:v>RENTAL</x:v>
      </x:c>
      <x:c r="K695" s="23" t="str">
        <x:v>rental_company</x:v>
      </x:c>
      <x:c r="L695" s="24" t="b">
        <x:v>1</x:v>
      </x:c>
      <x:c r="M695" s="23" t="n">
        <x:v>1</x:v>
      </x:c>
      <x:c r="N695" s="28" t="n">
        <x:v>46219.812988715275</x:v>
      </x:c>
      <x:c r="O695" s="28" t="n">
        <x:v>46219.812988715275</x:v>
      </x:c>
      <x:c r="P695" s="23" t="str">
        <x:v>BAURU</x:v>
      </x:c>
      <x:c r="Q695" s="30" t="n">
        <x:v>29156</x:v>
      </x:c>
      <x:c r="R695" s="22" t="str">
        <x:f>"298361255"</x:f>
        <x:v>298361255</x:v>
      </x:c>
      <x:c r="S695" s="23" t="str">
        <x:v>masculino</x:v>
      </x:c>
      <x:c r="T695" s="22" t="str"/>
      <x:c r="U695" s="23" t="str">
        <x:v>DAIR MORAIS PESSOA JUNIOR</x:v>
      </x:c>
      <x:c r="V695" s="22" t="str">
        <x:f>"289.315.518-94"</x:f>
        <x:v>289.315.518-94</x:v>
      </x:c>
      <x:c r="W695" s="22" t="str">
        <x:f>"28931551894"</x:f>
        <x:v>28931551894</x:v>
      </x:c>
      <x:c r="X695" s="23" t="str">
        <x:v>dairmpj3@gmail.com</x:v>
      </x:c>
      <x:c r="Y695" s="22" t="str">
        <x:f>"14988115914"</x:f>
        <x:v>14988115914</x:v>
      </x:c>
      <x:c r="Z695" s="30" t="n">
        <x:v>46528</x:v>
      </x:c>
    </x:row>
    <x:row r="696" ht="18" customHeight="1">
      <x:c r="A696" s="22" t="str">
        <x:f>"8646ec30-8045-4f40-888c-b8b5aa8e1b65"</x:f>
        <x:v>8646ec30-8045-4f40-888c-b8b5aa8e1b65</x:v>
      </x:c>
      <x:c r="B696" s="23" t="str">
        <x:v>DALILA VALDINEIA DOS SANTOS</x:v>
      </x:c>
      <x:c r="C696" s="23" t="str">
        <x:v>dalila valdineia dos santos</x:v>
      </x:c>
      <x:c r="D696" s="22" t="str">
        <x:f>"50.988.341/0001-95"</x:f>
        <x:v>50.988.341/0001-95</x:v>
      </x:c>
      <x:c r="E696" s="22" t="str">
        <x:f>"50988341000195"</x:f>
        <x:v>50988341000195</x:v>
      </x:c>
      <x:c r="F696" s="22" t="str">
        <x:f>"076.547.246-59"</x:f>
        <x:v>076.547.246-59</x:v>
      </x:c>
      <x:c r="G696" s="22" t="str">
        <x:f>"07654724659"</x:f>
        <x:v>07654724659</x:v>
      </x:c>
      <x:c r="H696" s="23" t="str">
        <x:v>ddalilavaldineia@gmail.com</x:v>
      </x:c>
      <x:c r="I696" s="22" t="str">
        <x:f>"31 99752-3755"</x:f>
        <x:v>31 99752-3755</x:v>
      </x:c>
      <x:c r="J696" s="23" t="str">
        <x:v>SPOT</x:v>
      </x:c>
      <x:c r="K696" s="23" t="str">
        <x:v>favored_only</x:v>
      </x:c>
      <x:c r="L696" s="24" t="b">
        <x:v>1</x:v>
      </x:c>
      <x:c r="M696" s="23" t="n">
        <x:v>2</x:v>
      </x:c>
      <x:c r="N696" s="28" t="n">
        <x:v>46219.812988715275</x:v>
      </x:c>
      <x:c r="O696" s="28" t="n">
        <x:v>46219.812988715275</x:v>
      </x:c>
      <x:c r="P696" s="23" t="str">
        <x:v>VESPASIANO</x:v>
      </x:c>
      <x:c r="Q696" s="30" t="n">
        <x:v>31671</x:v>
      </x:c>
      <x:c r="R696" s="22" t="str">
        <x:f>"14890211"</x:f>
        <x:v>14890211</x:v>
      </x:c>
      <x:c r="S696" s="23" t="str">
        <x:v>feminino</x:v>
      </x:c>
      <x:c r="T696" s="22" t="str">
        <x:f>"TKN1J18"</x:f>
        <x:v>TKN1J18</x:v>
      </x:c>
      <x:c r="U696" s="23" t="str">
        <x:v>DALILA VALDINEIA DOS SANTOS</x:v>
      </x:c>
      <x:c r="V696" s="22" t="str">
        <x:f>"076.547.246-59"</x:f>
        <x:v>076.547.246-59</x:v>
      </x:c>
      <x:c r="W696" s="22" t="str">
        <x:f>"07654724659"</x:f>
        <x:v>07654724659</x:v>
      </x:c>
      <x:c r="X696" s="23" t="str">
        <x:v>ddalilavaldineia@gmail.com</x:v>
      </x:c>
      <x:c r="Y696" s="22" t="str">
        <x:f>"31 99752-3755"</x:f>
        <x:v>31 99752-3755</x:v>
      </x:c>
      <x:c r="Z696" s="30" t="n">
        <x:v>46463</x:v>
      </x:c>
    </x:row>
    <x:row r="697" ht="18" customHeight="1">
      <x:c r="A697" s="22" t="str">
        <x:f>"39854ad4-c346-4166-a532-247e5e841ee2"</x:f>
        <x:v>39854ad4-c346-4166-a532-247e5e841ee2</x:v>
      </x:c>
      <x:c r="B697" s="23" t="str">
        <x:v>DAMIAO DOS SANTOS FERREIRA</x:v>
      </x:c>
      <x:c r="C697" s="23" t="str">
        <x:v>damiao dos santos ferreira</x:v>
      </x:c>
      <x:c r="D697" s="22" t="str">
        <x:f>"30.098.542/0001-00"</x:f>
        <x:v>30.098.542/0001-00</x:v>
      </x:c>
      <x:c r="E697" s="22" t="str">
        <x:f>"30098542000100"</x:f>
        <x:v>30098542000100</x:v>
      </x:c>
      <x:c r="F697" s="22" t="str">
        <x:f>"095.303.897-10"</x:f>
        <x:v>095.303.897-10</x:v>
      </x:c>
      <x:c r="G697" s="22" t="str">
        <x:f>"09530389710"</x:f>
        <x:v>09530389710</x:v>
      </x:c>
      <x:c r="H697" s="23" t="str">
        <x:v>damfr@msn.com</x:v>
      </x:c>
      <x:c r="I697" s="22" t="str">
        <x:f>"21 99105-0031"</x:f>
        <x:v>21 99105-0031</x:v>
      </x:c>
      <x:c r="J697" s="23" t="str">
        <x:v>SPOT</x:v>
      </x:c>
      <x:c r="K697" s="23" t="str">
        <x:v>favored_only</x:v>
      </x:c>
      <x:c r="L697" s="24" t="b">
        <x:v>1</x:v>
      </x:c>
      <x:c r="M697" s="23" t="n">
        <x:v>1</x:v>
      </x:c>
      <x:c r="N697" s="28" t="n">
        <x:v>46219.812988715275</x:v>
      </x:c>
      <x:c r="O697" s="28" t="n">
        <x:v>46219.812988715275</x:v>
      </x:c>
      <x:c r="P697" s="23" t="str">
        <x:v>CORDOVIL</x:v>
      </x:c>
      <x:c r="Q697" s="30" t="n">
        <x:v>30338</x:v>
      </x:c>
      <x:c r="R697" s="22" t="str">
        <x:f>"12304541-1"</x:f>
        <x:v>12304541-1</x:v>
      </x:c>
      <x:c r="S697" s="23" t="str">
        <x:v>masculino</x:v>
      </x:c>
      <x:c r="T697" s="22" t="str">
        <x:f>"LMP0g08"</x:f>
        <x:v>LMP0g08</x:v>
      </x:c>
      <x:c r="U697" s="23" t="str">
        <x:v>DAMIAO DOS SANTOS FERREIRA</x:v>
      </x:c>
      <x:c r="V697" s="22" t="str">
        <x:f>"095.303.897-10"</x:f>
        <x:v>095.303.897-10</x:v>
      </x:c>
      <x:c r="W697" s="22" t="str">
        <x:f>"09530389710"</x:f>
        <x:v>09530389710</x:v>
      </x:c>
      <x:c r="X697" s="23" t="str">
        <x:v>damfr@msn.com</x:v>
      </x:c>
      <x:c r="Y697" s="22" t="str">
        <x:f>"21 99105-0031"</x:f>
        <x:v>21 99105-0031</x:v>
      </x:c>
      <x:c r="Z697" s="30" t="n">
        <x:v>46431</x:v>
      </x:c>
    </x:row>
    <x:row r="698" ht="18" customHeight="1">
      <x:c r="A698" s="22" t="str">
        <x:f>"7f2710e4-2970-4ff3-b5bc-e3bc927b3300"</x:f>
        <x:v>7f2710e4-2970-4ff3-b5bc-e3bc927b3300</x:v>
      </x:c>
      <x:c r="B698" s="23" t="str">
        <x:v>DAMIAO GUILHERME DA SILVA</x:v>
      </x:c>
      <x:c r="C698" s="23" t="str">
        <x:v>damiao guilherme da silva</x:v>
      </x:c>
      <x:c r="D698" s="22" t="str">
        <x:f>"37.823.997/0001-90"</x:f>
        <x:v>37.823.997/0001-90</x:v>
      </x:c>
      <x:c r="E698" s="22" t="str">
        <x:f>"37823997000190"</x:f>
        <x:v>37823997000190</x:v>
      </x:c>
      <x:c r="F698" s="22" t="str">
        <x:f>"071.958.054-41"</x:f>
        <x:v>071.958.054-41</x:v>
      </x:c>
      <x:c r="G698" s="22" t="str">
        <x:f>"07195805441"</x:f>
        <x:v>07195805441</x:v>
      </x:c>
      <x:c r="H698" s="23" t="str">
        <x:v>guilhermedamiao62@gmail.com</x:v>
      </x:c>
      <x:c r="I698" s="22" t="str">
        <x:f>"67 9967-3398"</x:f>
        <x:v>67 9967-3398</x:v>
      </x:c>
      <x:c r="J698" s="23" t="str">
        <x:v>SPOT</x:v>
      </x:c>
      <x:c r="K698" s="23" t="str">
        <x:v>favored_only</x:v>
      </x:c>
      <x:c r="L698" s="24" t="b">
        <x:v>1</x:v>
      </x:c>
      <x:c r="M698" s="23" t="n">
        <x:v>1</x:v>
      </x:c>
      <x:c r="N698" s="28" t="n">
        <x:v>46219.812988715275</x:v>
      </x:c>
      <x:c r="O698" s="28" t="n">
        <x:v>46219.812988715275</x:v>
      </x:c>
      <x:c r="P698" s="23" t="str">
        <x:v>CHAPADÃO DO SUL</x:v>
      </x:c>
      <x:c r="Q698" s="30" t="n">
        <x:v>31570</x:v>
      </x:c>
      <x:c r="R698" s="22" t="str">
        <x:f>"3374298"</x:f>
        <x:v>3374298</x:v>
      </x:c>
      <x:c r="S698" s="23" t="str">
        <x:v>masculino</x:v>
      </x:c>
      <x:c r="T698" s="22" t="str">
        <x:f>"OAY2J21"</x:f>
        <x:v>OAY2J21</x:v>
      </x:c>
      <x:c r="U698" s="23" t="str">
        <x:v>RODOPRIME TRANSPORTES E CARGAS LTDA</x:v>
      </x:c>
      <x:c r="V698" s="22" t="str">
        <x:f>"038.768.901-01"</x:f>
        <x:v>038.768.901-01</x:v>
      </x:c>
      <x:c r="W698" s="22" t="str">
        <x:f>"03876890101"</x:f>
        <x:v>03876890101</x:v>
      </x:c>
      <x:c r="X698" s="23" t="str">
        <x:v>rtp.cargas@gmail.com</x:v>
      </x:c>
      <x:c r="Y698" s="22" t="str">
        <x:f>"62991277279"</x:f>
        <x:v>62991277279</x:v>
      </x:c>
      <x:c r="Z698" s="30" t="n">
        <x:v>46472</x:v>
      </x:c>
    </x:row>
    <x:row r="699" ht="18" customHeight="1">
      <x:c r="A699" s="22" t="str">
        <x:f>"1b2bfd7f-1eb1-4b75-aac4-6680aed9e309"</x:f>
        <x:v>1b2bfd7f-1eb1-4b75-aac4-6680aed9e309</x:v>
      </x:c>
      <x:c r="B699" s="23" t="str">
        <x:v>DANIELA ALVES DA CRUZ</x:v>
      </x:c>
      <x:c r="C699" s="23" t="str">
        <x:v>daniela alves da cruz</x:v>
      </x:c>
      <x:c r="D699" s="22" t="str">
        <x:f>"64.941.540/0001-52"</x:f>
        <x:v>64.941.540/0001-52</x:v>
      </x:c>
      <x:c r="E699" s="22" t="str">
        <x:f>"64941540000152"</x:f>
        <x:v>64941540000152</x:v>
      </x:c>
      <x:c r="F699" s="22" t="str">
        <x:f>"117.491.266-99"</x:f>
        <x:v>117.491.266-99</x:v>
      </x:c>
      <x:c r="G699" s="22" t="str">
        <x:f>"11749126699"</x:f>
        <x:v>11749126699</x:v>
      </x:c>
      <x:c r="H699" s="23" t="str">
        <x:v>danyela.mr@hotmail.com</x:v>
      </x:c>
      <x:c r="I699" s="22" t="str">
        <x:f>"(34) 9 9100 9363"</x:f>
        <x:v>(34) 9 9100 9363</x:v>
      </x:c>
      <x:c r="J699" s="23" t="str">
        <x:v>SPOT</x:v>
      </x:c>
      <x:c r="K699" s="23" t="str">
        <x:v>favored_only</x:v>
      </x:c>
      <x:c r="L699" s="24" t="b">
        <x:v>1</x:v>
      </x:c>
      <x:c r="M699" s="23" t="n">
        <x:v>1</x:v>
      </x:c>
      <x:c r="N699" s="28" t="n">
        <x:v>46219.812988715275</x:v>
      </x:c>
      <x:c r="O699" s="28" t="n">
        <x:v>46219.812988715275</x:v>
      </x:c>
      <x:c r="P699" s="23" t="str">
        <x:v>UBERABA</x:v>
      </x:c>
      <x:c r="Q699" s="30" t="n">
        <x:v>33624</x:v>
      </x:c>
      <x:c r="R699" s="22" t="str">
        <x:f>"16881331"</x:f>
        <x:v>16881331</x:v>
      </x:c>
      <x:c r="S699" s="23" t="str">
        <x:v>feminino</x:v>
      </x:c>
      <x:c r="T699" s="22" t="str">
        <x:f>"EXY0738"</x:f>
        <x:v>EXY0738</x:v>
      </x:c>
      <x:c r="U699" s="23" t="str">
        <x:v>AMANDA ALVES TOSTA</x:v>
      </x:c>
      <x:c r="V699" s="22" t="str">
        <x:f>"132.934.576-22"</x:f>
        <x:v>132.934.576-22</x:v>
      </x:c>
      <x:c r="W699" s="22" t="str">
        <x:f>"13293457622"</x:f>
        <x:v>13293457622</x:v>
      </x:c>
      <x:c r="X699" s="23" t="str">
        <x:v>amandaalvestosta16@gmail.com</x:v>
      </x:c>
      <x:c r="Y699" s="22" t="str">
        <x:f>"(34) 9  9115 6131"</x:f>
        <x:v>(34) 9  9115 6131</x:v>
      </x:c>
      <x:c r="Z699" s="30" t="n">
        <x:v>46439</x:v>
      </x:c>
    </x:row>
    <x:row r="700" ht="18" customHeight="1">
      <x:c r="A700" s="22" t="str">
        <x:f>"53d258d3-de04-4715-9117-9e9897f90ad7"</x:f>
        <x:v>53d258d3-de04-4715-9117-9e9897f90ad7</x:v>
      </x:c>
      <x:c r="B700" s="23" t="str">
        <x:v>DANIELA ALVES DA CRUZ</x:v>
      </x:c>
      <x:c r="C700" s="23" t="str">
        <x:v>daniela alves da cruz</x:v>
      </x:c>
      <x:c r="D700" s="22" t="str">
        <x:f>"65.645.709/0001-90"</x:f>
        <x:v>65.645.709/0001-90</x:v>
      </x:c>
      <x:c r="E700" s="22" t="str">
        <x:f>"65645709000190"</x:f>
        <x:v>65645709000190</x:v>
      </x:c>
      <x:c r="F700" s="22" t="str">
        <x:f>"117.491.266-99"</x:f>
        <x:v>117.491.266-99</x:v>
      </x:c>
      <x:c r="G700" s="22" t="str">
        <x:f>"11749126699"</x:f>
        <x:v>11749126699</x:v>
      </x:c>
      <x:c r="H700" s="23" t="str">
        <x:v>danyela.mr@hotmail.com</x:v>
      </x:c>
      <x:c r="I700" s="22" t="str">
        <x:f>"34991009363"</x:f>
        <x:v>34991009363</x:v>
      </x:c>
      <x:c r="J700" s="23" t="str">
        <x:v>RENTAL</x:v>
      </x:c>
      <x:c r="K700" s="23" t="str">
        <x:v>rental_company</x:v>
      </x:c>
      <x:c r="L700" s="24" t="b">
        <x:v>1</x:v>
      </x:c>
      <x:c r="M700" s="23" t="n">
        <x:v>1</x:v>
      </x:c>
      <x:c r="N700" s="28" t="n">
        <x:v>46219.812988715275</x:v>
      </x:c>
      <x:c r="O700" s="28" t="n">
        <x:v>46219.812988715275</x:v>
      </x:c>
      <x:c r="P700" s="23" t="str">
        <x:v>UBERABA</x:v>
      </x:c>
      <x:c r="Q700" s="30" t="n">
        <x:v>33624</x:v>
      </x:c>
      <x:c r="R700" s="22" t="str">
        <x:f>"16881331"</x:f>
        <x:v>16881331</x:v>
      </x:c>
      <x:c r="S700" s="23" t="str">
        <x:v>feminino</x:v>
      </x:c>
      <x:c r="T700" s="22" t="str"/>
      <x:c r="U700" s="23" t="str">
        <x:v>DANIELA ALVES DA CRUZ</x:v>
      </x:c>
      <x:c r="V700" s="22" t="str">
        <x:f>"117.491.266-99"</x:f>
        <x:v>117.491.266-99</x:v>
      </x:c>
      <x:c r="W700" s="22" t="str">
        <x:f>"11749126699"</x:f>
        <x:v>11749126699</x:v>
      </x:c>
      <x:c r="X700" s="23" t="str">
        <x:v>danyela.mr@hotmail.com</x:v>
      </x:c>
      <x:c r="Y700" s="22" t="str">
        <x:f>"34991009363"</x:f>
        <x:v>34991009363</x:v>
      </x:c>
      <x:c r="Z700" s="30" t="n">
        <x:v>46500</x:v>
      </x:c>
    </x:row>
    <x:row r="701" ht="18" customHeight="1">
      <x:c r="A701" s="22" t="str">
        <x:f>"22d43112-30f1-42e8-9386-436babeb8beb"</x:f>
        <x:v>22d43112-30f1-42e8-9386-436babeb8beb</x:v>
      </x:c>
      <x:c r="B701" s="23" t="str">
        <x:v>DANIELA BARBOSA DA SILVA</x:v>
      </x:c>
      <x:c r="C701" s="23" t="str">
        <x:v>daniela barbosa da silva</x:v>
      </x:c>
      <x:c r="D701" s="22" t="str">
        <x:f>"42.403.575/0001-03"</x:f>
        <x:v>42.403.575/0001-03</x:v>
      </x:c>
      <x:c r="E701" s="22" t="str">
        <x:f>"42403575000103"</x:f>
        <x:v>42403575000103</x:v>
      </x:c>
      <x:c r="F701" s="22" t="str">
        <x:f>"101.107.756-60"</x:f>
        <x:v>101.107.756-60</x:v>
      </x:c>
      <x:c r="G701" s="22" t="str">
        <x:f>"10110775660"</x:f>
        <x:v>10110775660</x:v>
      </x:c>
      <x:c r="H701" s="23" t="str">
        <x:v>DAN_IBARBOSA@HOTMAIL.COM</x:v>
      </x:c>
      <x:c r="I701" s="22" t="str">
        <x:f>"035 99837-0487"</x:f>
        <x:v>035 99837-0487</x:v>
      </x:c>
      <x:c r="J701" s="23" t="str">
        <x:v>SPOT</x:v>
      </x:c>
      <x:c r="K701" s="23" t="str">
        <x:v>favored_only</x:v>
      </x:c>
      <x:c r="L701" s="24" t="b">
        <x:v>1</x:v>
      </x:c>
      <x:c r="M701" s="23" t="n">
        <x:v>1</x:v>
      </x:c>
      <x:c r="N701" s="28" t="n">
        <x:v>46219.812988715275</x:v>
      </x:c>
      <x:c r="O701" s="28" t="n">
        <x:v>46219.812988715275</x:v>
      </x:c>
      <x:c r="P701" s="23" t="str">
        <x:v>GUAXUPE</x:v>
      </x:c>
      <x:c r="Q701" s="30" t="n">
        <x:v>35151</x:v>
      </x:c>
      <x:c r="R701" s="22" t="str">
        <x:f>"18523620"</x:f>
        <x:v>18523620</x:v>
      </x:c>
      <x:c r="S701" s="23" t="str">
        <x:v>feminino</x:v>
      </x:c>
      <x:c r="T701" s="22" t="str">
        <x:f>"PZF6A65"</x:f>
        <x:v>PZF6A65</x:v>
      </x:c>
      <x:c r="U701" s="23" t="str">
        <x:v>MARCELO BARBOSA DA SILVA</x:v>
      </x:c>
      <x:c r="V701" s="22" t="str">
        <x:f>"092.732.946-85"</x:f>
        <x:v>092.732.946-85</x:v>
      </x:c>
      <x:c r="W701" s="22" t="str">
        <x:f>"09273294685"</x:f>
        <x:v>09273294685</x:v>
      </x:c>
      <x:c r="X701" s="23" t="str">
        <x:v>mtsunamy@gmail.com</x:v>
      </x:c>
      <x:c r="Y701" s="22" t="str">
        <x:f>"35 9931-8457"</x:f>
        <x:v>35 9931-8457</x:v>
      </x:c>
      <x:c r="Z701" s="30" t="n">
        <x:v>46494</x:v>
      </x:c>
    </x:row>
    <x:row r="702" ht="18" customHeight="1">
      <x:c r="A702" s="22" t="str">
        <x:f>"8800dea2-8abd-4e7a-9403-90e1af7c744c"</x:f>
        <x:v>8800dea2-8abd-4e7a-9403-90e1af7c744c</x:v>
      </x:c>
      <x:c r="B702" s="23" t="str">
        <x:v>DANIELA DE OLIVEIRA MACEDO</x:v>
      </x:c>
      <x:c r="C702" s="23" t="str">
        <x:v>daniela de oliveira macedo</x:v>
      </x:c>
      <x:c r="D702" s="22" t="str">
        <x:f>"58.945.856/0001-10"</x:f>
        <x:v>58.945.856/0001-10</x:v>
      </x:c>
      <x:c r="E702" s="22" t="str">
        <x:f>"58945856000110"</x:f>
        <x:v>58945856000110</x:v>
      </x:c>
      <x:c r="F702" s="22" t="str">
        <x:f>"40417525826"</x:f>
        <x:v>40417525826</x:v>
      </x:c>
      <x:c r="G702" s="22" t="str">
        <x:f>"40417525826"</x:f>
        <x:v>40417525826</x:v>
      </x:c>
      <x:c r="H702" s="23" t="str">
        <x:v>macedodaniela942@gmail.com</x:v>
      </x:c>
      <x:c r="I702" s="22" t="str">
        <x:f>"18-996189566"</x:f>
        <x:v>18-996189566</x:v>
      </x:c>
      <x:c r="J702" s="23" t="str">
        <x:v>SPOT</x:v>
      </x:c>
      <x:c r="K702" s="23" t="str">
        <x:v>favored_only</x:v>
      </x:c>
      <x:c r="L702" s="24" t="b">
        <x:v>1</x:v>
      </x:c>
      <x:c r="M702" s="23" t="n">
        <x:v>2</x:v>
      </x:c>
      <x:c r="N702" s="28" t="n">
        <x:v>46203.92186888889</x:v>
      </x:c>
      <x:c r="O702" s="28" t="n">
        <x:v>46203.92186888889</x:v>
      </x:c>
      <x:c r="P702" s="23" t="str"/>
      <x:c r="Q702" s="30" t="str"/>
      <x:c r="R702" s="22" t="str"/>
      <x:c r="S702" s="23" t="str"/>
      <x:c r="T702" s="22" t="str"/>
      <x:c r="U702" s="23" t="str">
        <x:v>DANIELA DE OLIVEIRA MACEDO</x:v>
      </x:c>
      <x:c r="V702" s="22" t="str">
        <x:f>"40417525826"</x:f>
        <x:v>40417525826</x:v>
      </x:c>
      <x:c r="W702" s="22" t="str">
        <x:f>"40417525826"</x:f>
        <x:v>40417525826</x:v>
      </x:c>
      <x:c r="X702" s="23" t="str">
        <x:v>macedodaniela942@gmail.com</x:v>
      </x:c>
      <x:c r="Y702" s="22" t="str">
        <x:f>"18-996189566"</x:f>
        <x:v>18-996189566</x:v>
      </x:c>
      <x:c r="Z702" s="30" t="str"/>
    </x:row>
    <x:row r="703" ht="18" customHeight="1">
      <x:c r="A703" s="22" t="str">
        <x:f>"c82a4010-d92b-48b2-ba45-8744a457fda9"</x:f>
        <x:v>c82a4010-d92b-48b2-ba45-8744a457fda9</x:v>
      </x:c>
      <x:c r="B703" s="23" t="str">
        <x:v>DANIELA LETICIA DE OLIVEIRA</x:v>
      </x:c>
      <x:c r="C703" s="23" t="str">
        <x:v>daniela leticia de oliveira</x:v>
      </x:c>
      <x:c r="D703" s="22" t="str">
        <x:f>"64.609.542/0001-49"</x:f>
        <x:v>64.609.542/0001-49</x:v>
      </x:c>
      <x:c r="E703" s="22" t="str">
        <x:f>"64609542000149"</x:f>
        <x:v>64609542000149</x:v>
      </x:c>
      <x:c r="F703" s="22" t="str">
        <x:f>"415.616.798-44"</x:f>
        <x:v>415.616.798-44</x:v>
      </x:c>
      <x:c r="G703" s="22" t="str">
        <x:f>"41561679844"</x:f>
        <x:v>41561679844</x:v>
      </x:c>
      <x:c r="H703" s="23" t="str">
        <x:v>oliveiradaniela600@gmail.com</x:v>
      </x:c>
      <x:c r="I703" s="22" t="str">
        <x:f>"16994057798"</x:f>
        <x:v>16994057798</x:v>
      </x:c>
      <x:c r="J703" s="23" t="str">
        <x:v>RENTAL</x:v>
      </x:c>
      <x:c r="K703" s="23" t="str">
        <x:v>rental_company</x:v>
      </x:c>
      <x:c r="L703" s="24" t="b">
        <x:v>1</x:v>
      </x:c>
      <x:c r="M703" s="23" t="n">
        <x:v>1</x:v>
      </x:c>
      <x:c r="N703" s="28" t="n">
        <x:v>46219.812988715275</x:v>
      </x:c>
      <x:c r="O703" s="28" t="n">
        <x:v>46219.812988715275</x:v>
      </x:c>
      <x:c r="P703" s="23" t="str">
        <x:v>RIBEIRAO PRETO</x:v>
      </x:c>
      <x:c r="Q703" s="30" t="n">
        <x:v>34039</x:v>
      </x:c>
      <x:c r="R703" s="22" t="str">
        <x:f>"48.965.339-X"</x:f>
        <x:v>48.965.339-X</x:v>
      </x:c>
      <x:c r="S703" s="23" t="str">
        <x:v>feminino</x:v>
      </x:c>
      <x:c r="T703" s="22" t="str"/>
      <x:c r="U703" s="23" t="str">
        <x:v>DANIELA LETICIA DE OLIVEIRA</x:v>
      </x:c>
      <x:c r="V703" s="22" t="str">
        <x:f>"415.616.798-44"</x:f>
        <x:v>415.616.798-44</x:v>
      </x:c>
      <x:c r="W703" s="22" t="str">
        <x:f>"41561679844"</x:f>
        <x:v>41561679844</x:v>
      </x:c>
      <x:c r="X703" s="23" t="str">
        <x:v>oliveiradaniela600@gmail.com</x:v>
      </x:c>
      <x:c r="Y703" s="22" t="str">
        <x:f>"16994057798"</x:f>
        <x:v>16994057798</x:v>
      </x:c>
      <x:c r="Z703" s="30" t="n">
        <x:v>46497</x:v>
      </x:c>
    </x:row>
    <x:row r="704" ht="18" customHeight="1">
      <x:c r="A704" s="22" t="str">
        <x:f>"2957861c-5865-43c8-bf0e-9f2d5803a044"</x:f>
        <x:v>2957861c-5865-43c8-bf0e-9f2d5803a044</x:v>
      </x:c>
      <x:c r="B704" s="23" t="str">
        <x:v>DANIELA OLIVEIRA DO ROSARIO</x:v>
      </x:c>
      <x:c r="C704" s="23" t="str">
        <x:v>daniela oliveira do rosario</x:v>
      </x:c>
      <x:c r="D704" s="22" t="str">
        <x:f>"59.460.108/0001-00"</x:f>
        <x:v>59.460.108/0001-00</x:v>
      </x:c>
      <x:c r="E704" s="22" t="str">
        <x:f>"59460108000100"</x:f>
        <x:v>59460108000100</x:v>
      </x:c>
      <x:c r="F704" s="22" t="str">
        <x:f>"062.772.241-58"</x:f>
        <x:v>062.772.241-58</x:v>
      </x:c>
      <x:c r="G704" s="22" t="str">
        <x:f>"06277224158"</x:f>
        <x:v>06277224158</x:v>
      </x:c>
      <x:c r="H704" s="23" t="str">
        <x:v>Rosariodaniela971@gmail.com</x:v>
      </x:c>
      <x:c r="I704" s="22" t="str">
        <x:f>"659924769880"</x:f>
        <x:v>659924769880</x:v>
      </x:c>
      <x:c r="J704" s="23" t="str">
        <x:v>SPOT</x:v>
      </x:c>
      <x:c r="K704" s="23" t="str">
        <x:v>favored_only</x:v>
      </x:c>
      <x:c r="L704" s="24" t="b">
        <x:v>1</x:v>
      </x:c>
      <x:c r="M704" s="23" t="n">
        <x:v>1</x:v>
      </x:c>
      <x:c r="N704" s="28" t="n">
        <x:v>46205.60710453703</x:v>
      </x:c>
      <x:c r="O704" s="28" t="n">
        <x:v>46219.812988715275</x:v>
      </x:c>
      <x:c r="P704" s="23" t="str">
        <x:v>CÁCERES</x:v>
      </x:c>
      <x:c r="Q704" s="30" t="n">
        <x:v>36468</x:v>
      </x:c>
      <x:c r="R704" s="22" t="str">
        <x:f>"26367165"</x:f>
        <x:v>26367165</x:v>
      </x:c>
      <x:c r="S704" s="23" t="str">
        <x:v>feminino</x:v>
      </x:c>
      <x:c r="T704" s="22" t="str">
        <x:f>"AXR7H38"</x:f>
        <x:v>AXR7H38</x:v>
      </x:c>
      <x:c r="U704" s="23" t="str">
        <x:v>JOSE MATHEUS GONCALVES MIRANDA</x:v>
      </x:c>
      <x:c r="V704" s="22" t="str">
        <x:f>"053.233.661-50"</x:f>
        <x:v>053.233.661-50</x:v>
      </x:c>
      <x:c r="W704" s="22" t="str">
        <x:f>"05323366150"</x:f>
        <x:v>05323366150</x:v>
      </x:c>
      <x:c r="X704" s="23" t="str">
        <x:v>matheusloko1350@gmail.com</x:v>
      </x:c>
      <x:c r="Y704" s="22" t="str">
        <x:f>"65996807147"</x:f>
        <x:v>65996807147</x:v>
      </x:c>
      <x:c r="Z704" s="30" t="n">
        <x:v>46399</x:v>
      </x:c>
    </x:row>
    <x:row r="705" ht="18" customHeight="1">
      <x:c r="A705" s="22" t="str">
        <x:f>"fd778766-1adc-4069-9f0f-23438e117e75"</x:f>
        <x:v>fd778766-1adc-4069-9f0f-23438e117e75</x:v>
      </x:c>
      <x:c r="B705" s="23" t="str">
        <x:v>DANIELA PEREIRA DE SOUZA</x:v>
      </x:c>
      <x:c r="C705" s="23" t="str">
        <x:v>daniela pereira de souza</x:v>
      </x:c>
      <x:c r="D705" s="22" t="str">
        <x:f>"62.958.176/0001-08"</x:f>
        <x:v>62.958.176/0001-08</x:v>
      </x:c>
      <x:c r="E705" s="22" t="str">
        <x:f>"62958176000108"</x:f>
        <x:v>62958176000108</x:v>
      </x:c>
      <x:c r="F705" s="22" t="str">
        <x:f>"121.843.566-62"</x:f>
        <x:v>121.843.566-62</x:v>
      </x:c>
      <x:c r="G705" s="22" t="str">
        <x:f>"12184356662"</x:f>
        <x:v>12184356662</x:v>
      </x:c>
      <x:c r="H705" s="23" t="str">
        <x:v>danipersoa@hotmail.com</x:v>
      </x:c>
      <x:c r="I705" s="22" t="str">
        <x:f>"34 9237-4291"</x:f>
        <x:v>34 9237-4291</x:v>
      </x:c>
      <x:c r="J705" s="23" t="str">
        <x:v>RENTAL</x:v>
      </x:c>
      <x:c r="K705" s="23" t="str">
        <x:v>rental_company</x:v>
      </x:c>
      <x:c r="L705" s="24" t="b">
        <x:v>1</x:v>
      </x:c>
      <x:c r="M705" s="23" t="n">
        <x:v>1</x:v>
      </x:c>
      <x:c r="N705" s="28" t="n">
        <x:v>46203.9218771875</x:v>
      </x:c>
      <x:c r="O705" s="28" t="n">
        <x:v>46219.812988715275</x:v>
      </x:c>
      <x:c r="P705" s="23" t="str">
        <x:v>UBERLANDIA</x:v>
      </x:c>
      <x:c r="Q705" s="30" t="n">
        <x:v>35127</x:v>
      </x:c>
      <x:c r="R705" s="22" t="str">
        <x:f>"MG 18840660"</x:f>
        <x:v>MG 18840660</x:v>
      </x:c>
      <x:c r="S705" s="23" t="str">
        <x:v>feminino</x:v>
      </x:c>
      <x:c r="T705" s="22" t="str"/>
      <x:c r="U705" s="23" t="str">
        <x:v>DANIELA PEREIRA DE SOUZA</x:v>
      </x:c>
      <x:c r="V705" s="22" t="str">
        <x:f>"121.843.566-62"</x:f>
        <x:v>121.843.566-62</x:v>
      </x:c>
      <x:c r="W705" s="22" t="str">
        <x:f>"12184356662"</x:f>
        <x:v>12184356662</x:v>
      </x:c>
      <x:c r="X705" s="23" t="str">
        <x:v>danipersoa@hotmail.com</x:v>
      </x:c>
      <x:c r="Y705" s="22" t="str">
        <x:f>"34 9237-4291"</x:f>
        <x:v>34 9237-4291</x:v>
      </x:c>
      <x:c r="Z705" s="30" t="n">
        <x:v>46311</x:v>
      </x:c>
    </x:row>
    <x:row r="706" ht="18" customHeight="1">
      <x:c r="A706" s="22" t="str">
        <x:f>"ea1e2979-7364-4b27-a312-8df059bfda6f"</x:f>
        <x:v>ea1e2979-7364-4b27-a312-8df059bfda6f</x:v>
      </x:c>
      <x:c r="B706" s="23" t="str">
        <x:v>DANIEL ARAUJO SOUZA</x:v>
      </x:c>
      <x:c r="C706" s="23" t="str">
        <x:v>daniel araujo souza</x:v>
      </x:c>
      <x:c r="D706" s="22" t="str">
        <x:f>"52.474.463/0001-99"</x:f>
        <x:v>52.474.463/0001-99</x:v>
      </x:c>
      <x:c r="E706" s="22" t="str">
        <x:f>"52474463000199"</x:f>
        <x:v>52474463000199</x:v>
      </x:c>
      <x:c r="F706" s="22" t="str">
        <x:f>"119.334.056-00"</x:f>
        <x:v>119.334.056-00</x:v>
      </x:c>
      <x:c r="G706" s="22" t="str">
        <x:f>"11933405600"</x:f>
        <x:v>11933405600</x:v>
      </x:c>
      <x:c r="H706" s="23" t="str">
        <x:v>danielaraujotrasportes@gmail.com</x:v>
      </x:c>
      <x:c r="I706" s="22" t="str">
        <x:f>"31 7353-5493"</x:f>
        <x:v>31 7353-5493</x:v>
      </x:c>
      <x:c r="J706" s="23" t="str">
        <x:v>rental</x:v>
      </x:c>
      <x:c r="K706" s="23" t="str">
        <x:v>rental_company</x:v>
      </x:c>
      <x:c r="L706" s="24" t="b">
        <x:v>1</x:v>
      </x:c>
      <x:c r="M706" s="23" t="n">
        <x:v>1</x:v>
      </x:c>
      <x:c r="N706" s="28" t="n">
        <x:v>46219.812988715275</x:v>
      </x:c>
      <x:c r="O706" s="28" t="n">
        <x:v>46219.812988715275</x:v>
      </x:c>
      <x:c r="P706" s="23" t="str">
        <x:v>NOVA LIMA</x:v>
      </x:c>
      <x:c r="Q706" s="30" t="n">
        <x:v>34435</x:v>
      </x:c>
      <x:c r="R706" s="22" t="str">
        <x:f>"MG16980901"</x:f>
        <x:v>MG16980901</x:v>
      </x:c>
      <x:c r="S706" s="23" t="str">
        <x:v>masculino</x:v>
      </x:c>
      <x:c r="T706" s="22" t="str"/>
      <x:c r="U706" s="23" t="str">
        <x:v>DANIEL ARAUJO SOUZA</x:v>
      </x:c>
      <x:c r="V706" s="22" t="str">
        <x:f>"119.334.056-00"</x:f>
        <x:v>119.334.056-00</x:v>
      </x:c>
      <x:c r="W706" s="22" t="str">
        <x:f>"11933405600"</x:f>
        <x:v>11933405600</x:v>
      </x:c>
      <x:c r="X706" s="23" t="str">
        <x:v>danielaraujotrasportes@gmail.com</x:v>
      </x:c>
      <x:c r="Y706" s="22" t="str">
        <x:f>"31 7353-5493"</x:f>
        <x:v>31 7353-5493</x:v>
      </x:c>
      <x:c r="Z706" s="30" t="n">
        <x:v>46550</x:v>
      </x:c>
    </x:row>
    <x:row r="707" ht="18" customHeight="1">
      <x:c r="A707" s="22" t="str">
        <x:f>"5a14ee7a-30b6-41c9-92ca-2d08023df433"</x:f>
        <x:v>5a14ee7a-30b6-41c9-92ca-2d08023df433</x:v>
      </x:c>
      <x:c r="B707" s="23" t="str">
        <x:v>DANIEL CARLOS ROSA DE MIRANDA</x:v>
      </x:c>
      <x:c r="C707" s="23" t="str">
        <x:v>daniel carlos rosa de miranda</x:v>
      </x:c>
      <x:c r="D707" s="22" t="str">
        <x:f>"55.538.488/0001-05"</x:f>
        <x:v>55.538.488/0001-05</x:v>
      </x:c>
      <x:c r="E707" s="22" t="str">
        <x:f>"55538488000105"</x:f>
        <x:v>55538488000105</x:v>
      </x:c>
      <x:c r="F707" s="22" t="str">
        <x:f>"093.695.556-25"</x:f>
        <x:v>093.695.556-25</x:v>
      </x:c>
      <x:c r="G707" s="22" t="str">
        <x:f>"09369555625"</x:f>
        <x:v>09369555625</x:v>
      </x:c>
      <x:c r="H707" s="23" t="str">
        <x:v>danielcarlosrmiranda@gmail.com</x:v>
      </x:c>
      <x:c r="I707" s="22" t="str">
        <x:f>"(33)9.9944.7520"</x:f>
        <x:v>(33)9.9944.7520</x:v>
      </x:c>
      <x:c r="J707" s="23" t="str">
        <x:v>SPOT</x:v>
      </x:c>
      <x:c r="K707" s="23" t="str">
        <x:v>favored_only</x:v>
      </x:c>
      <x:c r="L707" s="24" t="b">
        <x:v>1</x:v>
      </x:c>
      <x:c r="M707" s="23" t="n">
        <x:v>1</x:v>
      </x:c>
      <x:c r="N707" s="28" t="n">
        <x:v>46219.812988715275</x:v>
      </x:c>
      <x:c r="O707" s="28" t="n">
        <x:v>46219.812988715275</x:v>
      </x:c>
      <x:c r="P707" s="23" t="str">
        <x:v>GUANHAES</x:v>
      </x:c>
      <x:c r="Q707" s="30" t="n">
        <x:v>34362</x:v>
      </x:c>
      <x:c r="R707" s="22" t="str">
        <x:f>"17617223"</x:f>
        <x:v>17617223</x:v>
      </x:c>
      <x:c r="S707" s="23" t="str">
        <x:v>masculino</x:v>
      </x:c>
      <x:c r="T707" s="22" t="str">
        <x:f>"PVQ3I21"</x:f>
        <x:v>PVQ3I21</x:v>
      </x:c>
      <x:c r="U707" s="23" t="str">
        <x:v>DANIEL CARLOS ROSA DE MIRANDA</x:v>
      </x:c>
      <x:c r="V707" s="22" t="str">
        <x:f>"093.695.556-25"</x:f>
        <x:v>093.695.556-25</x:v>
      </x:c>
      <x:c r="W707" s="22" t="str">
        <x:f>"09369555625"</x:f>
        <x:v>09369555625</x:v>
      </x:c>
      <x:c r="X707" s="23" t="str">
        <x:v>danielcarlosrmiranda@gmail.com</x:v>
      </x:c>
      <x:c r="Y707" s="22" t="str">
        <x:f>"(33)9.9944.7520"</x:f>
        <x:v>(33)9.9944.7520</x:v>
      </x:c>
      <x:c r="Z707" s="30" t="n">
        <x:v>46471</x:v>
      </x:c>
    </x:row>
    <x:row r="708" ht="18" customHeight="1">
      <x:c r="A708" s="22" t="str">
        <x:f>"d9a93576-07ca-436d-b986-31f033e98cbc"</x:f>
        <x:v>d9a93576-07ca-436d-b986-31f033e98cbc</x:v>
      </x:c>
      <x:c r="B708" s="23" t="str">
        <x:v>DANIEL DE PAULA RIOS</x:v>
      </x:c>
      <x:c r="C708" s="23" t="str">
        <x:v>daniel de paula rios</x:v>
      </x:c>
      <x:c r="D708" s="22" t="str">
        <x:f>"64.150.299/0001-43"</x:f>
        <x:v>64.150.299/0001-43</x:v>
      </x:c>
      <x:c r="E708" s="22" t="str">
        <x:f>"64150299000143"</x:f>
        <x:v>64150299000143</x:v>
      </x:c>
      <x:c r="F708" s="22" t="str">
        <x:f>"606.590.603-45"</x:f>
        <x:v>606.590.603-45</x:v>
      </x:c>
      <x:c r="G708" s="22" t="str">
        <x:f>"60659060345"</x:f>
        <x:v>60659060345</x:v>
      </x:c>
      <x:c r="H708" s="23" t="str">
        <x:v>prdiogihenrique@gmail.com</x:v>
      </x:c>
      <x:c r="I708" s="22" t="str">
        <x:f>"(63) 98503-0524"</x:f>
        <x:v>(63) 98503-0524</x:v>
      </x:c>
      <x:c r="J708" s="23" t="str">
        <x:v>SPOT</x:v>
      </x:c>
      <x:c r="K708" s="23" t="str">
        <x:v>favored_only</x:v>
      </x:c>
      <x:c r="L708" s="24" t="b">
        <x:v>1</x:v>
      </x:c>
      <x:c r="M708" s="23" t="n">
        <x:v>1</x:v>
      </x:c>
      <x:c r="N708" s="28" t="n">
        <x:v>46205.60685708333</x:v>
      </x:c>
      <x:c r="O708" s="28" t="n">
        <x:v>46219.812988715275</x:v>
      </x:c>
      <x:c r="P708" s="23" t="str">
        <x:v>MINAÇU</x:v>
      </x:c>
      <x:c r="Q708" s="30" t="n">
        <x:v>33930</x:v>
      </x:c>
      <x:c r="R708" s="22" t="str">
        <x:f>"1703149"</x:f>
        <x:v>1703149</x:v>
      </x:c>
      <x:c r="S708" s="23" t="str">
        <x:v>masculino</x:v>
      </x:c>
      <x:c r="T708" s="22" t="str">
        <x:f>"JKJ7G81"</x:f>
        <x:v>JKJ7G81</x:v>
      </x:c>
      <x:c r="U708" s="23" t="str">
        <x:v>PERSIDA REGIS TAVEIRA RODRIGUES DOS SANTOS</x:v>
      </x:c>
      <x:c r="V708" s="22" t="str">
        <x:f>"037.036.091-50"</x:f>
        <x:v>037.036.091-50</x:v>
      </x:c>
      <x:c r="W708" s="22" t="str">
        <x:f>"03703609150"</x:f>
        <x:v>03703609150</x:v>
      </x:c>
      <x:c r="X708" s="23" t="str">
        <x:v>cantorapersida@gmail.com</x:v>
      </x:c>
      <x:c r="Y708" s="22" t="str">
        <x:f>"63992353296"</x:f>
        <x:v>63992353296</x:v>
      </x:c>
      <x:c r="Z708" s="30" t="n">
        <x:v>46385</x:v>
      </x:c>
    </x:row>
    <x:row r="709" ht="18" customHeight="1">
      <x:c r="A709" s="22" t="str">
        <x:f>"b912afed-bb12-47e4-bb0b-95f868c1829c"</x:f>
        <x:v>b912afed-bb12-47e4-bb0b-95f868c1829c</x:v>
      </x:c>
      <x:c r="B709" s="23" t="str">
        <x:v>DANIEL DO ESPIRITO SANTO REZENDE</x:v>
      </x:c>
      <x:c r="C709" s="23" t="str">
        <x:v>daniel do espirito santo rezende</x:v>
      </x:c>
      <x:c r="D709" s="22" t="str">
        <x:f>"44.678.093/0001-83"</x:f>
        <x:v>44.678.093/0001-83</x:v>
      </x:c>
      <x:c r="E709" s="22" t="str">
        <x:f>"44678093000183"</x:f>
        <x:v>44678093000183</x:v>
      </x:c>
      <x:c r="F709" s="22" t="str">
        <x:f>"189.449.017-75"</x:f>
        <x:v>189.449.017-75</x:v>
      </x:c>
      <x:c r="G709" s="22" t="str">
        <x:f>"18944901775"</x:f>
        <x:v>18944901775</x:v>
      </x:c>
      <x:c r="H709" s="23" t="str">
        <x:v>rezendedaniel012@gmail.com</x:v>
      </x:c>
      <x:c r="I709" s="22" t="str">
        <x:f>"22992619574"</x:f>
        <x:v>22992619574</x:v>
      </x:c>
      <x:c r="J709" s="23" t="str">
        <x:v>SPOT</x:v>
      </x:c>
      <x:c r="K709" s="23" t="str">
        <x:v>favored_only</x:v>
      </x:c>
      <x:c r="L709" s="24" t="b">
        <x:v>1</x:v>
      </x:c>
      <x:c r="M709" s="23" t="n">
        <x:v>1</x:v>
      </x:c>
      <x:c r="N709" s="28" t="n">
        <x:v>46219.812988715275</x:v>
      </x:c>
      <x:c r="O709" s="28" t="n">
        <x:v>46219.812988715275</x:v>
      </x:c>
      <x:c r="P709" s="23" t="str">
        <x:v>CAMPOS DOS GOYTACAZES</x:v>
      </x:c>
      <x:c r="Q709" s="30" t="n">
        <x:v>37795</x:v>
      </x:c>
      <x:c r="R709" s="22" t="str">
        <x:f>"321373524"</x:f>
        <x:v>321373524</x:v>
      </x:c>
      <x:c r="S709" s="23" t="str">
        <x:v>masculino</x:v>
      </x:c>
      <x:c r="T709" s="22" t="str">
        <x:f>"MSY8F22"</x:f>
        <x:v>MSY8F22</x:v>
      </x:c>
      <x:c r="U709" s="23" t="str">
        <x:v>DANIEL DO ESPIRITO SANTO REZENDE</x:v>
      </x:c>
      <x:c r="V709" s="22" t="str">
        <x:f>"189.449.017-75"</x:f>
        <x:v>189.449.017-75</x:v>
      </x:c>
      <x:c r="W709" s="22" t="str">
        <x:f>"18944901775"</x:f>
        <x:v>18944901775</x:v>
      </x:c>
      <x:c r="X709" s="23" t="str">
        <x:v>rezendedaniel012@gmail.com</x:v>
      </x:c>
      <x:c r="Y709" s="22" t="str">
        <x:f>"22992619574"</x:f>
        <x:v>22992619574</x:v>
      </x:c>
      <x:c r="Z709" s="30" t="n">
        <x:v>46570</x:v>
      </x:c>
    </x:row>
    <x:row r="710" ht="18" customHeight="1">
      <x:c r="A710" s="22" t="str">
        <x:f>"49fb9f40-10aa-45bb-9375-ecd365e217c4"</x:f>
        <x:v>49fb9f40-10aa-45bb-9375-ecd365e217c4</x:v>
      </x:c>
      <x:c r="B710" s="23" t="str">
        <x:v>DANIELE DO ESPIRITO SANTO DOS SANTOS</x:v>
      </x:c>
      <x:c r="C710" s="23" t="str">
        <x:v>daniele do espirito santo dos santos</x:v>
      </x:c>
      <x:c r="D710" s="22" t="str">
        <x:f>"47.409.871/0001-27"</x:f>
        <x:v>47.409.871/0001-27</x:v>
      </x:c>
      <x:c r="E710" s="22" t="str">
        <x:f>"47409871000127"</x:f>
        <x:v>47409871000127</x:v>
      </x:c>
      <x:c r="F710" s="22" t="str">
        <x:f>"080.274.077-45"</x:f>
        <x:v>080.274.077-45</x:v>
      </x:c>
      <x:c r="G710" s="22" t="str">
        <x:f>"08027407745"</x:f>
        <x:v>08027407745</x:v>
      </x:c>
      <x:c r="H710" s="23" t="str">
        <x:v>danieledoespiritosantoLc@gmail.com</x:v>
      </x:c>
      <x:c r="I710" s="22" t="str">
        <x:f>"21 98225-5014"</x:f>
        <x:v>21 98225-5014</x:v>
      </x:c>
      <x:c r="J710" s="23" t="str">
        <x:v>SPOT</x:v>
      </x:c>
      <x:c r="K710" s="23" t="str">
        <x:v>favored_only</x:v>
      </x:c>
      <x:c r="L710" s="24" t="b">
        <x:v>1</x:v>
      </x:c>
      <x:c r="M710" s="23" t="n">
        <x:v>1</x:v>
      </x:c>
      <x:c r="N710" s="28" t="n">
        <x:v>46219.812988715275</x:v>
      </x:c>
      <x:c r="O710" s="28" t="n">
        <x:v>46219.812988715275</x:v>
      </x:c>
      <x:c r="P710" s="23" t="str">
        <x:v>SÃO JOAO DE MERITI</x:v>
      </x:c>
      <x:c r="Q710" s="30" t="n">
        <x:v>28728</x:v>
      </x:c>
      <x:c r="R710" s="22" t="str">
        <x:f>"114529308"</x:f>
        <x:v>114529308</x:v>
      </x:c>
      <x:c r="S710" s="23" t="str">
        <x:v>feminino</x:v>
      </x:c>
      <x:c r="T710" s="22" t="str">
        <x:f>"KXF3099"</x:f>
        <x:v>KXF3099</x:v>
      </x:c>
      <x:c r="U710" s="23" t="str">
        <x:v>DANIELE DO ESPIRITO SANTO DOS SANTOS</x:v>
      </x:c>
      <x:c r="V710" s="22" t="str">
        <x:f>"080.274.077-45"</x:f>
        <x:v>080.274.077-45</x:v>
      </x:c>
      <x:c r="W710" s="22" t="str">
        <x:f>"08027407745"</x:f>
        <x:v>08027407745</x:v>
      </x:c>
      <x:c r="X710" s="23" t="str">
        <x:v>danieledoespiritosantoLc@gmail.com</x:v>
      </x:c>
      <x:c r="Y710" s="22" t="str">
        <x:f>"21 98225-5014"</x:f>
        <x:v>21 98225-5014</x:v>
      </x:c>
      <x:c r="Z710" s="30" t="n">
        <x:v>46462</x:v>
      </x:c>
    </x:row>
    <x:row r="711" ht="18" customHeight="1">
      <x:c r="A711" s="22" t="str">
        <x:f>"435662a1-61ea-4b00-951c-cf8933710dcc"</x:f>
        <x:v>435662a1-61ea-4b00-951c-cf8933710dcc</x:v>
      </x:c>
      <x:c r="B711" s="23" t="str">
        <x:v>DANIELE GALINDO MARTINS</x:v>
      </x:c>
      <x:c r="C711" s="23" t="str">
        <x:v>daniele galindo martins</x:v>
      </x:c>
      <x:c r="D711" s="22" t="str">
        <x:f>"60.413.772/0001-87"</x:f>
        <x:v>60.413.772/0001-87</x:v>
      </x:c>
      <x:c r="E711" s="22" t="str">
        <x:f>"60413772000187"</x:f>
        <x:v>60413772000187</x:v>
      </x:c>
      <x:c r="F711" s="22" t="str">
        <x:f>"422.222.808-77"</x:f>
        <x:v>422.222.808-77</x:v>
      </x:c>
      <x:c r="G711" s="22" t="str">
        <x:f>"42222280877"</x:f>
        <x:v>42222280877</x:v>
      </x:c>
      <x:c r="H711" s="23" t="str">
        <x:v>danifeeh1804@gmail.com</x:v>
      </x:c>
      <x:c r="I711" s="22" t="str">
        <x:f>"11993098660"</x:f>
        <x:v>11993098660</x:v>
      </x:c>
      <x:c r="J711" s="23" t="str">
        <x:v>SPOT</x:v>
      </x:c>
      <x:c r="K711" s="23" t="str">
        <x:v>favored_only</x:v>
      </x:c>
      <x:c r="L711" s="24" t="b">
        <x:v>1</x:v>
      </x:c>
      <x:c r="M711" s="23" t="n">
        <x:v>2</x:v>
      </x:c>
      <x:c r="N711" s="28" t="n">
        <x:v>46219.812988715275</x:v>
      </x:c>
      <x:c r="O711" s="28" t="n">
        <x:v>46219.812988715275</x:v>
      </x:c>
      <x:c r="P711" s="23" t="str">
        <x:v>BARUERI</x:v>
      </x:c>
      <x:c r="Q711" s="30" t="n">
        <x:v>35328</x:v>
      </x:c>
      <x:c r="R711" s="22" t="str">
        <x:f>"375930188"</x:f>
        <x:v>375930188</x:v>
      </x:c>
      <x:c r="S711" s="23" t="str">
        <x:v>feminino</x:v>
      </x:c>
      <x:c r="T711" s="22" t="str">
        <x:f>"REG1I28"</x:f>
        <x:v>REG1I28</x:v>
      </x:c>
      <x:c r="U711" s="23" t="str">
        <x:v>DANIELE GALINDO MARTINS</x:v>
      </x:c>
      <x:c r="V711" s="22" t="str">
        <x:f>"422.222.808-77"</x:f>
        <x:v>422.222.808-77</x:v>
      </x:c>
      <x:c r="W711" s="22" t="str">
        <x:f>"42222280877"</x:f>
        <x:v>42222280877</x:v>
      </x:c>
      <x:c r="X711" s="23" t="str">
        <x:v>danifeeh1804@gmail.com</x:v>
      </x:c>
      <x:c r="Y711" s="22" t="str">
        <x:f>"11993098660"</x:f>
        <x:v>11993098660</x:v>
      </x:c>
      <x:c r="Z711" s="30" t="n">
        <x:v>46561</x:v>
      </x:c>
    </x:row>
    <x:row r="712" ht="18" customHeight="1">
      <x:c r="A712" s="22" t="str">
        <x:f>"710626d7-66d7-4197-89d1-969dc873f863"</x:f>
        <x:v>710626d7-66d7-4197-89d1-969dc873f863</x:v>
      </x:c>
      <x:c r="B712" s="23" t="str">
        <x:v>DANIELE GONZAGA EVANGELISTA</x:v>
      </x:c>
      <x:c r="C712" s="23" t="str">
        <x:v>daniele gonzaga evangelista</x:v>
      </x:c>
      <x:c r="D712" s="22" t="str">
        <x:f>"36.151.743/0001-00"</x:f>
        <x:v>36.151.743/0001-00</x:v>
      </x:c>
      <x:c r="E712" s="22" t="str">
        <x:f>"36151743000100"</x:f>
        <x:v>36151743000100</x:v>
      </x:c>
      <x:c r="F712" s="22" t="str">
        <x:f>"426.321.418-85"</x:f>
        <x:v>426.321.418-85</x:v>
      </x:c>
      <x:c r="G712" s="22" t="str">
        <x:f>"42632141885"</x:f>
        <x:v>42632141885</x:v>
      </x:c>
      <x:c r="H712" s="23" t="str">
        <x:v>daninhaevangelista2019@gmail.com</x:v>
      </x:c>
      <x:c r="I712" s="22" t="str">
        <x:f>"17 997025970"</x:f>
        <x:v>17 997025970</x:v>
      </x:c>
      <x:c r="J712" s="23" t="str">
        <x:v>SPOT</x:v>
      </x:c>
      <x:c r="K712" s="23" t="str">
        <x:v>favored_only</x:v>
      </x:c>
      <x:c r="L712" s="24" t="b">
        <x:v>1</x:v>
      </x:c>
      <x:c r="M712" s="23" t="n">
        <x:v>1</x:v>
      </x:c>
      <x:c r="N712" s="28" t="n">
        <x:v>46203.92184908565</x:v>
      </x:c>
      <x:c r="O712" s="28" t="n">
        <x:v>46205.60510152778</x:v>
      </x:c>
      <x:c r="P712" s="23" t="str">
        <x:v>ARAÇATUBA</x:v>
      </x:c>
      <x:c r="Q712" s="30" t="n">
        <x:v>34764</x:v>
      </x:c>
      <x:c r="R712" s="22" t="str">
        <x:f>"43618007"</x:f>
        <x:v>43618007</x:v>
      </x:c>
      <x:c r="S712" s="23" t="str">
        <x:v>Feminino</x:v>
      </x:c>
      <x:c r="T712" s="22" t="str">
        <x:f>"DXY9C84"</x:f>
        <x:v>DXY9C84</x:v>
      </x:c>
      <x:c r="U712" s="23" t="str">
        <x:v>DANIELE GONZAGA EVANGELISTA</x:v>
      </x:c>
      <x:c r="V712" s="22" t="str">
        <x:f>"426.321.418-85"</x:f>
        <x:v>426.321.418-85</x:v>
      </x:c>
      <x:c r="W712" s="22" t="str">
        <x:f>"42632141885"</x:f>
        <x:v>42632141885</x:v>
      </x:c>
      <x:c r="X712" s="23" t="str">
        <x:v>daninhaevangelista2019@gmail.com</x:v>
      </x:c>
      <x:c r="Y712" s="22" t="str">
        <x:f>"17 997025970"</x:f>
        <x:v>17 997025970</x:v>
      </x:c>
      <x:c r="Z712" s="30" t="n">
        <x:v>46227</x:v>
      </x:c>
    </x:row>
    <x:row r="713" ht="18" customHeight="1">
      <x:c r="A713" s="22" t="str">
        <x:f>"43b9fba9-177c-4911-92d3-cb8acacf4cda"</x:f>
        <x:v>43b9fba9-177c-4911-92d3-cb8acacf4cda</x:v>
      </x:c>
      <x:c r="B713" s="23" t="str">
        <x:v>DANIEL FERREIRA DE SOUZA</x:v>
      </x:c>
      <x:c r="C713" s="23" t="str">
        <x:v>daniel ferreira de souza</x:v>
      </x:c>
      <x:c r="D713" s="22" t="str">
        <x:f>"61.672.910/0001-05"</x:f>
        <x:v>61.672.910/0001-05</x:v>
      </x:c>
      <x:c r="E713" s="22" t="str">
        <x:f>"61672910000105"</x:f>
        <x:v>61672910000105</x:v>
      </x:c>
      <x:c r="F713" s="22" t="str">
        <x:f>"124.789.616-10"</x:f>
        <x:v>124.789.616-10</x:v>
      </x:c>
      <x:c r="G713" s="22" t="str">
        <x:f>"12478961610"</x:f>
        <x:v>12478961610</x:v>
      </x:c>
      <x:c r="H713" s="23" t="str">
        <x:v>sorte13.2023@gmail.com</x:v>
      </x:c>
      <x:c r="I713" s="22" t="str">
        <x:f>"31 9612-2390"</x:f>
        <x:v>31 9612-2390</x:v>
      </x:c>
      <x:c r="J713" s="23" t="str">
        <x:v>SPOT</x:v>
      </x:c>
      <x:c r="K713" s="23" t="str">
        <x:v>favored_only</x:v>
      </x:c>
      <x:c r="L713" s="24" t="b">
        <x:v>1</x:v>
      </x:c>
      <x:c r="M713" s="23" t="n">
        <x:v>1</x:v>
      </x:c>
      <x:c r="N713" s="28" t="n">
        <x:v>46203.92189349537</x:v>
      </x:c>
      <x:c r="O713" s="28" t="n">
        <x:v>46219.812988715275</x:v>
      </x:c>
      <x:c r="P713" s="23" t="str">
        <x:v>CONTAGEM</x:v>
      </x:c>
      <x:c r="Q713" s="30" t="n">
        <x:v>34521</x:v>
      </x:c>
      <x:c r="R713" s="22" t="str">
        <x:f>"MG17659575"</x:f>
        <x:v>MG17659575</x:v>
      </x:c>
      <x:c r="S713" s="23" t="str">
        <x:v>masculino</x:v>
      </x:c>
      <x:c r="T713" s="22" t="str">
        <x:f>"NYA3F48"</x:f>
        <x:v>NYA3F48</x:v>
      </x:c>
      <x:c r="U713" s="23" t="str">
        <x:v>DANIEL FERREIRA DE SOUZA</x:v>
      </x:c>
      <x:c r="V713" s="22" t="str">
        <x:f>"124.789.616-10"</x:f>
        <x:v>124.789.616-10</x:v>
      </x:c>
      <x:c r="W713" s="22" t="str">
        <x:f>"12478961610"</x:f>
        <x:v>12478961610</x:v>
      </x:c>
      <x:c r="X713" s="23" t="str">
        <x:v>sorte13.2023@gmail.com</x:v>
      </x:c>
      <x:c r="Y713" s="22" t="str">
        <x:f>"+55 31 9612-2390"</x:f>
        <x:v>+55 31 9612-2390</x:v>
      </x:c>
      <x:c r="Z713" s="30" t="n">
        <x:v>46343</x:v>
      </x:c>
    </x:row>
    <x:row r="714" ht="18" customHeight="1">
      <x:c r="A714" s="22" t="str">
        <x:f>"15fbcca4-f5b1-4757-a5cd-89f1b06f27d1"</x:f>
        <x:v>15fbcca4-f5b1-4757-a5cd-89f1b06f27d1</x:v>
      </x:c>
      <x:c r="B714" s="23" t="str">
        <x:v>DANIEL FLORENCIO DA SILVA LOPES</x:v>
      </x:c>
      <x:c r="C714" s="23" t="str">
        <x:v>daniel florencio da silva lopes</x:v>
      </x:c>
      <x:c r="D714" s="22" t="str">
        <x:f>"58.468.259/0001-41"</x:f>
        <x:v>58.468.259/0001-41</x:v>
      </x:c>
      <x:c r="E714" s="22" t="str">
        <x:f>"58468259000141"</x:f>
        <x:v>58468259000141</x:v>
      </x:c>
      <x:c r="F714" s="22" t="str">
        <x:f>"147.458.697-03"</x:f>
        <x:v>147.458.697-03</x:v>
      </x:c>
      <x:c r="G714" s="22" t="str">
        <x:f>"14745869703"</x:f>
        <x:v>14745869703</x:v>
      </x:c>
      <x:c r="H714" s="23" t="str">
        <x:v>daniellopes0921@outlook.com</x:v>
      </x:c>
      <x:c r="I714" s="22" t="str">
        <x:f>"21988988270"</x:f>
        <x:v>21988988270</x:v>
      </x:c>
      <x:c r="J714" s="23" t="str">
        <x:v>SPOT</x:v>
      </x:c>
      <x:c r="K714" s="23" t="str">
        <x:v>favored_only</x:v>
      </x:c>
      <x:c r="L714" s="24" t="b">
        <x:v>1</x:v>
      </x:c>
      <x:c r="M714" s="23" t="n">
        <x:v>1</x:v>
      </x:c>
      <x:c r="N714" s="28" t="n">
        <x:v>46219.812988715275</x:v>
      </x:c>
      <x:c r="O714" s="28" t="n">
        <x:v>46219.812988715275</x:v>
      </x:c>
      <x:c r="P714" s="23" t="str">
        <x:v>ITABORAI</x:v>
      </x:c>
      <x:c r="Q714" s="30" t="n">
        <x:v>33353</x:v>
      </x:c>
      <x:c r="R714" s="22" t="str">
        <x:f>"276036100"</x:f>
        <x:v>276036100</x:v>
      </x:c>
      <x:c r="S714" s="23" t="str">
        <x:v>masculino</x:v>
      </x:c>
      <x:c r="T714" s="22" t="str">
        <x:f>"KYL3I15"</x:f>
        <x:v>KYL3I15</x:v>
      </x:c>
      <x:c r="U714" s="23" t="str">
        <x:v>DANIEL FLORENCIO DA SILVA LOPES</x:v>
      </x:c>
      <x:c r="V714" s="22" t="str">
        <x:f>"147.458.697-03"</x:f>
        <x:v>147.458.697-03</x:v>
      </x:c>
      <x:c r="W714" s="22" t="str">
        <x:f>"14745869703"</x:f>
        <x:v>14745869703</x:v>
      </x:c>
      <x:c r="X714" s="23" t="str">
        <x:v>daniellopes0921@outlook.com</x:v>
      </x:c>
      <x:c r="Y714" s="22" t="str">
        <x:f>"21988988270"</x:f>
        <x:v>21988988270</x:v>
      </x:c>
      <x:c r="Z714" s="30" t="n">
        <x:v>46555</x:v>
      </x:c>
    </x:row>
    <x:row r="715" ht="18" customHeight="1">
      <x:c r="A715" s="22" t="str">
        <x:f>"1c8598cf-e5ab-4ff2-bf22-3acdf446f229"</x:f>
        <x:v>1c8598cf-e5ab-4ff2-bf22-3acdf446f229</x:v>
      </x:c>
      <x:c r="B715" s="23" t="str">
        <x:v>DANIEL FLORENCIO DA SILVA LOPES</x:v>
      </x:c>
      <x:c r="C715" s="23" t="str">
        <x:v>daniel florencio da silva lopes</x:v>
      </x:c>
      <x:c r="D715" s="22" t="str">
        <x:f>"59.234.863/0001-76"</x:f>
        <x:v>59.234.863/0001-76</x:v>
      </x:c>
      <x:c r="E715" s="22" t="str">
        <x:f>"59234863000176"</x:f>
        <x:v>59234863000176</x:v>
      </x:c>
      <x:c r="F715" s="22" t="str">
        <x:f>"147.458.697-03"</x:f>
        <x:v>147.458.697-03</x:v>
      </x:c>
      <x:c r="G715" s="22" t="str">
        <x:f>"14745869703"</x:f>
        <x:v>14745869703</x:v>
      </x:c>
      <x:c r="H715" s="23" t="str">
        <x:v>daniellopes0921@outlook.com</x:v>
      </x:c>
      <x:c r="I715" s="22" t="str">
        <x:f>"21988988270"</x:f>
        <x:v>21988988270</x:v>
      </x:c>
      <x:c r="J715" s="23" t="str">
        <x:v>SPOT</x:v>
      </x:c>
      <x:c r="K715" s="23" t="str">
        <x:v>favored_only</x:v>
      </x:c>
      <x:c r="L715" s="24" t="b">
        <x:v>1</x:v>
      </x:c>
      <x:c r="M715" s="23" t="n">
        <x:v>1</x:v>
      </x:c>
      <x:c r="N715" s="28" t="n">
        <x:v>46219.812988715275</x:v>
      </x:c>
      <x:c r="O715" s="28" t="n">
        <x:v>46219.812988715275</x:v>
      </x:c>
      <x:c r="P715" s="23" t="str">
        <x:v>ITABORAI</x:v>
      </x:c>
      <x:c r="Q715" s="30" t="n">
        <x:v>33353</x:v>
      </x:c>
      <x:c r="R715" s="22" t="str">
        <x:f>"276036100"</x:f>
        <x:v>276036100</x:v>
      </x:c>
      <x:c r="S715" s="23" t="str">
        <x:v>masculino</x:v>
      </x:c>
      <x:c r="T715" s="22" t="str">
        <x:f>"KYL3I15"</x:f>
        <x:v>KYL3I15</x:v>
      </x:c>
      <x:c r="U715" s="23" t="str">
        <x:v>VITOR GONCALVES DA SILVA</x:v>
      </x:c>
      <x:c r="V715" s="22" t="str">
        <x:f>"134.071.627-58"</x:f>
        <x:v>134.071.627-58</x:v>
      </x:c>
      <x:c r="W715" s="22" t="str">
        <x:f>"13407162758"</x:f>
        <x:v>13407162758</x:v>
      </x:c>
      <x:c r="X715" s="23" t="str">
        <x:v>vitords2022@gmail.com</x:v>
      </x:c>
      <x:c r="Y715" s="22" t="str">
        <x:f>"21991166215"</x:f>
        <x:v>21991166215</x:v>
      </x:c>
      <x:c r="Z715" s="30" t="n">
        <x:v>46570</x:v>
      </x:c>
    </x:row>
    <x:row r="716" ht="18" customHeight="1">
      <x:c r="A716" s="22" t="str">
        <x:f>"44a95581-9a22-420d-8612-2795e95e91a3"</x:f>
        <x:v>44a95581-9a22-420d-8612-2795e95e91a3</x:v>
      </x:c>
      <x:c r="B716" s="23" t="str">
        <x:v>DANIEL HENRIQUE COELHO</x:v>
      </x:c>
      <x:c r="C716" s="23" t="str">
        <x:v>daniel henrique coelho</x:v>
      </x:c>
      <x:c r="D716" s="22" t="str">
        <x:f>"67.301.581/0001-72"</x:f>
        <x:v>67.301.581/0001-72</x:v>
      </x:c>
      <x:c r="E716" s="22" t="str">
        <x:f>"67301581000172"</x:f>
        <x:v>67301581000172</x:v>
      </x:c>
      <x:c r="F716" s="22" t="str">
        <x:f>"489.231.378-55"</x:f>
        <x:v>489.231.378-55</x:v>
      </x:c>
      <x:c r="G716" s="22" t="str">
        <x:f>"48923137855"</x:f>
        <x:v>48923137855</x:v>
      </x:c>
      <x:c r="H716" s="23" t="str">
        <x:v>danielhc481@gmail.com</x:v>
      </x:c>
      <x:c r="I716" s="22" t="str">
        <x:f>"14991077718"</x:f>
        <x:v>14991077718</x:v>
      </x:c>
      <x:c r="J716" s="23" t="str">
        <x:v>RENTAL</x:v>
      </x:c>
      <x:c r="K716" s="23" t="str">
        <x:v>rental_company</x:v>
      </x:c>
      <x:c r="L716" s="24" t="b">
        <x:v>1</x:v>
      </x:c>
      <x:c r="M716" s="23" t="n">
        <x:v>1</x:v>
      </x:c>
      <x:c r="N716" s="28" t="n">
        <x:v>46219.812988715275</x:v>
      </x:c>
      <x:c r="O716" s="28" t="n">
        <x:v>46219.812988715275</x:v>
      </x:c>
      <x:c r="P716" s="23" t="str">
        <x:v>BAURU</x:v>
      </x:c>
      <x:c r="Q716" s="30" t="n">
        <x:v>37685</x:v>
      </x:c>
      <x:c r="R716" s="22" t="str">
        <x:f>"59149629"</x:f>
        <x:v>59149629</x:v>
      </x:c>
      <x:c r="S716" s="23" t="str">
        <x:v>masculino</x:v>
      </x:c>
      <x:c r="T716" s="22" t="str"/>
      <x:c r="U716" s="23" t="str">
        <x:v>DANIEL HENRIQUE COELHO</x:v>
      </x:c>
      <x:c r="V716" s="22" t="str">
        <x:f>"489.231.378-55"</x:f>
        <x:v>489.231.378-55</x:v>
      </x:c>
      <x:c r="W716" s="22" t="str">
        <x:f>"48923137855"</x:f>
        <x:v>48923137855</x:v>
      </x:c>
      <x:c r="X716" s="23" t="str">
        <x:v>danielhc481@gmail.com</x:v>
      </x:c>
      <x:c r="Y716" s="22" t="str">
        <x:f>"14991077718"</x:f>
        <x:v>14991077718</x:v>
      </x:c>
      <x:c r="Z716" s="30" t="n">
        <x:v>46498</x:v>
      </x:c>
    </x:row>
    <x:row r="717" ht="18" customHeight="1">
      <x:c r="A717" s="22" t="str">
        <x:f>"82793c24-8e01-4bf8-99af-667cbaef7bea"</x:f>
        <x:v>82793c24-8e01-4bf8-99af-667cbaef7bea</x:v>
      </x:c>
      <x:c r="B717" s="23" t="str">
        <x:v>DANIEL HENRIQUE FARIA DAUMICHEN</x:v>
      </x:c>
      <x:c r="C717" s="23" t="str">
        <x:v>daniel henrique faria daumichen</x:v>
      </x:c>
      <x:c r="D717" s="22" t="str">
        <x:f>"63.402.971/0001-88"</x:f>
        <x:v>63.402.971/0001-88</x:v>
      </x:c>
      <x:c r="E717" s="22" t="str">
        <x:f>"63402971000188"</x:f>
        <x:v>63402971000188</x:v>
      </x:c>
      <x:c r="F717" s="22" t="str">
        <x:f>"382.219.868-44"</x:f>
        <x:v>382.219.868-44</x:v>
      </x:c>
      <x:c r="G717" s="22" t="str">
        <x:f>"38221986844"</x:f>
        <x:v>38221986844</x:v>
      </x:c>
      <x:c r="H717" s="23" t="str">
        <x:v>crachoverayd@gmail.com</x:v>
      </x:c>
      <x:c r="I717" s="22" t="str">
        <x:f>"11968889200"</x:f>
        <x:v>11968889200</x:v>
      </x:c>
      <x:c r="J717" s="23" t="str">
        <x:v>SPOT</x:v>
      </x:c>
      <x:c r="K717" s="23" t="str">
        <x:v>favored_only</x:v>
      </x:c>
      <x:c r="L717" s="24" t="b">
        <x:v>1</x:v>
      </x:c>
      <x:c r="M717" s="23" t="n">
        <x:v>1</x:v>
      </x:c>
      <x:c r="N717" s="28" t="n">
        <x:v>46203.9219084375</x:v>
      </x:c>
      <x:c r="O717" s="28" t="n">
        <x:v>46219.812988715275</x:v>
      </x:c>
      <x:c r="P717" s="23" t="str">
        <x:v>BARUERI</x:v>
      </x:c>
      <x:c r="Q717" s="30" t="n">
        <x:v>32891</x:v>
      </x:c>
      <x:c r="R717" s="22" t="str">
        <x:f>"46736936"</x:f>
        <x:v>46736936</x:v>
      </x:c>
      <x:c r="S717" s="23" t="str">
        <x:v>masculino</x:v>
      </x:c>
      <x:c r="T717" s="22" t="str">
        <x:f>"GBJ2E82"</x:f>
        <x:v>GBJ2E82</x:v>
      </x:c>
      <x:c r="U717" s="23" t="str">
        <x:v>DANIEL HENRIQUE FARIA DAUMICHEN</x:v>
      </x:c>
      <x:c r="V717" s="22" t="str">
        <x:f>"382.219.868-44"</x:f>
        <x:v>382.219.868-44</x:v>
      </x:c>
      <x:c r="W717" s="22" t="str">
        <x:f>"38221986844"</x:f>
        <x:v>38221986844</x:v>
      </x:c>
      <x:c r="X717" s="23" t="str">
        <x:v>crachoverayd@gmail.com</x:v>
      </x:c>
      <x:c r="Y717" s="22" t="str">
        <x:f>"11968889200"</x:f>
        <x:v>11968889200</x:v>
      </x:c>
      <x:c r="Z717" s="30" t="n">
        <x:v>46392</x:v>
      </x:c>
    </x:row>
    <x:row r="718" ht="18" customHeight="1">
      <x:c r="A718" s="22" t="str">
        <x:f>"31136420-b663-4ed6-8aac-b676d9f8b67c"</x:f>
        <x:v>31136420-b663-4ed6-8aac-b676d9f8b67c</x:v>
      </x:c>
      <x:c r="B718" s="23" t="str">
        <x:v>DANIEL JOANELI MARINHO</x:v>
      </x:c>
      <x:c r="C718" s="23" t="str">
        <x:v>daniel joaneli marinho</x:v>
      </x:c>
      <x:c r="D718" s="22" t="str">
        <x:f>"59.556.245/0001-42"</x:f>
        <x:v>59.556.245/0001-42</x:v>
      </x:c>
      <x:c r="E718" s="22" t="str">
        <x:f>"59556245000142"</x:f>
        <x:v>59556245000142</x:v>
      </x:c>
      <x:c r="F718" s="22" t="str">
        <x:f>"352.760.948-28"</x:f>
        <x:v>352.760.948-28</x:v>
      </x:c>
      <x:c r="G718" s="22" t="str">
        <x:f>"35276094828"</x:f>
        <x:v>35276094828</x:v>
      </x:c>
      <x:c r="H718" s="23" t="str">
        <x:v>djmarinho9011@gmail.com</x:v>
      </x:c>
      <x:c r="I718" s="22" t="str">
        <x:f>"17991575320"</x:f>
        <x:v>17991575320</x:v>
      </x:c>
      <x:c r="J718" s="23" t="str">
        <x:v>SPOT</x:v>
      </x:c>
      <x:c r="K718" s="23" t="str">
        <x:v>favored_only</x:v>
      </x:c>
      <x:c r="L718" s="24" t="b">
        <x:v>1</x:v>
      </x:c>
      <x:c r="M718" s="23" t="n">
        <x:v>1</x:v>
      </x:c>
      <x:c r="N718" s="28" t="n">
        <x:v>46203.92186888889</x:v>
      </x:c>
      <x:c r="O718" s="28" t="n">
        <x:v>46219.812988715275</x:v>
      </x:c>
      <x:c r="P718" s="23" t="str">
        <x:v>SÃO JOSE DO RIO PRETO</x:v>
      </x:c>
      <x:c r="Q718" s="30" t="n">
        <x:v>31448</x:v>
      </x:c>
      <x:c r="R718" s="22" t="str">
        <x:f>"434009465"</x:f>
        <x:v>434009465</x:v>
      </x:c>
      <x:c r="S718" s="23" t="str">
        <x:v>masculino</x:v>
      </x:c>
      <x:c r="T718" s="22" t="str">
        <x:f>"FZT5C70"</x:f>
        <x:v>FZT5C70</x:v>
      </x:c>
      <x:c r="U718" s="23" t="str">
        <x:v>DANIEL JOANELI MARINHO</x:v>
      </x:c>
      <x:c r="V718" s="22" t="str">
        <x:f>"352.760.948-28"</x:f>
        <x:v>352.760.948-28</x:v>
      </x:c>
      <x:c r="W718" s="22" t="str">
        <x:f>"35276094828"</x:f>
        <x:v>35276094828</x:v>
      </x:c>
      <x:c r="X718" s="23" t="str">
        <x:v>djmarinho9011@gmail.com</x:v>
      </x:c>
      <x:c r="Y718" s="22" t="str">
        <x:f>"17991575320"</x:f>
        <x:v>17991575320</x:v>
      </x:c>
      <x:c r="Z718" s="30" t="n">
        <x:v>46289</x:v>
      </x:c>
    </x:row>
    <x:row r="719" ht="18" customHeight="1">
      <x:c r="A719" s="22" t="str">
        <x:f>"51641262-8921-46bc-8a0b-c27b3f7db659"</x:f>
        <x:v>51641262-8921-46bc-8a0b-c27b3f7db659</x:v>
      </x:c>
      <x:c r="B719" s="23" t="str">
        <x:v>DANIEL JULIO GOMES DE PAULA</x:v>
      </x:c>
      <x:c r="C719" s="23" t="str">
        <x:v>daniel julio gomes de paula</x:v>
      </x:c>
      <x:c r="D719" s="22" t="str">
        <x:f>"59.205.240/0001-75"</x:f>
        <x:v>59.205.240/0001-75</x:v>
      </x:c>
      <x:c r="E719" s="22" t="str">
        <x:f>"59205240000175"</x:f>
        <x:v>59205240000175</x:v>
      </x:c>
      <x:c r="F719" s="22" t="str">
        <x:f>"095.449.226-95"</x:f>
        <x:v>095.449.226-95</x:v>
      </x:c>
      <x:c r="G719" s="22" t="str">
        <x:f>"09544922695"</x:f>
        <x:v>09544922695</x:v>
      </x:c>
      <x:c r="H719" s="23" t="str">
        <x:v>juliodaniel571@gmail.com</x:v>
      </x:c>
      <x:c r="I719" s="22" t="str">
        <x:f>"31999654403"</x:f>
        <x:v>31999654403</x:v>
      </x:c>
      <x:c r="J719" s="23" t="str">
        <x:v>SPOT</x:v>
      </x:c>
      <x:c r="K719" s="23" t="str">
        <x:v>favored_only</x:v>
      </x:c>
      <x:c r="L719" s="24" t="b">
        <x:v>1</x:v>
      </x:c>
      <x:c r="M719" s="23" t="n">
        <x:v>1</x:v>
      </x:c>
      <x:c r="N719" s="28" t="n">
        <x:v>46219.812988715275</x:v>
      </x:c>
      <x:c r="O719" s="28" t="n">
        <x:v>46219.812988715275</x:v>
      </x:c>
      <x:c r="P719" s="23" t="str">
        <x:v>CONTAGEM</x:v>
      </x:c>
      <x:c r="Q719" s="30" t="n">
        <x:v>32726</x:v>
      </x:c>
      <x:c r="R719" s="22" t="str">
        <x:f>"MG16078866"</x:f>
        <x:v>MG16078866</x:v>
      </x:c>
      <x:c r="S719" s="23" t="str">
        <x:v>masculino</x:v>
      </x:c>
      <x:c r="T719" s="22" t="str">
        <x:f>"SWM3G32"</x:f>
        <x:v>SWM3G32</x:v>
      </x:c>
      <x:c r="U719" s="23" t="str">
        <x:v>DANIEL JULIO GOMES DE PAULA</x:v>
      </x:c>
      <x:c r="V719" s="22" t="str">
        <x:f>"095.449.226-95"</x:f>
        <x:v>095.449.226-95</x:v>
      </x:c>
      <x:c r="W719" s="22" t="str">
        <x:f>"09544922695"</x:f>
        <x:v>09544922695</x:v>
      </x:c>
      <x:c r="X719" s="23" t="str">
        <x:v>juliodaniel571@gmail.com</x:v>
      </x:c>
      <x:c r="Y719" s="22" t="str">
        <x:f>"31999654403"</x:f>
        <x:v>31999654403</x:v>
      </x:c>
      <x:c r="Z719" s="30" t="n">
        <x:v>46450</x:v>
      </x:c>
    </x:row>
    <x:row r="720" ht="18" customHeight="1">
      <x:c r="A720" s="22" t="str">
        <x:f>"ed7f255b-590e-49db-bd81-ee71f058bb90"</x:f>
        <x:v>ed7f255b-590e-49db-bd81-ee71f058bb90</x:v>
      </x:c>
      <x:c r="B720" s="23" t="str">
        <x:v>DANIELLA ANDRADE DE OLIVEIRA</x:v>
      </x:c>
      <x:c r="C720" s="23" t="str">
        <x:v>daniella andrade de oliveira</x:v>
      </x:c>
      <x:c r="D720" s="22" t="str">
        <x:f>"59.768.281/0001-70"</x:f>
        <x:v>59.768.281/0001-70</x:v>
      </x:c>
      <x:c r="E720" s="22" t="str">
        <x:f>"59768281000170"</x:f>
        <x:v>59768281000170</x:v>
      </x:c>
      <x:c r="F720" s="22" t="str">
        <x:f>"408.807.998-11"</x:f>
        <x:v>408.807.998-11</x:v>
      </x:c>
      <x:c r="G720" s="22" t="str">
        <x:f>"40880799811"</x:f>
        <x:v>40880799811</x:v>
      </x:c>
      <x:c r="H720" s="23" t="str">
        <x:v>daniella_oliveira93@yahoo.com.br</x:v>
      </x:c>
      <x:c r="I720" s="22" t="str">
        <x:f>"(11)91692-8593"</x:f>
        <x:v>(11)91692-8593</x:v>
      </x:c>
      <x:c r="J720" s="23" t="str">
        <x:v>RENTAL</x:v>
      </x:c>
      <x:c r="K720" s="23" t="str">
        <x:v>rental_company</x:v>
      </x:c>
      <x:c r="L720" s="24" t="b">
        <x:v>1</x:v>
      </x:c>
      <x:c r="M720" s="23" t="n">
        <x:v>1</x:v>
      </x:c>
      <x:c r="N720" s="28" t="n">
        <x:v>46219.812988715275</x:v>
      </x:c>
      <x:c r="O720" s="28" t="n">
        <x:v>46219.812988715275</x:v>
      </x:c>
      <x:c r="P720" s="23" t="str">
        <x:v>BARUERI</x:v>
      </x:c>
      <x:c r="Q720" s="30" t="n">
        <x:v>34029</x:v>
      </x:c>
      <x:c r="R720" s="22" t="str">
        <x:f>"489757297"</x:f>
        <x:v>489757297</x:v>
      </x:c>
      <x:c r="S720" s="23" t="str">
        <x:v>feminino</x:v>
      </x:c>
      <x:c r="T720" s="22" t="str"/>
      <x:c r="U720" s="23" t="str">
        <x:v>DANIELLA ANDRADE DE OLIVEIRA</x:v>
      </x:c>
      <x:c r="V720" s="22" t="str">
        <x:f>"408.807.998-11"</x:f>
        <x:v>408.807.998-11</x:v>
      </x:c>
      <x:c r="W720" s="22" t="str">
        <x:f>"40880799811"</x:f>
        <x:v>40880799811</x:v>
      </x:c>
      <x:c r="X720" s="23" t="str">
        <x:v>daniella_oliveira93@yahoo.com.br</x:v>
      </x:c>
      <x:c r="Y720" s="22" t="str">
        <x:f>"(11)91692-8593"</x:f>
        <x:v>(11)91692-8593</x:v>
      </x:c>
      <x:c r="Z720" s="30" t="n">
        <x:v>46411</x:v>
      </x:c>
    </x:row>
    <x:row r="721" ht="18" customHeight="1">
      <x:c r="A721" s="22" t="str">
        <x:f>"2c19d036-b199-4d60-8501-a9edaca700d7"</x:f>
        <x:v>2c19d036-b199-4d60-8501-a9edaca700d7</x:v>
      </x:c>
      <x:c r="B721" s="23" t="str">
        <x:v>DANIELLA DA SILVA FONTES PECLI PEREIRA</x:v>
      </x:c>
      <x:c r="C721" s="23" t="str">
        <x:v>daniella da silva fontes pecli pereira</x:v>
      </x:c>
      <x:c r="D721" s="22" t="str">
        <x:f>"30.141.083/0001-08"</x:f>
        <x:v>30.141.083/0001-08</x:v>
      </x:c>
      <x:c r="E721" s="22" t="str">
        <x:f>"30141083000108"</x:f>
        <x:v>30141083000108</x:v>
      </x:c>
      <x:c r="F721" s="22" t="str">
        <x:f>"103.380.007-47"</x:f>
        <x:v>103.380.007-47</x:v>
      </x:c>
      <x:c r="G721" s="22" t="str">
        <x:f>"10338000747"</x:f>
        <x:v>10338000747</x:v>
      </x:c>
      <x:c r="H721" s="23" t="str">
        <x:v>danyedelsinho@hotmail.com</x:v>
      </x:c>
      <x:c r="I721" s="22" t="str">
        <x:f>"22 981769015"</x:f>
        <x:v>22 981769015</x:v>
      </x:c>
      <x:c r="J721" s="23" t="str">
        <x:v>SPOT</x:v>
      </x:c>
      <x:c r="K721" s="23" t="str">
        <x:v>favored_only</x:v>
      </x:c>
      <x:c r="L721" s="24" t="b">
        <x:v>1</x:v>
      </x:c>
      <x:c r="M721" s="23" t="n">
        <x:v>1</x:v>
      </x:c>
      <x:c r="N721" s="28" t="n">
        <x:v>46203.92191240741</x:v>
      </x:c>
      <x:c r="O721" s="28" t="n">
        <x:v>46203.92191240741</x:v>
      </x:c>
      <x:c r="P721" s="23" t="str"/>
      <x:c r="Q721" s="30" t="str"/>
      <x:c r="R721" s="22" t="str"/>
      <x:c r="S721" s="23" t="str"/>
      <x:c r="T721" s="22" t="str"/>
      <x:c r="U721" s="23" t="str">
        <x:v>DANIELLA DA SILVA FONTES PECLI PEREIRA</x:v>
      </x:c>
      <x:c r="V721" s="22" t="str">
        <x:f>"103.380.007-47"</x:f>
        <x:v>103.380.007-47</x:v>
      </x:c>
      <x:c r="W721" s="22" t="str">
        <x:f>"10338000747"</x:f>
        <x:v>10338000747</x:v>
      </x:c>
      <x:c r="X721" s="23" t="str">
        <x:v>danyedelsinho@hotmail.com</x:v>
      </x:c>
      <x:c r="Y721" s="22" t="str">
        <x:f>"22 981769015"</x:f>
        <x:v>22 981769015</x:v>
      </x:c>
      <x:c r="Z721" s="30" t="str"/>
    </x:row>
    <x:row r="722" ht="18" customHeight="1">
      <x:c r="A722" s="22" t="str">
        <x:f>"b24a2bf5-df6f-4e65-9b99-7f8a05955fa5"</x:f>
        <x:v>b24a2bf5-df6f-4e65-9b99-7f8a05955fa5</x:v>
      </x:c>
      <x:c r="B722" s="23" t="str">
        <x:v>DANIELLA ROCHA DOS SANTOS</x:v>
      </x:c>
      <x:c r="C722" s="23" t="str">
        <x:v>daniella rocha dos santos</x:v>
      </x:c>
      <x:c r="D722" s="22" t="str">
        <x:f>"63.785.922/0001-71"</x:f>
        <x:v>63.785.922/0001-71</x:v>
      </x:c>
      <x:c r="E722" s="22" t="str">
        <x:f>"63785922000171"</x:f>
        <x:v>63785922000171</x:v>
      </x:c>
      <x:c r="F722" s="22" t="str">
        <x:f>"501.087.118-11"</x:f>
        <x:v>501.087.118-11</x:v>
      </x:c>
      <x:c r="G722" s="22" t="str">
        <x:f>"50108711811"</x:f>
        <x:v>50108711811</x:v>
      </x:c>
      <x:c r="H722" s="23" t="str">
        <x:v>moisesaugustoo1999@gmail.com</x:v>
      </x:c>
      <x:c r="I722" s="22" t="str">
        <x:f>"11981681738"</x:f>
        <x:v>11981681738</x:v>
      </x:c>
      <x:c r="J722" s="23" t="str">
        <x:v>RENTAL</x:v>
      </x:c>
      <x:c r="K722" s="23" t="str">
        <x:v>rental_company</x:v>
      </x:c>
      <x:c r="L722" s="24" t="b">
        <x:v>1</x:v>
      </x:c>
      <x:c r="M722" s="23" t="n">
        <x:v>1</x:v>
      </x:c>
      <x:c r="N722" s="28" t="n">
        <x:v>46219.812988715275</x:v>
      </x:c>
      <x:c r="O722" s="28" t="n">
        <x:v>46219.812988715275</x:v>
      </x:c>
      <x:c r="P722" s="23" t="str">
        <x:v>BARUERI</x:v>
      </x:c>
      <x:c r="Q722" s="30" t="n">
        <x:v>36834</x:v>
      </x:c>
      <x:c r="R722" s="22" t="str">
        <x:f>"531380816"</x:f>
        <x:v>531380816</x:v>
      </x:c>
      <x:c r="S722" s="23" t="str">
        <x:v>feminino</x:v>
      </x:c>
      <x:c r="T722" s="22" t="str"/>
      <x:c r="U722" s="23" t="str">
        <x:v>DANIELLA ROCHA DOS SANTOS</x:v>
      </x:c>
      <x:c r="V722" s="22" t="str">
        <x:f>"501.087.118-11"</x:f>
        <x:v>501.087.118-11</x:v>
      </x:c>
      <x:c r="W722" s="22" t="str">
        <x:f>"50108711811"</x:f>
        <x:v>50108711811</x:v>
      </x:c>
      <x:c r="X722" s="23" t="str">
        <x:v>moisesaugustoo1999@gmail.com</x:v>
      </x:c>
      <x:c r="Y722" s="22" t="str">
        <x:f>"11981681738"</x:f>
        <x:v>11981681738</x:v>
      </x:c>
      <x:c r="Z722" s="30" t="n">
        <x:v>46578</x:v>
      </x:c>
    </x:row>
    <x:row r="723" ht="18" customHeight="1">
      <x:c r="A723" s="22" t="str">
        <x:f>"749d1ad2-659c-483b-9d6e-f3a8f5000758"</x:f>
        <x:v>749d1ad2-659c-483b-9d6e-f3a8f5000758</x:v>
      </x:c>
      <x:c r="B723" s="23" t="str">
        <x:v>Danielle cristina da silva</x:v>
      </x:c>
      <x:c r="C723" s="23" t="str">
        <x:v>danielle cristina da silva</x:v>
      </x:c>
      <x:c r="D723" s="22" t="str">
        <x:f>"59163153000100"</x:f>
        <x:v>59163153000100</x:v>
      </x:c>
      <x:c r="E723" s="22" t="str">
        <x:f>"59163153000100"</x:f>
        <x:v>59163153000100</x:v>
      </x:c>
      <x:c r="F723" s="22" t="str">
        <x:f>"077.795.096-05"</x:f>
        <x:v>077.795.096-05</x:v>
      </x:c>
      <x:c r="G723" s="22" t="str">
        <x:f>"07779509605"</x:f>
        <x:v>07779509605</x:v>
      </x:c>
      <x:c r="H723" s="23" t="str">
        <x:v>daniellecristinasilva@yahoo.com.br</x:v>
      </x:c>
      <x:c r="I723" s="22" t="str">
        <x:f>"31999866032"</x:f>
        <x:v>31999866032</x:v>
      </x:c>
      <x:c r="J723" s="23" t="str">
        <x:v>SPOT</x:v>
      </x:c>
      <x:c r="K723" s="23" t="str">
        <x:v>favored_only</x:v>
      </x:c>
      <x:c r="L723" s="24" t="b">
        <x:v>1</x:v>
      </x:c>
      <x:c r="M723" s="23" t="n">
        <x:v>1</x:v>
      </x:c>
      <x:c r="N723" s="28" t="n">
        <x:v>46203.921852962965</x:v>
      </x:c>
      <x:c r="O723" s="28" t="n">
        <x:v>46203.921852962965</x:v>
      </x:c>
      <x:c r="P723" s="23" t="str"/>
      <x:c r="Q723" s="30" t="str"/>
      <x:c r="R723" s="22" t="str"/>
      <x:c r="S723" s="23" t="str"/>
      <x:c r="T723" s="22" t="str"/>
      <x:c r="U723" s="23" t="str">
        <x:v>Danielle cristina da silva</x:v>
      </x:c>
      <x:c r="V723" s="22" t="str">
        <x:f>"077.795.096-05"</x:f>
        <x:v>077.795.096-05</x:v>
      </x:c>
      <x:c r="W723" s="22" t="str">
        <x:f>"07779509605"</x:f>
        <x:v>07779509605</x:v>
      </x:c>
      <x:c r="X723" s="23" t="str">
        <x:v>daniellecristinasilva@yahoo.com.br</x:v>
      </x:c>
      <x:c r="Y723" s="22" t="str">
        <x:f>"31999866032"</x:f>
        <x:v>31999866032</x:v>
      </x:c>
      <x:c r="Z723" s="30" t="str"/>
    </x:row>
    <x:row r="724" ht="18" customHeight="1">
      <x:c r="A724" s="22" t="str">
        <x:f>"2c74138b-41d0-4a94-a266-502cbd38a513"</x:f>
        <x:v>2c74138b-41d0-4a94-a266-502cbd38a513</x:v>
      </x:c>
      <x:c r="B724" s="23" t="str">
        <x:v>DANIELLE DA SILVA AZARIAS</x:v>
      </x:c>
      <x:c r="C724" s="23" t="str">
        <x:v>danielle da silva azarias</x:v>
      </x:c>
      <x:c r="D724" s="22" t="str">
        <x:f>"43.114.332/0001-00"</x:f>
        <x:v>43.114.332/0001-00</x:v>
      </x:c>
      <x:c r="E724" s="22" t="str">
        <x:f>"43114332000100"</x:f>
        <x:v>43114332000100</x:v>
      </x:c>
      <x:c r="F724" s="22" t="str">
        <x:f>"387.231.728-86"</x:f>
        <x:v>387.231.728-86</x:v>
      </x:c>
      <x:c r="G724" s="22" t="str">
        <x:f>"38723172886"</x:f>
        <x:v>38723172886</x:v>
      </x:c>
      <x:c r="H724" s="23" t="str">
        <x:v>danielleazarias685@gmail.com</x:v>
      </x:c>
      <x:c r="I724" s="22" t="str">
        <x:f>"11986258284"</x:f>
        <x:v>11986258284</x:v>
      </x:c>
      <x:c r="J724" s="23" t="str">
        <x:v>RENTAL</x:v>
      </x:c>
      <x:c r="K724" s="23" t="str">
        <x:v>rental_company</x:v>
      </x:c>
      <x:c r="L724" s="24" t="b">
        <x:v>1</x:v>
      </x:c>
      <x:c r="M724" s="23" t="n">
        <x:v>1</x:v>
      </x:c>
      <x:c r="N724" s="28" t="n">
        <x:v>46219.812988715275</x:v>
      </x:c>
      <x:c r="O724" s="28" t="n">
        <x:v>46219.812988715275</x:v>
      </x:c>
      <x:c r="P724" s="23" t="str">
        <x:v>BARUERI</x:v>
      </x:c>
      <x:c r="Q724" s="30" t="n">
        <x:v>33112</x:v>
      </x:c>
      <x:c r="R724" s="22" t="str">
        <x:f>"472375337"</x:f>
        <x:v>472375337</x:v>
      </x:c>
      <x:c r="S724" s="23" t="str">
        <x:v>feminino</x:v>
      </x:c>
      <x:c r="T724" s="22" t="str"/>
      <x:c r="U724" s="23" t="str">
        <x:v>DANIELLE DA SILVA AZARIAS</x:v>
      </x:c>
      <x:c r="V724" s="22" t="str">
        <x:f>"387.231.728-86"</x:f>
        <x:v>387.231.728-86</x:v>
      </x:c>
      <x:c r="W724" s="22" t="str">
        <x:f>"38723172886"</x:f>
        <x:v>38723172886</x:v>
      </x:c>
      <x:c r="X724" s="23" t="str">
        <x:v>danielleazarias685@gmail.com</x:v>
      </x:c>
      <x:c r="Y724" s="22" t="str">
        <x:f>"11986258284"</x:f>
        <x:v>11986258284</x:v>
      </x:c>
      <x:c r="Z724" s="30" t="n">
        <x:v>46491</x:v>
      </x:c>
    </x:row>
    <x:row r="725" ht="18" customHeight="1">
      <x:c r="A725" s="22" t="str">
        <x:f>"a8b7a3be-daf9-4d07-9f9f-7156687ad0a0"</x:f>
        <x:v>a8b7a3be-daf9-4d07-9f9f-7156687ad0a0</x:v>
      </x:c>
      <x:c r="B725" s="23" t="str">
        <x:v>DANIELLE DA SILVA COSTA</x:v>
      </x:c>
      <x:c r="C725" s="23" t="str">
        <x:v>danielle da silva costa</x:v>
      </x:c>
      <x:c r="D725" s="22" t="str">
        <x:f>"65.816.802/0001-10"</x:f>
        <x:v>65.816.802/0001-10</x:v>
      </x:c>
      <x:c r="E725" s="22" t="str">
        <x:f>"65816802000110"</x:f>
        <x:v>65816802000110</x:v>
      </x:c>
      <x:c r="F725" s="22" t="str">
        <x:f>"103.299.157-70"</x:f>
        <x:v>103.299.157-70</x:v>
      </x:c>
      <x:c r="G725" s="22" t="str">
        <x:f>"10329915770"</x:f>
        <x:v>10329915770</x:v>
      </x:c>
      <x:c r="H725" s="23" t="str">
        <x:v>daniellecosta742@gmail.com</x:v>
      </x:c>
      <x:c r="I725" s="22" t="str">
        <x:f>"21964443680"</x:f>
        <x:v>21964443680</x:v>
      </x:c>
      <x:c r="J725" s="23" t="str">
        <x:v>SPOT</x:v>
      </x:c>
      <x:c r="K725" s="23" t="str">
        <x:v>favored_only</x:v>
      </x:c>
      <x:c r="L725" s="24" t="b">
        <x:v>1</x:v>
      </x:c>
      <x:c r="M725" s="23" t="n">
        <x:v>1</x:v>
      </x:c>
      <x:c r="N725" s="28" t="n">
        <x:v>46219.812988715275</x:v>
      </x:c>
      <x:c r="O725" s="28" t="n">
        <x:v>46219.812988715275</x:v>
      </x:c>
      <x:c r="P725" s="23" t="str">
        <x:v>QUEIMADOS</x:v>
      </x:c>
      <x:c r="Q725" s="30" t="n">
        <x:v>30764</x:v>
      </x:c>
      <x:c r="R725" s="22" t="str">
        <x:f>"201261765"</x:f>
        <x:v>201261765</x:v>
      </x:c>
      <x:c r="S725" s="23" t="str">
        <x:v>feminino</x:v>
      </x:c>
      <x:c r="T725" s="22" t="str">
        <x:f>"PGX5B97"</x:f>
        <x:v>PGX5B97</x:v>
      </x:c>
      <x:c r="U725" s="23" t="str">
        <x:v>DANIELLE DA SILVA COSTA</x:v>
      </x:c>
      <x:c r="V725" s="22" t="str">
        <x:f>"103.299.157-70"</x:f>
        <x:v>103.299.157-70</x:v>
      </x:c>
      <x:c r="W725" s="22" t="str">
        <x:f>"10329915770"</x:f>
        <x:v>10329915770</x:v>
      </x:c>
      <x:c r="X725" s="23" t="str">
        <x:v>daniellecosta742@gmail.com</x:v>
      </x:c>
      <x:c r="Y725" s="22" t="str">
        <x:f>"21964443680"</x:f>
        <x:v>21964443680</x:v>
      </x:c>
      <x:c r="Z725" s="30" t="n">
        <x:v>46483</x:v>
      </x:c>
    </x:row>
    <x:row r="726" ht="18" customHeight="1">
      <x:c r="A726" s="22" t="str">
        <x:f>"c844247a-1726-41ae-a77f-ac69e2381796"</x:f>
        <x:v>c844247a-1726-41ae-a77f-ac69e2381796</x:v>
      </x:c>
      <x:c r="B726" s="23" t="str">
        <x:v>DANIEL LOPES DE CARVALHO</x:v>
      </x:c>
      <x:c r="C726" s="23" t="str">
        <x:v>daniel lopes de carvalho</x:v>
      </x:c>
      <x:c r="D726" s="22" t="str">
        <x:f>"67.857.429/0001-70"</x:f>
        <x:v>67.857.429/0001-70</x:v>
      </x:c>
      <x:c r="E726" s="22" t="str">
        <x:f>"67857429000170"</x:f>
        <x:v>67857429000170</x:v>
      </x:c>
      <x:c r="F726" s="22" t="str">
        <x:f>"047.355.631-64"</x:f>
        <x:v>047.355.631-64</x:v>
      </x:c>
      <x:c r="G726" s="22" t="str">
        <x:f>"04735563164"</x:f>
        <x:v>04735563164</x:v>
      </x:c>
      <x:c r="H726" s="23" t="str">
        <x:v>daniellopes.dldc@gmail.com</x:v>
      </x:c>
      <x:c r="I726" s="22" t="str">
        <x:f>"62994497861"</x:f>
        <x:v>62994497861</x:v>
      </x:c>
      <x:c r="J726" s="23" t="str">
        <x:v>rental</x:v>
      </x:c>
      <x:c r="K726" s="23" t="str">
        <x:v>rental_company</x:v>
      </x:c>
      <x:c r="L726" s="24" t="b">
        <x:v>1</x:v>
      </x:c>
      <x:c r="M726" s="23" t="n">
        <x:v>1</x:v>
      </x:c>
      <x:c r="N726" s="28" t="n">
        <x:v>46219.812988715275</x:v>
      </x:c>
      <x:c r="O726" s="28" t="n">
        <x:v>46219.812988715275</x:v>
      </x:c>
      <x:c r="P726" s="23" t="str">
        <x:v>GOIANIA</x:v>
      </x:c>
      <x:c r="Q726" s="30" t="n">
        <x:v>33917</x:v>
      </x:c>
      <x:c r="R726" s="22" t="str">
        <x:f>"5658662"</x:f>
        <x:v>5658662</x:v>
      </x:c>
      <x:c r="S726" s="23" t="str">
        <x:v>masculino</x:v>
      </x:c>
      <x:c r="T726" s="22" t="str"/>
      <x:c r="U726" s="23" t="str">
        <x:v>DANIEL LOPES DE CARVALHO</x:v>
      </x:c>
      <x:c r="V726" s="22" t="str">
        <x:f>"047.355.631-64"</x:f>
        <x:v>047.355.631-64</x:v>
      </x:c>
      <x:c r="W726" s="22" t="str">
        <x:f>"04735563164"</x:f>
        <x:v>04735563164</x:v>
      </x:c>
      <x:c r="X726" s="23" t="str">
        <x:v>daniellopes.dldc@gmail.com</x:v>
      </x:c>
      <x:c r="Y726" s="22" t="str">
        <x:f>"62994497861"</x:f>
        <x:v>62994497861</x:v>
      </x:c>
      <x:c r="Z726" s="30" t="n">
        <x:v>46574</x:v>
      </x:c>
    </x:row>
    <x:row r="727" ht="18" customHeight="1">
      <x:c r="A727" s="22" t="str">
        <x:f>"657823b1-aae2-46b4-b8f0-52fd26477786"</x:f>
        <x:v>657823b1-aae2-46b4-b8f0-52fd26477786</x:v>
      </x:c>
      <x:c r="B727" s="23" t="str">
        <x:v>DANIEL LUCAS ALITTO DE FREITAS</x:v>
      </x:c>
      <x:c r="C727" s="23" t="str">
        <x:v>daniel lucas alitto de freitas</x:v>
      </x:c>
      <x:c r="D727" s="22" t="str">
        <x:f>"62.118.729/0001-14"</x:f>
        <x:v>62.118.729/0001-14</x:v>
      </x:c>
      <x:c r="E727" s="22" t="str">
        <x:f>"62118729000114"</x:f>
        <x:v>62118729000114</x:v>
      </x:c>
      <x:c r="F727" s="22" t="str">
        <x:f>"123.983.946-46"</x:f>
        <x:v>123.983.946-46</x:v>
      </x:c>
      <x:c r="G727" s="22" t="str">
        <x:f>"12398394646"</x:f>
        <x:v>12398394646</x:v>
      </x:c>
      <x:c r="H727" s="23" t="str">
        <x:v>alittodaniel@gmail.com</x:v>
      </x:c>
      <x:c r="I727" s="22" t="str">
        <x:f>"(35) 98404-5416"</x:f>
        <x:v>(35) 98404-5416</x:v>
      </x:c>
      <x:c r="J727" s="23" t="str">
        <x:v>RENTAL</x:v>
      </x:c>
      <x:c r="K727" s="23" t="str">
        <x:v>rental_company</x:v>
      </x:c>
      <x:c r="L727" s="24" t="b">
        <x:v>1</x:v>
      </x:c>
      <x:c r="M727" s="23" t="n">
        <x:v>1</x:v>
      </x:c>
      <x:c r="N727" s="28" t="n">
        <x:v>46203.92188238426</x:v>
      </x:c>
      <x:c r="O727" s="28" t="n">
        <x:v>46219.812988715275</x:v>
      </x:c>
      <x:c r="P727" s="23" t="str">
        <x:v>POUSO ALEGRE</x:v>
      </x:c>
      <x:c r="Q727" s="30" t="n">
        <x:v>34636</x:v>
      </x:c>
      <x:c r="R727" s="22" t="str">
        <x:f>"MG16442174 SSP MG"</x:f>
        <x:v>MG16442174 SSP MG</x:v>
      </x:c>
      <x:c r="S727" s="23" t="str">
        <x:v>masculino</x:v>
      </x:c>
      <x:c r="T727" s="22" t="str"/>
      <x:c r="U727" s="23" t="str">
        <x:v>DANIEL LUCAS ALITTO DE FREITAS</x:v>
      </x:c>
      <x:c r="V727" s="22" t="str">
        <x:f>"123.983.946-46"</x:f>
        <x:v>123.983.946-46</x:v>
      </x:c>
      <x:c r="W727" s="22" t="str">
        <x:f>"12398394646"</x:f>
        <x:v>12398394646</x:v>
      </x:c>
      <x:c r="X727" s="23" t="str">
        <x:v>alittodaniel@gmail.com</x:v>
      </x:c>
      <x:c r="Y727" s="22" t="str">
        <x:f>"(35) 98404-5416"</x:f>
        <x:v>(35) 98404-5416</x:v>
      </x:c>
      <x:c r="Z727" s="30" t="n">
        <x:v>46319</x:v>
      </x:c>
    </x:row>
    <x:row r="728" ht="18" customHeight="1">
      <x:c r="A728" s="22" t="str">
        <x:f>"992ccfe7-4272-4211-a93b-e4fa440ee511"</x:f>
        <x:v>992ccfe7-4272-4211-a93b-e4fa440ee511</x:v>
      </x:c>
      <x:c r="B728" s="23" t="str">
        <x:v>DANIELLY MAITAN DE ASSIS</x:v>
      </x:c>
      <x:c r="C728" s="23" t="str">
        <x:v>danielly maitan de assis</x:v>
      </x:c>
      <x:c r="D728" s="22" t="str">
        <x:f>"52.679.782/0001-30"</x:f>
        <x:v>52.679.782/0001-30</x:v>
      </x:c>
      <x:c r="E728" s="22" t="str">
        <x:f>"52679782000130"</x:f>
        <x:v>52679782000130</x:v>
      </x:c>
      <x:c r="F728" s="22" t="str">
        <x:f>"358.578.518-23"</x:f>
        <x:v>358.578.518-23</x:v>
      </x:c>
      <x:c r="G728" s="22" t="str">
        <x:f>"35857851823"</x:f>
        <x:v>35857851823</x:v>
      </x:c>
      <x:c r="H728" s="23" t="str">
        <x:v>daniellym66@outlook.com</x:v>
      </x:c>
      <x:c r="I728" s="22" t="str">
        <x:f>"11977057555"</x:f>
        <x:v>11977057555</x:v>
      </x:c>
      <x:c r="J728" s="23" t="str">
        <x:v>SPOT</x:v>
      </x:c>
      <x:c r="K728" s="23" t="str">
        <x:v>favored_only</x:v>
      </x:c>
      <x:c r="L728" s="24" t="b">
        <x:v>1</x:v>
      </x:c>
      <x:c r="M728" s="23" t="n">
        <x:v>1</x:v>
      </x:c>
      <x:c r="N728" s="28" t="n">
        <x:v>46219.812988715275</x:v>
      </x:c>
      <x:c r="O728" s="28" t="n">
        <x:v>46219.812988715275</x:v>
      </x:c>
      <x:c r="P728" s="23" t="str">
        <x:v>BARUERI</x:v>
      </x:c>
      <x:c r="Q728" s="30" t="n">
        <x:v>35239</x:v>
      </x:c>
      <x:c r="R728" s="22" t="str">
        <x:f>"47642906"</x:f>
        <x:v>47642906</x:v>
      </x:c>
      <x:c r="S728" s="23" t="str">
        <x:v>feminino</x:v>
      </x:c>
      <x:c r="T728" s="22" t="str">
        <x:f>"HNW8H39"</x:f>
        <x:v>HNW8H39</x:v>
      </x:c>
      <x:c r="U728" s="23" t="str">
        <x:v>DANIELLY MAITAN DE ASSIS</x:v>
      </x:c>
      <x:c r="V728" s="22" t="str">
        <x:f>"358.578.518-23"</x:f>
        <x:v>358.578.518-23</x:v>
      </x:c>
      <x:c r="W728" s="22" t="str">
        <x:f>"35857851823"</x:f>
        <x:v>35857851823</x:v>
      </x:c>
      <x:c r="X728" s="23" t="str">
        <x:v>daniellym66@outlook.com</x:v>
      </x:c>
      <x:c r="Y728" s="22" t="str">
        <x:f>"11977057555"</x:f>
        <x:v>11977057555</x:v>
      </x:c>
      <x:c r="Z728" s="30" t="n">
        <x:v>46528</x:v>
      </x:c>
    </x:row>
    <x:row r="729" ht="18" customHeight="1">
      <x:c r="A729" s="22" t="str">
        <x:f>"47edd2dc-7229-47d5-9f1b-811f52030cde"</x:f>
        <x:v>47edd2dc-7229-47d5-9f1b-811f52030cde</x:v>
      </x:c>
      <x:c r="B729" s="23" t="str">
        <x:v>DANIEL MARTINS NASCIMENTO MONTENEGRO</x:v>
      </x:c>
      <x:c r="C729" s="23" t="str">
        <x:v>daniel martins nascimento montenegro</x:v>
      </x:c>
      <x:c r="D729" s="22" t="str">
        <x:f>"62.598.813/0001-82"</x:f>
        <x:v>62.598.813/0001-82</x:v>
      </x:c>
      <x:c r="E729" s="22" t="str">
        <x:f>"62598813000182"</x:f>
        <x:v>62598813000182</x:v>
      </x:c>
      <x:c r="F729" s="22" t="str">
        <x:f>"065.086.041-12"</x:f>
        <x:v>065.086.041-12</x:v>
      </x:c>
      <x:c r="G729" s="22" t="str">
        <x:f>"06508604112"</x:f>
        <x:v>06508604112</x:v>
      </x:c>
      <x:c r="H729" s="23" t="str">
        <x:v>danielmartinsnascimento28@gmail.com</x:v>
      </x:c>
      <x:c r="I729" s="22" t="str">
        <x:f>"62993251072"</x:f>
        <x:v>62993251072</x:v>
      </x:c>
      <x:c r="J729" s="23" t="str">
        <x:v>RENTAL</x:v>
      </x:c>
      <x:c r="K729" s="23" t="str">
        <x:v>rental_company</x:v>
      </x:c>
      <x:c r="L729" s="24" t="b">
        <x:v>1</x:v>
      </x:c>
      <x:c r="M729" s="23" t="n">
        <x:v>1</x:v>
      </x:c>
      <x:c r="N729" s="28" t="n">
        <x:v>46219.812988715275</x:v>
      </x:c>
      <x:c r="O729" s="28" t="n">
        <x:v>46219.812988715275</x:v>
      </x:c>
      <x:c r="P729" s="23" t="str">
        <x:v>GOIANIA</x:v>
      </x:c>
      <x:c r="Q729" s="30" t="n">
        <x:v>36219</x:v>
      </x:c>
      <x:c r="R729" s="22" t="str">
        <x:f>"6403596"</x:f>
        <x:v>6403596</x:v>
      </x:c>
      <x:c r="S729" s="23" t="str">
        <x:v>masculino</x:v>
      </x:c>
      <x:c r="T729" s="22" t="str"/>
      <x:c r="U729" s="23" t="str">
        <x:v>DANIEL MARTINS NASCIMENTO MONTENEGRO</x:v>
      </x:c>
      <x:c r="V729" s="22" t="str">
        <x:f>"065.086.041-12"</x:f>
        <x:v>065.086.041-12</x:v>
      </x:c>
      <x:c r="W729" s="22" t="str">
        <x:f>"06508604112"</x:f>
        <x:v>06508604112</x:v>
      </x:c>
      <x:c r="X729" s="23" t="str">
        <x:v>danielmartinsnascimento28@gmail.com</x:v>
      </x:c>
      <x:c r="Y729" s="22" t="str">
        <x:f>"62993251072"</x:f>
        <x:v>62993251072</x:v>
      </x:c>
      <x:c r="Z729" s="30" t="n">
        <x:v>46571</x:v>
      </x:c>
    </x:row>
    <x:row r="730" ht="18" customHeight="1">
      <x:c r="A730" s="22" t="str">
        <x:f>"9bf8cb58-bc6c-4e36-9c26-c474763c2bbd"</x:f>
        <x:v>9bf8cb58-bc6c-4e36-9c26-c474763c2bbd</x:v>
      </x:c>
      <x:c r="B730" s="23" t="str">
        <x:v>DANIEL MIRANDA DE SOUZA</x:v>
      </x:c>
      <x:c r="C730" s="23" t="str">
        <x:v>daniel miranda de souza</x:v>
      </x:c>
      <x:c r="D730" s="22" t="str">
        <x:f>"48.758.877/0001-72"</x:f>
        <x:v>48.758.877/0001-72</x:v>
      </x:c>
      <x:c r="E730" s="22" t="str">
        <x:f>"48758877000172"</x:f>
        <x:v>48758877000172</x:v>
      </x:c>
      <x:c r="F730" s="22" t="str">
        <x:f>"126.823.216-58"</x:f>
        <x:v>126.823.216-58</x:v>
      </x:c>
      <x:c r="G730" s="22" t="str">
        <x:f>"12682321658"</x:f>
        <x:v>12682321658</x:v>
      </x:c>
      <x:c r="H730" s="23" t="str">
        <x:v>danielmsouza25@gmail.com</x:v>
      </x:c>
      <x:c r="I730" s="22" t="str">
        <x:f>"31992454104"</x:f>
        <x:v>31992454104</x:v>
      </x:c>
      <x:c r="J730" s="23" t="str">
        <x:v>SPOT</x:v>
      </x:c>
      <x:c r="K730" s="23" t="str">
        <x:v>favored_only</x:v>
      </x:c>
      <x:c r="L730" s="24" t="b">
        <x:v>1</x:v>
      </x:c>
      <x:c r="M730" s="23" t="n">
        <x:v>1</x:v>
      </x:c>
      <x:c r="N730" s="28" t="n">
        <x:v>46203.92191240741</x:v>
      </x:c>
      <x:c r="O730" s="28" t="n">
        <x:v>46219.812988715275</x:v>
      </x:c>
      <x:c r="P730" s="23" t="str">
        <x:v>NOVA LIMA</x:v>
      </x:c>
      <x:c r="Q730" s="30" t="n">
        <x:v>34967</x:v>
      </x:c>
      <x:c r="R730" s="22" t="str">
        <x:f>"19011776"</x:f>
        <x:v>19011776</x:v>
      </x:c>
      <x:c r="S730" s="23" t="str">
        <x:v>masculino</x:v>
      </x:c>
      <x:c r="T730" s="22" t="str">
        <x:f>"FEB9E40"</x:f>
        <x:v>FEB9E40</x:v>
      </x:c>
      <x:c r="U730" s="23" t="str">
        <x:v>DANIEL MIRANDA DE SOUZA</x:v>
      </x:c>
      <x:c r="V730" s="22" t="str">
        <x:f>"126.823.216-58"</x:f>
        <x:v>126.823.216-58</x:v>
      </x:c>
      <x:c r="W730" s="22" t="str">
        <x:f>"12682321658"</x:f>
        <x:v>12682321658</x:v>
      </x:c>
      <x:c r="X730" s="23" t="str">
        <x:v>danielmsouza25@gmail.com</x:v>
      </x:c>
      <x:c r="Y730" s="22" t="str">
        <x:f>"31992454104"</x:f>
        <x:v>31992454104</x:v>
      </x:c>
      <x:c r="Z730" s="30" t="n">
        <x:v>46143</x:v>
      </x:c>
    </x:row>
    <x:row r="731" ht="18" customHeight="1">
      <x:c r="A731" s="22" t="str">
        <x:f>"4dcf8fb6-188e-4b94-bfec-e62e9e77a40e"</x:f>
        <x:v>4dcf8fb6-188e-4b94-bfec-e62e9e77a40e</x:v>
      </x:c>
      <x:c r="B731" s="23" t="str">
        <x:v>DANIEL PAULO BATISTA PEREIRA</x:v>
      </x:c>
      <x:c r="C731" s="23" t="str">
        <x:v>daniel paulo batista pereira</x:v>
      </x:c>
      <x:c r="D731" s="22" t="str">
        <x:f>"59.658.119/0001-07"</x:f>
        <x:v>59.658.119/0001-07</x:v>
      </x:c>
      <x:c r="E731" s="22" t="str">
        <x:f>"59658119000107"</x:f>
        <x:v>59658119000107</x:v>
      </x:c>
      <x:c r="F731" s="22" t="str">
        <x:f>"139.415.216-75"</x:f>
        <x:v>139.415.216-75</x:v>
      </x:c>
      <x:c r="G731" s="22" t="str">
        <x:f>"13941521675"</x:f>
        <x:v>13941521675</x:v>
      </x:c>
      <x:c r="H731" s="23" t="str">
        <x:v>danielpauloitba@gmail.com</x:v>
      </x:c>
      <x:c r="I731" s="22" t="str">
        <x:f>"34998739523"</x:f>
        <x:v>34998739523</x:v>
      </x:c>
      <x:c r="J731" s="23" t="str">
        <x:v>RENTAL</x:v>
      </x:c>
      <x:c r="K731" s="23" t="str">
        <x:v>rental_company</x:v>
      </x:c>
      <x:c r="L731" s="24" t="b">
        <x:v>1</x:v>
      </x:c>
      <x:c r="M731" s="23" t="n">
        <x:v>1</x:v>
      </x:c>
      <x:c r="N731" s="28" t="n">
        <x:v>46219.812988715275</x:v>
      </x:c>
      <x:c r="O731" s="28" t="n">
        <x:v>46219.812988715275</x:v>
      </x:c>
      <x:c r="P731" s="23" t="str">
        <x:v>UBERLANDIA</x:v>
      </x:c>
      <x:c r="Q731" s="30" t="n">
        <x:v>37574</x:v>
      </x:c>
      <x:c r="R731" s="22" t="str">
        <x:f>"20335664"</x:f>
        <x:v>20335664</x:v>
      </x:c>
      <x:c r="S731" s="23" t="str">
        <x:v>masculino</x:v>
      </x:c>
      <x:c r="T731" s="22" t="str"/>
      <x:c r="U731" s="23" t="str">
        <x:v>DANIEL PAULO BATISTA DE OLIVEIRA</x:v>
      </x:c>
      <x:c r="V731" s="22" t="str">
        <x:f>"139.415.216-75"</x:f>
        <x:v>139.415.216-75</x:v>
      </x:c>
      <x:c r="W731" s="22" t="str">
        <x:f>"13941521675"</x:f>
        <x:v>13941521675</x:v>
      </x:c>
      <x:c r="X731" s="23" t="str">
        <x:v>danielpauloitba@gmail.com</x:v>
      </x:c>
      <x:c r="Y731" s="22" t="str">
        <x:f>"34998739523"</x:f>
        <x:v>34998739523</x:v>
      </x:c>
      <x:c r="Z731" s="30" t="n">
        <x:v>46446</x:v>
      </x:c>
    </x:row>
    <x:row r="732" ht="18" customHeight="1">
      <x:c r="A732" s="22" t="str">
        <x:f>"b01b100e-680a-4cc5-9832-6912bde58c2f"</x:f>
        <x:v>b01b100e-680a-4cc5-9832-6912bde58c2f</x:v>
      </x:c>
      <x:c r="B732" s="23" t="str">
        <x:v>DANIEL PEREIRA DE SOUZA FILHO</x:v>
      </x:c>
      <x:c r="C732" s="23" t="str">
        <x:v>daniel pereira de souza filho</x:v>
      </x:c>
      <x:c r="D732" s="22" t="str">
        <x:f>"56.979.964/0001-88"</x:f>
        <x:v>56.979.964/0001-88</x:v>
      </x:c>
      <x:c r="E732" s="22" t="str">
        <x:f>"56979964000188"</x:f>
        <x:v>56979964000188</x:v>
      </x:c>
      <x:c r="F732" s="22" t="str">
        <x:f>"714.401.511-72"</x:f>
        <x:v>714.401.511-72</x:v>
      </x:c>
      <x:c r="G732" s="22" t="str">
        <x:f>"71440151172"</x:f>
        <x:v>71440151172</x:v>
      </x:c>
      <x:c r="H732" s="23" t="str">
        <x:v>presencabebidasrv@gmail.com</x:v>
      </x:c>
      <x:c r="I732" s="22" t="str">
        <x:f>"64 9331-2020"</x:f>
        <x:v>64 9331-2020</x:v>
      </x:c>
      <x:c r="J732" s="23" t="str">
        <x:v>SPOT</x:v>
      </x:c>
      <x:c r="K732" s="23" t="str">
        <x:v>favored_only</x:v>
      </x:c>
      <x:c r="L732" s="24" t="b">
        <x:v>1</x:v>
      </x:c>
      <x:c r="M732" s="23" t="n">
        <x:v>1</x:v>
      </x:c>
      <x:c r="N732" s="28" t="n">
        <x:v>46205.60723099537</x:v>
      </x:c>
      <x:c r="O732" s="28" t="n">
        <x:v>46219.812988715275</x:v>
      </x:c>
      <x:c r="P732" s="23" t="str">
        <x:v>RIO VERDE</x:v>
      </x:c>
      <x:c r="Q732" s="30" t="n">
        <x:v>29019</x:v>
      </x:c>
      <x:c r="R732" s="22" t="str">
        <x:f>"3567349"</x:f>
        <x:v>3567349</x:v>
      </x:c>
      <x:c r="S732" s="23" t="str">
        <x:v>masculino</x:v>
      </x:c>
      <x:c r="T732" s="22" t="str">
        <x:f>"BAA5G16"</x:f>
        <x:v>BAA5G16</x:v>
      </x:c>
      <x:c r="U732" s="23" t="str">
        <x:v>TIAGO MARQUES PIRES</x:v>
      </x:c>
      <x:c r="V732" s="22" t="str">
        <x:f>"733.880.251-34"</x:f>
        <x:v>733.880.251-34</x:v>
      </x:c>
      <x:c r="W732" s="22" t="str">
        <x:f>"73388025134"</x:f>
        <x:v>73388025134</x:v>
      </x:c>
      <x:c r="X732" s="23" t="str">
        <x:v>presencabebidasrv@gmail.com</x:v>
      </x:c>
      <x:c r="Y732" s="22" t="str">
        <x:f>"64 9331-2020"</x:f>
        <x:v>64 9331-2020</x:v>
      </x:c>
      <x:c r="Z732" s="30" t="n">
        <x:v>46316</x:v>
      </x:c>
    </x:row>
    <x:row r="733" ht="18" customHeight="1">
      <x:c r="A733" s="22" t="str">
        <x:f>"265a4c92-b6db-44f1-9a34-1668e5dcbb0b"</x:f>
        <x:v>265a4c92-b6db-44f1-9a34-1668e5dcbb0b</x:v>
      </x:c>
      <x:c r="B733" s="23" t="str">
        <x:v>DANIEL PINTO DE OLIVEIRA</x:v>
      </x:c>
      <x:c r="C733" s="23" t="str">
        <x:v>daniel pinto de oliveira</x:v>
      </x:c>
      <x:c r="D733" s="22" t="str">
        <x:f>"57.578.894/0001-19"</x:f>
        <x:v>57.578.894/0001-19</x:v>
      </x:c>
      <x:c r="E733" s="22" t="str">
        <x:f>"57578894000119"</x:f>
        <x:v>57578894000119</x:v>
      </x:c>
      <x:c r="F733" s="22" t="str">
        <x:f>"739.053.136-34"</x:f>
        <x:v>739.053.136-34</x:v>
      </x:c>
      <x:c r="G733" s="22" t="str">
        <x:f>"73905313634"</x:f>
        <x:v>73905313634</x:v>
      </x:c>
      <x:c r="H733" s="23" t="str">
        <x:v>contato@contabilrhf.com.br</x:v>
      </x:c>
      <x:c r="I733" s="22" t="str">
        <x:f>"(35) 99750-0099"</x:f>
        <x:v>(35) 99750-0099</x:v>
      </x:c>
      <x:c r="J733" s="23" t="str">
        <x:v>SPOT</x:v>
      </x:c>
      <x:c r="K733" s="23" t="str">
        <x:v>favored_only</x:v>
      </x:c>
      <x:c r="L733" s="24" t="b">
        <x:v>1</x:v>
      </x:c>
      <x:c r="M733" s="23" t="n">
        <x:v>1</x:v>
      </x:c>
      <x:c r="N733" s="28" t="n">
        <x:v>46205.604496458334</x:v>
      </x:c>
      <x:c r="O733" s="28" t="n">
        <x:v>46219.812988715275</x:v>
      </x:c>
      <x:c r="P733" s="23" t="str">
        <x:v>POUSO ALEGRE</x:v>
      </x:c>
      <x:c r="Q733" s="30" t="n">
        <x:v>25879</x:v>
      </x:c>
      <x:c r="R733" s="22" t="str">
        <x:f>"MG5043628 SSPMG"</x:f>
        <x:v>MG5043628 SSPMG</x:v>
      </x:c>
      <x:c r="S733" s="23" t="str">
        <x:v>masculino</x:v>
      </x:c>
      <x:c r="T733" s="22" t="str">
        <x:f>"GCB4C15"</x:f>
        <x:v>GCB4C15</x:v>
      </x:c>
      <x:c r="U733" s="23" t="str">
        <x:v>IDANIEL PINTO DE OLIVEIRA</x:v>
      </x:c>
      <x:c r="V733" s="22" t="str">
        <x:f>"739.053.136-34"</x:f>
        <x:v>739.053.136-34</x:v>
      </x:c>
      <x:c r="W733" s="22" t="str">
        <x:f>"73905313634"</x:f>
        <x:v>73905313634</x:v>
      </x:c>
      <x:c r="X733" s="23" t="str">
        <x:v>contato@contabilrhf.com.br</x:v>
      </x:c>
      <x:c r="Y733" s="22" t="str">
        <x:f>"(35) 99750-0099"</x:f>
        <x:v>(35) 99750-0099</x:v>
      </x:c>
      <x:c r="Z733" s="30" t="n">
        <x:v>46280</x:v>
      </x:c>
    </x:row>
    <x:row r="734" ht="18" customHeight="1">
      <x:c r="A734" s="22" t="str">
        <x:f>"6e4e7a31-6dfe-4181-bfa2-8969977d6e6d"</x:f>
        <x:v>6e4e7a31-6dfe-4181-bfa2-8969977d6e6d</x:v>
      </x:c>
      <x:c r="B734" s="23" t="str">
        <x:v>DANIEL REIS DUTRA</x:v>
      </x:c>
      <x:c r="C734" s="23" t="str">
        <x:v>daniel reis dutra</x:v>
      </x:c>
      <x:c r="D734" s="22" t="str">
        <x:f>"52.386.625/0001-37"</x:f>
        <x:v>52.386.625/0001-37</x:v>
      </x:c>
      <x:c r="E734" s="22" t="str">
        <x:f>"52386625000137"</x:f>
        <x:v>52386625000137</x:v>
      </x:c>
      <x:c r="F734" s="22" t="str">
        <x:f>"134.017.026-45"</x:f>
        <x:v>134.017.026-45</x:v>
      </x:c>
      <x:c r="G734" s="22" t="str">
        <x:f>"13401702645"</x:f>
        <x:v>13401702645</x:v>
      </x:c>
      <x:c r="H734" s="23" t="str">
        <x:v>DANIELREIS8851@GMAIL.COM</x:v>
      </x:c>
      <x:c r="I734" s="22" t="str">
        <x:f>"(31) 8640-1988"</x:f>
        <x:v>(31) 8640-1988</x:v>
      </x:c>
      <x:c r="J734" s="23" t="str">
        <x:v>RENTAL</x:v>
      </x:c>
      <x:c r="K734" s="23" t="str">
        <x:v>rental_company</x:v>
      </x:c>
      <x:c r="L734" s="24" t="b">
        <x:v>1</x:v>
      </x:c>
      <x:c r="M734" s="23" t="n">
        <x:v>1</x:v>
      </x:c>
      <x:c r="N734" s="28" t="n">
        <x:v>46203.92183017361</x:v>
      </x:c>
      <x:c r="O734" s="28" t="n">
        <x:v>46219.812988715275</x:v>
      </x:c>
      <x:c r="P734" s="23" t="str">
        <x:v>IPATINGA</x:v>
      </x:c>
      <x:c r="Q734" s="30" t="n">
        <x:v>34919</x:v>
      </x:c>
      <x:c r="R734" s="22" t="str">
        <x:f>"19313270"</x:f>
        <x:v>19313270</x:v>
      </x:c>
      <x:c r="S734" s="23" t="str">
        <x:v>masculino</x:v>
      </x:c>
      <x:c r="T734" s="22" t="str"/>
      <x:c r="U734" s="23" t="str">
        <x:v>DANIEL REIS DUTRA</x:v>
      </x:c>
      <x:c r="V734" s="22" t="str">
        <x:f>"134.017.026-45"</x:f>
        <x:v>134.017.026-45</x:v>
      </x:c>
      <x:c r="W734" s="22" t="str">
        <x:f>"13401702645"</x:f>
        <x:v>13401702645</x:v>
      </x:c>
      <x:c r="X734" s="23" t="str">
        <x:v>DANIELREIS8851@GMAIL.COM</x:v>
      </x:c>
      <x:c r="Y734" s="22" t="str">
        <x:f>"(31) 98640-1988"</x:f>
        <x:v>(31) 98640-1988</x:v>
      </x:c>
      <x:c r="Z734" s="30" t="n">
        <x:v>46294</x:v>
      </x:c>
    </x:row>
    <x:row r="735" ht="18" customHeight="1">
      <x:c r="A735" s="22" t="str">
        <x:f>"decd5812-cd01-49d3-a145-5776ff45ae03"</x:f>
        <x:v>decd5812-cd01-49d3-a145-5776ff45ae03</x:v>
      </x:c>
      <x:c r="B735" s="23" t="str">
        <x:v>DANIEL RICARDO CONCEICAO</x:v>
      </x:c>
      <x:c r="C735" s="23" t="str">
        <x:v>daniel ricardo conceicao</x:v>
      </x:c>
      <x:c r="D735" s="22" t="str">
        <x:f>"46.171.312/0001-69"</x:f>
        <x:v>46.171.312/0001-69</x:v>
      </x:c>
      <x:c r="E735" s="22" t="str">
        <x:f>"46171312000169"</x:f>
        <x:v>46171312000169</x:v>
      </x:c>
      <x:c r="F735" s="22" t="str">
        <x:f>"205.992.418-96"</x:f>
        <x:v>205.992.418-96</x:v>
      </x:c>
      <x:c r="G735" s="22" t="str">
        <x:f>"20599241896"</x:f>
        <x:v>20599241896</x:v>
      </x:c>
      <x:c r="H735" s="23" t="str">
        <x:v>dr772552@gmail.com</x:v>
      </x:c>
      <x:c r="I735" s="22" t="str">
        <x:f>"(11)9-8941-5713"</x:f>
        <x:v>(11)9-8941-5713</x:v>
      </x:c>
      <x:c r="J735" s="23" t="str">
        <x:v>SPOT</x:v>
      </x:c>
      <x:c r="K735" s="23" t="str">
        <x:v>favored_only</x:v>
      </x:c>
      <x:c r="L735" s="24" t="b">
        <x:v>1</x:v>
      </x:c>
      <x:c r="M735" s="23" t="n">
        <x:v>1</x:v>
      </x:c>
      <x:c r="N735" s="28" t="n">
        <x:v>46219.812988715275</x:v>
      </x:c>
      <x:c r="O735" s="28" t="n">
        <x:v>46219.812988715275</x:v>
      </x:c>
      <x:c r="P735" s="23" t="str">
        <x:v>BARUERI</x:v>
      </x:c>
      <x:c r="Q735" s="30" t="n">
        <x:v>28466</x:v>
      </x:c>
      <x:c r="R735" s="22" t="str">
        <x:f>"26825189"</x:f>
        <x:v>26825189</x:v>
      </x:c>
      <x:c r="S735" s="23" t="str">
        <x:v>masculino</x:v>
      </x:c>
      <x:c r="T735" s="22" t="str">
        <x:f>"QOM7241"</x:f>
        <x:v>QOM7241</x:v>
      </x:c>
      <x:c r="U735" s="23" t="str">
        <x:v>DANIEL RICARDO CONCEICAO</x:v>
      </x:c>
      <x:c r="V735" s="22" t="str">
        <x:f>"205.992.418-96"</x:f>
        <x:v>205.992.418-96</x:v>
      </x:c>
      <x:c r="W735" s="22" t="str">
        <x:f>"20599241896"</x:f>
        <x:v>20599241896</x:v>
      </x:c>
      <x:c r="X735" s="23" t="str">
        <x:v>dr772552@gmail.com</x:v>
      </x:c>
      <x:c r="Y735" s="22" t="str">
        <x:f>"(11)9-8941-5713"</x:f>
        <x:v>(11)9-8941-5713</x:v>
      </x:c>
      <x:c r="Z735" s="30" t="n">
        <x:v>46411</x:v>
      </x:c>
    </x:row>
    <x:row r="736" ht="18" customHeight="1">
      <x:c r="A736" s="22" t="str">
        <x:f>"5d8dccf2-2815-4e36-b752-415c85350cdc"</x:f>
        <x:v>5d8dccf2-2815-4e36-b752-415c85350cdc</x:v>
      </x:c>
      <x:c r="B736" s="23" t="str">
        <x:v>DANIEL RIOS DE SOUZA</x:v>
      </x:c>
      <x:c r="C736" s="23" t="str">
        <x:v>daniel rios de souza</x:v>
      </x:c>
      <x:c r="D736" s="22" t="str">
        <x:f>"64.266.421/0001-41"</x:f>
        <x:v>64.266.421/0001-41</x:v>
      </x:c>
      <x:c r="E736" s="22" t="str">
        <x:f>"64266421000141"</x:f>
        <x:v>64266421000141</x:v>
      </x:c>
      <x:c r="F736" s="22" t="str">
        <x:f>"059.907.835-90"</x:f>
        <x:v>059.907.835-90</x:v>
      </x:c>
      <x:c r="G736" s="22" t="str">
        <x:f>"05990783590"</x:f>
        <x:v>05990783590</x:v>
      </x:c>
      <x:c r="H736" s="23" t="str">
        <x:v>riosdesouzadaniel83@gmail.com</x:v>
      </x:c>
      <x:c r="I736" s="22" t="str">
        <x:f>"16 997780429"</x:f>
        <x:v>16 997780429</x:v>
      </x:c>
      <x:c r="J736" s="23" t="str">
        <x:v>RENTAL</x:v>
      </x:c>
      <x:c r="K736" s="23" t="str">
        <x:v>rental_company</x:v>
      </x:c>
      <x:c r="L736" s="24" t="b">
        <x:v>1</x:v>
      </x:c>
      <x:c r="M736" s="23" t="n">
        <x:v>1</x:v>
      </x:c>
      <x:c r="N736" s="28" t="n">
        <x:v>46203.9219084375</x:v>
      </x:c>
      <x:c r="O736" s="28" t="n">
        <x:v>46219.812988715275</x:v>
      </x:c>
      <x:c r="P736" s="23" t="str">
        <x:v>SÃO CARLOS</x:v>
      </x:c>
      <x:c r="Q736" s="30" t="n">
        <x:v>36380</x:v>
      </x:c>
      <x:c r="R736" s="22" t="str">
        <x:f>"1578476240"</x:f>
        <x:v>1578476240</x:v>
      </x:c>
      <x:c r="S736" s="23" t="str">
        <x:v>masculino</x:v>
      </x:c>
      <x:c r="T736" s="22" t="str"/>
      <x:c r="U736" s="23" t="str">
        <x:v>DANIEL RIOS DE SOUZA</x:v>
      </x:c>
      <x:c r="V736" s="22" t="str">
        <x:f>"059.907.835-90"</x:f>
        <x:v>059.907.835-90</x:v>
      </x:c>
      <x:c r="W736" s="22" t="str">
        <x:f>"05990783590"</x:f>
        <x:v>05990783590</x:v>
      </x:c>
      <x:c r="X736" s="23" t="str">
        <x:v>riosdesouzadaniel83@gmail.com</x:v>
      </x:c>
      <x:c r="Y736" s="22" t="str">
        <x:f>"16 997780429"</x:f>
        <x:v>16 997780429</x:v>
      </x:c>
      <x:c r="Z736" s="30" t="n">
        <x:v>46393</x:v>
      </x:c>
    </x:row>
    <x:row r="737" ht="18" customHeight="1">
      <x:c r="A737" s="22" t="str">
        <x:f>"e1149e50-d48c-4aa4-86f8-c7830baf8ade"</x:f>
        <x:v>e1149e50-d48c-4aa4-86f8-c7830baf8ade</x:v>
      </x:c>
      <x:c r="B737" s="23" t="str">
        <x:v>DANIEL VICENTE DE ALMEIDA</x:v>
      </x:c>
      <x:c r="C737" s="23" t="str">
        <x:v>daniel vicente de almeida</x:v>
      </x:c>
      <x:c r="D737" s="22" t="str">
        <x:f>"66.430.485/0001-61"</x:f>
        <x:v>66.430.485/0001-61</x:v>
      </x:c>
      <x:c r="E737" s="22" t="str">
        <x:f>"66430485000161"</x:f>
        <x:v>66430485000161</x:v>
      </x:c>
      <x:c r="F737" s="22" t="str">
        <x:f>"954.467.616-34"</x:f>
        <x:v>954.467.616-34</x:v>
      </x:c>
      <x:c r="G737" s="22" t="str">
        <x:f>"95446761634"</x:f>
        <x:v>95446761634</x:v>
      </x:c>
      <x:c r="H737" s="23" t="str">
        <x:v>danielhlp4400@gmail.com</x:v>
      </x:c>
      <x:c r="I737" s="22" t="str">
        <x:f>"(35)99745-7989"</x:f>
        <x:v>(35)99745-7989</x:v>
      </x:c>
      <x:c r="J737" s="23" t="str">
        <x:v>spot</x:v>
      </x:c>
      <x:c r="K737" s="23" t="str">
        <x:v>favored_only</x:v>
      </x:c>
      <x:c r="L737" s="24" t="b">
        <x:v>1</x:v>
      </x:c>
      <x:c r="M737" s="23" t="n">
        <x:v>1</x:v>
      </x:c>
      <x:c r="N737" s="28" t="n">
        <x:v>46219.812988715275</x:v>
      </x:c>
      <x:c r="O737" s="28" t="n">
        <x:v>46219.812988715275</x:v>
      </x:c>
      <x:c r="P737" s="23" t="str">
        <x:v>POUSO ALEGRE</x:v>
      </x:c>
      <x:c r="Q737" s="30" t="n">
        <x:v>26184</x:v>
      </x:c>
      <x:c r="R737" s="22" t="str">
        <x:f>"M6240082"</x:f>
        <x:v>M6240082</x:v>
      </x:c>
      <x:c r="S737" s="23" t="str">
        <x:v>masculino</x:v>
      </x:c>
      <x:c r="T737" s="22" t="str">
        <x:f>"ESU0F14"</x:f>
        <x:v>ESU0F14</x:v>
      </x:c>
      <x:c r="U737" s="23" t="str">
        <x:v>RAQUEL ALINE OLIVEIRA DA SILVA</x:v>
      </x:c>
      <x:c r="V737" s="22" t="str">
        <x:f>"954.467.616-34"</x:f>
        <x:v>954.467.616-34</x:v>
      </x:c>
      <x:c r="W737" s="22" t="str">
        <x:f>"95446761634"</x:f>
        <x:v>95446761634</x:v>
      </x:c>
      <x:c r="X737" s="23" t="str">
        <x:v>oraquelaline@gmail.com</x:v>
      </x:c>
      <x:c r="Y737" s="22" t="str">
        <x:f>"(35) 99196-4286"</x:f>
        <x:v>(35) 99196-4286</x:v>
      </x:c>
      <x:c r="Z737" s="30" t="n">
        <x:v>46507</x:v>
      </x:c>
    </x:row>
    <x:row r="738" ht="18" customHeight="1">
      <x:c r="A738" s="22" t="str">
        <x:f>"b3dd6c72-a8ca-46f5-baf4-d617f7f4c444"</x:f>
        <x:v>b3dd6c72-a8ca-46f5-baf4-d617f7f4c444</x:v>
      </x:c>
      <x:c r="B738" s="23" t="str">
        <x:v>DANIEL VITOR DOS SANTOS ALVES</x:v>
      </x:c>
      <x:c r="C738" s="23" t="str">
        <x:v>daniel vitor dos santos alves</x:v>
      </x:c>
      <x:c r="D738" s="22" t="str">
        <x:f>"59.445.986/0001-56"</x:f>
        <x:v>59.445.986/0001-56</x:v>
      </x:c>
      <x:c r="E738" s="22" t="str">
        <x:f>"59445986000156"</x:f>
        <x:v>59445986000156</x:v>
      </x:c>
      <x:c r="F738" s="22" t="str">
        <x:f>"166.517.117-09"</x:f>
        <x:v>166.517.117-09</x:v>
      </x:c>
      <x:c r="G738" s="22" t="str">
        <x:f>"16651711709"</x:f>
        <x:v>16651711709</x:v>
      </x:c>
      <x:c r="H738" s="23" t="str">
        <x:v>daniel190500@outlook.com</x:v>
      </x:c>
      <x:c r="I738" s="22" t="str">
        <x:f>"21969893140"</x:f>
        <x:v>21969893140</x:v>
      </x:c>
      <x:c r="J738" s="23" t="str">
        <x:v>SPOT</x:v>
      </x:c>
      <x:c r="K738" s="23" t="str">
        <x:v>favored_only</x:v>
      </x:c>
      <x:c r="L738" s="24" t="b">
        <x:v>1</x:v>
      </x:c>
      <x:c r="M738" s="23" t="n">
        <x:v>1</x:v>
      </x:c>
      <x:c r="N738" s="28" t="n">
        <x:v>46203.92189349537</x:v>
      </x:c>
      <x:c r="O738" s="28" t="n">
        <x:v>46219.812988715275</x:v>
      </x:c>
      <x:c r="P738" s="23" t="str">
        <x:v>CORDOVIL</x:v>
      </x:c>
      <x:c r="Q738" s="30" t="n">
        <x:v>36665</x:v>
      </x:c>
      <x:c r="R738" s="22" t="str">
        <x:f>"294754577"</x:f>
        <x:v>294754577</x:v>
      </x:c>
      <x:c r="S738" s="23" t="str">
        <x:v>masculino</x:v>
      </x:c>
      <x:c r="T738" s="22" t="str">
        <x:f>"KQK2130"</x:f>
        <x:v>KQK2130</x:v>
      </x:c>
      <x:c r="U738" s="23" t="str">
        <x:v>DANIEL VITOR DOS SANTOS ALVES</x:v>
      </x:c>
      <x:c r="V738" s="22" t="str">
        <x:f>"166.517.117-09"</x:f>
        <x:v>166.517.117-09</x:v>
      </x:c>
      <x:c r="W738" s="22" t="str">
        <x:f>"16651711709"</x:f>
        <x:v>16651711709</x:v>
      </x:c>
      <x:c r="X738" s="23" t="str">
        <x:v>daniel190500@outlook.com</x:v>
      </x:c>
      <x:c r="Y738" s="22" t="str">
        <x:f>"21969893140"</x:f>
        <x:v>21969893140</x:v>
      </x:c>
      <x:c r="Z738" s="30" t="n">
        <x:v>46341</x:v>
      </x:c>
    </x:row>
    <x:row r="739" ht="18" customHeight="1">
      <x:c r="A739" s="22" t="str">
        <x:f>"8bee593c-f57a-40ed-a26b-cfe8db4c39ce"</x:f>
        <x:v>8bee593c-f57a-40ed-a26b-cfe8db4c39ce</x:v>
      </x:c>
      <x:c r="B739" s="23" t="str">
        <x:v>Danillo bacciel almeida</x:v>
      </x:c>
      <x:c r="C739" s="23" t="str">
        <x:v>danillo bacciel almeida</x:v>
      </x:c>
      <x:c r="D739" s="22" t="str">
        <x:f>"37823997000190"</x:f>
        <x:v>37823997000190</x:v>
      </x:c>
      <x:c r="E739" s="22" t="str">
        <x:f>"37823997000190"</x:f>
        <x:v>37823997000190</x:v>
      </x:c>
      <x:c r="F739" s="22" t="str">
        <x:f>"01992891150"</x:f>
        <x:v>01992891150</x:v>
      </x:c>
      <x:c r="G739" s="22" t="str">
        <x:f>"01992891150"</x:f>
        <x:v>01992891150</x:v>
      </x:c>
      <x:c r="H739" s="23" t="str">
        <x:v>rtp.cargas@gmail.com</x:v>
      </x:c>
      <x:c r="I739" s="22" t="str">
        <x:f>"62 9661-0607"</x:f>
        <x:v>62 9661-0607</x:v>
      </x:c>
      <x:c r="J739" s="23" t="str">
        <x:v>SPOT</x:v>
      </x:c>
      <x:c r="K739" s="23" t="str">
        <x:v>favored_only</x:v>
      </x:c>
      <x:c r="L739" s="24" t="b">
        <x:v>1</x:v>
      </x:c>
      <x:c r="M739" s="23" t="n">
        <x:v>6</x:v>
      </x:c>
      <x:c r="N739" s="28" t="n">
        <x:v>46203.921858726855</x:v>
      </x:c>
      <x:c r="O739" s="28" t="n">
        <x:v>46203.921858726855</x:v>
      </x:c>
      <x:c r="P739" s="23" t="str"/>
      <x:c r="Q739" s="30" t="str"/>
      <x:c r="R739" s="22" t="str"/>
      <x:c r="S739" s="23" t="str"/>
      <x:c r="T739" s="22" t="str"/>
      <x:c r="U739" s="23" t="str">
        <x:v>Danillo bacciel almeida</x:v>
      </x:c>
      <x:c r="V739" s="22" t="str">
        <x:f>"01992891150"</x:f>
        <x:v>01992891150</x:v>
      </x:c>
      <x:c r="W739" s="22" t="str">
        <x:f>"01992891150"</x:f>
        <x:v>01992891150</x:v>
      </x:c>
      <x:c r="X739" s="23" t="str">
        <x:v>rtp.cargas@gmail.com</x:v>
      </x:c>
      <x:c r="Y739" s="22" t="str">
        <x:f>"62 9661-0607"</x:f>
        <x:v>62 9661-0607</x:v>
      </x:c>
      <x:c r="Z739" s="30" t="str"/>
    </x:row>
    <x:row r="740" ht="18" customHeight="1">
      <x:c r="A740" s="22" t="str">
        <x:f>"faccaffa-0b96-46eb-a2df-f1c35535ffa3"</x:f>
        <x:v>faccaffa-0b96-46eb-a2df-f1c35535ffa3</x:v>
      </x:c>
      <x:c r="B740" s="23" t="str">
        <x:v>DANILLO BACIEL ALMEIDA</x:v>
      </x:c>
      <x:c r="C740" s="23" t="str">
        <x:v>danillo baciel almeida</x:v>
      </x:c>
      <x:c r="D740" s="22" t="str">
        <x:f>"37.823.997/0001-90"</x:f>
        <x:v>37.823.997/0001-90</x:v>
      </x:c>
      <x:c r="E740" s="22" t="str">
        <x:f>"37823997000190"</x:f>
        <x:v>37823997000190</x:v>
      </x:c>
      <x:c r="F740" s="22" t="str">
        <x:f>"962.005.291-91"</x:f>
        <x:v>962.005.291-91</x:v>
      </x:c>
      <x:c r="G740" s="22" t="str">
        <x:f>"96200529191"</x:f>
        <x:v>96200529191</x:v>
      </x:c>
      <x:c r="H740" s="23" t="str">
        <x:v>rpt.cargas@gmail.com</x:v>
      </x:c>
      <x:c r="I740" s="22" t="str">
        <x:f>"62 996610607"</x:f>
        <x:v>62 996610607</x:v>
      </x:c>
      <x:c r="J740" s="23" t="str">
        <x:v>SPOT</x:v>
      </x:c>
      <x:c r="K740" s="23" t="str">
        <x:v>favored_only</x:v>
      </x:c>
      <x:c r="L740" s="24" t="b">
        <x:v>1</x:v>
      </x:c>
      <x:c r="M740" s="23" t="n">
        <x:v>54</x:v>
      </x:c>
      <x:c r="N740" s="28" t="n">
        <x:v>46203.92183017361</x:v>
      </x:c>
      <x:c r="O740" s="28" t="n">
        <x:v>46219.81489466435</x:v>
      </x:c>
      <x:c r="P740" s="23" t="str"/>
      <x:c r="Q740" s="30" t="str"/>
      <x:c r="R740" s="22" t="str"/>
      <x:c r="S740" s="23" t="str"/>
      <x:c r="T740" s="22" t="str"/>
      <x:c r="U740" s="23" t="str">
        <x:v>DANILLO BACIEL ALMEIDA</x:v>
      </x:c>
      <x:c r="V740" s="22" t="str">
        <x:f>"962.005.291-91"</x:f>
        <x:v>962.005.291-91</x:v>
      </x:c>
      <x:c r="W740" s="22" t="str">
        <x:f>"96200529191"</x:f>
        <x:v>96200529191</x:v>
      </x:c>
      <x:c r="X740" s="23" t="str">
        <x:v>RPT.cargas@gmail.com</x:v>
      </x:c>
      <x:c r="Y740" s="22" t="str">
        <x:f>"(62) 99661-0607"</x:f>
        <x:v>(62) 99661-0607</x:v>
      </x:c>
      <x:c r="Z740" s="30" t="str"/>
    </x:row>
    <x:row r="741" ht="18" customHeight="1">
      <x:c r="A741" s="22" t="str">
        <x:f>"e956ebcc-af35-411f-9068-9131368a0ed0"</x:f>
        <x:v>e956ebcc-af35-411f-9068-9131368a0ed0</x:v>
      </x:c>
      <x:c r="B741" s="23" t="str">
        <x:v>DANILO ALEXANDRE POLICENO NOBRE</x:v>
      </x:c>
      <x:c r="C741" s="23" t="str">
        <x:v>danilo alexandre policeno nobre</x:v>
      </x:c>
      <x:c r="D741" s="22" t="str">
        <x:f>"56.047.856/0001-77"</x:f>
        <x:v>56.047.856/0001-77</x:v>
      </x:c>
      <x:c r="E741" s="22" t="str">
        <x:f>"56047856000177"</x:f>
        <x:v>56047856000177</x:v>
      </x:c>
      <x:c r="F741" s="22" t="str">
        <x:f>"261.987.228-64"</x:f>
        <x:v>261.987.228-64</x:v>
      </x:c>
      <x:c r="G741" s="22" t="str">
        <x:f>"26198722864"</x:f>
        <x:v>26198722864</x:v>
      </x:c>
      <x:c r="H741" s="23" t="str">
        <x:v>danilonobre020406@gmail.com</x:v>
      </x:c>
      <x:c r="I741" s="22" t="str">
        <x:f>"16 98867‑4711"</x:f>
        <x:v>16 98867‑4711</x:v>
      </x:c>
      <x:c r="J741" s="23" t="str">
        <x:v>rental</x:v>
      </x:c>
      <x:c r="K741" s="23" t="str">
        <x:v>rental_company</x:v>
      </x:c>
      <x:c r="L741" s="24" t="b">
        <x:v>1</x:v>
      </x:c>
      <x:c r="M741" s="23" t="n">
        <x:v>1</x:v>
      </x:c>
      <x:c r="N741" s="28" t="n">
        <x:v>46219.812988715275</x:v>
      </x:c>
      <x:c r="O741" s="28" t="n">
        <x:v>46219.812988715275</x:v>
      </x:c>
      <x:c r="P741" s="23" t="str">
        <x:v>RIBEIRAO PRETO</x:v>
      </x:c>
      <x:c r="Q741" s="30" t="n">
        <x:v>27547</x:v>
      </x:c>
      <x:c r="R741" s="22" t="str">
        <x:f>"25067412"</x:f>
        <x:v>25067412</x:v>
      </x:c>
      <x:c r="S741" s="23" t="str">
        <x:v>masculino</x:v>
      </x:c>
      <x:c r="T741" s="22" t="str"/>
      <x:c r="U741" s="23" t="str">
        <x:v>DANILO ALEXANDRE POLICENO NOBRE</x:v>
      </x:c>
      <x:c r="V741" s="22" t="str">
        <x:f>"261.987.228-64"</x:f>
        <x:v>261.987.228-64</x:v>
      </x:c>
      <x:c r="W741" s="22" t="str">
        <x:f>"26198722864"</x:f>
        <x:v>26198722864</x:v>
      </x:c>
      <x:c r="X741" s="23" t="str">
        <x:v>danilonobre020406@gmail.com</x:v>
      </x:c>
      <x:c r="Y741" s="22" t="str">
        <x:f>"16 98867‑4711"</x:f>
        <x:v>16 98867‑4711</x:v>
      </x:c>
      <x:c r="Z741" s="30" t="n">
        <x:v>46561</x:v>
      </x:c>
    </x:row>
    <x:row r="742" ht="18" customHeight="1">
      <x:c r="A742" s="22" t="str">
        <x:f>"29ea53ca-5179-42eb-b80e-f943e2bc7f74"</x:f>
        <x:v>29ea53ca-5179-42eb-b80e-f943e2bc7f74</x:v>
      </x:c>
      <x:c r="B742" s="23" t="str">
        <x:v>DANILO ALVES JORGE</x:v>
      </x:c>
      <x:c r="C742" s="23" t="str">
        <x:v>danilo alves jorge</x:v>
      </x:c>
      <x:c r="D742" s="22" t="str">
        <x:f>"63.075.292/0001-41"</x:f>
        <x:v>63.075.292/0001-41</x:v>
      </x:c>
      <x:c r="E742" s="22" t="str">
        <x:f>"63075292000141"</x:f>
        <x:v>63075292000141</x:v>
      </x:c>
      <x:c r="F742" s="22" t="str">
        <x:f>"218.570.438-98"</x:f>
        <x:v>218.570.438-98</x:v>
      </x:c>
      <x:c r="G742" s="22" t="str">
        <x:f>"21857043898"</x:f>
        <x:v>21857043898</x:v>
      </x:c>
      <x:c r="H742" s="23" t="str">
        <x:v>danilojorge556@gmail.com</x:v>
      </x:c>
      <x:c r="I742" s="22" t="str">
        <x:f>"17 99788-9871"</x:f>
        <x:v>17 99788-9871</x:v>
      </x:c>
      <x:c r="J742" s="23" t="str">
        <x:v>SPOT</x:v>
      </x:c>
      <x:c r="K742" s="23" t="str">
        <x:v>favored_only</x:v>
      </x:c>
      <x:c r="L742" s="24" t="b">
        <x:v>1</x:v>
      </x:c>
      <x:c r="M742" s="23" t="n">
        <x:v>1</x:v>
      </x:c>
      <x:c r="N742" s="28" t="n">
        <x:v>46205.60490363426</x:v>
      </x:c>
      <x:c r="O742" s="28" t="n">
        <x:v>46219.812988715275</x:v>
      </x:c>
      <x:c r="P742" s="23" t="str">
        <x:v>BARRETOS</x:v>
      </x:c>
      <x:c r="Q742" s="30" t="n">
        <x:v>29645</x:v>
      </x:c>
      <x:c r="R742" s="22" t="str">
        <x:f>"41810053"</x:f>
        <x:v>41810053</x:v>
      </x:c>
      <x:c r="S742" s="23" t="str">
        <x:v>masculino</x:v>
      </x:c>
      <x:c r="T742" s="22" t="str">
        <x:f>"AXZ5G58"</x:f>
        <x:v>AXZ5G58</x:v>
      </x:c>
      <x:c r="U742" s="23" t="str">
        <x:v>MARIANA KESLEY ALVES JORGE</x:v>
      </x:c>
      <x:c r="V742" s="22" t="str">
        <x:f>"492.072.728-30"</x:f>
        <x:v>492.072.728-30</x:v>
      </x:c>
      <x:c r="W742" s="22" t="str">
        <x:f>"49207272830"</x:f>
        <x:v>49207272830</x:v>
      </x:c>
      <x:c r="X742" s="23" t="str">
        <x:v>marianajorge533@gmail.com</x:v>
      </x:c>
      <x:c r="Y742" s="22" t="str">
        <x:f>"17 98110-6966"</x:f>
        <x:v>17 98110-6966</x:v>
      </x:c>
      <x:c r="Z742" s="30" t="n">
        <x:v>46303</x:v>
      </x:c>
    </x:row>
    <x:row r="743" ht="18" customHeight="1">
      <x:c r="A743" s="22" t="str">
        <x:f>"484a9a10-eb47-444b-895a-a5a1dd34913e"</x:f>
        <x:v>484a9a10-eb47-444b-895a-a5a1dd34913e</x:v>
      </x:c>
      <x:c r="B743" s="23" t="str">
        <x:v>DANILO DI RICARD VALENCA</x:v>
      </x:c>
      <x:c r="C743" s="23" t="str">
        <x:v>danilo di ricard valenca</x:v>
      </x:c>
      <x:c r="D743" s="22" t="str">
        <x:f>"37.823.997/0001-90"</x:f>
        <x:v>37.823.997/0001-90</x:v>
      </x:c>
      <x:c r="E743" s="22" t="str">
        <x:f>"37823997000190"</x:f>
        <x:v>37823997000190</x:v>
      </x:c>
      <x:c r="F743" s="22" t="str">
        <x:f>"701.027.591-20"</x:f>
        <x:v>701.027.591-20</x:v>
      </x:c>
      <x:c r="G743" s="22" t="str">
        <x:f>"70102759120"</x:f>
        <x:v>70102759120</x:v>
      </x:c>
      <x:c r="H743" s="23" t="str">
        <x:v>danilodiricardivalenca@gmail.com</x:v>
      </x:c>
      <x:c r="I743" s="22" t="str">
        <x:f>"+55 65 9362-6923"</x:f>
        <x:v>+55 65 9362-6923</x:v>
      </x:c>
      <x:c r="J743" s="23" t="str">
        <x:v>SPOT</x:v>
      </x:c>
      <x:c r="K743" s="23" t="str">
        <x:v>favored_only</x:v>
      </x:c>
      <x:c r="L743" s="24" t="b">
        <x:v>1</x:v>
      </x:c>
      <x:c r="M743" s="23" t="n">
        <x:v>1</x:v>
      </x:c>
      <x:c r="N743" s="28" t="n">
        <x:v>46219.812988715275</x:v>
      </x:c>
      <x:c r="O743" s="28" t="n">
        <x:v>46219.812988715275</x:v>
      </x:c>
      <x:c r="P743" s="23" t="str">
        <x:v>CÁCERES</x:v>
      </x:c>
      <x:c r="Q743" s="30" t="n">
        <x:v>30169</x:v>
      </x:c>
      <x:c r="R743" s="22" t="str">
        <x:f>"14484609"</x:f>
        <x:v>14484609</x:v>
      </x:c>
      <x:c r="S743" s="23" t="str">
        <x:v>masculino</x:v>
      </x:c>
      <x:c r="T743" s="22" t="str">
        <x:f>"NTY7C67"</x:f>
        <x:v>NTY7C67</x:v>
      </x:c>
      <x:c r="U743" s="23" t="str">
        <x:v>RODOPRIME TRANSPORTES E CARGAS LTDA</x:v>
      </x:c>
      <x:c r="V743" s="22" t="str">
        <x:f>"038.768.901-01"</x:f>
        <x:v>038.768.901-01</x:v>
      </x:c>
      <x:c r="W743" s="22" t="str">
        <x:f>"03876890101"</x:f>
        <x:v>03876890101</x:v>
      </x:c>
      <x:c r="X743" s="23" t="str">
        <x:v>rtp.cargas@gmail.com</x:v>
      </x:c>
      <x:c r="Y743" s="22" t="str">
        <x:f>"62991277279"</x:f>
        <x:v>62991277279</x:v>
      </x:c>
      <x:c r="Z743" s="30" t="n">
        <x:v>46555</x:v>
      </x:c>
    </x:row>
    <x:row r="744" ht="18" customHeight="1">
      <x:c r="A744" s="22" t="str">
        <x:f>"8c3f9263-90f4-454e-b1dc-b9793fa26172"</x:f>
        <x:v>8c3f9263-90f4-454e-b1dc-b9793fa26172</x:v>
      </x:c>
      <x:c r="B744" s="23" t="str">
        <x:v>DANILO GABRIEL DIAS LESSA</x:v>
      </x:c>
      <x:c r="C744" s="23" t="str">
        <x:v>danilo gabriel dias lessa</x:v>
      </x:c>
      <x:c r="D744" s="22" t="str">
        <x:f>"54.319.545/0001-94"</x:f>
        <x:v>54.319.545/0001-94</x:v>
      </x:c>
      <x:c r="E744" s="22" t="str">
        <x:f>"54319545000194"</x:f>
        <x:v>54319545000194</x:v>
      </x:c>
      <x:c r="F744" s="22" t="str">
        <x:f>"066.012.751-23"</x:f>
        <x:v>066.012.751-23</x:v>
      </x:c>
      <x:c r="G744" s="22" t="str">
        <x:f>"06601275123"</x:f>
        <x:v>06601275123</x:v>
      </x:c>
      <x:c r="H744" s="23" t="str">
        <x:v>danilogabrieloliver@gmail.com</x:v>
      </x:c>
      <x:c r="I744" s="22" t="str">
        <x:f>"65992243517"</x:f>
        <x:v>65992243517</x:v>
      </x:c>
      <x:c r="J744" s="23" t="str">
        <x:v>SPOT</x:v>
      </x:c>
      <x:c r="K744" s="23" t="str">
        <x:v>favored_only</x:v>
      </x:c>
      <x:c r="L744" s="24" t="b">
        <x:v>1</x:v>
      </x:c>
      <x:c r="M744" s="23" t="n">
        <x:v>1</x:v>
      </x:c>
      <x:c r="N744" s="28" t="n">
        <x:v>46205.60706552083</x:v>
      </x:c>
      <x:c r="O744" s="28" t="n">
        <x:v>46219.812988715275</x:v>
      </x:c>
      <x:c r="P744" s="23" t="str">
        <x:v>CÁCERES</x:v>
      </x:c>
      <x:c r="Q744" s="30" t="n">
        <x:v>36509</x:v>
      </x:c>
      <x:c r="R744" s="22" t="str">
        <x:f>"6601275123"</x:f>
        <x:v>6601275123</x:v>
      </x:c>
      <x:c r="S744" s="23" t="str">
        <x:v>masculino</x:v>
      </x:c>
      <x:c r="T744" s="22" t="str">
        <x:f>"KTA1A15"</x:f>
        <x:v>KTA1A15</x:v>
      </x:c>
      <x:c r="U744" s="23" t="str">
        <x:v>JOAO VICTOR ALMENDROS FRAGA MARCIANO</x:v>
      </x:c>
      <x:c r="V744" s="22" t="str">
        <x:f>"951.145.995-87"</x:f>
        <x:v>951.145.995-87</x:v>
      </x:c>
      <x:c r="W744" s="22" t="str">
        <x:f>"95114599587"</x:f>
        <x:v>95114599587</x:v>
      </x:c>
      <x:c r="X744" s="23" t="str">
        <x:v>jvcacerense@gmail.com</x:v>
      </x:c>
      <x:c r="Y744" s="22" t="str">
        <x:f>"65992243517"</x:f>
        <x:v>65992243517</x:v>
      </x:c>
      <x:c r="Z744" s="30" t="n">
        <x:v>46396</x:v>
      </x:c>
    </x:row>
    <x:row r="745" ht="18" customHeight="1">
      <x:c r="A745" s="22" t="str">
        <x:f>"eb1f257a-7478-49bb-9d96-c5057a75e9ae"</x:f>
        <x:v>eb1f257a-7478-49bb-9d96-c5057a75e9ae</x:v>
      </x:c>
      <x:c r="B745" s="23" t="str">
        <x:v>DANILO GONCALVES DE ARVELOS</x:v>
      </x:c>
      <x:c r="C745" s="23" t="str">
        <x:v>danilo goncalves de arvelos</x:v>
      </x:c>
      <x:c r="D745" s="22" t="str">
        <x:f>"47.791.170/0001-03"</x:f>
        <x:v>47.791.170/0001-03</x:v>
      </x:c>
      <x:c r="E745" s="22" t="str">
        <x:f>"47791170000103"</x:f>
        <x:v>47791170000103</x:v>
      </x:c>
      <x:c r="F745" s="22" t="str">
        <x:f>"107.531.296-55"</x:f>
        <x:v>107.531.296-55</x:v>
      </x:c>
      <x:c r="G745" s="22" t="str">
        <x:f>"10753129655"</x:f>
        <x:v>10753129655</x:v>
      </x:c>
      <x:c r="H745" s="23" t="str">
        <x:v>daniloarvelos@gmail.com</x:v>
      </x:c>
      <x:c r="I745" s="22" t="str">
        <x:f>"34999556378"</x:f>
        <x:v>34999556378</x:v>
      </x:c>
      <x:c r="J745" s="23" t="str">
        <x:v>SPOT</x:v>
      </x:c>
      <x:c r="K745" s="23" t="str">
        <x:v>favored_only</x:v>
      </x:c>
      <x:c r="L745" s="24" t="b">
        <x:v>1</x:v>
      </x:c>
      <x:c r="M745" s="23" t="n">
        <x:v>1</x:v>
      </x:c>
      <x:c r="N745" s="28" t="n">
        <x:v>46219.812988715275</x:v>
      </x:c>
      <x:c r="O745" s="28" t="n">
        <x:v>46219.812988715275</x:v>
      </x:c>
      <x:c r="P745" s="23" t="str">
        <x:v>PATOS DE MINAS</x:v>
      </x:c>
      <x:c r="Q745" s="30" t="n">
        <x:v>36152</x:v>
      </x:c>
      <x:c r="R745" s="22" t="str">
        <x:f>"MG20314235"</x:f>
        <x:v>MG20314235</x:v>
      </x:c>
      <x:c r="S745" s="23" t="str">
        <x:v>masculino</x:v>
      </x:c>
      <x:c r="T745" s="22" t="str">
        <x:f>"SCY5C31"</x:f>
        <x:v>SCY5C31</x:v>
      </x:c>
      <x:c r="U745" s="23" t="str">
        <x:v>MATHEUS HENRIQUE HAUEISEN CARDOSO</x:v>
      </x:c>
      <x:c r="V745" s="22" t="str">
        <x:f>"131.277.686-21"</x:f>
        <x:v>131.277.686-21</x:v>
      </x:c>
      <x:c r="W745" s="22" t="str">
        <x:f>"13127768621"</x:f>
        <x:v>13127768621</x:v>
      </x:c>
      <x:c r="X745" s="23" t="str">
        <x:v>mhenryhc@gmail.com</x:v>
      </x:c>
      <x:c r="Y745" s="22" t="str">
        <x:f>"34998750403"</x:f>
        <x:v>34998750403</x:v>
      </x:c>
      <x:c r="Z745" s="30" t="n">
        <x:v>46518</x:v>
      </x:c>
    </x:row>
    <x:row r="746" ht="18" customHeight="1">
      <x:c r="A746" s="22" t="str">
        <x:f>"66361bd7-ab47-42ca-99a4-277f7f475d73"</x:f>
        <x:v>66361bd7-ab47-42ca-99a4-277f7f475d73</x:v>
      </x:c>
      <x:c r="B746" s="23" t="str">
        <x:v>DANILO HENRIQUE MACEDO</x:v>
      </x:c>
      <x:c r="C746" s="23" t="str">
        <x:v>danilo henrique macedo</x:v>
      </x:c>
      <x:c r="D746" s="22" t="str">
        <x:f>"64.895.332/0001-64"</x:f>
        <x:v>64.895.332/0001-64</x:v>
      </x:c>
      <x:c r="E746" s="22" t="str">
        <x:f>"64895332000164"</x:f>
        <x:v>64895332000164</x:v>
      </x:c>
      <x:c r="F746" s="22" t="str">
        <x:f>"455.408.648-83"</x:f>
        <x:v>455.408.648-83</x:v>
      </x:c>
      <x:c r="G746" s="22" t="str">
        <x:f>"45540864883"</x:f>
        <x:v>45540864883</x:v>
      </x:c>
      <x:c r="H746" s="23" t="str">
        <x:v>danilohenriquemac19@gmail.com</x:v>
      </x:c>
      <x:c r="I746" s="22" t="str">
        <x:f>"16994010519"</x:f>
        <x:v>16994010519</x:v>
      </x:c>
      <x:c r="J746" s="23" t="str">
        <x:v>spot</x:v>
      </x:c>
      <x:c r="K746" s="23" t="str">
        <x:v>favored_only</x:v>
      </x:c>
      <x:c r="L746" s="24" t="b">
        <x:v>1</x:v>
      </x:c>
      <x:c r="M746" s="23" t="n">
        <x:v>1</x:v>
      </x:c>
      <x:c r="N746" s="28" t="n">
        <x:v>46219.812988715275</x:v>
      </x:c>
      <x:c r="O746" s="28" t="n">
        <x:v>46219.812988715275</x:v>
      </x:c>
      <x:c r="P746" s="23" t="str">
        <x:v>RIBEIRAO PRETO</x:v>
      </x:c>
      <x:c r="Q746" s="30" t="n">
        <x:v>37306</x:v>
      </x:c>
      <x:c r="R746" s="22" t="str">
        <x:f>"564774510"</x:f>
        <x:v>564774510</x:v>
      </x:c>
      <x:c r="S746" s="23" t="str">
        <x:v>masculino</x:v>
      </x:c>
      <x:c r="T746" s="22" t="str">
        <x:f>"DQV3J99"</x:f>
        <x:v>DQV3J99</x:v>
      </x:c>
      <x:c r="U746" s="23" t="str">
        <x:v>DANILO HENRIQUE MACEDO</x:v>
      </x:c>
      <x:c r="V746" s="22" t="str">
        <x:f>"455.408.648-83"</x:f>
        <x:v>455.408.648-83</x:v>
      </x:c>
      <x:c r="W746" s="22" t="str">
        <x:f>"45540864883"</x:f>
        <x:v>45540864883</x:v>
      </x:c>
      <x:c r="X746" s="23" t="str">
        <x:v>danilohenriquemac19@gmail.com</x:v>
      </x:c>
      <x:c r="Y746" s="22" t="str">
        <x:f>"16994010519"</x:f>
        <x:v>16994010519</x:v>
      </x:c>
      <x:c r="Z746" s="30" t="n">
        <x:v>46558</x:v>
      </x:c>
    </x:row>
    <x:row r="747" ht="18" customHeight="1">
      <x:c r="A747" s="22" t="str">
        <x:f>"9028606f-73ae-4556-9ed0-1bc18382eb2b"</x:f>
        <x:v>9028606f-73ae-4556-9ed0-1bc18382eb2b</x:v>
      </x:c>
      <x:c r="B747" s="23" t="str">
        <x:v>DANILO JESUS DAMASCENO DE SANT ANNA</x:v>
      </x:c>
      <x:c r="C747" s="23" t="str">
        <x:v>danilo jesus damasceno de sant anna</x:v>
      </x:c>
      <x:c r="D747" s="22" t="str">
        <x:f>"64.174.743/0001-60"</x:f>
        <x:v>64.174.743/0001-60</x:v>
      </x:c>
      <x:c r="E747" s="22" t="str">
        <x:f>"64174743000160"</x:f>
        <x:v>64174743000160</x:v>
      </x:c>
      <x:c r="F747" s="22" t="str">
        <x:f>"358.813.618-57"</x:f>
        <x:v>358.813.618-57</x:v>
      </x:c>
      <x:c r="G747" s="22" t="str">
        <x:f>"35881361857"</x:f>
        <x:v>35881361857</x:v>
      </x:c>
      <x:c r="H747" s="23" t="str">
        <x:v>Danilo.santanna7@gmail.com</x:v>
      </x:c>
      <x:c r="I747" s="22" t="str">
        <x:f>"16988684968"</x:f>
        <x:v>16988684968</x:v>
      </x:c>
      <x:c r="J747" s="23" t="str">
        <x:v>RENTAL</x:v>
      </x:c>
      <x:c r="K747" s="23" t="str">
        <x:v>rental_company</x:v>
      </x:c>
      <x:c r="L747" s="24" t="b">
        <x:v>1</x:v>
      </x:c>
      <x:c r="M747" s="23" t="n">
        <x:v>1</x:v>
      </x:c>
      <x:c r="N747" s="28" t="n">
        <x:v>46203.9219084375</x:v>
      </x:c>
      <x:c r="O747" s="28" t="n">
        <x:v>46219.812988715275</x:v>
      </x:c>
      <x:c r="P747" s="23" t="str">
        <x:v>RIBEIRAO PRETO</x:v>
      </x:c>
      <x:c r="Q747" s="30" t="n">
        <x:v>32271</x:v>
      </x:c>
      <x:c r="R747" s="22" t="str">
        <x:f>"42083720"</x:f>
        <x:v>42083720</x:v>
      </x:c>
      <x:c r="S747" s="23" t="str">
        <x:v>masculino</x:v>
      </x:c>
      <x:c r="T747" s="22" t="str"/>
      <x:c r="U747" s="23" t="str">
        <x:v>DANILO JESUS DAMASCENO DE SANT ANNA</x:v>
      </x:c>
      <x:c r="V747" s="22" t="str">
        <x:f>"358.813.618-57"</x:f>
        <x:v>358.813.618-57</x:v>
      </x:c>
      <x:c r="W747" s="22" t="str">
        <x:f>"35881361857"</x:f>
        <x:v>35881361857</x:v>
      </x:c>
      <x:c r="X747" s="23" t="str">
        <x:v>Danilo.santanna7@gmail.com</x:v>
      </x:c>
      <x:c r="Y747" s="22" t="str">
        <x:f>"16988684968"</x:f>
        <x:v>16988684968</x:v>
      </x:c>
      <x:c r="Z747" s="30" t="n">
        <x:v>46392</x:v>
      </x:c>
    </x:row>
    <x:row r="748" ht="18" customHeight="1">
      <x:c r="A748" s="22" t="str">
        <x:f>"74b9d8d4-c80b-4549-a9dc-1ab546722529"</x:f>
        <x:v>74b9d8d4-c80b-4549-a9dc-1ab546722529</x:v>
      </x:c>
      <x:c r="B748" s="23" t="str">
        <x:v>DANILO NUNES CERQUEIRA</x:v>
      </x:c>
      <x:c r="C748" s="23" t="str">
        <x:v>danilo nunes cerqueira</x:v>
      </x:c>
      <x:c r="D748" s="22" t="str">
        <x:f>"58.935.179/0001-59"</x:f>
        <x:v>58.935.179/0001-59</x:v>
      </x:c>
      <x:c r="E748" s="22" t="str">
        <x:f>"58935179000159"</x:f>
        <x:v>58935179000159</x:v>
      </x:c>
      <x:c r="F748" s="22" t="str">
        <x:f>"360.409.508-54"</x:f>
        <x:v>360.409.508-54</x:v>
      </x:c>
      <x:c r="G748" s="22" t="str">
        <x:f>"36040950854"</x:f>
        <x:v>36040950854</x:v>
      </x:c>
      <x:c r="H748" s="23" t="str">
        <x:v>danillo.nunes157@gmail.com</x:v>
      </x:c>
      <x:c r="I748" s="22" t="str">
        <x:f>"11959498702"</x:f>
        <x:v>11959498702</x:v>
      </x:c>
      <x:c r="J748" s="23" t="str">
        <x:v>SPOT</x:v>
      </x:c>
      <x:c r="K748" s="23" t="str">
        <x:v>favored_only</x:v>
      </x:c>
      <x:c r="L748" s="24" t="b">
        <x:v>1</x:v>
      </x:c>
      <x:c r="M748" s="23" t="n">
        <x:v>1</x:v>
      </x:c>
      <x:c r="N748" s="28" t="n">
        <x:v>46219.812988715275</x:v>
      </x:c>
      <x:c r="O748" s="28" t="n">
        <x:v>46219.812988715275</x:v>
      </x:c>
      <x:c r="P748" s="23" t="str">
        <x:v>RIBEIRAO PRETO</x:v>
      </x:c>
      <x:c r="Q748" s="30" t="n">
        <x:v>34416</x:v>
      </x:c>
      <x:c r="R748" s="22" t="str">
        <x:f>"342619834"</x:f>
        <x:v>342619834</x:v>
      </x:c>
      <x:c r="S748" s="23" t="str">
        <x:v>masculino</x:v>
      </x:c>
      <x:c r="T748" s="22" t="str">
        <x:f>"ONL9J85"</x:f>
        <x:v>ONL9J85</x:v>
      </x:c>
      <x:c r="U748" s="23" t="str">
        <x:v>DANILO NUNES CERQUEIRA</x:v>
      </x:c>
      <x:c r="V748" s="22" t="str">
        <x:f>"360.409.508-54"</x:f>
        <x:v>360.409.508-54</x:v>
      </x:c>
      <x:c r="W748" s="22" t="str">
        <x:f>"36040950854"</x:f>
        <x:v>36040950854</x:v>
      </x:c>
      <x:c r="X748" s="23" t="str">
        <x:v>danillo.nunes157@gmail.com</x:v>
      </x:c>
      <x:c r="Y748" s="22" t="str">
        <x:f>"11959498702"</x:f>
        <x:v>11959498702</x:v>
      </x:c>
      <x:c r="Z748" s="30" t="n">
        <x:v>46502</x:v>
      </x:c>
    </x:row>
    <x:row r="749" ht="18" customHeight="1">
      <x:c r="A749" s="22" t="str">
        <x:f>"bdc78819-81d5-4a53-8417-5c2c3f93e66b"</x:f>
        <x:v>bdc78819-81d5-4a53-8417-5c2c3f93e66b</x:v>
      </x:c>
      <x:c r="B749" s="23" t="str">
        <x:v>DANILO PAULO RIBEIRO</x:v>
      </x:c>
      <x:c r="C749" s="23" t="str">
        <x:v>danilo paulo ribeiro</x:v>
      </x:c>
      <x:c r="D749" s="22" t="str">
        <x:f>"62.041.278/0001-64"</x:f>
        <x:v>62.041.278/0001-64</x:v>
      </x:c>
      <x:c r="E749" s="22" t="str">
        <x:f>"62041278000164"</x:f>
        <x:v>62041278000164</x:v>
      </x:c>
      <x:c r="F749" s="22" t="str">
        <x:f>"360.239.378-02"</x:f>
        <x:v>360.239.378-02</x:v>
      </x:c>
      <x:c r="G749" s="22" t="str">
        <x:f>"36023937802"</x:f>
        <x:v>36023937802</x:v>
      </x:c>
      <x:c r="H749" s="23" t="str">
        <x:v>gabrieldanilor@gmail.com</x:v>
      </x:c>
      <x:c r="I749" s="22" t="str">
        <x:f>"17 997125930"</x:f>
        <x:v>17 997125930</x:v>
      </x:c>
      <x:c r="J749" s="23" t="str">
        <x:v>RENTAL</x:v>
      </x:c>
      <x:c r="K749" s="23" t="str">
        <x:v>rental_company</x:v>
      </x:c>
      <x:c r="L749" s="24" t="b">
        <x:v>1</x:v>
      </x:c>
      <x:c r="M749" s="23" t="n">
        <x:v>1</x:v>
      </x:c>
      <x:c r="N749" s="28" t="n">
        <x:v>46203.92184908565</x:v>
      </x:c>
      <x:c r="O749" s="28" t="n">
        <x:v>46219.812988715275</x:v>
      </x:c>
      <x:c r="P749" s="23" t="str">
        <x:v>SÃO JOSE DO RIO PRETO</x:v>
      </x:c>
      <x:c r="Q749" s="30" t="n">
        <x:v>31952</x:v>
      </x:c>
      <x:c r="R749" s="22" t="str">
        <x:f>"40137994"</x:f>
        <x:v>40137994</x:v>
      </x:c>
      <x:c r="S749" s="23" t="str">
        <x:v>masculino</x:v>
      </x:c>
      <x:c r="T749" s="22" t="str"/>
      <x:c r="U749" s="23" t="str">
        <x:v>DANILO PAULO RIBEIRO</x:v>
      </x:c>
      <x:c r="V749" s="22" t="str">
        <x:f>"360.239.378-02"</x:f>
        <x:v>360.239.378-02</x:v>
      </x:c>
      <x:c r="W749" s="22" t="str">
        <x:f>"36023937802"</x:f>
        <x:v>36023937802</x:v>
      </x:c>
      <x:c r="X749" s="23" t="str">
        <x:v>gabrieldanilor@gmail.com</x:v>
      </x:c>
      <x:c r="Y749" s="22" t="str">
        <x:f>"17 997125930"</x:f>
        <x:v>17 997125930</x:v>
      </x:c>
      <x:c r="Z749" s="30" t="n">
        <x:v>46238</x:v>
      </x:c>
    </x:row>
    <x:row r="750" ht="18" customHeight="1">
      <x:c r="A750" s="22" t="str">
        <x:f>"9c01458e-661d-494c-a4a1-6eb4c9933533"</x:f>
        <x:v>9c01458e-661d-494c-a4a1-6eb4c9933533</x:v>
      </x:c>
      <x:c r="B750" s="23" t="str">
        <x:v>DANILO QUEIROZ DE OLIVEIRA</x:v>
      </x:c>
      <x:c r="C750" s="23" t="str">
        <x:v>danilo queiroz de oliveira</x:v>
      </x:c>
      <x:c r="D750" s="22" t="str">
        <x:f>"32.714.053/0001-60"</x:f>
        <x:v>32.714.053/0001-60</x:v>
      </x:c>
      <x:c r="E750" s="22" t="str">
        <x:f>"32714053000160"</x:f>
        <x:v>32714053000160</x:v>
      </x:c>
      <x:c r="F750" s="22" t="str">
        <x:f>"082.428.685-57"</x:f>
        <x:v>082.428.685-57</x:v>
      </x:c>
      <x:c r="G750" s="22" t="str">
        <x:f>"08242868557"</x:f>
        <x:v>08242868557</x:v>
      </x:c>
      <x:c r="H750" s="23" t="str">
        <x:v>queirozdanilo819@gmail.com</x:v>
      </x:c>
      <x:c r="I750" s="22" t="str">
        <x:f>"64993445917"</x:f>
        <x:v>64993445917</x:v>
      </x:c>
      <x:c r="J750" s="23" t="str">
        <x:v>SPOT</x:v>
      </x:c>
      <x:c r="K750" s="23" t="str">
        <x:v>favored_only</x:v>
      </x:c>
      <x:c r="L750" s="24" t="b">
        <x:v>1</x:v>
      </x:c>
      <x:c r="M750" s="23" t="n">
        <x:v>1</x:v>
      </x:c>
      <x:c r="N750" s="28" t="n">
        <x:v>46205.60448504629</x:v>
      </x:c>
      <x:c r="O750" s="28" t="n">
        <x:v>46219.812988715275</x:v>
      </x:c>
      <x:c r="P750" s="23" t="str">
        <x:v>RIO VERDE</x:v>
      </x:c>
      <x:c r="Q750" s="30" t="n">
        <x:v>36306</x:v>
      </x:c>
      <x:c r="R750" s="22" t="str">
        <x:f>"2177251478"</x:f>
        <x:v>2177251478</x:v>
      </x:c>
      <x:c r="S750" s="23" t="str">
        <x:v>masculino</x:v>
      </x:c>
      <x:c r="T750" s="22" t="str">
        <x:f>"PPH9F61"</x:f>
        <x:v>PPH9F61</x:v>
      </x:c>
      <x:c r="U750" s="23" t="str">
        <x:v>JURACI JOSE DE OLIVEIRA JUNIOR</x:v>
      </x:c>
      <x:c r="V750" s="22" t="str">
        <x:f>"737.465.171-68"</x:f>
        <x:v>737.465.171-68</x:v>
      </x:c>
      <x:c r="W750" s="22" t="str">
        <x:f>"73746517168"</x:f>
        <x:v>73746517168</x:v>
      </x:c>
      <x:c r="X750" s="23" t="str">
        <x:v>infortechrv@gmail.com</x:v>
      </x:c>
      <x:c r="Y750" s="22" t="str">
        <x:f>"64992820713"</x:f>
        <x:v>64992820713</x:v>
      </x:c>
      <x:c r="Z750" s="30" t="n">
        <x:v>46278</x:v>
      </x:c>
    </x:row>
    <x:row r="751" ht="18" customHeight="1">
      <x:c r="A751" s="22" t="str">
        <x:f>"de5da58c-d0a8-4982-be6e-2a24f61a78bd"</x:f>
        <x:v>de5da58c-d0a8-4982-be6e-2a24f61a78bd</x:v>
      </x:c>
      <x:c r="B751" s="23" t="str">
        <x:v>DANY TYELLE RODRIGUES DA COSTA</x:v>
      </x:c>
      <x:c r="C751" s="23" t="str">
        <x:v>dany tyelle rodrigues da costa</x:v>
      </x:c>
      <x:c r="D751" s="22" t="str">
        <x:f>"63.588.797/0001-00"</x:f>
        <x:v>63.588.797/0001-00</x:v>
      </x:c>
      <x:c r="E751" s="22" t="str">
        <x:f>"63588797000100"</x:f>
        <x:v>63588797000100</x:v>
      </x:c>
      <x:c r="F751" s="22" t="str">
        <x:f>"042.182.031-48"</x:f>
        <x:v>042.182.031-48</x:v>
      </x:c>
      <x:c r="G751" s="22" t="str">
        <x:f>"04218203148"</x:f>
        <x:v>04218203148</x:v>
      </x:c>
      <x:c r="H751" s="23" t="str">
        <x:v>danythyelle17@gmail.com</x:v>
      </x:c>
      <x:c r="I751" s="22" t="str">
        <x:f>"+55 65 9697-9389"</x:f>
        <x:v>+55 65 9697-9389</x:v>
      </x:c>
      <x:c r="J751" s="23" t="str">
        <x:v>SPOT</x:v>
      </x:c>
      <x:c r="K751" s="23" t="str">
        <x:v>favored_only</x:v>
      </x:c>
      <x:c r="L751" s="24" t="b">
        <x:v>1</x:v>
      </x:c>
      <x:c r="M751" s="23" t="n">
        <x:v>1</x:v>
      </x:c>
      <x:c r="N751" s="28" t="n">
        <x:v>46205.60709763889</x:v>
      </x:c>
      <x:c r="O751" s="28" t="n">
        <x:v>46219.812988715275</x:v>
      </x:c>
      <x:c r="P751" s="23" t="str">
        <x:v>ARAPUTANGA</x:v>
      </x:c>
      <x:c r="Q751" s="30" t="n">
        <x:v>34001</x:v>
      </x:c>
      <x:c r="R751" s="22" t="str">
        <x:f>"22041907  SESP MT"</x:f>
        <x:v>22041907  SESP MT</x:v>
      </x:c>
      <x:c r="S751" s="23" t="str">
        <x:v>feminino</x:v>
      </x:c>
      <x:c r="T751" s="22" t="str">
        <x:f>"QBY8100"</x:f>
        <x:v>QBY8100</x:v>
      </x:c>
      <x:c r="U751" s="23" t="str">
        <x:v>ADEGILSON MOREIRA RIOS JUNIOR</x:v>
      </x:c>
      <x:c r="V751" s="22" t="str">
        <x:f>"058.389.761-44"</x:f>
        <x:v>058.389.761-44</x:v>
      </x:c>
      <x:c r="W751" s="22" t="str">
        <x:f>"05838976144"</x:f>
        <x:v>05838976144</x:v>
      </x:c>
      <x:c r="X751" s="23" t="str">
        <x:v>adegilsonjunior.aj@gmail.com</x:v>
      </x:c>
      <x:c r="Y751" s="22" t="str">
        <x:f>"65 99973-9615"</x:f>
        <x:v>65 99973-9615</x:v>
      </x:c>
      <x:c r="Z751" s="30" t="n">
        <x:v>46399</x:v>
      </x:c>
    </x:row>
    <x:row r="752" ht="18" customHeight="1">
      <x:c r="A752" s="22" t="str">
        <x:f>"9c13ddf8-ed01-47d9-aaf5-d74514fb7d39"</x:f>
        <x:v>9c13ddf8-ed01-47d9-aaf5-d74514fb7d39</x:v>
      </x:c>
      <x:c r="B752" s="23" t="str">
        <x:v>DARLAN LOPES PEDROZA</x:v>
      </x:c>
      <x:c r="C752" s="23" t="str">
        <x:v>darlan lopes pedroza</x:v>
      </x:c>
      <x:c r="D752" s="22" t="str">
        <x:f>"67.238.619/0001-00"</x:f>
        <x:v>67.238.619/0001-00</x:v>
      </x:c>
      <x:c r="E752" s="22" t="str">
        <x:f>"67238619000100"</x:f>
        <x:v>67238619000100</x:v>
      </x:c>
      <x:c r="F752" s="22" t="str">
        <x:f>"097.976.196-48"</x:f>
        <x:v>097.976.196-48</x:v>
      </x:c>
      <x:c r="G752" s="22" t="str">
        <x:f>"09797619648"</x:f>
        <x:v>09797619648</x:v>
      </x:c>
      <x:c r="H752" s="23" t="str">
        <x:v>DARLANLOPEZ007@GMAIL.COM</x:v>
      </x:c>
      <x:c r="I752" s="22" t="str">
        <x:f>"34992797006"</x:f>
        <x:v>34992797006</x:v>
      </x:c>
      <x:c r="J752" s="23" t="str">
        <x:v>RENTALS</x:v>
      </x:c>
      <x:c r="K752" s="23" t="str">
        <x:v>rental_company</x:v>
      </x:c>
      <x:c r="L752" s="24" t="b">
        <x:v>1</x:v>
      </x:c>
      <x:c r="M752" s="23" t="n">
        <x:v>1</x:v>
      </x:c>
      <x:c r="N752" s="28" t="n">
        <x:v>46219.812988715275</x:v>
      </x:c>
      <x:c r="O752" s="28" t="n">
        <x:v>46219.812988715275</x:v>
      </x:c>
      <x:c r="P752" s="23" t="str">
        <x:v>UBERLANDIA</x:v>
      </x:c>
      <x:c r="Q752" s="30" t="n">
        <x:v>32593</x:v>
      </x:c>
      <x:c r="R752" s="22" t="str">
        <x:f>"MG15680997"</x:f>
        <x:v>MG15680997</x:v>
      </x:c>
      <x:c r="S752" s="23" t="str">
        <x:v>masculino</x:v>
      </x:c>
      <x:c r="T752" s="22" t="str"/>
      <x:c r="U752" s="23" t="str">
        <x:v>DARLAN LOPES PEDROZA</x:v>
      </x:c>
      <x:c r="V752" s="22" t="str">
        <x:f>"097.976.196-48"</x:f>
        <x:v>097.976.196-48</x:v>
      </x:c>
      <x:c r="W752" s="22" t="str">
        <x:f>"09797619648"</x:f>
        <x:v>09797619648</x:v>
      </x:c>
      <x:c r="X752" s="23" t="str">
        <x:v>DARLANLOPEZ007@GMAIL.COM</x:v>
      </x:c>
      <x:c r="Y752" s="22" t="str">
        <x:f>"34992797006"</x:f>
        <x:v>34992797006</x:v>
      </x:c>
      <x:c r="Z752" s="30" t="n">
        <x:v>46548</x:v>
      </x:c>
    </x:row>
    <x:row r="753" ht="18" customHeight="1">
      <x:c r="A753" s="22" t="str">
        <x:f>"b0b237c4-0f36-4489-99d9-66684bdc774d"</x:f>
        <x:v>b0b237c4-0f36-4489-99d9-66684bdc774d</x:v>
      </x:c>
      <x:c r="B753" s="23" t="str">
        <x:v>DARLEY ALYSSON DA SILVA</x:v>
      </x:c>
      <x:c r="C753" s="23" t="str">
        <x:v>darley alysson da silva</x:v>
      </x:c>
      <x:c r="D753" s="22" t="str">
        <x:f>"33.957.468/0001-28"</x:f>
        <x:v>33.957.468/0001-28</x:v>
      </x:c>
      <x:c r="E753" s="22" t="str">
        <x:f>"33957468000128"</x:f>
        <x:v>33957468000128</x:v>
      </x:c>
      <x:c r="F753" s="22" t="str">
        <x:f>"099.541.256-12"</x:f>
        <x:v>099.541.256-12</x:v>
      </x:c>
      <x:c r="G753" s="22" t="str">
        <x:f>"09954125612"</x:f>
        <x:v>09954125612</x:v>
      </x:c>
      <x:c r="H753" s="23" t="str">
        <x:v>kuringa2300@gmail.com</x:v>
      </x:c>
      <x:c r="I753" s="22" t="str">
        <x:f>"34) 99972-4970"</x:f>
        <x:v>34) 99972-4970</x:v>
      </x:c>
      <x:c r="J753" s="23" t="str">
        <x:v>RENTAL</x:v>
      </x:c>
      <x:c r="K753" s="23" t="str">
        <x:v>rental_company</x:v>
      </x:c>
      <x:c r="L753" s="24" t="b">
        <x:v>1</x:v>
      </x:c>
      <x:c r="M753" s="23" t="n">
        <x:v>1</x:v>
      </x:c>
      <x:c r="N753" s="28" t="n">
        <x:v>46203.921824756944</x:v>
      </x:c>
      <x:c r="O753" s="28" t="n">
        <x:v>46219.812988715275</x:v>
      </x:c>
      <x:c r="P753" s="23" t="str">
        <x:v>UBERABA</x:v>
      </x:c>
      <x:c r="Q753" s="30" t="n">
        <x:v>33149</x:v>
      </x:c>
      <x:c r="R753" s="22" t="str">
        <x:f>"16593295"</x:f>
        <x:v>16593295</x:v>
      </x:c>
      <x:c r="S753" s="23" t="str">
        <x:v>masculino</x:v>
      </x:c>
      <x:c r="T753" s="22" t="str"/>
      <x:c r="U753" s="23" t="str">
        <x:v>DARLEY ALYSSON DA SILVA</x:v>
      </x:c>
      <x:c r="V753" s="22" t="str">
        <x:f>"099.541.256-12"</x:f>
        <x:v>099.541.256-12</x:v>
      </x:c>
      <x:c r="W753" s="22" t="str">
        <x:f>"09954125612"</x:f>
        <x:v>09954125612</x:v>
      </x:c>
      <x:c r="X753" s="23" t="str">
        <x:v>kuringa2300@gmail.com</x:v>
      </x:c>
      <x:c r="Y753" s="22" t="str">
        <x:f>"34) 99972-4970"</x:f>
        <x:v>34) 99972-4970</x:v>
      </x:c>
      <x:c r="Z753" s="30" t="n">
        <x:v>46577</x:v>
      </x:c>
    </x:row>
    <x:row r="754" ht="18" customHeight="1">
      <x:c r="A754" s="22" t="str">
        <x:f>"5469c986-3b9a-42cf-a8b9-753a4c88ecfc"</x:f>
        <x:v>5469c986-3b9a-42cf-a8b9-753a4c88ecfc</x:v>
      </x:c>
      <x:c r="B754" s="23" t="str">
        <x:v>DARLON SANTOS ROSA</x:v>
      </x:c>
      <x:c r="C754" s="23" t="str">
        <x:v>darlon santos rosa</x:v>
      </x:c>
      <x:c r="D754" s="22" t="str">
        <x:f>"40.285.789/0001-99"</x:f>
        <x:v>40.285.789/0001-99</x:v>
      </x:c>
      <x:c r="E754" s="22" t="str">
        <x:f>"40285789000199"</x:f>
        <x:v>40285789000199</x:v>
      </x:c>
      <x:c r="F754" s="22" t="str">
        <x:f>"120.542.126-38"</x:f>
        <x:v>120.542.126-38</x:v>
      </x:c>
      <x:c r="G754" s="22" t="str">
        <x:f>"12054212638"</x:f>
        <x:v>12054212638</x:v>
      </x:c>
      <x:c r="H754" s="23" t="str">
        <x:v>darlon2895@gmail.com</x:v>
      </x:c>
      <x:c r="I754" s="22" t="str">
        <x:f>"+55 31 99333-2391"</x:f>
        <x:v>+55 31 99333-2391</x:v>
      </x:c>
      <x:c r="J754" s="23" t="str">
        <x:v>RENTAL</x:v>
      </x:c>
      <x:c r="K754" s="23" t="str">
        <x:v>rental_company</x:v>
      </x:c>
      <x:c r="L754" s="24" t="b">
        <x:v>1</x:v>
      </x:c>
      <x:c r="M754" s="23" t="n">
        <x:v>1</x:v>
      </x:c>
      <x:c r="N754" s="28" t="n">
        <x:v>46219.812988715275</x:v>
      </x:c>
      <x:c r="O754" s="28" t="n">
        <x:v>46219.812988715275</x:v>
      </x:c>
      <x:c r="P754" s="23" t="str">
        <x:v>GUANHAES</x:v>
      </x:c>
      <x:c r="Q754" s="30" t="n">
        <x:v>35559</x:v>
      </x:c>
      <x:c r="R754" s="22" t="str">
        <x:f>"17271806"</x:f>
        <x:v>17271806</x:v>
      </x:c>
      <x:c r="S754" s="23" t="str">
        <x:v>masculino</x:v>
      </x:c>
      <x:c r="T754" s="22" t="str"/>
      <x:c r="U754" s="23" t="str">
        <x:v>DARLON SANTOS ROSA</x:v>
      </x:c>
      <x:c r="V754" s="22" t="str">
        <x:f>"120.542.126-38"</x:f>
        <x:v>120.542.126-38</x:v>
      </x:c>
      <x:c r="W754" s="22" t="str">
        <x:f>"12054212638"</x:f>
        <x:v>12054212638</x:v>
      </x:c>
      <x:c r="X754" s="23" t="str">
        <x:v>darlon2895@gmail.com</x:v>
      </x:c>
      <x:c r="Y754" s="22" t="str">
        <x:f>"+55 31 99333-2391"</x:f>
        <x:v>+55 31 99333-2391</x:v>
      </x:c>
      <x:c r="Z754" s="30" t="n">
        <x:v>46392</x:v>
      </x:c>
    </x:row>
    <x:row r="755" ht="18" customHeight="1">
      <x:c r="A755" s="22" t="str">
        <x:f>"2f15f6e6-4cf6-481b-a2a6-d95ae78aea2c"</x:f>
        <x:v>2f15f6e6-4cf6-481b-a2a6-d95ae78aea2c</x:v>
      </x:c>
      <x:c r="B755" s="23" t="str">
        <x:v>DARWIN LUCAS ANDRADE ALVES</x:v>
      </x:c>
      <x:c r="C755" s="23" t="str">
        <x:v>darwin lucas andrade alves</x:v>
      </x:c>
      <x:c r="D755" s="22" t="str">
        <x:f>"47.140.219/0001-50"</x:f>
        <x:v>47.140.219/0001-50</x:v>
      </x:c>
      <x:c r="E755" s="22" t="str">
        <x:f>"47140219000150"</x:f>
        <x:v>47140219000150</x:v>
      </x:c>
      <x:c r="F755" s="22" t="str">
        <x:f>"161.511.897-79"</x:f>
        <x:v>161.511.897-79</x:v>
      </x:c>
      <x:c r="G755" s="22" t="str">
        <x:f>"16151189779"</x:f>
        <x:v>16151189779</x:v>
      </x:c>
      <x:c r="H755" s="23" t="str">
        <x:v>Darwingodric@gmail.com</x:v>
      </x:c>
      <x:c r="I755" s="22" t="str">
        <x:f>"21974422886"</x:f>
        <x:v>21974422886</x:v>
      </x:c>
      <x:c r="J755" s="23" t="str">
        <x:v>SPOT</x:v>
      </x:c>
      <x:c r="K755" s="23" t="str">
        <x:v>favored_only</x:v>
      </x:c>
      <x:c r="L755" s="24" t="b">
        <x:v>1</x:v>
      </x:c>
      <x:c r="M755" s="23" t="n">
        <x:v>1</x:v>
      </x:c>
      <x:c r="N755" s="28" t="n">
        <x:v>46203.9219084375</x:v>
      </x:c>
      <x:c r="O755" s="28" t="n">
        <x:v>46219.812988715275</x:v>
      </x:c>
      <x:c r="P755" s="23" t="str">
        <x:v>CORDOVIL</x:v>
      </x:c>
      <x:c r="Q755" s="30" t="n">
        <x:v>35879</x:v>
      </x:c>
      <x:c r="R755" s="22" t="str">
        <x:f>"16151189779"</x:f>
        <x:v>16151189779</x:v>
      </x:c>
      <x:c r="S755" s="23" t="str">
        <x:v>masculino</x:v>
      </x:c>
      <x:c r="T755" s="22" t="str">
        <x:f>"KWC6A30"</x:f>
        <x:v>KWC6A30</x:v>
      </x:c>
      <x:c r="U755" s="23" t="str">
        <x:v>DARWIN LUCAS ANDRADE ALVES</x:v>
      </x:c>
      <x:c r="V755" s="22" t="str">
        <x:f>"161.511.897-79"</x:f>
        <x:v>161.511.897-79</x:v>
      </x:c>
      <x:c r="W755" s="22" t="str">
        <x:f>"16151189779"</x:f>
        <x:v>16151189779</x:v>
      </x:c>
      <x:c r="X755" s="23" t="str">
        <x:v>Darwingodric@gmail.com</x:v>
      </x:c>
      <x:c r="Y755" s="22" t="str">
        <x:f>"21974422886"</x:f>
        <x:v>21974422886</x:v>
      </x:c>
      <x:c r="Z755" s="30" t="n">
        <x:v>46399</x:v>
      </x:c>
    </x:row>
    <x:row r="756" ht="18" customHeight="1">
      <x:c r="A756" s="22" t="str">
        <x:f>"a9bc1b46-c3c9-4a07-9238-5257c63e5783"</x:f>
        <x:v>a9bc1b46-c3c9-4a07-9238-5257c63e5783</x:v>
      </x:c>
      <x:c r="B756" s="23" t="str">
        <x:v>DAVI ALMEIDA SANTOS</x:v>
      </x:c>
      <x:c r="C756" s="23" t="str">
        <x:v>davi almeida santos</x:v>
      </x:c>
      <x:c r="D756" s="22" t="str">
        <x:f>"21.492.321/0001-20"</x:f>
        <x:v>21.492.321/0001-20</x:v>
      </x:c>
      <x:c r="E756" s="22" t="str">
        <x:f>"21492321000120"</x:f>
        <x:v>21492321000120</x:v>
      </x:c>
      <x:c r="F756" s="22" t="str">
        <x:f>"148.855.757-88"</x:f>
        <x:v>148.855.757-88</x:v>
      </x:c>
      <x:c r="G756" s="22" t="str">
        <x:f>"14885575788"</x:f>
        <x:v>14885575788</x:v>
      </x:c>
      <x:c r="H756" s="23" t="str">
        <x:v>davi-almeida@hotmail.com</x:v>
      </x:c>
      <x:c r="I756" s="22" t="str">
        <x:f>"21994830404"</x:f>
        <x:v>21994830404</x:v>
      </x:c>
      <x:c r="J756" s="23" t="str">
        <x:v>SPOT</x:v>
      </x:c>
      <x:c r="K756" s="23" t="str">
        <x:v>favored_only</x:v>
      </x:c>
      <x:c r="L756" s="24" t="b">
        <x:v>1</x:v>
      </x:c>
      <x:c r="M756" s="23" t="n">
        <x:v>1</x:v>
      </x:c>
      <x:c r="N756" s="28" t="n">
        <x:v>46219.812988715275</x:v>
      </x:c>
      <x:c r="O756" s="28" t="n">
        <x:v>46219.812988715275</x:v>
      </x:c>
      <x:c r="P756" s="23" t="str">
        <x:v>CAMPO GRANDE</x:v>
      </x:c>
      <x:c r="Q756" s="30" t="n">
        <x:v>33690</x:v>
      </x:c>
      <x:c r="R756" s="22" t="str">
        <x:f>"248753741"</x:f>
        <x:v>248753741</x:v>
      </x:c>
      <x:c r="S756" s="23" t="str">
        <x:v>masculino</x:v>
      </x:c>
      <x:c r="T756" s="22" t="str">
        <x:f>"LRF4A51"</x:f>
        <x:v>LRF4A51</x:v>
      </x:c>
      <x:c r="U756" s="23" t="str">
        <x:v>DAVI ALMEIDA SANTOS</x:v>
      </x:c>
      <x:c r="V756" s="22" t="str">
        <x:f>"148.855.757-88"</x:f>
        <x:v>148.855.757-88</x:v>
      </x:c>
      <x:c r="W756" s="22" t="str">
        <x:f>"14885575788"</x:f>
        <x:v>14885575788</x:v>
      </x:c>
      <x:c r="X756" s="23" t="str">
        <x:v>davi-almeida@hotmail.com</x:v>
      </x:c>
      <x:c r="Y756" s="22" t="str">
        <x:f>"21994830404"</x:f>
        <x:v>21994830404</x:v>
      </x:c>
      <x:c r="Z756" s="30" t="n">
        <x:v>46434</x:v>
      </x:c>
    </x:row>
    <x:row r="757" ht="18" customHeight="1">
      <x:c r="A757" s="22" t="str">
        <x:f>"a08324bd-b0c4-47dc-865a-aac1e75c8cf9"</x:f>
        <x:v>a08324bd-b0c4-47dc-865a-aac1e75c8cf9</x:v>
      </x:c>
      <x:c r="B757" s="23" t="str">
        <x:v>DAVI ANTONIO DOS SANTOS</x:v>
      </x:c>
      <x:c r="C757" s="23" t="str">
        <x:v>davi antonio dos santos</x:v>
      </x:c>
      <x:c r="D757" s="22" t="str">
        <x:f>"65.695.849/0001-72"</x:f>
        <x:v>65.695.849/0001-72</x:v>
      </x:c>
      <x:c r="E757" s="22" t="str">
        <x:f>"65695849000172"</x:f>
        <x:v>65695849000172</x:v>
      </x:c>
      <x:c r="F757" s="22" t="str">
        <x:f>"020.043.746-16"</x:f>
        <x:v>020.043.746-16</x:v>
      </x:c>
      <x:c r="G757" s="22" t="str">
        <x:f>"02004374616"</x:f>
        <x:v>02004374616</x:v>
      </x:c>
      <x:c r="H757" s="23" t="str">
        <x:v>davizera.antonio07@gmail.com</x:v>
      </x:c>
      <x:c r="I757" s="22" t="str">
        <x:f>"34991183811"</x:f>
        <x:v>34991183811</x:v>
      </x:c>
      <x:c r="J757" s="23" t="str">
        <x:v>RENTAL</x:v>
      </x:c>
      <x:c r="K757" s="23" t="str">
        <x:v>rental_company</x:v>
      </x:c>
      <x:c r="L757" s="24" t="b">
        <x:v>1</x:v>
      </x:c>
      <x:c r="M757" s="23" t="n">
        <x:v>1</x:v>
      </x:c>
      <x:c r="N757" s="28" t="n">
        <x:v>46219.812988715275</x:v>
      </x:c>
      <x:c r="O757" s="28" t="n">
        <x:v>46219.812988715275</x:v>
      </x:c>
      <x:c r="P757" s="23" t="str">
        <x:v>UBERLANDIA</x:v>
      </x:c>
      <x:c r="Q757" s="30" t="n">
        <x:v>36567</x:v>
      </x:c>
      <x:c r="R757" s="22" t="str">
        <x:f>"mg19952265  ssp mg"</x:f>
        <x:v>mg19952265  ssp mg</x:v>
      </x:c>
      <x:c r="S757" s="23" t="str">
        <x:v>masculino</x:v>
      </x:c>
      <x:c r="T757" s="22" t="str"/>
      <x:c r="U757" s="23" t="str">
        <x:v>DAVI ANTONIO DOS SANTOS</x:v>
      </x:c>
      <x:c r="V757" s="22" t="str">
        <x:f>"020.043.746-16"</x:f>
        <x:v>020.043.746-16</x:v>
      </x:c>
      <x:c r="W757" s="22" t="str">
        <x:f>"02004374616"</x:f>
        <x:v>02004374616</x:v>
      </x:c>
      <x:c r="X757" s="23" t="str">
        <x:v>davizera.antonio07@gmail.com</x:v>
      </x:c>
      <x:c r="Y757" s="22" t="str">
        <x:f>"34991183811"</x:f>
        <x:v>34991183811</x:v>
      </x:c>
      <x:c r="Z757" s="30" t="n">
        <x:v>46515</x:v>
      </x:c>
    </x:row>
    <x:row r="758" ht="18" customHeight="1">
      <x:c r="A758" s="22" t="str">
        <x:f>"596bc27a-c8f1-47cd-bb70-86bf31e64278"</x:f>
        <x:v>596bc27a-c8f1-47cd-bb70-86bf31e64278</x:v>
      </x:c>
      <x:c r="B758" s="23" t="str">
        <x:v>DAVID ALLIS DA SILVA CAMPOS</x:v>
      </x:c>
      <x:c r="C758" s="23" t="str">
        <x:v>david allis da silva campos</x:v>
      </x:c>
      <x:c r="D758" s="22" t="str">
        <x:f>"62.856.402/0001-40"</x:f>
        <x:v>62.856.402/0001-40</x:v>
      </x:c>
      <x:c r="E758" s="22" t="str">
        <x:f>"62856402000140"</x:f>
        <x:v>62856402000140</x:v>
      </x:c>
      <x:c r="F758" s="22" t="str">
        <x:f>"336.097.668-16"</x:f>
        <x:v>336.097.668-16</x:v>
      </x:c>
      <x:c r="G758" s="22" t="str">
        <x:f>"33609766816"</x:f>
        <x:v>33609766816</x:v>
      </x:c>
      <x:c r="H758" s="23" t="str">
        <x:v>davidcampos0056@gmail.com</x:v>
      </x:c>
      <x:c r="I758" s="22" t="str">
        <x:f>"(18)996986535"</x:f>
        <x:v>(18)996986535</x:v>
      </x:c>
      <x:c r="J758" s="23" t="str">
        <x:v>RENTAL</x:v>
      </x:c>
      <x:c r="K758" s="23" t="str">
        <x:v>rental_company</x:v>
      </x:c>
      <x:c r="L758" s="24" t="b">
        <x:v>1</x:v>
      </x:c>
      <x:c r="M758" s="23" t="n">
        <x:v>1</x:v>
      </x:c>
      <x:c r="N758" s="28" t="n">
        <x:v>46203.92188238426</x:v>
      </x:c>
      <x:c r="O758" s="28" t="n">
        <x:v>46219.812988715275</x:v>
      </x:c>
      <x:c r="P758" s="23" t="str">
        <x:v>PRESIDENTE PRUDENTE</x:v>
      </x:c>
      <x:c r="Q758" s="30" t="n">
        <x:v>32095</x:v>
      </x:c>
      <x:c r="R758" s="22" t="str">
        <x:f>"470624553"</x:f>
        <x:v>470624553</x:v>
      </x:c>
      <x:c r="S758" s="23" t="str">
        <x:v>masculino</x:v>
      </x:c>
      <x:c r="T758" s="22" t="str"/>
      <x:c r="U758" s="23" t="str">
        <x:v>DAVID ALLIS DA SILVA CAMPOS</x:v>
      </x:c>
      <x:c r="V758" s="22" t="str">
        <x:f>"336.097.668-16"</x:f>
        <x:v>336.097.668-16</x:v>
      </x:c>
      <x:c r="W758" s="22" t="str">
        <x:f>"33609766816"</x:f>
        <x:v>33609766816</x:v>
      </x:c>
      <x:c r="X758" s="23" t="str">
        <x:v>davidcampos0056@gmail.com</x:v>
      </x:c>
      <x:c r="Y758" s="22" t="str">
        <x:f>"(18)996986535"</x:f>
        <x:v>(18)996986535</x:v>
      </x:c>
      <x:c r="Z758" s="30" t="n">
        <x:v>46322</x:v>
      </x:c>
    </x:row>
    <x:row r="759" ht="18" customHeight="1">
      <x:c r="A759" s="22" t="str">
        <x:f>"c6c422ae-d7f5-4679-bfcb-cd2334c0ec7c"</x:f>
        <x:v>c6c422ae-d7f5-4679-bfcb-cd2334c0ec7c</x:v>
      </x:c>
      <x:c r="B759" s="23" t="str">
        <x:v>DAVID APARECIDO CAVALCANTE DE PAULA</x:v>
      </x:c>
      <x:c r="C759" s="23" t="str">
        <x:v>david aparecido cavalcante de paula</x:v>
      </x:c>
      <x:c r="D759" s="22" t="str">
        <x:f>"58.945.856/0001-10"</x:f>
        <x:v>58.945.856/0001-10</x:v>
      </x:c>
      <x:c r="E759" s="22" t="str">
        <x:f>"58945856000110"</x:f>
        <x:v>58945856000110</x:v>
      </x:c>
      <x:c r="F759" s="22" t="str">
        <x:f>"465.309.028-99"</x:f>
        <x:v>465.309.028-99</x:v>
      </x:c>
      <x:c r="G759" s="22" t="str">
        <x:f>"46530902899"</x:f>
        <x:v>46530902899</x:v>
      </x:c>
      <x:c r="H759" s="23" t="str">
        <x:v>david.cavalcanteap@gmail.com</x:v>
      </x:c>
      <x:c r="I759" s="22" t="str">
        <x:f>"18996516073"</x:f>
        <x:v>18996516073</x:v>
      </x:c>
      <x:c r="J759" s="23" t="str">
        <x:v>SPOT</x:v>
      </x:c>
      <x:c r="K759" s="23" t="str">
        <x:v>favored_only</x:v>
      </x:c>
      <x:c r="L759" s="24" t="b">
        <x:v>1</x:v>
      </x:c>
      <x:c r="M759" s="23" t="n">
        <x:v>1</x:v>
      </x:c>
      <x:c r="N759" s="28" t="n">
        <x:v>46205.60471835648</x:v>
      </x:c>
      <x:c r="O759" s="28" t="n">
        <x:v>46219.812988715275</x:v>
      </x:c>
      <x:c r="P759" s="23" t="str">
        <x:v>PRESIDENTE PRUDENTE</x:v>
      </x:c>
      <x:c r="Q759" s="30" t="n">
        <x:v>35607</x:v>
      </x:c>
      <x:c r="R759" s="22" t="str">
        <x:f>"390907182"</x:f>
        <x:v>390907182</x:v>
      </x:c>
      <x:c r="S759" s="23" t="str">
        <x:v>masculino</x:v>
      </x:c>
      <x:c r="T759" s="22" t="str">
        <x:f>"AUK4G33"</x:f>
        <x:v>AUK4G33</x:v>
      </x:c>
      <x:c r="U759" s="23" t="str">
        <x:v>DANIELA DE OLIVEIRA MACEDO</x:v>
      </x:c>
      <x:c r="V759" s="22" t="str">
        <x:f>"404.175.258-26"</x:f>
        <x:v>404.175.258-26</x:v>
      </x:c>
      <x:c r="W759" s="22" t="str">
        <x:f>"40417525826"</x:f>
        <x:v>40417525826</x:v>
      </x:c>
      <x:c r="X759" s="23" t="str">
        <x:v>macedodaniela942@gmail.com</x:v>
      </x:c>
      <x:c r="Y759" s="22" t="str">
        <x:f>"18-996189566"</x:f>
        <x:v>18-996189566</x:v>
      </x:c>
      <x:c r="Z759" s="30" t="n">
        <x:v>46291</x:v>
      </x:c>
    </x:row>
    <x:row r="760" ht="18" customHeight="1">
      <x:c r="A760" s="22" t="str">
        <x:f>"8309a5f8-7111-4ba6-ab87-03d720f7ff55"</x:f>
        <x:v>8309a5f8-7111-4ba6-ab87-03d720f7ff55</x:v>
      </x:c>
      <x:c r="B760" s="23" t="str">
        <x:v>DAVID BECKERRANN COSTA DE AQUINO</x:v>
      </x:c>
      <x:c r="C760" s="23" t="str">
        <x:v>david beckerrann costa de aquino</x:v>
      </x:c>
      <x:c r="D760" s="22" t="str">
        <x:f>"65.146.634/0001-00"</x:f>
        <x:v>65.146.634/0001-00</x:v>
      </x:c>
      <x:c r="E760" s="22" t="str">
        <x:f>"65146634000100"</x:f>
        <x:v>65146634000100</x:v>
      </x:c>
      <x:c r="F760" s="22" t="str">
        <x:f>"621.240.283-32"</x:f>
        <x:v>621.240.283-32</x:v>
      </x:c>
      <x:c r="G760" s="22" t="str">
        <x:f>"62124028332"</x:f>
        <x:v>62124028332</x:v>
      </x:c>
      <x:c r="H760" s="23" t="str">
        <x:v>davidbeckerrann382@gmail.com</x:v>
      </x:c>
      <x:c r="I760" s="22" t="str">
        <x:f>"63 9276-4400"</x:f>
        <x:v>63 9276-4400</x:v>
      </x:c>
      <x:c r="J760" s="23" t="str">
        <x:v>RENTAL</x:v>
      </x:c>
      <x:c r="K760" s="23" t="str">
        <x:v>rental_company</x:v>
      </x:c>
      <x:c r="L760" s="24" t="b">
        <x:v>1</x:v>
      </x:c>
      <x:c r="M760" s="23" t="n">
        <x:v>1</x:v>
      </x:c>
      <x:c r="N760" s="28" t="n">
        <x:v>46219.812988715275</x:v>
      </x:c>
      <x:c r="O760" s="28" t="n">
        <x:v>46219.812988715275</x:v>
      </x:c>
      <x:c r="P760" s="23" t="str">
        <x:v>RIO VERDE</x:v>
      </x:c>
      <x:c r="Q760" s="30" t="n">
        <x:v>38587</x:v>
      </x:c>
      <x:c r="R760" s="22" t="str">
        <x:f>"556310220153"</x:f>
        <x:v>556310220153</x:v>
      </x:c>
      <x:c r="S760" s="23" t="str">
        <x:v>masculino</x:v>
      </x:c>
      <x:c r="T760" s="22" t="str"/>
      <x:c r="U760" s="23" t="str">
        <x:v>DAVID BECKERRANN COSTA DE AQUINO</x:v>
      </x:c>
      <x:c r="V760" s="22" t="str">
        <x:f>"621.240.283-32"</x:f>
        <x:v>621.240.283-32</x:v>
      </x:c>
      <x:c r="W760" s="22" t="str">
        <x:f>"62124028332"</x:f>
        <x:v>62124028332</x:v>
      </x:c>
      <x:c r="X760" s="23" t="str">
        <x:v>davidbeckerrann382@gmail.com</x:v>
      </x:c>
      <x:c r="Y760" s="22" t="str">
        <x:f>"63 9276-4400"</x:f>
        <x:v>63 9276-4400</x:v>
      </x:c>
      <x:c r="Z760" s="30" t="n">
        <x:v>46434</x:v>
      </x:c>
    </x:row>
    <x:row r="761" ht="18" customHeight="1">
      <x:c r="A761" s="22" t="str">
        <x:f>"ee4a5946-1308-4620-8ef4-85d40d923983"</x:f>
        <x:v>ee4a5946-1308-4620-8ef4-85d40d923983</x:v>
      </x:c>
      <x:c r="B761" s="23" t="str">
        <x:v>DAVID DE OLIVEIRA NUNES REIS</x:v>
      </x:c>
      <x:c r="C761" s="23" t="str">
        <x:v>david de oliveira nunes reis</x:v>
      </x:c>
      <x:c r="D761" s="22" t="str">
        <x:f>"60.359.101/0001-85"</x:f>
        <x:v>60.359.101/0001-85</x:v>
      </x:c>
      <x:c r="E761" s="22" t="str">
        <x:f>"60359101000185"</x:f>
        <x:v>60359101000185</x:v>
      </x:c>
      <x:c r="F761" s="22" t="str">
        <x:f>"416.137.218-38"</x:f>
        <x:v>416.137.218-38</x:v>
      </x:c>
      <x:c r="G761" s="22" t="str">
        <x:f>"41613721838"</x:f>
        <x:v>41613721838</x:v>
      </x:c>
      <x:c r="H761" s="23" t="str">
        <x:v>david-cva@hotmail.com</x:v>
      </x:c>
      <x:c r="I761" s="22" t="str">
        <x:f>"(17) 99665-2277"</x:f>
        <x:v>(17) 99665-2277</x:v>
      </x:c>
      <x:c r="J761" s="23" t="str">
        <x:v>RENTAL</x:v>
      </x:c>
      <x:c r="K761" s="23" t="str">
        <x:v>rental_company</x:v>
      </x:c>
      <x:c r="L761" s="24" t="b">
        <x:v>1</x:v>
      </x:c>
      <x:c r="M761" s="23" t="n">
        <x:v>1</x:v>
      </x:c>
      <x:c r="N761" s="28" t="n">
        <x:v>46203.92186888889</x:v>
      </x:c>
      <x:c r="O761" s="28" t="n">
        <x:v>46219.812988715275</x:v>
      </x:c>
      <x:c r="P761" s="23" t="str">
        <x:v>SÃO JOSE DO RIO PRETO</x:v>
      </x:c>
      <x:c r="Q761" s="30" t="n">
        <x:v>34047</x:v>
      </x:c>
      <x:c r="R761" s="22" t="str">
        <x:f>"39.889.515-6"</x:f>
        <x:v>39.889.515-6</x:v>
      </x:c>
      <x:c r="S761" s="23" t="str">
        <x:v>masculino</x:v>
      </x:c>
      <x:c r="T761" s="22" t="str"/>
      <x:c r="U761" s="23" t="str">
        <x:v>DAVID DE OLIVEIRA NUNES REIS</x:v>
      </x:c>
      <x:c r="V761" s="22" t="str">
        <x:f>"416.137.218-38"</x:f>
        <x:v>416.137.218-38</x:v>
      </x:c>
      <x:c r="W761" s="22" t="str">
        <x:f>"41613721838"</x:f>
        <x:v>41613721838</x:v>
      </x:c>
      <x:c r="X761" s="23" t="str">
        <x:v>david-cva@hotmail.com</x:v>
      </x:c>
      <x:c r="Y761" s="22" t="str">
        <x:f>"(17) 99665-2277"</x:f>
        <x:v>(17) 99665-2277</x:v>
      </x:c>
      <x:c r="Z761" s="30" t="n">
        <x:v>46298</x:v>
      </x:c>
    </x:row>
    <x:row r="762" ht="18" customHeight="1">
      <x:c r="A762" s="22" t="str">
        <x:f>"83ccbcbc-f51c-4599-a2bc-b0e75a0d275a"</x:f>
        <x:v>83ccbcbc-f51c-4599-a2bc-b0e75a0d275a</x:v>
      </x:c>
      <x:c r="B762" s="23" t="str">
        <x:v>DAVID DE SOUZA REIS</x:v>
      </x:c>
      <x:c r="C762" s="23" t="str">
        <x:v>david de souza reis</x:v>
      </x:c>
      <x:c r="D762" s="22" t="str">
        <x:f>"66.943.346/0001-31"</x:f>
        <x:v>66.943.346/0001-31</x:v>
      </x:c>
      <x:c r="E762" s="22" t="str">
        <x:f>"66943346000131"</x:f>
        <x:v>66943346000131</x:v>
      </x:c>
      <x:c r="F762" s="22" t="str">
        <x:f>"112.117.566-02"</x:f>
        <x:v>112.117.566-02</x:v>
      </x:c>
      <x:c r="G762" s="22" t="str">
        <x:f>"11211756602"</x:f>
        <x:v>11211756602</x:v>
      </x:c>
      <x:c r="H762" s="23" t="str">
        <x:v>reisd3661@gmail.com</x:v>
      </x:c>
      <x:c r="I762" s="22" t="str">
        <x:f>"(35)992007905"</x:f>
        <x:v>(35)992007905</x:v>
      </x:c>
      <x:c r="J762" s="23" t="str">
        <x:v>RENTAL</x:v>
      </x:c>
      <x:c r="K762" s="23" t="str">
        <x:v>rental_company</x:v>
      </x:c>
      <x:c r="L762" s="24" t="b">
        <x:v>1</x:v>
      </x:c>
      <x:c r="M762" s="23" t="n">
        <x:v>1</x:v>
      </x:c>
      <x:c r="N762" s="28" t="n">
        <x:v>46219.812988715275</x:v>
      </x:c>
      <x:c r="O762" s="28" t="n">
        <x:v>46219.812988715275</x:v>
      </x:c>
      <x:c r="P762" s="23" t="str">
        <x:v>POUSO ALEGRE</x:v>
      </x:c>
      <x:c r="Q762" s="30" t="n">
        <x:v>33469</x:v>
      </x:c>
      <x:c r="R762" s="22" t="str">
        <x:f>"18041545"</x:f>
        <x:v>18041545</x:v>
      </x:c>
      <x:c r="S762" s="23" t="str">
        <x:v>masculino</x:v>
      </x:c>
      <x:c r="T762" s="22" t="str"/>
      <x:c r="U762" s="23" t="str">
        <x:v>DAVID DE SOUZA REIS</x:v>
      </x:c>
      <x:c r="V762" s="22" t="str">
        <x:f>"112.117.566-02"</x:f>
        <x:v>112.117.566-02</x:v>
      </x:c>
      <x:c r="W762" s="22" t="str">
        <x:f>"11211756602"</x:f>
        <x:v>11211756602</x:v>
      </x:c>
      <x:c r="X762" s="23" t="str">
        <x:v>reisd3661@gmail.com</x:v>
      </x:c>
      <x:c r="Y762" s="22" t="str">
        <x:f>"(35)992007905"</x:f>
        <x:v>(35)992007905</x:v>
      </x:c>
      <x:c r="Z762" s="30" t="n">
        <x:v>46532</x:v>
      </x:c>
    </x:row>
    <x:row r="763" ht="18" customHeight="1">
      <x:c r="A763" s="22" t="str">
        <x:f>"72aea7e3-1028-4d44-8048-22e8c71a1058"</x:f>
        <x:v>72aea7e3-1028-4d44-8048-22e8c71a1058</x:v>
      </x:c>
      <x:c r="B763" s="23" t="str">
        <x:v>DAVID DIAS SILVA JUNIOR</x:v>
      </x:c>
      <x:c r="C763" s="23" t="str">
        <x:v>david dias silva junior</x:v>
      </x:c>
      <x:c r="D763" s="22" t="str">
        <x:f>"61.782.765/0001-15"</x:f>
        <x:v>61.782.765/0001-15</x:v>
      </x:c>
      <x:c r="E763" s="22" t="str">
        <x:f>"61782765000115"</x:f>
        <x:v>61782765000115</x:v>
      </x:c>
      <x:c r="F763" s="22" t="str">
        <x:f>"120.064.436-07"</x:f>
        <x:v>120.064.436-07</x:v>
      </x:c>
      <x:c r="G763" s="22" t="str">
        <x:f>"12006443607"</x:f>
        <x:v>12006443607</x:v>
      </x:c>
      <x:c r="H763" s="23" t="str">
        <x:v>mak9junior@gmail.com</x:v>
      </x:c>
      <x:c r="I763" s="22" t="str">
        <x:f>"33 9133-6298"</x:f>
        <x:v>33 9133-6298</x:v>
      </x:c>
      <x:c r="J763" s="23" t="str">
        <x:v>SPOT</x:v>
      </x:c>
      <x:c r="K763" s="23" t="str">
        <x:v>favored_only</x:v>
      </x:c>
      <x:c r="L763" s="24" t="b">
        <x:v>1</x:v>
      </x:c>
      <x:c r="M763" s="23" t="n">
        <x:v>1</x:v>
      </x:c>
      <x:c r="N763" s="28" t="n">
        <x:v>46219.812988715275</x:v>
      </x:c>
      <x:c r="O763" s="28" t="n">
        <x:v>46219.812988715275</x:v>
      </x:c>
      <x:c r="P763" s="23" t="str">
        <x:v>TEOFILO OTONI</x:v>
      </x:c>
      <x:c r="Q763" s="30" t="n">
        <x:v>33957</x:v>
      </x:c>
      <x:c r="R763" s="22" t="str">
        <x:f>"17462590"</x:f>
        <x:v>17462590</x:v>
      </x:c>
      <x:c r="S763" s="23" t="str">
        <x:v>masculino</x:v>
      </x:c>
      <x:c r="T763" s="22" t="str">
        <x:f>"HMK1H26"</x:f>
        <x:v>HMK1H26</x:v>
      </x:c>
      <x:c r="U763" s="23" t="str">
        <x:v>GABRIEL KRUL GUIMARAES</x:v>
      </x:c>
      <x:c r="V763" s="22" t="str">
        <x:f>"118.908.666-28"</x:f>
        <x:v>118.908.666-28</x:v>
      </x:c>
      <x:c r="W763" s="22" t="str">
        <x:f>"11890866628"</x:f>
        <x:v>11890866628</x:v>
      </x:c>
      <x:c r="X763" s="23" t="str">
        <x:v>gabrielkrulg@yahoo.com.br</x:v>
      </x:c>
      <x:c r="Y763" s="22" t="str">
        <x:f>"(33) 99133-6298"</x:f>
        <x:v>(33) 99133-6298</x:v>
      </x:c>
      <x:c r="Z763" s="30" t="n">
        <x:v>46460</x:v>
      </x:c>
    </x:row>
    <x:row r="764" ht="18" customHeight="1">
      <x:c r="A764" s="22" t="str">
        <x:f>"7cfa864a-7eb0-49fe-85f1-647d4534f6b8"</x:f>
        <x:v>7cfa864a-7eb0-49fe-85f1-647d4534f6b8</x:v>
      </x:c>
      <x:c r="B764" s="23" t="str">
        <x:v>DAVID DOMICINIANO PEREIRA DA SILVA</x:v>
      </x:c>
      <x:c r="C764" s="23" t="str">
        <x:v>david domiciniano pereira da silva</x:v>
      </x:c>
      <x:c r="D764" s="22" t="str">
        <x:f>"59.050.151/0001-05"</x:f>
        <x:v>59.050.151/0001-05</x:v>
      </x:c>
      <x:c r="E764" s="22" t="str">
        <x:f>"59050151000105"</x:f>
        <x:v>59050151000105</x:v>
      </x:c>
      <x:c r="F764" s="22" t="str">
        <x:f>"433.661.268-41"</x:f>
        <x:v>433.661.268-41</x:v>
      </x:c>
      <x:c r="G764" s="22" t="str">
        <x:f>"43366126841"</x:f>
        <x:v>43366126841</x:v>
      </x:c>
      <x:c r="H764" s="23" t="str">
        <x:v>domicianomk@gmail.com</x:v>
      </x:c>
      <x:c r="I764" s="22" t="str">
        <x:f>"11968000181"</x:f>
        <x:v>11968000181</x:v>
      </x:c>
      <x:c r="J764" s="23" t="str">
        <x:v>RENTAL</x:v>
      </x:c>
      <x:c r="K764" s="23" t="str">
        <x:v>rental_company</x:v>
      </x:c>
      <x:c r="L764" s="24" t="b">
        <x:v>1</x:v>
      </x:c>
      <x:c r="M764" s="23" t="n">
        <x:v>1</x:v>
      </x:c>
      <x:c r="N764" s="28" t="n">
        <x:v>46203.92188238426</x:v>
      </x:c>
      <x:c r="O764" s="28" t="n">
        <x:v>46219.812988715275</x:v>
      </x:c>
      <x:c r="P764" s="23" t="str">
        <x:v>MADEIRA MADEIRA</x:v>
      </x:c>
      <x:c r="Q764" s="30" t="n">
        <x:v>34500</x:v>
      </x:c>
      <x:c r="R764" s="22" t="str">
        <x:f>"426502371"</x:f>
        <x:v>426502371</x:v>
      </x:c>
      <x:c r="S764" s="23" t="str">
        <x:v>masculino</x:v>
      </x:c>
      <x:c r="T764" s="22" t="str"/>
      <x:c r="U764" s="23" t="str">
        <x:v>DAVID DOMICINIANO PEREIRA DA SILVA</x:v>
      </x:c>
      <x:c r="V764" s="22" t="str">
        <x:f>"433.661.268-41"</x:f>
        <x:v>433.661.268-41</x:v>
      </x:c>
      <x:c r="W764" s="22" t="str">
        <x:f>"43366126841"</x:f>
        <x:v>43366126841</x:v>
      </x:c>
      <x:c r="X764" s="23" t="str">
        <x:v>domicianomk@gmail.com</x:v>
      </x:c>
      <x:c r="Y764" s="22" t="str">
        <x:f>"11968000181"</x:f>
        <x:v>11968000181</x:v>
      </x:c>
      <x:c r="Z764" s="30" t="n">
        <x:v>46318</x:v>
      </x:c>
    </x:row>
    <x:row r="765" ht="18" customHeight="1">
      <x:c r="A765" s="22" t="str">
        <x:f>"bad4943f-770b-43e7-ae2b-7c52e9734901"</x:f>
        <x:v>bad4943f-770b-43e7-ae2b-7c52e9734901</x:v>
      </x:c>
      <x:c r="B765" s="23" t="str">
        <x:v>DAVID FRANCO DA SILVA DOS SANTOS</x:v>
      </x:c>
      <x:c r="C765" s="23" t="str">
        <x:v>david franco da silva dos santos</x:v>
      </x:c>
      <x:c r="D765" s="22" t="str">
        <x:f>"67.204.239/0001-54"</x:f>
        <x:v>67.204.239/0001-54</x:v>
      </x:c>
      <x:c r="E765" s="22" t="str">
        <x:f>"67204239000154"</x:f>
        <x:v>67204239000154</x:v>
      </x:c>
      <x:c r="F765" s="22" t="str">
        <x:f>"181.689.326-92"</x:f>
        <x:v>181.689.326-92</x:v>
      </x:c>
      <x:c r="G765" s="22" t="str">
        <x:f>"18168932692"</x:f>
        <x:v>18168932692</x:v>
      </x:c>
      <x:c r="H765" s="23" t="str">
        <x:v>davifrancofm@gmail.com</x:v>
      </x:c>
      <x:c r="I765" s="22" t="str">
        <x:f>"31995478894"</x:f>
        <x:v>31995478894</x:v>
      </x:c>
      <x:c r="J765" s="23" t="str">
        <x:v>rental</x:v>
      </x:c>
      <x:c r="K765" s="23" t="str">
        <x:v>rental_company</x:v>
      </x:c>
      <x:c r="L765" s="24" t="b">
        <x:v>1</x:v>
      </x:c>
      <x:c r="M765" s="23" t="n">
        <x:v>1</x:v>
      </x:c>
      <x:c r="N765" s="28" t="n">
        <x:v>46219.812988715275</x:v>
      </x:c>
      <x:c r="O765" s="28" t="n">
        <x:v>46219.812988715275</x:v>
      </x:c>
      <x:c r="P765" s="23" t="str">
        <x:v>NOVA LIMA</x:v>
      </x:c>
      <x:c r="Q765" s="30" t="n">
        <x:v>38654</x:v>
      </x:c>
      <x:c r="R765" s="22" t="str">
        <x:f>"21609695"</x:f>
        <x:v>21609695</x:v>
      </x:c>
      <x:c r="S765" s="23" t="str">
        <x:v>masculino</x:v>
      </x:c>
      <x:c r="T765" s="22" t="str"/>
      <x:c r="U765" s="23" t="str">
        <x:v>DAVID FRANCO DA SILVA DOS SANTOS</x:v>
      </x:c>
      <x:c r="V765" s="22" t="str">
        <x:f>"181.689.326-92"</x:f>
        <x:v>181.689.326-92</x:v>
      </x:c>
      <x:c r="W765" s="22" t="str">
        <x:f>"18168932692"</x:f>
        <x:v>18168932692</x:v>
      </x:c>
      <x:c r="X765" s="23" t="str">
        <x:v>davifrancofm@gmail.com</x:v>
      </x:c>
      <x:c r="Y765" s="22" t="str">
        <x:f>"31995478894"</x:f>
        <x:v>31995478894</x:v>
      </x:c>
      <x:c r="Z765" s="30" t="n">
        <x:v>46555</x:v>
      </x:c>
    </x:row>
    <x:row r="766" ht="18" customHeight="1">
      <x:c r="A766" s="22" t="str">
        <x:f>"90a8a1ba-1d80-483c-b6b6-b8929af08bc4"</x:f>
        <x:v>90a8a1ba-1d80-483c-b6b6-b8929af08bc4</x:v>
      </x:c>
      <x:c r="B766" s="23" t="str">
        <x:v>DAVI DIEGO GUEDES DE OLIVEIRA</x:v>
      </x:c>
      <x:c r="C766" s="23" t="str">
        <x:v>davi diego guedes de oliveira</x:v>
      </x:c>
      <x:c r="D766" s="22" t="str">
        <x:f>"36.144.159/0001-27"</x:f>
        <x:v>36.144.159/0001-27</x:v>
      </x:c>
      <x:c r="E766" s="22" t="str">
        <x:f>"36144159000127"</x:f>
        <x:v>36144159000127</x:v>
      </x:c>
      <x:c r="F766" s="22" t="str">
        <x:f>"468.413.598-52"</x:f>
        <x:v>468.413.598-52</x:v>
      </x:c>
      <x:c r="G766" s="22" t="str">
        <x:f>"46841359852"</x:f>
        <x:v>46841359852</x:v>
      </x:c>
      <x:c r="H766" s="23" t="str">
        <x:v>elitebilhar19@gmail.com</x:v>
      </x:c>
      <x:c r="I766" s="22" t="str">
        <x:f>"(35)98873-2827"</x:f>
        <x:v>(35)98873-2827</x:v>
      </x:c>
      <x:c r="J766" s="23" t="str">
        <x:v>RENTAL</x:v>
      </x:c>
      <x:c r="K766" s="23" t="str">
        <x:v>rental_company</x:v>
      </x:c>
      <x:c r="L766" s="24" t="b">
        <x:v>1</x:v>
      </x:c>
      <x:c r="M766" s="23" t="n">
        <x:v>1</x:v>
      </x:c>
      <x:c r="N766" s="28" t="n">
        <x:v>46219.812988715275</x:v>
      </x:c>
      <x:c r="O766" s="28" t="n">
        <x:v>46219.812988715275</x:v>
      </x:c>
      <x:c r="P766" s="23" t="str">
        <x:v>POUSO ALEGRE</x:v>
      </x:c>
      <x:c r="Q766" s="30" t="n">
        <x:v>35381</x:v>
      </x:c>
      <x:c r="R766" s="22" t="str">
        <x:f>"574366143 SSP SP"</x:f>
        <x:v>574366143 SSP SP</x:v>
      </x:c>
      <x:c r="S766" s="23" t="str">
        <x:v>masculino</x:v>
      </x:c>
      <x:c r="T766" s="22" t="str"/>
      <x:c r="U766" s="23" t="str">
        <x:v>DAVI DIEGO GUEDES DE OLIVEIRA</x:v>
      </x:c>
      <x:c r="V766" s="22" t="str">
        <x:f>"468.413.598-52"</x:f>
        <x:v>468.413.598-52</x:v>
      </x:c>
      <x:c r="W766" s="22" t="str">
        <x:f>"46841359852"</x:f>
        <x:v>46841359852</x:v>
      </x:c>
      <x:c r="X766" s="23" t="str">
        <x:v>elitebilhar19@gmail.com</x:v>
      </x:c>
      <x:c r="Y766" s="22" t="str">
        <x:f>"(35)98873-2827"</x:f>
        <x:v>(35)98873-2827</x:v>
      </x:c>
      <x:c r="Z766" s="30" t="n">
        <x:v>46581</x:v>
      </x:c>
    </x:row>
    <x:row r="767" ht="18" customHeight="1">
      <x:c r="A767" s="22" t="str">
        <x:f>"80d48eec-948f-47c4-b9b6-c0505b580cb0"</x:f>
        <x:v>80d48eec-948f-47c4-b9b6-c0505b580cb0</x:v>
      </x:c>
      <x:c r="B767" s="23" t="str">
        <x:v>DAVID MARCELINO DOS SANTOS</x:v>
      </x:c>
      <x:c r="C767" s="23" t="str">
        <x:v>david marcelino dos santos</x:v>
      </x:c>
      <x:c r="D767" s="22" t="str">
        <x:f>"67.917.015/0001-90"</x:f>
        <x:v>67.917.015/0001-90</x:v>
      </x:c>
      <x:c r="E767" s="22" t="str">
        <x:f>"67917015000190"</x:f>
        <x:v>67917015000190</x:v>
      </x:c>
      <x:c r="F767" s="22" t="str">
        <x:f>"402.609.358-16"</x:f>
        <x:v>402.609.358-16</x:v>
      </x:c>
      <x:c r="G767" s="22" t="str">
        <x:f>"40260935816"</x:f>
        <x:v>40260935816</x:v>
      </x:c>
      <x:c r="H767" s="23" t="str">
        <x:v>kikomarcelindosantos@gmail.com</x:v>
      </x:c>
      <x:c r="I767" s="22" t="str">
        <x:f>"16997810862"</x:f>
        <x:v>16997810862</x:v>
      </x:c>
      <x:c r="J767" s="23" t="str">
        <x:v>RENTAL</x:v>
      </x:c>
      <x:c r="K767" s="23" t="str">
        <x:v>rental_company</x:v>
      </x:c>
      <x:c r="L767" s="24" t="b">
        <x:v>1</x:v>
      </x:c>
      <x:c r="M767" s="23" t="n">
        <x:v>1</x:v>
      </x:c>
      <x:c r="N767" s="28" t="n">
        <x:v>46219.812988715275</x:v>
      </x:c>
      <x:c r="O767" s="28" t="n">
        <x:v>46219.812988715275</x:v>
      </x:c>
      <x:c r="P767" s="23" t="str">
        <x:v>SÃO CARLOS</x:v>
      </x:c>
      <x:c r="Q767" s="30" t="n">
        <x:v>33187</x:v>
      </x:c>
      <x:c r="R767" s="22" t="str">
        <x:f>"371425463"</x:f>
        <x:v>371425463</x:v>
      </x:c>
      <x:c r="S767" s="23" t="str">
        <x:v>masculino</x:v>
      </x:c>
      <x:c r="T767" s="22" t="str"/>
      <x:c r="U767" s="23" t="str">
        <x:v>DAVID MARCELINO DOS SANTOS</x:v>
      </x:c>
      <x:c r="V767" s="22" t="str">
        <x:f>"402.609.358-16"</x:f>
        <x:v>402.609.358-16</x:v>
      </x:c>
      <x:c r="W767" s="22" t="str">
        <x:f>"40260935816"</x:f>
        <x:v>40260935816</x:v>
      </x:c>
      <x:c r="X767" s="23" t="str">
        <x:v>kikomarcelindosantos@gmail.com</x:v>
      </x:c>
      <x:c r="Y767" s="22" t="str">
        <x:f>"16997810862"</x:f>
        <x:v>16997810862</x:v>
      </x:c>
      <x:c r="Z767" s="30" t="n">
        <x:v>46577</x:v>
      </x:c>
    </x:row>
    <x:row r="768" ht="18" customHeight="1">
      <x:c r="A768" s="22" t="str">
        <x:f>"4da45fd0-c4c3-4935-81fd-7c1730159953"</x:f>
        <x:v>4da45fd0-c4c3-4935-81fd-7c1730159953</x:v>
      </x:c>
      <x:c r="B768" s="23" t="str">
        <x:v>DAVID OLIVEIRA DA SILVA</x:v>
      </x:c>
      <x:c r="C768" s="23" t="str">
        <x:v>david oliveira da silva</x:v>
      </x:c>
      <x:c r="D768" s="22" t="str">
        <x:f>"53.264.533/0001-47"</x:f>
        <x:v>53.264.533/0001-47</x:v>
      </x:c>
      <x:c r="E768" s="22" t="str">
        <x:f>"53264533000147"</x:f>
        <x:v>53264533000147</x:v>
      </x:c>
      <x:c r="F768" s="22" t="str">
        <x:f>"028.316.951-63"</x:f>
        <x:v>028.316.951-63</x:v>
      </x:c>
      <x:c r="G768" s="22" t="str">
        <x:f>"02831695163"</x:f>
        <x:v>02831695163</x:v>
      </x:c>
      <x:c r="H768" s="23" t="str">
        <x:v>davidnovamutum@live.com</x:v>
      </x:c>
      <x:c r="I768" s="22" t="str">
        <x:f>"6599942-1434"</x:f>
        <x:v>6599942-1434</x:v>
      </x:c>
      <x:c r="J768" s="23" t="str">
        <x:v>SPOT</x:v>
      </x:c>
      <x:c r="K768" s="23" t="str">
        <x:v>favored_only</x:v>
      </x:c>
      <x:c r="L768" s="24" t="b">
        <x:v>1</x:v>
      </x:c>
      <x:c r="M768" s="23" t="n">
        <x:v>1</x:v>
      </x:c>
      <x:c r="N768" s="28" t="n">
        <x:v>46219.812988715275</x:v>
      </x:c>
      <x:c r="O768" s="28" t="n">
        <x:v>46219.812988715275</x:v>
      </x:c>
      <x:c r="P768" s="23" t="str">
        <x:v>CUIABA</x:v>
      </x:c>
      <x:c r="Q768" s="30" t="n">
        <x:v>32643</x:v>
      </x:c>
      <x:c r="R768" s="22" t="str">
        <x:f>"16351126"</x:f>
        <x:v>16351126</x:v>
      </x:c>
      <x:c r="S768" s="23" t="str">
        <x:v>masculino</x:v>
      </x:c>
      <x:c r="T768" s="22" t="str">
        <x:f>"SPT4B81"</x:f>
        <x:v>SPT4B81</x:v>
      </x:c>
      <x:c r="U768" s="23" t="str">
        <x:v>LEONIDAS DE PINHO E SILVA</x:v>
      </x:c>
      <x:c r="V768" s="22" t="str">
        <x:f>"692.451.851-68"</x:f>
        <x:v>692.451.851-68</x:v>
      </x:c>
      <x:c r="W768" s="22" t="str">
        <x:f>"69245185168"</x:f>
        <x:v>69245185168</x:v>
      </x:c>
      <x:c r="X768" s="23" t="str">
        <x:v>veloxlogisticamt@gmail.com</x:v>
      </x:c>
      <x:c r="Y768" s="22" t="str">
        <x:f>"(65) 99632-1030"</x:f>
        <x:v>(65) 99632-1030</x:v>
      </x:c>
      <x:c r="Z768" s="30" t="n">
        <x:v>46437</x:v>
      </x:c>
    </x:row>
    <x:row r="769" ht="18" customHeight="1">
      <x:c r="A769" s="22" t="str">
        <x:f>"0690b194-5357-407c-975b-b880e2088467"</x:f>
        <x:v>0690b194-5357-407c-975b-b880e2088467</x:v>
      </x:c>
      <x:c r="B769" s="23" t="str">
        <x:v>DAVIDSON RODRIGO MOREIRA DE SOUSA</x:v>
      </x:c>
      <x:c r="C769" s="23" t="str">
        <x:v>davidson rodrigo moreira de sousa</x:v>
      </x:c>
      <x:c r="D769" s="22" t="str">
        <x:f>"36.295.224/0001-15"</x:f>
        <x:v>36.295.224/0001-15</x:v>
      </x:c>
      <x:c r="E769" s="22" t="str">
        <x:f>"36295224000115"</x:f>
        <x:v>36295224000115</x:v>
      </x:c>
      <x:c r="F769" s="22" t="str">
        <x:f>"108.358.406-54"</x:f>
        <x:v>108.358.406-54</x:v>
      </x:c>
      <x:c r="G769" s="22" t="str">
        <x:f>"10835840654"</x:f>
        <x:v>10835840654</x:v>
      </x:c>
      <x:c r="H769" s="23" t="str">
        <x:v>gabriel.180083@gmail.com</x:v>
      </x:c>
      <x:c r="I769" s="22" t="str">
        <x:f>"31999220041"</x:f>
        <x:v>31999220041</x:v>
      </x:c>
      <x:c r="J769" s="23" t="str">
        <x:v>SPOT</x:v>
      </x:c>
      <x:c r="K769" s="23" t="str">
        <x:v>favored_only</x:v>
      </x:c>
      <x:c r="L769" s="24" t="b">
        <x:v>1</x:v>
      </x:c>
      <x:c r="M769" s="23" t="n">
        <x:v>1</x:v>
      </x:c>
      <x:c r="N769" s="28" t="n">
        <x:v>46205.60378210648</x:v>
      </x:c>
      <x:c r="O769" s="28" t="n">
        <x:v>46219.812988715275</x:v>
      </x:c>
      <x:c r="P769" s="23" t="str">
        <x:v>CONCEIÇÃO DO MATO DENTRO</x:v>
      </x:c>
      <x:c r="Q769" s="30" t="n">
        <x:v>33915</x:v>
      </x:c>
      <x:c r="R769" s="22" t="str">
        <x:f>"17344083"</x:f>
        <x:v>17344083</x:v>
      </x:c>
      <x:c r="S769" s="23" t="str">
        <x:v>masculino</x:v>
      </x:c>
      <x:c r="T769" s="22" t="str">
        <x:f>"OQW6G55"</x:f>
        <x:v>OQW6G55</x:v>
      </x:c>
      <x:c r="U769" s="23" t="str">
        <x:v>ALEF JUNIO GOMES FERREIRA</x:v>
      </x:c>
      <x:c r="V769" s="22" t="str">
        <x:f>"122.392.796-21"</x:f>
        <x:v>122.392.796-21</x:v>
      </x:c>
      <x:c r="W769" s="22" t="str">
        <x:f>"12239279621"</x:f>
        <x:v>12239279621</x:v>
      </x:c>
      <x:c r="X769" s="23" t="str">
        <x:v>juninhobhp18alef@gmail.com</x:v>
      </x:c>
      <x:c r="Y769" s="22" t="str">
        <x:f>"31999220041"</x:f>
        <x:v>31999220041</x:v>
      </x:c>
      <x:c r="Z769" s="30" t="n">
        <x:v>46240</x:v>
      </x:c>
    </x:row>
    <x:row r="770" ht="18" customHeight="1">
      <x:c r="A770" s="22" t="str">
        <x:f>"027a539f-31dc-420e-b923-a52594c97299"</x:f>
        <x:v>027a539f-31dc-420e-b923-a52594c97299</x:v>
      </x:c>
      <x:c r="B770" s="23" t="str">
        <x:v>DAVI FELIPE RAMOS DE MELO</x:v>
      </x:c>
      <x:c r="C770" s="23" t="str">
        <x:v>davi felipe ramos de melo</x:v>
      </x:c>
      <x:c r="D770" s="22" t="str">
        <x:f>"53.264.533/0001-47"</x:f>
        <x:v>53.264.533/0001-47</x:v>
      </x:c>
      <x:c r="E770" s="22" t="str">
        <x:f>"53264533000147"</x:f>
        <x:v>53264533000147</x:v>
      </x:c>
      <x:c r="F770" s="22" t="str">
        <x:f>"072.633.461-84"</x:f>
        <x:v>072.633.461-84</x:v>
      </x:c>
      <x:c r="G770" s="22" t="str">
        <x:f>"07263346184"</x:f>
        <x:v>07263346184</x:v>
      </x:c>
      <x:c r="H770" s="23" t="str">
        <x:v>Eudaviramos02@gmail.com</x:v>
      </x:c>
      <x:c r="I770" s="22" t="str">
        <x:f>"65 998043268"</x:f>
        <x:v>65 998043268</x:v>
      </x:c>
      <x:c r="J770" s="23" t="str">
        <x:v>SPOT</x:v>
      </x:c>
      <x:c r="K770" s="23" t="str">
        <x:v>favored_only</x:v>
      </x:c>
      <x:c r="L770" s="24" t="b">
        <x:v>1</x:v>
      </x:c>
      <x:c r="M770" s="23" t="n">
        <x:v>1</x:v>
      </x:c>
      <x:c r="N770" s="28" t="n">
        <x:v>46219.812988715275</x:v>
      </x:c>
      <x:c r="O770" s="28" t="n">
        <x:v>46219.812988715275</x:v>
      </x:c>
      <x:c r="P770" s="23" t="str">
        <x:v>PONTES E LACERDA</x:v>
      </x:c>
      <x:c r="Q770" s="30" t="n">
        <x:v>37441</x:v>
      </x:c>
      <x:c r="R770" s="22" t="str">
        <x:f>"29534593"</x:f>
        <x:v>29534593</x:v>
      </x:c>
      <x:c r="S770" s="23" t="str">
        <x:v>masculino</x:v>
      </x:c>
      <x:c r="T770" s="22" t="str">
        <x:f>"spt1g21"</x:f>
        <x:v>spt1g21</x:v>
      </x:c>
      <x:c r="U770" s="23" t="str">
        <x:v>LEONIDAS DE PINHO E SILVA</x:v>
      </x:c>
      <x:c r="V770" s="22" t="str">
        <x:f>"692.451.851-68"</x:f>
        <x:v>692.451.851-68</x:v>
      </x:c>
      <x:c r="W770" s="22" t="str">
        <x:f>"69245185168"</x:f>
        <x:v>69245185168</x:v>
      </x:c>
      <x:c r="X770" s="23" t="str">
        <x:v>veloxlogisticamt@gmail.com</x:v>
      </x:c>
      <x:c r="Y770" s="22" t="str">
        <x:f>"(65) 99679-0317"</x:f>
        <x:v>(65) 99679-0317</x:v>
      </x:c>
      <x:c r="Z770" s="30" t="str"/>
    </x:row>
    <x:row r="771" ht="18" customHeight="1">
      <x:c r="A771" s="22" t="str">
        <x:f>"ab31f433-ca63-4520-94de-3d1801f2480f"</x:f>
        <x:v>ab31f433-ca63-4520-94de-3d1801f2480f</x:v>
      </x:c>
      <x:c r="B771" s="23" t="str">
        <x:v>DAVI NASCIMENTO RESSURREICAO</x:v>
      </x:c>
      <x:c r="C771" s="23" t="str">
        <x:v>davi nascimento ressurreicao</x:v>
      </x:c>
      <x:c r="D771" s="22" t="str">
        <x:f>"63.301.369/0001-54"</x:f>
        <x:v>63.301.369/0001-54</x:v>
      </x:c>
      <x:c r="E771" s="22" t="str">
        <x:f>"63301369000154"</x:f>
        <x:v>63301369000154</x:v>
      </x:c>
      <x:c r="F771" s="22" t="str">
        <x:f>"862.043.995-27"</x:f>
        <x:v>862.043.995-27</x:v>
      </x:c>
      <x:c r="G771" s="22" t="str">
        <x:f>"86204399527"</x:f>
        <x:v>86204399527</x:v>
      </x:c>
      <x:c r="H771" s="23" t="str">
        <x:v>davimusico2019@hotmail.com</x:v>
      </x:c>
      <x:c r="I771" s="22" t="str">
        <x:f>"11986280343"</x:f>
        <x:v>11986280343</x:v>
      </x:c>
      <x:c r="J771" s="23" t="str">
        <x:v>SPOT</x:v>
      </x:c>
      <x:c r="K771" s="23" t="str">
        <x:v>favored_only</x:v>
      </x:c>
      <x:c r="L771" s="24" t="b">
        <x:v>1</x:v>
      </x:c>
      <x:c r="M771" s="23" t="n">
        <x:v>1</x:v>
      </x:c>
      <x:c r="N771" s="28" t="n">
        <x:v>46203.92188238426</x:v>
      </x:c>
      <x:c r="O771" s="28" t="n">
        <x:v>46219.812988715275</x:v>
      </x:c>
      <x:c r="P771" s="23" t="str">
        <x:v>BARUERI</x:v>
      </x:c>
      <x:c r="Q771" s="30" t="n">
        <x:v>36486</x:v>
      </x:c>
      <x:c r="R771" s="22" t="str">
        <x:f>"657613551"</x:f>
        <x:v>657613551</x:v>
      </x:c>
      <x:c r="S771" s="23" t="str">
        <x:v>masculino</x:v>
      </x:c>
      <x:c r="T771" s="22" t="str">
        <x:f>"GJC3I55"</x:f>
        <x:v>GJC3I55</x:v>
      </x:c>
      <x:c r="U771" s="23" t="str">
        <x:v>DAVI NASCIMENTO RESSURREICAO</x:v>
      </x:c>
      <x:c r="V771" s="22" t="str">
        <x:f>"862.043.995-27"</x:f>
        <x:v>862.043.995-27</x:v>
      </x:c>
      <x:c r="W771" s="22" t="str">
        <x:f>"86204399527"</x:f>
        <x:v>86204399527</x:v>
      </x:c>
      <x:c r="X771" s="23" t="str">
        <x:v>davimusico2019@hotmail.com</x:v>
      </x:c>
      <x:c r="Y771" s="22" t="str">
        <x:f>"11986280343"</x:f>
        <x:v>11986280343</x:v>
      </x:c>
      <x:c r="Z771" s="30" t="n">
        <x:v>46317</x:v>
      </x:c>
    </x:row>
    <x:row r="772" ht="18" customHeight="1">
      <x:c r="A772" s="22" t="str">
        <x:f>"4e9aae60-72bf-458b-8808-ec85f7407b3d"</x:f>
        <x:v>4e9aae60-72bf-458b-8808-ec85f7407b3d</x:v>
      </x:c>
      <x:c r="B772" s="23" t="str">
        <x:v>DAVI SILVA SOARES</x:v>
      </x:c>
      <x:c r="C772" s="23" t="str">
        <x:v>davi silva soares</x:v>
      </x:c>
      <x:c r="D772" s="22" t="str">
        <x:f>"63.069.863/0001-35"</x:f>
        <x:v>63.069.863/0001-35</x:v>
      </x:c>
      <x:c r="E772" s="22" t="str">
        <x:f>"63069863000135"</x:f>
        <x:v>63069863000135</x:v>
      </x:c>
      <x:c r="F772" s="22" t="str">
        <x:f>"145.144.626-83"</x:f>
        <x:v>145.144.626-83</x:v>
      </x:c>
      <x:c r="G772" s="22" t="str">
        <x:f>"14514462683"</x:f>
        <x:v>14514462683</x:v>
      </x:c>
      <x:c r="H772" s="23" t="str">
        <x:v>daviiisoares81@gmail.com</x:v>
      </x:c>
      <x:c r="I772" s="22" t="str">
        <x:f>"15083717937"</x:f>
        <x:v>15083717937</x:v>
      </x:c>
      <x:c r="J772" s="23" t="str">
        <x:v>SPOT</x:v>
      </x:c>
      <x:c r="K772" s="23" t="str">
        <x:v>favored_only</x:v>
      </x:c>
      <x:c r="L772" s="24" t="b">
        <x:v>1</x:v>
      </x:c>
      <x:c r="M772" s="23" t="n">
        <x:v>1</x:v>
      </x:c>
      <x:c r="N772" s="28" t="n">
        <x:v>46203.92186888889</x:v>
      </x:c>
      <x:c r="O772" s="28" t="n">
        <x:v>46219.812988715275</x:v>
      </x:c>
      <x:c r="P772" s="23" t="str">
        <x:v>GUANHAES</x:v>
      </x:c>
      <x:c r="Q772" s="30" t="n">
        <x:v>37010</x:v>
      </x:c>
      <x:c r="R772" s="22" t="str">
        <x:f>"21120558"</x:f>
        <x:v>21120558</x:v>
      </x:c>
      <x:c r="S772" s="23" t="str">
        <x:v>masculino</x:v>
      </x:c>
      <x:c r="T772" s="22" t="str">
        <x:f>"OWU7B63"</x:f>
        <x:v>OWU7B63</x:v>
      </x:c>
      <x:c r="U772" s="23" t="str">
        <x:v>DAVI SILVA SOARES</x:v>
      </x:c>
      <x:c r="V772" s="22" t="str">
        <x:f>"145.144.626-83"</x:f>
        <x:v>145.144.626-83</x:v>
      </x:c>
      <x:c r="W772" s="22" t="str">
        <x:f>"14514462683"</x:f>
        <x:v>14514462683</x:v>
      </x:c>
      <x:c r="X772" s="23" t="str">
        <x:v>daviiisoares81@gmail.com</x:v>
      </x:c>
      <x:c r="Y772" s="22" t="str">
        <x:f>"15083717937"</x:f>
        <x:v>15083717937</x:v>
      </x:c>
      <x:c r="Z772" s="30" t="n">
        <x:v>46303</x:v>
      </x:c>
    </x:row>
    <x:row r="773" ht="18" customHeight="1">
      <x:c r="A773" s="22" t="str">
        <x:f>"5f67d7ff-74b3-4cf9-8dbe-ce16098660e4"</x:f>
        <x:v>5f67d7ff-74b3-4cf9-8dbe-ce16098660e4</x:v>
      </x:c>
      <x:c r="B773" s="23" t="str">
        <x:v>DAVYD LUCAS SOARES OLIVEIRA</x:v>
      </x:c>
      <x:c r="C773" s="23" t="str">
        <x:v>davyd lucas soares oliveira</x:v>
      </x:c>
      <x:c r="D773" s="22" t="str">
        <x:f>"60.494.760/0001-24"</x:f>
        <x:v>60.494.760/0001-24</x:v>
      </x:c>
      <x:c r="E773" s="22" t="str">
        <x:f>"60494760000124"</x:f>
        <x:v>60494760000124</x:v>
      </x:c>
      <x:c r="F773" s="22" t="str">
        <x:f>"025.933.462-64"</x:f>
        <x:v>025.933.462-64</x:v>
      </x:c>
      <x:c r="G773" s="22" t="str">
        <x:f>"02593346264"</x:f>
        <x:v>02593346264</x:v>
      </x:c>
      <x:c r="H773" s="23" t="str">
        <x:v>davydsoares.rr@gmail.com</x:v>
      </x:c>
      <x:c r="I773" s="22" t="str">
        <x:f>"(66)99264-6383"</x:f>
        <x:v>(66)99264-6383</x:v>
      </x:c>
      <x:c r="J773" s="23" t="str">
        <x:v>SPOT</x:v>
      </x:c>
      <x:c r="K773" s="23" t="str">
        <x:v>favored_only</x:v>
      </x:c>
      <x:c r="L773" s="24" t="b">
        <x:v>1</x:v>
      </x:c>
      <x:c r="M773" s="23" t="n">
        <x:v>1</x:v>
      </x:c>
      <x:c r="N773" s="28" t="n">
        <x:v>46203.921887453704</x:v>
      </x:c>
      <x:c r="O773" s="28" t="n">
        <x:v>46219.812988715275</x:v>
      </x:c>
      <x:c r="P773" s="23" t="str">
        <x:v>SINOP</x:v>
      </x:c>
      <x:c r="Q773" s="30" t="n">
        <x:v>34959</x:v>
      </x:c>
      <x:c r="R773" s="22" t="str">
        <x:f>"5986629759"</x:f>
        <x:v>5986629759</x:v>
      </x:c>
      <x:c r="S773" s="23" t="str">
        <x:v>masculino</x:v>
      </x:c>
      <x:c r="T773" s="22" t="str">
        <x:f>"NAN8C98"</x:f>
        <x:v>NAN8C98</x:v>
      </x:c>
      <x:c r="U773" s="23" t="str">
        <x:v>DAVYD LUCAS SOARES OLIVEIRA</x:v>
      </x:c>
      <x:c r="V773" s="22" t="str">
        <x:f>"025.933.462-64"</x:f>
        <x:v>025.933.462-64</x:v>
      </x:c>
      <x:c r="W773" s="22" t="str">
        <x:f>"02593346264"</x:f>
        <x:v>02593346264</x:v>
      </x:c>
      <x:c r="X773" s="23" t="str">
        <x:v>davydsoares.rr@gmail.com</x:v>
      </x:c>
      <x:c r="Y773" s="22" t="str">
        <x:f>"(66)99264-6383"</x:f>
        <x:v>(66)99264-6383</x:v>
      </x:c>
      <x:c r="Z773" s="30" t="n">
        <x:v>46332</x:v>
      </x:c>
    </x:row>
    <x:row r="774" ht="18" customHeight="1">
      <x:c r="A774" s="22" t="str">
        <x:f>"b16625dd-680d-4ee5-ba29-2e2a9b64e31c"</x:f>
        <x:v>b16625dd-680d-4ee5-ba29-2e2a9b64e31c</x:v>
      </x:c>
      <x:c r="B774" s="23" t="str">
        <x:v>DAYANA LINO DE ABREU LIMA</x:v>
      </x:c>
      <x:c r="C774" s="23" t="str">
        <x:v>dayana lino de abreu lima</x:v>
      </x:c>
      <x:c r="D774" s="22" t="str">
        <x:f>"64.018.653/0001-80"</x:f>
        <x:v>64.018.653/0001-80</x:v>
      </x:c>
      <x:c r="E774" s="22" t="str">
        <x:f>"64018653000180"</x:f>
        <x:v>64018653000180</x:v>
      </x:c>
      <x:c r="F774" s="22" t="str">
        <x:f>"125.570.697-01"</x:f>
        <x:v>125.570.697-01</x:v>
      </x:c>
      <x:c r="G774" s="22" t="str">
        <x:f>"12557069701"</x:f>
        <x:v>12557069701</x:v>
      </x:c>
      <x:c r="H774" s="23" t="str">
        <x:v>anadayfalcao@gmail.com</x:v>
      </x:c>
      <x:c r="I774" s="22" t="str">
        <x:f>"21964414251"</x:f>
        <x:v>21964414251</x:v>
      </x:c>
      <x:c r="J774" s="23" t="str">
        <x:v>SPOT</x:v>
      </x:c>
      <x:c r="K774" s="23" t="str">
        <x:v>favored_only</x:v>
      </x:c>
      <x:c r="L774" s="24" t="b">
        <x:v>1</x:v>
      </x:c>
      <x:c r="M774" s="23" t="n">
        <x:v>1</x:v>
      </x:c>
      <x:c r="N774" s="28" t="n">
        <x:v>46205.606645694446</x:v>
      </x:c>
      <x:c r="O774" s="28" t="n">
        <x:v>46219.812988715275</x:v>
      </x:c>
      <x:c r="P774" s="23" t="str">
        <x:v>CAMPO GRANDE</x:v>
      </x:c>
      <x:c r="Q774" s="30" t="n">
        <x:v>33207</x:v>
      </x:c>
      <x:c r="R774" s="22" t="str">
        <x:f>"129139705"</x:f>
        <x:v>129139705</x:v>
      </x:c>
      <x:c r="S774" s="23" t="str">
        <x:v>feminino</x:v>
      </x:c>
      <x:c r="T774" s="22" t="str">
        <x:f>"LUP2F67"</x:f>
        <x:v>LUP2F67</x:v>
      </x:c>
      <x:c r="U774" s="23" t="str">
        <x:v>EDVALDO SOUSA DA SILVA</x:v>
      </x:c>
      <x:c r="V774" s="22" t="str">
        <x:f>"780.747.114-04"</x:f>
        <x:v>780.747.114-04</x:v>
      </x:c>
      <x:c r="W774" s="22" t="str">
        <x:f>"78074711404"</x:f>
        <x:v>78074711404</x:v>
      </x:c>
      <x:c r="X774" s="23" t="str">
        <x:v>theolino2911@gmail.com</x:v>
      </x:c>
      <x:c r="Y774" s="22" t="str">
        <x:f>"21920071706"</x:f>
        <x:v>21920071706</x:v>
      </x:c>
      <x:c r="Z774" s="30" t="n">
        <x:v>46368</x:v>
      </x:c>
    </x:row>
    <x:row r="775" ht="18" customHeight="1">
      <x:c r="A775" s="22" t="str">
        <x:f>"d14c9025-a0d8-4f30-8e85-1691eefaabed"</x:f>
        <x:v>d14c9025-a0d8-4f30-8e85-1691eefaabed</x:v>
      </x:c>
      <x:c r="B775" s="23" t="str">
        <x:v>DAYANA LINO DE ABREU LIMA</x:v>
      </x:c>
      <x:c r="C775" s="23" t="str">
        <x:v>dayana lino de abreu lima</x:v>
      </x:c>
      <x:c r="D775" s="22" t="str">
        <x:f>"41.080.845/0001-11"</x:f>
        <x:v>41.080.845/0001-11</x:v>
      </x:c>
      <x:c r="E775" s="22" t="str">
        <x:f>"41080845000111"</x:f>
        <x:v>41080845000111</x:v>
      </x:c>
      <x:c r="F775" s="22" t="str">
        <x:f>"125.570.697-01"</x:f>
        <x:v>125.570.697-01</x:v>
      </x:c>
      <x:c r="G775" s="22" t="str">
        <x:f>"12557069701"</x:f>
        <x:v>12557069701</x:v>
      </x:c>
      <x:c r="H775" s="23" t="str">
        <x:v>Anadayfalcao@gmail.com</x:v>
      </x:c>
      <x:c r="I775" s="22" t="str">
        <x:f>"21 96441-4251"</x:f>
        <x:v>21 96441-4251</x:v>
      </x:c>
      <x:c r="J775" s="23" t="str">
        <x:v>SPOT</x:v>
      </x:c>
      <x:c r="K775" s="23" t="str">
        <x:v>favored_only</x:v>
      </x:c>
      <x:c r="L775" s="24" t="b">
        <x:v>1</x:v>
      </x:c>
      <x:c r="M775" s="23" t="n">
        <x:v>1</x:v>
      </x:c>
      <x:c r="N775" s="28" t="n">
        <x:v>46203.921887453704</x:v>
      </x:c>
      <x:c r="O775" s="28" t="n">
        <x:v>46219.812988715275</x:v>
      </x:c>
      <x:c r="P775" s="23" t="str">
        <x:v>CAMPO GRANDE</x:v>
      </x:c>
      <x:c r="Q775" s="30" t="n">
        <x:v>33207</x:v>
      </x:c>
      <x:c r="R775" s="22" t="str">
        <x:f>"129139705"</x:f>
        <x:v>129139705</x:v>
      </x:c>
      <x:c r="S775" s="23" t="str">
        <x:v>feminino</x:v>
      </x:c>
      <x:c r="T775" s="22" t="str">
        <x:f>"LUP2F67"</x:f>
        <x:v>LUP2F67</x:v>
      </x:c>
      <x:c r="U775" s="23" t="str">
        <x:v>DAYANA LINO DE ABREU LIMA</x:v>
      </x:c>
      <x:c r="V775" s="22" t="str">
        <x:f>"125.570.697-01"</x:f>
        <x:v>125.570.697-01</x:v>
      </x:c>
      <x:c r="W775" s="22" t="str">
        <x:f>"12557069701"</x:f>
        <x:v>12557069701</x:v>
      </x:c>
      <x:c r="X775" s="23" t="str">
        <x:v>Anadayfalcao@gmail.com</x:v>
      </x:c>
      <x:c r="Y775" s="22" t="str">
        <x:f>"21 96441-4251"</x:f>
        <x:v>21 96441-4251</x:v>
      </x:c>
      <x:c r="Z775" s="30" t="n">
        <x:v>46326</x:v>
      </x:c>
    </x:row>
    <x:row r="776" ht="18" customHeight="1">
      <x:c r="A776" s="22" t="str">
        <x:f>"49d119c2-b57a-4c3a-a3fe-9274ea136f3c"</x:f>
        <x:v>49d119c2-b57a-4c3a-a3fe-9274ea136f3c</x:v>
      </x:c>
      <x:c r="B776" s="23" t="str">
        <x:v>DAYNARA CASTRO DE ABREU ALMEIDA PEDRO</x:v>
      </x:c>
      <x:c r="C776" s="23" t="str">
        <x:v>daynara castro de abreu almeida pedro</x:v>
      </x:c>
      <x:c r="D776" s="22" t="str">
        <x:f>"46.343.258/0001-91"</x:f>
        <x:v>46.343.258/0001-91</x:v>
      </x:c>
      <x:c r="E776" s="22" t="str">
        <x:f>"46343258000191"</x:f>
        <x:v>46343258000191</x:v>
      </x:c>
      <x:c r="F776" s="22" t="str">
        <x:f>"167.266.577-90"</x:f>
        <x:v>167.266.577-90</x:v>
      </x:c>
      <x:c r="G776" s="22" t="str">
        <x:f>"16726657790"</x:f>
        <x:v>16726657790</x:v>
      </x:c>
      <x:c r="H776" s="23" t="str">
        <x:v>daynaracastro02@outlook.com</x:v>
      </x:c>
      <x:c r="I776" s="22" t="str">
        <x:f>"2199330-3897"</x:f>
        <x:v>2199330-3897</x:v>
      </x:c>
      <x:c r="J776" s="23" t="str">
        <x:v>SPOT</x:v>
      </x:c>
      <x:c r="K776" s="23" t="str">
        <x:v>favored_only</x:v>
      </x:c>
      <x:c r="L776" s="24" t="b">
        <x:v>1</x:v>
      </x:c>
      <x:c r="M776" s="23" t="n">
        <x:v>1</x:v>
      </x:c>
      <x:c r="N776" s="28" t="n">
        <x:v>46219.812988715275</x:v>
      </x:c>
      <x:c r="O776" s="28" t="n">
        <x:v>46219.812988715275</x:v>
      </x:c>
      <x:c r="P776" s="23" t="str">
        <x:v>CAMPO GRANDE</x:v>
      </x:c>
      <x:c r="Q776" s="30" t="n">
        <x:v>35240</x:v>
      </x:c>
      <x:c r="R776" s="22" t="str">
        <x:f>"295397095"</x:f>
        <x:v>295397095</x:v>
      </x:c>
      <x:c r="S776" s="23" t="str">
        <x:v>feminino</x:v>
      </x:c>
      <x:c r="T776" s="22" t="str">
        <x:f>"RNW6F48"</x:f>
        <x:v>RNW6F48</x:v>
      </x:c>
      <x:c r="U776" s="23" t="str">
        <x:v>DAYNARA CASTRO DE ABREU ALMEIDA PEDRO</x:v>
      </x:c>
      <x:c r="V776" s="22" t="str">
        <x:f>"167.266.577-90"</x:f>
        <x:v>167.266.577-90</x:v>
      </x:c>
      <x:c r="W776" s="22" t="str">
        <x:f>"16726657790"</x:f>
        <x:v>16726657790</x:v>
      </x:c>
      <x:c r="X776" s="23" t="str">
        <x:v>daynaracastro02@outlook.com</x:v>
      </x:c>
      <x:c r="Y776" s="22" t="str">
        <x:f>"2199330-3897"</x:f>
        <x:v>2199330-3897</x:v>
      </x:c>
      <x:c r="Z776" s="30" t="n">
        <x:v>46581</x:v>
      </x:c>
    </x:row>
    <x:row r="777" ht="18" customHeight="1">
      <x:c r="A777" s="22" t="str">
        <x:f>"91f8aa53-b9bf-4c71-a6c3-dded2b171923"</x:f>
        <x:v>91f8aa53-b9bf-4c71-a6c3-dded2b171923</x:v>
      </x:c>
      <x:c r="B777" s="23" t="str">
        <x:v>DAYVISSON MAX DA SILVEIRA</x:v>
      </x:c>
      <x:c r="C777" s="23" t="str">
        <x:v>dayvisson max da silveira</x:v>
      </x:c>
      <x:c r="D777" s="22" t="str">
        <x:f>"17.216.303/0001-49"</x:f>
        <x:v>17.216.303/0001-49</x:v>
      </x:c>
      <x:c r="E777" s="22" t="str">
        <x:f>"17216303000149"</x:f>
        <x:v>17216303000149</x:v>
      </x:c>
      <x:c r="F777" s="22" t="str">
        <x:f>"045.992.746-90"</x:f>
        <x:v>045.992.746-90</x:v>
      </x:c>
      <x:c r="G777" s="22" t="str">
        <x:f>"04599274690"</x:f>
        <x:v>04599274690</x:v>
      </x:c>
      <x:c r="H777" s="23" t="str">
        <x:v>dayvisson.max@gmail.com</x:v>
      </x:c>
      <x:c r="I777" s="22" t="str">
        <x:f>"34999755495"</x:f>
        <x:v>34999755495</x:v>
      </x:c>
      <x:c r="J777" s="23" t="str">
        <x:v>SPOT</x:v>
      </x:c>
      <x:c r="K777" s="23" t="str">
        <x:v>favored_only</x:v>
      </x:c>
      <x:c r="L777" s="24" t="b">
        <x:v>1</x:v>
      </x:c>
      <x:c r="M777" s="23" t="n">
        <x:v>1</x:v>
      </x:c>
      <x:c r="N777" s="28" t="n">
        <x:v>46219.812988715275</x:v>
      </x:c>
      <x:c r="O777" s="28" t="n">
        <x:v>46219.812988715275</x:v>
      </x:c>
      <x:c r="P777" s="23" t="str">
        <x:v>PATOS DE MINAS</x:v>
      </x:c>
      <x:c r="Q777" s="30" t="n">
        <x:v>30317</x:v>
      </x:c>
      <x:c r="R777" s="22" t="str">
        <x:f>"MG 11003665"</x:f>
        <x:v>MG 11003665</x:v>
      </x:c>
      <x:c r="S777" s="23" t="str">
        <x:v>masculino</x:v>
      </x:c>
      <x:c r="T777" s="22" t="str">
        <x:f>"FLE0788"</x:f>
        <x:v>FLE0788</x:v>
      </x:c>
      <x:c r="U777" s="23" t="str">
        <x:v>DAYVISSON MAX DA SILVEIRA</x:v>
      </x:c>
      <x:c r="V777" s="22" t="str">
        <x:f>"045.992.746-90"</x:f>
        <x:v>045.992.746-90</x:v>
      </x:c>
      <x:c r="W777" s="22" t="str">
        <x:f>"04599274690"</x:f>
        <x:v>04599274690</x:v>
      </x:c>
      <x:c r="X777" s="23" t="str">
        <x:v>dayvisson.max@gmail.com</x:v>
      </x:c>
      <x:c r="Y777" s="22" t="str">
        <x:f>"34999755495"</x:f>
        <x:v>34999755495</x:v>
      </x:c>
      <x:c r="Z777" s="30" t="n">
        <x:v>46479</x:v>
      </x:c>
    </x:row>
    <x:row r="778" ht="18" customHeight="1">
      <x:c r="A778" s="22" t="str">
        <x:f>"48a21623-a727-4d80-833a-0fc6e77ab6ad"</x:f>
        <x:v>48a21623-a727-4d80-833a-0fc6e77ab6ad</x:v>
      </x:c>
      <x:c r="B778" s="23" t="str">
        <x:v>DEBORA CAROLINE MIRANDA DOS SANTOS</x:v>
      </x:c>
      <x:c r="C778" s="23" t="str">
        <x:v>debora caroline miranda dos santos</x:v>
      </x:c>
      <x:c r="D778" s="22" t="str">
        <x:f>"63.878.258/0001-05"</x:f>
        <x:v>63.878.258/0001-05</x:v>
      </x:c>
      <x:c r="E778" s="22" t="str">
        <x:f>"63878258000105"</x:f>
        <x:v>63878258000105</x:v>
      </x:c>
      <x:c r="F778" s="22" t="str">
        <x:f>"019.647.746-83"</x:f>
        <x:v>019.647.746-83</x:v>
      </x:c>
      <x:c r="G778" s="22" t="str">
        <x:f>"01964774683"</x:f>
        <x:v>01964774683</x:v>
      </x:c>
      <x:c r="H778" s="23" t="str">
        <x:v>debora22caaroline@gmail.com</x:v>
      </x:c>
      <x:c r="I778" s="22" t="str">
        <x:f>"31981198539"</x:f>
        <x:v>31981198539</x:v>
      </x:c>
      <x:c r="J778" s="23" t="str">
        <x:v>SPOT</x:v>
      </x:c>
      <x:c r="K778" s="23" t="str">
        <x:v>favored_only</x:v>
      </x:c>
      <x:c r="L778" s="24" t="b">
        <x:v>1</x:v>
      </x:c>
      <x:c r="M778" s="23" t="n">
        <x:v>1</x:v>
      </x:c>
      <x:c r="N778" s="28" t="n">
        <x:v>46203.921904421295</x:v>
      </x:c>
      <x:c r="O778" s="28" t="n">
        <x:v>46219.812988715275</x:v>
      </x:c>
      <x:c r="P778" s="23" t="str">
        <x:v>VESPASIANO</x:v>
      </x:c>
      <x:c r="Q778" s="30" t="n">
        <x:v>35970</x:v>
      </x:c>
      <x:c r="R778" s="22" t="str">
        <x:f>"19833705"</x:f>
        <x:v>19833705</x:v>
      </x:c>
      <x:c r="S778" s="23" t="str">
        <x:v>feminino</x:v>
      </x:c>
      <x:c r="T778" s="22" t="str">
        <x:f>"RUB6B62"</x:f>
        <x:v>RUB6B62</x:v>
      </x:c>
      <x:c r="U778" s="23" t="str">
        <x:v>DEBORA CAROLINE MIRANDA DOS SANTOS</x:v>
      </x:c>
      <x:c r="V778" s="22" t="str">
        <x:f>"019.647.746-83"</x:f>
        <x:v>019.647.746-83</x:v>
      </x:c>
      <x:c r="W778" s="22" t="str">
        <x:f>"01964774683"</x:f>
        <x:v>01964774683</x:v>
      </x:c>
      <x:c r="X778" s="23" t="str">
        <x:v>debora22caaroline@gmail.com</x:v>
      </x:c>
      <x:c r="Y778" s="22" t="str">
        <x:f>"31981198539"</x:f>
        <x:v>31981198539</x:v>
      </x:c>
      <x:c r="Z778" s="30" t="n">
        <x:v>46369</x:v>
      </x:c>
    </x:row>
    <x:row r="779" ht="18" customHeight="1">
      <x:c r="A779" s="22" t="str">
        <x:f>"6a02f3a1-cae6-40c6-aa8c-f5c8b87dac1d"</x:f>
        <x:v>6a02f3a1-cae6-40c6-aa8c-f5c8b87dac1d</x:v>
      </x:c>
      <x:c r="B779" s="23" t="str">
        <x:v>DEBORA DE ALMEIDA LEANDRO</x:v>
      </x:c>
      <x:c r="C779" s="23" t="str">
        <x:v>debora de almeida leandro</x:v>
      </x:c>
      <x:c r="D779" s="22" t="str">
        <x:f>"62.253.999/0001-38"</x:f>
        <x:v>62.253.999/0001-38</x:v>
      </x:c>
      <x:c r="E779" s="22" t="str">
        <x:f>"62253999000138"</x:f>
        <x:v>62253999000138</x:v>
      </x:c>
      <x:c r="F779" s="22" t="str">
        <x:f>"138.751.776-73"</x:f>
        <x:v>138.751.776-73</x:v>
      </x:c>
      <x:c r="G779" s="22" t="str">
        <x:f>"13875177673"</x:f>
        <x:v>13875177673</x:v>
      </x:c>
      <x:c r="H779" s="23" t="str">
        <x:v>deboraaleonardo74@yahoo.com</x:v>
      </x:c>
      <x:c r="I779" s="22" t="str">
        <x:f>"35991339950"</x:f>
        <x:v>35991339950</x:v>
      </x:c>
      <x:c r="J779" s="23" t="str">
        <x:v>SPOT</x:v>
      </x:c>
      <x:c r="K779" s="23" t="str">
        <x:v>favored_only</x:v>
      </x:c>
      <x:c r="L779" s="24" t="b">
        <x:v>1</x:v>
      </x:c>
      <x:c r="M779" s="23" t="n">
        <x:v>1</x:v>
      </x:c>
      <x:c r="N779" s="28" t="n">
        <x:v>46203.921852962965</x:v>
      </x:c>
      <x:c r="O779" s="28" t="n">
        <x:v>46219.812988715275</x:v>
      </x:c>
      <x:c r="P779" s="23" t="str">
        <x:v>GUAXUPE</x:v>
      </x:c>
      <x:c r="Q779" s="30" t="n">
        <x:v>36164</x:v>
      </x:c>
      <x:c r="R779" s="22" t="str">
        <x:f>"19970910"</x:f>
        <x:v>19970910</x:v>
      </x:c>
      <x:c r="S779" s="23" t="str">
        <x:v>feminino</x:v>
      </x:c>
      <x:c r="T779" s="22" t="str">
        <x:f>"ONO9H89"</x:f>
        <x:v>ONO9H89</x:v>
      </x:c>
      <x:c r="U779" s="23" t="str">
        <x:v>DEBORA DE ALMEIDA LEANDRO</x:v>
      </x:c>
      <x:c r="V779" s="22" t="str">
        <x:f>"138.751.776-73"</x:f>
        <x:v>138.751.776-73</x:v>
      </x:c>
      <x:c r="W779" s="22" t="str">
        <x:f>"13875177673"</x:f>
        <x:v>13875177673</x:v>
      </x:c>
      <x:c r="X779" s="23" t="str">
        <x:v>deboraaleonardo74@yahoo.com</x:v>
      </x:c>
      <x:c r="Y779" s="22" t="str">
        <x:f>"35991339950"</x:f>
        <x:v>35991339950</x:v>
      </x:c>
      <x:c r="Z779" s="30" t="n">
        <x:v>46253</x:v>
      </x:c>
    </x:row>
    <x:row r="780" ht="18" customHeight="1">
      <x:c r="A780" s="22" t="str">
        <x:f>"1a724d17-fda8-461a-bde0-9e26677db621"</x:f>
        <x:v>1a724d17-fda8-461a-bde0-9e26677db621</x:v>
      </x:c>
      <x:c r="B780" s="23" t="str">
        <x:v>DEBORAH BEATO RINALDI</x:v>
      </x:c>
      <x:c r="C780" s="23" t="str">
        <x:v>deborah beato rinaldi</x:v>
      </x:c>
      <x:c r="D780" s="22" t="str">
        <x:f>"60.265.757/0001-39"</x:f>
        <x:v>60.265.757/0001-39</x:v>
      </x:c>
      <x:c r="E780" s="22" t="str">
        <x:f>"60265757000139"</x:f>
        <x:v>60265757000139</x:v>
      </x:c>
      <x:c r="F780" s="22" t="str">
        <x:f>"343.829.158-48"</x:f>
        <x:v>343.829.158-48</x:v>
      </x:c>
      <x:c r="G780" s="22" t="str">
        <x:f>"34382915848"</x:f>
        <x:v>34382915848</x:v>
      </x:c>
      <x:c r="H780" s="23" t="str">
        <x:v>deborahbrin3@gmail.com</x:v>
      </x:c>
      <x:c r="I780" s="22" t="str">
        <x:f>"(35)99233-0133"</x:f>
        <x:v>(35)99233-0133</x:v>
      </x:c>
      <x:c r="J780" s="23" t="str">
        <x:v>SPOT</x:v>
      </x:c>
      <x:c r="K780" s="23" t="str">
        <x:v>favored_only</x:v>
      </x:c>
      <x:c r="L780" s="24" t="b">
        <x:v>1</x:v>
      </x:c>
      <x:c r="M780" s="23" t="n">
        <x:v>1</x:v>
      </x:c>
      <x:c r="N780" s="28" t="n">
        <x:v>46219.812988715275</x:v>
      </x:c>
      <x:c r="O780" s="28" t="n">
        <x:v>46219.812988715275</x:v>
      </x:c>
      <x:c r="P780" s="23" t="str">
        <x:v>POUSO ALEGRE</x:v>
      </x:c>
      <x:c r="Q780" s="30" t="n">
        <x:v>34752</x:v>
      </x:c>
      <x:c r="R780" s="22" t="str">
        <x:f>"MG18408826 SSP MG"</x:f>
        <x:v>MG18408826 SSP MG</x:v>
      </x:c>
      <x:c r="S780" s="23" t="str">
        <x:v>feminino</x:v>
      </x:c>
      <x:c r="T780" s="22" t="str">
        <x:f>"EMQ9D35"</x:f>
        <x:v>EMQ9D35</x:v>
      </x:c>
      <x:c r="U780" s="23" t="str">
        <x:v>DEBORAH BEATO RINALDI</x:v>
      </x:c>
      <x:c r="V780" s="22" t="str">
        <x:f>"343.829.158-48"</x:f>
        <x:v>343.829.158-48</x:v>
      </x:c>
      <x:c r="W780" s="22" t="str">
        <x:f>"34382915848"</x:f>
        <x:v>34382915848</x:v>
      </x:c>
      <x:c r="X780" s="23" t="str">
        <x:v>deborahbrin3@gmail.com</x:v>
      </x:c>
      <x:c r="Y780" s="22" t="str">
        <x:f>"(35)99233-0133"</x:f>
        <x:v>(35)99233-0133</x:v>
      </x:c>
      <x:c r="Z780" s="30" t="n">
        <x:v>46495</x:v>
      </x:c>
    </x:row>
    <x:row r="781" ht="18" customHeight="1">
      <x:c r="A781" s="22" t="str">
        <x:f>"03827b81-6324-4207-9285-2c20f7a87cd0"</x:f>
        <x:v>03827b81-6324-4207-9285-2c20f7a87cd0</x:v>
      </x:c>
      <x:c r="B781" s="23" t="str">
        <x:v>DEBORAH DA SILVA DANTAS</x:v>
      </x:c>
      <x:c r="C781" s="23" t="str">
        <x:v>deborah da silva dantas</x:v>
      </x:c>
      <x:c r="D781" s="22" t="str">
        <x:f>"58.877.626/0001-60"</x:f>
        <x:v>58.877.626/0001-60</x:v>
      </x:c>
      <x:c r="E781" s="22" t="str">
        <x:f>"58877626000160"</x:f>
        <x:v>58877626000160</x:v>
      </x:c>
      <x:c r="F781" s="22" t="str">
        <x:f>"108.994.966-95"</x:f>
        <x:v>108.994.966-95</x:v>
      </x:c>
      <x:c r="G781" s="22" t="str">
        <x:f>"10899496695"</x:f>
        <x:v>10899496695</x:v>
      </x:c>
      <x:c r="H781" s="23" t="str">
        <x:v>deborahsilvadantas8@gmail.com</x:v>
      </x:c>
      <x:c r="I781" s="22" t="str">
        <x:f>"34988083223"</x:f>
        <x:v>34988083223</x:v>
      </x:c>
      <x:c r="J781" s="23" t="str">
        <x:v>SPOT</x:v>
      </x:c>
      <x:c r="K781" s="23" t="str">
        <x:v>favored_only</x:v>
      </x:c>
      <x:c r="L781" s="24" t="b">
        <x:v>1</x:v>
      </x:c>
      <x:c r="M781" s="23" t="n">
        <x:v>1</x:v>
      </x:c>
      <x:c r="N781" s="28" t="n">
        <x:v>46203.921840393516</x:v>
      </x:c>
      <x:c r="O781" s="28" t="n">
        <x:v>46219.812988715275</x:v>
      </x:c>
      <x:c r="P781" s="23" t="str">
        <x:v>ARAXÁ</x:v>
      </x:c>
      <x:c r="Q781" s="30" t="n">
        <x:v>34888</x:v>
      </x:c>
      <x:c r="R781" s="22" t="str">
        <x:f>"18461759"</x:f>
        <x:v>18461759</x:v>
      </x:c>
      <x:c r="S781" s="23" t="str">
        <x:v>feminino</x:v>
      </x:c>
      <x:c r="T781" s="22" t="str">
        <x:f>"GZG5C64"</x:f>
        <x:v>GZG5C64</x:v>
      </x:c>
      <x:c r="U781" s="23" t="str">
        <x:v>DEBORAH DA SILVA DANTAS</x:v>
      </x:c>
      <x:c r="V781" s="22" t="str">
        <x:f>"108.994.966-95"</x:f>
        <x:v>108.994.966-95</x:v>
      </x:c>
      <x:c r="W781" s="22" t="str">
        <x:f>"10899496695"</x:f>
        <x:v>10899496695</x:v>
      </x:c>
      <x:c r="X781" s="23" t="str">
        <x:v>deborahsilvadantas8@gmail.com</x:v>
      </x:c>
      <x:c r="Y781" s="22" t="str">
        <x:f>"34988083223"</x:f>
        <x:v>34988083223</x:v>
      </x:c>
      <x:c r="Z781" s="30" t="n">
        <x:v>46578</x:v>
      </x:c>
    </x:row>
    <x:row r="782" ht="18" customHeight="1">
      <x:c r="A782" s="22" t="str">
        <x:f>"e7b15a2c-bfcb-47d6-8586-fd45bd066d2f"</x:f>
        <x:v>e7b15a2c-bfcb-47d6-8586-fd45bd066d2f</x:v>
      </x:c>
      <x:c r="B782" s="23" t="str">
        <x:v>DEBORAH MONNERAT GREMIAO DE MELLO</x:v>
      </x:c>
      <x:c r="C782" s="23" t="str">
        <x:v>deborah monnerat gremiao de mello</x:v>
      </x:c>
      <x:c r="D782" s="22" t="str">
        <x:f>"42.908.816/0001-68"</x:f>
        <x:v>42.908.816/0001-68</x:v>
      </x:c>
      <x:c r="E782" s="22" t="str">
        <x:f>"42908816000168"</x:f>
        <x:v>42908816000168</x:v>
      </x:c>
      <x:c r="F782" s="22" t="str">
        <x:f>"142.924.017-21"</x:f>
        <x:v>142.924.017-21</x:v>
      </x:c>
      <x:c r="G782" s="22" t="str">
        <x:f>"14292401721"</x:f>
        <x:v>14292401721</x:v>
      </x:c>
      <x:c r="H782" s="23" t="str">
        <x:v>monnerat.ontime@gmail.com</x:v>
      </x:c>
      <x:c r="I782" s="22" t="str">
        <x:f>"21991396265"</x:f>
        <x:v>21991396265</x:v>
      </x:c>
      <x:c r="J782" s="23" t="str">
        <x:v>SPOT</x:v>
      </x:c>
      <x:c r="K782" s="23" t="str">
        <x:v>favored_only</x:v>
      </x:c>
      <x:c r="L782" s="24" t="b">
        <x:v>1</x:v>
      </x:c>
      <x:c r="M782" s="23" t="n">
        <x:v>2</x:v>
      </x:c>
      <x:c r="N782" s="28" t="n">
        <x:v>46219.812988715275</x:v>
      </x:c>
      <x:c r="O782" s="28" t="n">
        <x:v>46219.812988715275</x:v>
      </x:c>
      <x:c r="P782" s="23" t="str">
        <x:v>CORDOVIL</x:v>
      </x:c>
      <x:c r="Q782" s="30" t="n">
        <x:v>34495</x:v>
      </x:c>
      <x:c r="R782" s="22" t="str">
        <x:f>"225105469"</x:f>
        <x:v>225105469</x:v>
      </x:c>
      <x:c r="S782" s="23" t="str">
        <x:v>feminino</x:v>
      </x:c>
      <x:c r="T782" s="22" t="str">
        <x:f>"RUZ1A94"</x:f>
        <x:v>RUZ1A94</x:v>
      </x:c>
      <x:c r="U782" s="23" t="str">
        <x:v>DEBORAH MONNERAT GREMIAO DE MELLO</x:v>
      </x:c>
      <x:c r="V782" s="22" t="str">
        <x:f>"142.924.017-21"</x:f>
        <x:v>142.924.017-21</x:v>
      </x:c>
      <x:c r="W782" s="22" t="str">
        <x:f>"14292401721"</x:f>
        <x:v>14292401721</x:v>
      </x:c>
      <x:c r="X782" s="23" t="str">
        <x:v>monnerat.ontime@gmail.com</x:v>
      </x:c>
      <x:c r="Y782" s="22" t="str">
        <x:f>"21991396265"</x:f>
        <x:v>21991396265</x:v>
      </x:c>
      <x:c r="Z782" s="30" t="n">
        <x:v>46471</x:v>
      </x:c>
    </x:row>
    <x:row r="783" ht="18" customHeight="1">
      <x:c r="A783" s="22" t="str">
        <x:f>"e4ce55e6-ae37-41d7-8892-f31bc4d61118"</x:f>
        <x:v>e4ce55e6-ae37-41d7-8892-f31bc4d61118</x:v>
      </x:c>
      <x:c r="B783" s="23" t="str">
        <x:v>DEIVID DE SOUSA SANTOS</x:v>
      </x:c>
      <x:c r="C783" s="23" t="str">
        <x:v>deivid de sousa santos</x:v>
      </x:c>
      <x:c r="D783" s="22" t="str">
        <x:f>"67.085.242/0001-04"</x:f>
        <x:v>67.085.242/0001-04</x:v>
      </x:c>
      <x:c r="E783" s="22" t="str">
        <x:f>"67085242000104"</x:f>
        <x:v>67085242000104</x:v>
      </x:c>
      <x:c r="F783" s="22" t="str">
        <x:f>"995.204.001-68"</x:f>
        <x:v>995.204.001-68</x:v>
      </x:c>
      <x:c r="G783" s="22" t="str">
        <x:f>"99520400168"</x:f>
        <x:v>99520400168</x:v>
      </x:c>
      <x:c r="H783" s="23" t="str">
        <x:v>Deividegislene@gmail.com</x:v>
      </x:c>
      <x:c r="I783" s="22" t="str">
        <x:f>"62992777654"</x:f>
        <x:v>62992777654</x:v>
      </x:c>
      <x:c r="J783" s="23" t="str">
        <x:v>RENTAL</x:v>
      </x:c>
      <x:c r="K783" s="23" t="str">
        <x:v>rental_company</x:v>
      </x:c>
      <x:c r="L783" s="24" t="b">
        <x:v>1</x:v>
      </x:c>
      <x:c r="M783" s="23" t="n">
        <x:v>1</x:v>
      </x:c>
      <x:c r="N783" s="28" t="n">
        <x:v>46219.812988715275</x:v>
      </x:c>
      <x:c r="O783" s="28" t="n">
        <x:v>46219.812988715275</x:v>
      </x:c>
      <x:c r="P783" s="23" t="str">
        <x:v>GOIANIA</x:v>
      </x:c>
      <x:c r="Q783" s="30" t="n">
        <x:v>30186</x:v>
      </x:c>
      <x:c r="R783" s="22" t="str">
        <x:f>"4415606"</x:f>
        <x:v>4415606</x:v>
      </x:c>
      <x:c r="S783" s="23" t="str">
        <x:v>masculino</x:v>
      </x:c>
      <x:c r="T783" s="22" t="str"/>
      <x:c r="U783" s="23" t="str">
        <x:v>DEIVID DE SOUSA SANTOS</x:v>
      </x:c>
      <x:c r="V783" s="22" t="str">
        <x:f>"995.204.001-68"</x:f>
        <x:v>995.204.001-68</x:v>
      </x:c>
      <x:c r="W783" s="22" t="str">
        <x:f>"99520400168"</x:f>
        <x:v>99520400168</x:v>
      </x:c>
      <x:c r="X783" s="23" t="str">
        <x:v>Deividegislene@gmail.com</x:v>
      </x:c>
      <x:c r="Y783" s="22" t="str">
        <x:f>"62992777654"</x:f>
        <x:v>62992777654</x:v>
      </x:c>
      <x:c r="Z783" s="30" t="n">
        <x:v>46542</x:v>
      </x:c>
    </x:row>
    <x:row r="784" ht="18" customHeight="1">
      <x:c r="A784" s="22" t="str">
        <x:f>"7d0c9377-7e0d-454a-9151-971b35f9380a"</x:f>
        <x:v>7d0c9377-7e0d-454a-9151-971b35f9380a</x:v>
      </x:c>
      <x:c r="B784" s="23" t="str">
        <x:v>DEIVIDE PORTUGAL DOS SANTOS</x:v>
      </x:c>
      <x:c r="C784" s="23" t="str">
        <x:v>deivide portugal dos santos</x:v>
      </x:c>
      <x:c r="D784" s="22" t="str">
        <x:f>"58.237.293/0001-05"</x:f>
        <x:v>58.237.293/0001-05</x:v>
      </x:c>
      <x:c r="E784" s="22" t="str">
        <x:f>"58237293000105"</x:f>
        <x:v>58237293000105</x:v>
      </x:c>
      <x:c r="F784" s="22" t="str">
        <x:f>"864.223.665-58"</x:f>
        <x:v>864.223.665-58</x:v>
      </x:c>
      <x:c r="G784" s="22" t="str">
        <x:f>"86422366558"</x:f>
        <x:v>86422366558</x:v>
      </x:c>
      <x:c r="H784" s="23" t="str">
        <x:v>deivideportugal000@gmail.com</x:v>
      </x:c>
      <x:c r="I784" s="22" t="str">
        <x:f>"71 991636464"</x:f>
        <x:v>71 991636464</x:v>
      </x:c>
      <x:c r="J784" s="23" t="str">
        <x:v>RENTAL</x:v>
      </x:c>
      <x:c r="K784" s="23" t="str">
        <x:v>rental_company</x:v>
      </x:c>
      <x:c r="L784" s="24" t="b">
        <x:v>1</x:v>
      </x:c>
      <x:c r="M784" s="23" t="n">
        <x:v>1</x:v>
      </x:c>
      <x:c r="N784" s="28" t="n">
        <x:v>46203.921824756944</x:v>
      </x:c>
      <x:c r="O784" s="28" t="n">
        <x:v>46219.812988715275</x:v>
      </x:c>
      <x:c r="P784" s="23" t="str">
        <x:v>UBERLANDIA</x:v>
      </x:c>
      <x:c r="Q784" s="30" t="n">
        <x:v>37699</x:v>
      </x:c>
      <x:c r="R784" s="22" t="str">
        <x:f>"BA 2048626203"</x:f>
        <x:v>BA 2048626203</x:v>
      </x:c>
      <x:c r="S784" s="23" t="str">
        <x:v>masculino</x:v>
      </x:c>
      <x:c r="T784" s="22" t="str"/>
      <x:c r="U784" s="23" t="str">
        <x:v>DEIVIDE PORTUGAL DOS SANTOS</x:v>
      </x:c>
      <x:c r="V784" s="22" t="str">
        <x:f>"864.233.665-58"</x:f>
        <x:v>864.233.665-58</x:v>
      </x:c>
      <x:c r="W784" s="22" t="str">
        <x:f>"86423366558"</x:f>
        <x:v>86423366558</x:v>
      </x:c>
      <x:c r="X784" s="23" t="str">
        <x:v>deivideportugal000@gmail.com</x:v>
      </x:c>
      <x:c r="Y784" s="22" t="str">
        <x:f>"71 991636464"</x:f>
        <x:v>71 991636464</x:v>
      </x:c>
      <x:c r="Z784" s="30" t="n">
        <x:v>46420</x:v>
      </x:c>
    </x:row>
    <x:row r="785" ht="18" customHeight="1">
      <x:c r="A785" s="22" t="str">
        <x:f>"35325154-cac2-45c2-b16c-754b0af0dd38"</x:f>
        <x:v>35325154-cac2-45c2-b16c-754b0af0dd38</x:v>
      </x:c>
      <x:c r="B785" s="23" t="str">
        <x:v>DEIVID JUNIOR VIEIRA</x:v>
      </x:c>
      <x:c r="C785" s="23" t="str">
        <x:v>deivid junior vieira</x:v>
      </x:c>
      <x:c r="D785" s="22" t="str">
        <x:f>"63.046.790/0001-66"</x:f>
        <x:v>63.046.790/0001-66</x:v>
      </x:c>
      <x:c r="E785" s="22" t="str">
        <x:f>"63046790000166"</x:f>
        <x:v>63046790000166</x:v>
      </x:c>
      <x:c r="F785" s="22" t="str">
        <x:f>"071.550.841-58"</x:f>
        <x:v>071.550.841-58</x:v>
      </x:c>
      <x:c r="G785" s="22" t="str">
        <x:f>"07155084158"</x:f>
        <x:v>07155084158</x:v>
      </x:c>
      <x:c r="H785" s="23" t="str">
        <x:v>deividv390@gmail.com</x:v>
      </x:c>
      <x:c r="I785" s="22" t="str">
        <x:f>"64 99926‑8271‬"</x:f>
        <x:v>64 99926‑8271‬</x:v>
      </x:c>
      <x:c r="J785" s="23" t="str">
        <x:v>SPOT</x:v>
      </x:c>
      <x:c r="K785" s="23" t="str">
        <x:v>favored_only</x:v>
      </x:c>
      <x:c r="L785" s="24" t="b">
        <x:v>1</x:v>
      </x:c>
      <x:c r="M785" s="23" t="n">
        <x:v>1</x:v>
      </x:c>
      <x:c r="N785" s="28" t="n">
        <x:v>46205.606744571756</x:v>
      </x:c>
      <x:c r="O785" s="28" t="n">
        <x:v>46219.812988715275</x:v>
      </x:c>
      <x:c r="P785" s="23" t="str">
        <x:v>CHAPADÃO DO SUL</x:v>
      </x:c>
      <x:c r="Q785" s="30" t="n">
        <x:v>36208</x:v>
      </x:c>
      <x:c r="R785" s="22" t="str">
        <x:f>"2865084"</x:f>
        <x:v>2865084</x:v>
      </x:c>
      <x:c r="S785" s="23" t="str">
        <x:v>masculino</x:v>
      </x:c>
      <x:c r="T785" s="22" t="str">
        <x:f>"QAY5I25"</x:f>
        <x:v>QAY5I25</x:v>
      </x:c>
      <x:c r="U785" s="23" t="str">
        <x:v>ANAIS MARIEN DOS SANTOS STANGE</x:v>
      </x:c>
      <x:c r="V785" s="22" t="str">
        <x:f>"089.619.539-23"</x:f>
        <x:v>089.619.539-23</x:v>
      </x:c>
      <x:c r="W785" s="22" t="str">
        <x:f>"08961953923"</x:f>
        <x:v>08961953923</x:v>
      </x:c>
      <x:c r="X785" s="23" t="str">
        <x:v>na.marien0110@gmail.com</x:v>
      </x:c>
      <x:c r="Y785" s="22" t="str">
        <x:f>"41 9632-3050"</x:f>
        <x:v>41 9632-3050</x:v>
      </x:c>
      <x:c r="Z785" s="30" t="n">
        <x:v>46373</x:v>
      </x:c>
    </x:row>
    <x:row r="786" ht="18" customHeight="1">
      <x:c r="A786" s="22" t="str">
        <x:f>"2230da01-cced-4488-ada8-fc29f4097526"</x:f>
        <x:v>2230da01-cced-4488-ada8-fc29f4097526</x:v>
      </x:c>
      <x:c r="B786" s="23" t="str">
        <x:v>DEIVID PEREIRA DOS SANTOS</x:v>
      </x:c>
      <x:c r="C786" s="23" t="str">
        <x:v>deivid pereira dos santos</x:v>
      </x:c>
      <x:c r="D786" s="22" t="str">
        <x:f>"37.823.997/0001-90"</x:f>
        <x:v>37.823.997/0001-90</x:v>
      </x:c>
      <x:c r="E786" s="22" t="str">
        <x:f>"37823997000190"</x:f>
        <x:v>37823997000190</x:v>
      </x:c>
      <x:c r="F786" s="22" t="str">
        <x:f>"089.269.263-46"</x:f>
        <x:v>089.269.263-46</x:v>
      </x:c>
      <x:c r="G786" s="22" t="str">
        <x:f>"08926926346"</x:f>
        <x:v>08926926346</x:v>
      </x:c>
      <x:c r="H786" s="23" t="str">
        <x:v>Deivid.santos.1111ds@gmail.com</x:v>
      </x:c>
      <x:c r="I786" s="22" t="str">
        <x:f>"88994214209"</x:f>
        <x:v>88994214209</x:v>
      </x:c>
      <x:c r="J786" s="23" t="str">
        <x:v>SPOT</x:v>
      </x:c>
      <x:c r="K786" s="23" t="str">
        <x:v>favored_only</x:v>
      </x:c>
      <x:c r="L786" s="24" t="b">
        <x:v>1</x:v>
      </x:c>
      <x:c r="M786" s="23" t="n">
        <x:v>1</x:v>
      </x:c>
      <x:c r="N786" s="28" t="n">
        <x:v>46205.60667559028</x:v>
      </x:c>
      <x:c r="O786" s="28" t="n">
        <x:v>46219.812988715275</x:v>
      </x:c>
      <x:c r="P786" s="23" t="str">
        <x:v>CHAPADÃO DO SUL</x:v>
      </x:c>
      <x:c r="Q786" s="30" t="n">
        <x:v>37255</x:v>
      </x:c>
      <x:c r="R786" s="22" t="str">
        <x:f>"2OO70445138"</x:f>
        <x:v>2OO70445138</x:v>
      </x:c>
      <x:c r="S786" s="23" t="str">
        <x:v>masculino</x:v>
      </x:c>
      <x:c r="T786" s="22" t="str">
        <x:f>"ONO3D96"</x:f>
        <x:v>ONO3D96</x:v>
      </x:c>
      <x:c r="U786" s="23" t="str">
        <x:v>DANILLO BACCIEL</x:v>
      </x:c>
      <x:c r="V786" s="22" t="str">
        <x:f>"962.005.291-91"</x:f>
        <x:v>962.005.291-91</x:v>
      </x:c>
      <x:c r="W786" s="22" t="str">
        <x:f>"96200529191"</x:f>
        <x:v>96200529191</x:v>
      </x:c>
      <x:c r="X786" s="23" t="str">
        <x:v>Rot.cargas@gmail.com</x:v>
      </x:c>
      <x:c r="Y786" s="22" t="str">
        <x:f>"62 9661-0607"</x:f>
        <x:v>62 9661-0607</x:v>
      </x:c>
      <x:c r="Z786" s="30" t="n">
        <x:v>46369</x:v>
      </x:c>
    </x:row>
    <x:row r="787" ht="18" customHeight="1">
      <x:c r="A787" s="22" t="str">
        <x:f>"9d6bad64-7270-4bb2-ac44-76953dde8f41"</x:f>
        <x:v>9d6bad64-7270-4bb2-ac44-76953dde8f41</x:v>
      </x:c>
      <x:c r="B787" s="23" t="str">
        <x:v>DEIVID SCUTTI</x:v>
      </x:c>
      <x:c r="C787" s="23" t="str">
        <x:v>deivid scutti</x:v>
      </x:c>
      <x:c r="D787" s="22" t="str">
        <x:f>"61.984.725/0001-56"</x:f>
        <x:v>61.984.725/0001-56</x:v>
      </x:c>
      <x:c r="E787" s="22" t="str">
        <x:f>"61984725000156"</x:f>
        <x:v>61984725000156</x:v>
      </x:c>
      <x:c r="F787" s="22" t="str">
        <x:f>"391.404.548-51"</x:f>
        <x:v>391.404.548-51</x:v>
      </x:c>
      <x:c r="G787" s="22" t="str">
        <x:f>"39140454851"</x:f>
        <x:v>39140454851</x:v>
      </x:c>
      <x:c r="H787" s="23" t="str">
        <x:v>dscutti32@gmail.com</x:v>
      </x:c>
      <x:c r="I787" s="22" t="str">
        <x:f>"14998902705"</x:f>
        <x:v>14998902705</x:v>
      </x:c>
      <x:c r="J787" s="23" t="str">
        <x:v>RENTAL</x:v>
      </x:c>
      <x:c r="K787" s="23" t="str">
        <x:v>rental_company</x:v>
      </x:c>
      <x:c r="L787" s="24" t="b">
        <x:v>1</x:v>
      </x:c>
      <x:c r="M787" s="23" t="n">
        <x:v>1</x:v>
      </x:c>
      <x:c r="N787" s="28" t="n">
        <x:v>46203.921852962965</x:v>
      </x:c>
      <x:c r="O787" s="28" t="n">
        <x:v>46219.812988715275</x:v>
      </x:c>
      <x:c r="P787" s="23" t="str">
        <x:v>MARILIA</x:v>
      </x:c>
      <x:c r="Q787" s="30" t="n">
        <x:v>32710</x:v>
      </x:c>
      <x:c r="R787" s="22" t="str">
        <x:f>"44517142"</x:f>
        <x:v>44517142</x:v>
      </x:c>
      <x:c r="S787" s="23" t="str">
        <x:v>masculino</x:v>
      </x:c>
      <x:c r="T787" s="22" t="str"/>
      <x:c r="U787" s="23" t="str">
        <x:v>DEIVID SCUTTI</x:v>
      </x:c>
      <x:c r="V787" s="22" t="str">
        <x:f>"391.404.548-51"</x:f>
        <x:v>391.404.548-51</x:v>
      </x:c>
      <x:c r="W787" s="22" t="str">
        <x:f>"39140454851"</x:f>
        <x:v>39140454851</x:v>
      </x:c>
      <x:c r="X787" s="23" t="str">
        <x:v>dscutti32@gmail.com</x:v>
      </x:c>
      <x:c r="Y787" s="22" t="str">
        <x:f>"14998902705"</x:f>
        <x:v>14998902705</x:v>
      </x:c>
      <x:c r="Z787" s="30" t="n">
        <x:v>46243</x:v>
      </x:c>
    </x:row>
    <x:row r="788" ht="18" customHeight="1">
      <x:c r="A788" s="22" t="str">
        <x:f>"d6af4a28-66bd-4007-8cf2-5e1cea3d4abe"</x:f>
        <x:v>d6af4a28-66bd-4007-8cf2-5e1cea3d4abe</x:v>
      </x:c>
      <x:c r="B788" s="23" t="str">
        <x:v>DEIVIDSON CLAUDIANO LOURENCO PEREIRA</x:v>
      </x:c>
      <x:c r="C788" s="23" t="str">
        <x:v>deividson claudiano lourenco pereira</x:v>
      </x:c>
      <x:c r="D788" s="22" t="str">
        <x:f>"44.731.356/0001-60"</x:f>
        <x:v>44.731.356/0001-60</x:v>
      </x:c>
      <x:c r="E788" s="22" t="str">
        <x:f>"44731356000160"</x:f>
        <x:v>44731356000160</x:v>
      </x:c>
      <x:c r="F788" s="22" t="str">
        <x:f>"146.998.307-90"</x:f>
        <x:v>146.998.307-90</x:v>
      </x:c>
      <x:c r="G788" s="22" t="str">
        <x:f>"14699830790"</x:f>
        <x:v>14699830790</x:v>
      </x:c>
      <x:c r="H788" s="23" t="str">
        <x:v>Viihdviih@gmail.com</x:v>
      </x:c>
      <x:c r="I788" s="22" t="str">
        <x:f>"21 97926-6165"</x:f>
        <x:v>21 97926-6165</x:v>
      </x:c>
      <x:c r="J788" s="23" t="str">
        <x:v>SPOT</x:v>
      </x:c>
      <x:c r="K788" s="23" t="str">
        <x:v>favored_only</x:v>
      </x:c>
      <x:c r="L788" s="24" t="b">
        <x:v>1</x:v>
      </x:c>
      <x:c r="M788" s="23" t="n">
        <x:v>1</x:v>
      </x:c>
      <x:c r="N788" s="28" t="n">
        <x:v>46203.921887453704</x:v>
      </x:c>
      <x:c r="O788" s="28" t="n">
        <x:v>46219.812988715275</x:v>
      </x:c>
      <x:c r="P788" s="23" t="str">
        <x:v>CAMPO GRANDE</x:v>
      </x:c>
      <x:c r="Q788" s="30" t="n">
        <x:v>33975</x:v>
      </x:c>
      <x:c r="R788" s="22" t="str">
        <x:f>"258098169"</x:f>
        <x:v>258098169</x:v>
      </x:c>
      <x:c r="S788" s="23" t="str">
        <x:v>masculino</x:v>
      </x:c>
      <x:c r="T788" s="22" t="str">
        <x:f>"ELW8A13"</x:f>
        <x:v>ELW8A13</x:v>
      </x:c>
      <x:c r="U788" s="23" t="str">
        <x:v>DEIVIDSON CLAUDIANO LOURENCO PEREIRA</x:v>
      </x:c>
      <x:c r="V788" s="22" t="str">
        <x:f>"146.998.307-90"</x:f>
        <x:v>146.998.307-90</x:v>
      </x:c>
      <x:c r="W788" s="22" t="str">
        <x:f>"14699830790"</x:f>
        <x:v>14699830790</x:v>
      </x:c>
      <x:c r="X788" s="23" t="str">
        <x:v>Viihdviih@gmail.com</x:v>
      </x:c>
      <x:c r="Y788" s="22" t="str">
        <x:f>"21 97926-6165"</x:f>
        <x:v>21 97926-6165</x:v>
      </x:c>
      <x:c r="Z788" s="30" t="n">
        <x:v>46328</x:v>
      </x:c>
    </x:row>
    <x:row r="789" ht="18" customHeight="1">
      <x:c r="A789" s="22" t="str">
        <x:f>"1068b1a4-e963-4bcc-a36e-3294219ca6f5"</x:f>
        <x:v>1068b1a4-e963-4bcc-a36e-3294219ca6f5</x:v>
      </x:c>
      <x:c r="B789" s="23" t="str">
        <x:v>DELANO DOS SANTOS RIBEIRO</x:v>
      </x:c>
      <x:c r="C789" s="23" t="str">
        <x:v>delano dos santos ribeiro</x:v>
      </x:c>
      <x:c r="D789" s="22" t="str">
        <x:f>"45.915.225/0001-06"</x:f>
        <x:v>45.915.225/0001-06</x:v>
      </x:c>
      <x:c r="E789" s="22" t="str">
        <x:f>"45915225000106"</x:f>
        <x:v>45915225000106</x:v>
      </x:c>
      <x:c r="F789" s="22" t="str">
        <x:f>"121.051.626-81"</x:f>
        <x:v>121.051.626-81</x:v>
      </x:c>
      <x:c r="G789" s="22" t="str">
        <x:f>"12105162681"</x:f>
        <x:v>12105162681</x:v>
      </x:c>
      <x:c r="H789" s="23" t="str">
        <x:v>Ribeirinhodelano29@gmail.com</x:v>
      </x:c>
      <x:c r="I789" s="22" t="str">
        <x:f>"31 98200-2659"</x:f>
        <x:v>31 98200-2659</x:v>
      </x:c>
      <x:c r="J789" s="23" t="str">
        <x:v>RENTAL</x:v>
      </x:c>
      <x:c r="K789" s="23" t="str">
        <x:v>rental_company</x:v>
      </x:c>
      <x:c r="L789" s="24" t="b">
        <x:v>1</x:v>
      </x:c>
      <x:c r="M789" s="23" t="n">
        <x:v>1</x:v>
      </x:c>
      <x:c r="N789" s="28" t="n">
        <x:v>46219.812988715275</x:v>
      </x:c>
      <x:c r="O789" s="28" t="n">
        <x:v>46219.812988715275</x:v>
      </x:c>
      <x:c r="P789" s="23" t="str">
        <x:v>CONTAGEM</x:v>
      </x:c>
      <x:c r="Q789" s="30" t="n">
        <x:v>33998</x:v>
      </x:c>
      <x:c r="R789" s="22" t="str">
        <x:f>"mg19023343"</x:f>
        <x:v>mg19023343</x:v>
      </x:c>
      <x:c r="S789" s="23" t="str">
        <x:v>masculino</x:v>
      </x:c>
      <x:c r="T789" s="22" t="str"/>
      <x:c r="U789" s="23" t="str">
        <x:v>DELANO DOS SANTOS RIBEIRO</x:v>
      </x:c>
      <x:c r="V789" s="22" t="str">
        <x:f>"121.051.626-81"</x:f>
        <x:v>121.051.626-81</x:v>
      </x:c>
      <x:c r="W789" s="22" t="str">
        <x:f>"12105162681"</x:f>
        <x:v>12105162681</x:v>
      </x:c>
      <x:c r="X789" s="23" t="str">
        <x:v>Ribeirinhodelano29@gmail.com</x:v>
      </x:c>
      <x:c r="Y789" s="22" t="str">
        <x:f>"31 98200-2659"</x:f>
        <x:v>31 98200-2659</x:v>
      </x:c>
      <x:c r="Z789" s="30" t="n">
        <x:v>46479</x:v>
      </x:c>
    </x:row>
    <x:row r="790" ht="18" customHeight="1">
      <x:c r="A790" s="22" t="str">
        <x:f>"31ce582e-8ce9-46ce-8172-422b79fee152"</x:f>
        <x:v>31ce582e-8ce9-46ce-8172-422b79fee152</x:v>
      </x:c>
      <x:c r="B790" s="23" t="str">
        <x:v>DELCI DA SILVA MORAES</x:v>
      </x:c>
      <x:c r="C790" s="23" t="str">
        <x:v>delci da silva moraes</x:v>
      </x:c>
      <x:c r="D790" s="22" t="str">
        <x:f>"55.621.819/0001-68"</x:f>
        <x:v>55.621.819/0001-68</x:v>
      </x:c>
      <x:c r="E790" s="22" t="str">
        <x:f>"55621819000168"</x:f>
        <x:v>55621819000168</x:v>
      </x:c>
      <x:c r="F790" s="22" t="str">
        <x:f>"862.657.762-15"</x:f>
        <x:v>862.657.762-15</x:v>
      </x:c>
      <x:c r="G790" s="22" t="str">
        <x:f>"86265776215"</x:f>
        <x:v>86265776215</x:v>
      </x:c>
      <x:c r="H790" s="23" t="str">
        <x:v>delcimoraesmoraes278@gmail.com</x:v>
      </x:c>
      <x:c r="I790" s="22" t="str">
        <x:f>"(65)992438973"</x:f>
        <x:v>(65)992438973</x:v>
      </x:c>
      <x:c r="J790" s="23" t="str">
        <x:v>RENTAL</x:v>
      </x:c>
      <x:c r="K790" s="23" t="str">
        <x:v>rental_company</x:v>
      </x:c>
      <x:c r="L790" s="24" t="b">
        <x:v>1</x:v>
      </x:c>
      <x:c r="M790" s="23" t="n">
        <x:v>1</x:v>
      </x:c>
      <x:c r="N790" s="28" t="n">
        <x:v>46219.812988715275</x:v>
      </x:c>
      <x:c r="O790" s="28" t="n">
        <x:v>46219.812988715275</x:v>
      </x:c>
      <x:c r="P790" s="23" t="str">
        <x:v>UBERLANDIA</x:v>
      </x:c>
      <x:c r="Q790" s="30" t="n">
        <x:v>29987</x:v>
      </x:c>
      <x:c r="R790" s="22" t="str">
        <x:f>"4070774"</x:f>
        <x:v>4070774</x:v>
      </x:c>
      <x:c r="S790" s="23" t="str">
        <x:v>masculino</x:v>
      </x:c>
      <x:c r="T790" s="22" t="str"/>
      <x:c r="U790" s="23" t="str">
        <x:v>DELCI DA SILVA MORAES</x:v>
      </x:c>
      <x:c r="V790" s="22" t="str">
        <x:f>"862.657.762-15"</x:f>
        <x:v>862.657.762-15</x:v>
      </x:c>
      <x:c r="W790" s="22" t="str">
        <x:f>"86265776215"</x:f>
        <x:v>86265776215</x:v>
      </x:c>
      <x:c r="X790" s="23" t="str">
        <x:v>delcimoraesmoraes278@gmail.com</x:v>
      </x:c>
      <x:c r="Y790" s="22" t="str">
        <x:f>"(65)992438973"</x:f>
        <x:v>(65)992438973</x:v>
      </x:c>
      <x:c r="Z790" s="30" t="n">
        <x:v>46455</x:v>
      </x:c>
    </x:row>
    <x:row r="791" ht="18" customHeight="1">
      <x:c r="A791" s="22" t="str">
        <x:f>"1fc149f3-d4e1-479a-8b2c-b07f56b2dac8"</x:f>
        <x:v>1fc149f3-d4e1-479a-8b2c-b07f56b2dac8</x:v>
      </x:c>
      <x:c r="B791" s="23" t="str">
        <x:v>DELCIO HENRIQUE PECLI PEREIRA</x:v>
      </x:c>
      <x:c r="C791" s="23" t="str">
        <x:v>delcio henrique pecli pereira</x:v>
      </x:c>
      <x:c r="D791" s="22" t="str">
        <x:f>"30.141.083/0001-08"</x:f>
        <x:v>30.141.083/0001-08</x:v>
      </x:c>
      <x:c r="E791" s="22" t="str">
        <x:f>"30141083000108"</x:f>
        <x:v>30141083000108</x:v>
      </x:c>
      <x:c r="F791" s="22" t="str">
        <x:f>"124.127.397-90"</x:f>
        <x:v>124.127.397-90</x:v>
      </x:c>
      <x:c r="G791" s="22" t="str">
        <x:f>"12412739790"</x:f>
        <x:v>12412739790</x:v>
      </x:c>
      <x:c r="H791" s="23" t="str">
        <x:v>delsinho.pereira@hotmail.com</x:v>
      </x:c>
      <x:c r="I791" s="22" t="str">
        <x:f>"22 981279596"</x:f>
        <x:v>22 981279596</x:v>
      </x:c>
      <x:c r="J791" s="23" t="str">
        <x:v>SPOT</x:v>
      </x:c>
      <x:c r="K791" s="23" t="str">
        <x:v>favored_only</x:v>
      </x:c>
      <x:c r="L791" s="24" t="b">
        <x:v>1</x:v>
      </x:c>
      <x:c r="M791" s="23" t="n">
        <x:v>1</x:v>
      </x:c>
      <x:c r="N791" s="28" t="n">
        <x:v>46205.607249375</x:v>
      </x:c>
      <x:c r="O791" s="28" t="n">
        <x:v>46219.812988715275</x:v>
      </x:c>
      <x:c r="P791" s="23" t="str">
        <x:v>CAMPOS DOS GOYTACAZES</x:v>
      </x:c>
      <x:c r="Q791" s="30" t="n">
        <x:v>31795</x:v>
      </x:c>
      <x:c r="R791" s="22" t="str">
        <x:f>"217048370"</x:f>
        <x:v>217048370</x:v>
      </x:c>
      <x:c r="S791" s="23" t="str">
        <x:v>masculino</x:v>
      </x:c>
      <x:c r="T791" s="22" t="str">
        <x:f>"kvh4c71"</x:f>
        <x:v>kvh4c71</x:v>
      </x:c>
      <x:c r="U791" s="23" t="str">
        <x:v>DANIELLA DA SILVA FONTES PECLI PEREIRA</x:v>
      </x:c>
      <x:c r="V791" s="22" t="str">
        <x:f>"103.380.007-47"</x:f>
        <x:v>103.380.007-47</x:v>
      </x:c>
      <x:c r="W791" s="22" t="str">
        <x:f>"10338000747"</x:f>
        <x:v>10338000747</x:v>
      </x:c>
      <x:c r="X791" s="23" t="str">
        <x:v>danyedelsinho@hotmail.com</x:v>
      </x:c>
      <x:c r="Y791" s="22" t="str">
        <x:f>"22 981769015"</x:f>
        <x:v>22 981769015</x:v>
      </x:c>
      <x:c r="Z791" s="30" t="n">
        <x:v>46584</x:v>
      </x:c>
    </x:row>
    <x:row r="792" ht="18" customHeight="1">
      <x:c r="A792" s="22" t="str">
        <x:f>"772ca3fc-3236-4aac-ae2d-0f2926963b63"</x:f>
        <x:v>772ca3fc-3236-4aac-ae2d-0f2926963b63</x:v>
      </x:c>
      <x:c r="B792" s="23" t="str">
        <x:v>DENILSON ALMEIDA GONCALVES</x:v>
      </x:c>
      <x:c r="C792" s="23" t="str">
        <x:v>denilson almeida goncalves</x:v>
      </x:c>
      <x:c r="D792" s="22" t="str">
        <x:f>"61.626.985/0001-50"</x:f>
        <x:v>61.626.985/0001-50</x:v>
      </x:c>
      <x:c r="E792" s="22" t="str">
        <x:f>"61626985000150"</x:f>
        <x:v>61626985000150</x:v>
      </x:c>
      <x:c r="F792" s="22" t="str">
        <x:f>"177.254.907-01"</x:f>
        <x:v>177.254.907-01</x:v>
      </x:c>
      <x:c r="G792" s="22" t="str">
        <x:f>"17725490701"</x:f>
        <x:v>17725490701</x:v>
      </x:c>
      <x:c r="H792" s="23" t="str">
        <x:v>denilsonjob.98@gmail.com</x:v>
      </x:c>
      <x:c r="I792" s="22" t="str">
        <x:f>"2166512195"</x:f>
        <x:v>2166512195</x:v>
      </x:c>
      <x:c r="J792" s="23" t="str">
        <x:v>spot</x:v>
      </x:c>
      <x:c r="K792" s="23" t="str">
        <x:v>favored_only</x:v>
      </x:c>
      <x:c r="L792" s="24" t="b">
        <x:v>1</x:v>
      </x:c>
      <x:c r="M792" s="23" t="n">
        <x:v>1</x:v>
      </x:c>
      <x:c r="N792" s="28" t="n">
        <x:v>46219.812988715275</x:v>
      </x:c>
      <x:c r="O792" s="28" t="n">
        <x:v>46219.812988715275</x:v>
      </x:c>
      <x:c r="P792" s="23" t="str">
        <x:v>CORDOVIL</x:v>
      </x:c>
      <x:c r="Q792" s="30" t="n">
        <x:v>35873</x:v>
      </x:c>
      <x:c r="R792" s="22" t="str">
        <x:f>"295407670"</x:f>
        <x:v>295407670</x:v>
      </x:c>
      <x:c r="S792" s="23" t="str">
        <x:v>masculino</x:v>
      </x:c>
      <x:c r="T792" s="22" t="str">
        <x:f>"Kws-8g54"</x:f>
        <x:v>Kws-8g54</x:v>
      </x:c>
      <x:c r="U792" s="23" t="str">
        <x:v>DENILSON ALMEIDA GONCALVES</x:v>
      </x:c>
      <x:c r="V792" s="22" t="str">
        <x:f>"177.254.907-01"</x:f>
        <x:v>177.254.907-01</x:v>
      </x:c>
      <x:c r="W792" s="22" t="str">
        <x:f>"17725490701"</x:f>
        <x:v>17725490701</x:v>
      </x:c>
      <x:c r="X792" s="23" t="str">
        <x:v>denilsonjob.98@gmail.com</x:v>
      </x:c>
      <x:c r="Y792" s="22" t="str">
        <x:f>"2166512195"</x:f>
        <x:v>2166512195</x:v>
      </x:c>
      <x:c r="Z792" s="30" t="n">
        <x:v>46563</x:v>
      </x:c>
    </x:row>
    <x:row r="793" ht="18" customHeight="1">
      <x:c r="A793" s="22" t="str">
        <x:f>"558b2763-5dff-4da2-8ade-c6dda41ad0c6"</x:f>
        <x:v>558b2763-5dff-4da2-8ade-c6dda41ad0c6</x:v>
      </x:c>
      <x:c r="B793" s="23" t="str">
        <x:v>DENILSON DE SOUZA SENA</x:v>
      </x:c>
      <x:c r="C793" s="23" t="str">
        <x:v>denilson de souza sena</x:v>
      </x:c>
      <x:c r="D793" s="22" t="str">
        <x:f>"54.298.814/0001-83"</x:f>
        <x:v>54.298.814/0001-83</x:v>
      </x:c>
      <x:c r="E793" s="22" t="str">
        <x:f>"54298814000183"</x:f>
        <x:v>54298814000183</x:v>
      </x:c>
      <x:c r="F793" s="22" t="str">
        <x:f>"484.457.838-31"</x:f>
        <x:v>484.457.838-31</x:v>
      </x:c>
      <x:c r="G793" s="22" t="str">
        <x:f>"48445783831"</x:f>
        <x:v>48445783831</x:v>
      </x:c>
      <x:c r="H793" s="23" t="str">
        <x:v>dddenilson1305@gmail.com</x:v>
      </x:c>
      <x:c r="I793" s="22" t="str">
        <x:f>"17 99677-4878"</x:f>
        <x:v>17 99677-4878</x:v>
      </x:c>
      <x:c r="J793" s="23" t="str">
        <x:v>SPOT</x:v>
      </x:c>
      <x:c r="K793" s="23" t="str">
        <x:v>favored_only</x:v>
      </x:c>
      <x:c r="L793" s="24" t="b">
        <x:v>1</x:v>
      </x:c>
      <x:c r="M793" s="23" t="n">
        <x:v>1</x:v>
      </x:c>
      <x:c r="N793" s="28" t="n">
        <x:v>46219.812988715275</x:v>
      </x:c>
      <x:c r="O793" s="28" t="n">
        <x:v>46219.812988715275</x:v>
      </x:c>
      <x:c r="P793" s="23" t="str">
        <x:v>SÃO JOSE DO RIO PRETO</x:v>
      </x:c>
      <x:c r="Q793" s="30" t="n">
        <x:v>37024</x:v>
      </x:c>
      <x:c r="R793" s="22" t="str">
        <x:f>"58682354"</x:f>
        <x:v>58682354</x:v>
      </x:c>
      <x:c r="S793" s="23" t="str">
        <x:v>masculino</x:v>
      </x:c>
      <x:c r="T793" s="22" t="str">
        <x:f>"EFT5F04"</x:f>
        <x:v>EFT5F04</x:v>
      </x:c>
      <x:c r="U793" s="23" t="str">
        <x:v>DENILSON DE SOUZA SENA</x:v>
      </x:c>
      <x:c r="V793" s="22" t="str">
        <x:f>"484.457.838-31"</x:f>
        <x:v>484.457.838-31</x:v>
      </x:c>
      <x:c r="W793" s="22" t="str">
        <x:f>"48445783831"</x:f>
        <x:v>48445783831</x:v>
      </x:c>
      <x:c r="X793" s="23" t="str">
        <x:v>dddenilson1305@gmail.com</x:v>
      </x:c>
      <x:c r="Y793" s="22" t="str">
        <x:f>"17 99677-4878"</x:f>
        <x:v>17 99677-4878</x:v>
      </x:c>
      <x:c r="Z793" s="30" t="n">
        <x:v>46578</x:v>
      </x:c>
    </x:row>
    <x:row r="794" ht="18" customHeight="1">
      <x:c r="A794" s="22" t="str">
        <x:f>"7c624bd1-d97a-4438-9566-38455c036f7b"</x:f>
        <x:v>7c624bd1-d97a-4438-9566-38455c036f7b</x:v>
      </x:c>
      <x:c r="B794" s="23" t="str">
        <x:v>DENILSON JOSE RIBEIRO RITA</x:v>
      </x:c>
      <x:c r="C794" s="23" t="str">
        <x:v>denilson jose ribeiro rita</x:v>
      </x:c>
      <x:c r="D794" s="22" t="str">
        <x:f>"62.546.066/0001-39"</x:f>
        <x:v>62.546.066/0001-39</x:v>
      </x:c>
      <x:c r="E794" s="22" t="str">
        <x:f>"62546066000139"</x:f>
        <x:v>62546066000139</x:v>
      </x:c>
      <x:c r="F794" s="22" t="str">
        <x:f>"131.225.736-95"</x:f>
        <x:v>131.225.736-95</x:v>
      </x:c>
      <x:c r="G794" s="22" t="str">
        <x:f>"13122573695"</x:f>
        <x:v>13122573695</x:v>
      </x:c>
      <x:c r="H794" s="23" t="str">
        <x:v>denilsonshow392@gmail.com</x:v>
      </x:c>
      <x:c r="I794" s="22" t="str">
        <x:f>"(35) 99275-0527"</x:f>
        <x:v>(35) 99275-0527</x:v>
      </x:c>
      <x:c r="J794" s="23" t="str">
        <x:v>SPOT</x:v>
      </x:c>
      <x:c r="K794" s="23" t="str">
        <x:v>favored_only</x:v>
      </x:c>
      <x:c r="L794" s="24" t="b">
        <x:v>1</x:v>
      </x:c>
      <x:c r="M794" s="23" t="n">
        <x:v>1</x:v>
      </x:c>
      <x:c r="N794" s="28" t="n">
        <x:v>46219.812988715275</x:v>
      </x:c>
      <x:c r="O794" s="28" t="n">
        <x:v>46219.812988715275</x:v>
      </x:c>
      <x:c r="P794" s="23" t="str">
        <x:v>POUSO ALEGRE</x:v>
      </x:c>
      <x:c r="Q794" s="30" t="n">
        <x:v>35104</x:v>
      </x:c>
      <x:c r="R794" s="22" t="str">
        <x:f>"MG17696086 SSP MG"</x:f>
        <x:v>MG17696086 SSP MG</x:v>
      </x:c>
      <x:c r="S794" s="23" t="str">
        <x:v>masculino</x:v>
      </x:c>
      <x:c r="T794" s="22" t="str">
        <x:f>"OXJ4F16"</x:f>
        <x:v>OXJ4F16</x:v>
      </x:c>
      <x:c r="U794" s="23" t="str">
        <x:v>ELIANE DE SOUSA SANTOS</x:v>
      </x:c>
      <x:c r="V794" s="22" t="str">
        <x:f>"339.883.168-06"</x:f>
        <x:v>339.883.168-06</x:v>
      </x:c>
      <x:c r="W794" s="22" t="str">
        <x:f>"33988316806"</x:f>
        <x:v>33988316806</x:v>
      </x:c>
      <x:c r="X794" s="23" t="str">
        <x:v>eliane.anne3110@hotmail.com</x:v>
      </x:c>
      <x:c r="Y794" s="22" t="str">
        <x:f>"(19) 97414-5013"</x:f>
        <x:v>(19) 97414-5013</x:v>
      </x:c>
      <x:c r="Z794" s="30" t="n">
        <x:v>46486</x:v>
      </x:c>
    </x:row>
    <x:row r="795" ht="18" customHeight="1">
      <x:c r="A795" s="22" t="str">
        <x:f>"48ff81f4-239d-475a-86bc-b3f0b7daa8dd"</x:f>
        <x:v>48ff81f4-239d-475a-86bc-b3f0b7daa8dd</x:v>
      </x:c>
      <x:c r="B795" s="23" t="str">
        <x:v>DENILSON MARTINS PEREIRA</x:v>
      </x:c>
      <x:c r="C795" s="23" t="str">
        <x:v>denilson martins pereira</x:v>
      </x:c>
      <x:c r="D795" s="22" t="str">
        <x:f>"55.257.154/0001-55"</x:f>
        <x:v>55.257.154/0001-55</x:v>
      </x:c>
      <x:c r="E795" s="22" t="str">
        <x:f>"55257154000155"</x:f>
        <x:v>55257154000155</x:v>
      </x:c>
      <x:c r="F795" s="22" t="str">
        <x:f>"163.766.876-79"</x:f>
        <x:v>163.766.876-79</x:v>
      </x:c>
      <x:c r="G795" s="22" t="str">
        <x:f>"16376687679"</x:f>
        <x:v>16376687679</x:v>
      </x:c>
      <x:c r="H795" s="23" t="str">
        <x:v>DM907202@GMAIL.COM</x:v>
      </x:c>
      <x:c r="I795" s="22" t="str">
        <x:f>"38999189604"</x:f>
        <x:v>38999189604</x:v>
      </x:c>
      <x:c r="J795" s="23" t="str">
        <x:v>RENTAL</x:v>
      </x:c>
      <x:c r="K795" s="23" t="str">
        <x:v>rental_company</x:v>
      </x:c>
      <x:c r="L795" s="24" t="b">
        <x:v>1</x:v>
      </x:c>
      <x:c r="M795" s="23" t="n">
        <x:v>1</x:v>
      </x:c>
      <x:c r="N795" s="28" t="n">
        <x:v>46219.812988715275</x:v>
      </x:c>
      <x:c r="O795" s="28" t="n">
        <x:v>46219.812988715275</x:v>
      </x:c>
      <x:c r="P795" s="23" t="str">
        <x:v>UBERLANDIA</x:v>
      </x:c>
      <x:c r="Q795" s="30" t="n">
        <x:v>37866</x:v>
      </x:c>
      <x:c r="R795" s="22" t="str">
        <x:f>"MG22362915"</x:f>
        <x:v>MG22362915</x:v>
      </x:c>
      <x:c r="S795" s="23" t="str">
        <x:v>masculino</x:v>
      </x:c>
      <x:c r="T795" s="22" t="str"/>
      <x:c r="U795" s="23" t="str">
        <x:v>DENILSON MARTINS PEREIRA</x:v>
      </x:c>
      <x:c r="V795" s="22" t="str">
        <x:f>"163.766.876-79"</x:f>
        <x:v>163.766.876-79</x:v>
      </x:c>
      <x:c r="W795" s="22" t="str">
        <x:f>"16376687679"</x:f>
        <x:v>16376687679</x:v>
      </x:c>
      <x:c r="X795" s="23" t="str">
        <x:v>DM907202@GMAIL.COM</x:v>
      </x:c>
      <x:c r="Y795" s="22" t="str">
        <x:f>"38999189604"</x:f>
        <x:v>38999189604</x:v>
      </x:c>
      <x:c r="Z795" s="30" t="n">
        <x:v>46543</x:v>
      </x:c>
    </x:row>
    <x:row r="796" ht="18" customHeight="1">
      <x:c r="A796" s="22" t="str">
        <x:f>"8caec738-6d90-4114-8960-b0c8adf9c961"</x:f>
        <x:v>8caec738-6d90-4114-8960-b0c8adf9c961</x:v>
      </x:c>
      <x:c r="B796" s="23" t="str">
        <x:v>DENILSON PEREIRA DOS SANTOS</x:v>
      </x:c>
      <x:c r="C796" s="23" t="str">
        <x:v>denilson pereira dos santos</x:v>
      </x:c>
      <x:c r="D796" s="22" t="str">
        <x:f>"55.089.560/0001-56"</x:f>
        <x:v>55.089.560/0001-56</x:v>
      </x:c>
      <x:c r="E796" s="22" t="str">
        <x:f>"55089560000156"</x:f>
        <x:v>55089560000156</x:v>
      </x:c>
      <x:c r="F796" s="22" t="str">
        <x:f>"463.620.128-01"</x:f>
        <x:v>463.620.128-01</x:v>
      </x:c>
      <x:c r="G796" s="22" t="str">
        <x:f>"46362012801"</x:f>
        <x:v>46362012801</x:v>
      </x:c>
      <x:c r="H796" s="23" t="str">
        <x:v>denilson.pereira523@gmail.com</x:v>
      </x:c>
      <x:c r="I796" s="22" t="str">
        <x:f>"11914468148"</x:f>
        <x:v>11914468148</x:v>
      </x:c>
      <x:c r="J796" s="23" t="str">
        <x:v>RENTAL</x:v>
      </x:c>
      <x:c r="K796" s="23" t="str">
        <x:v>rental_company</x:v>
      </x:c>
      <x:c r="L796" s="24" t="b">
        <x:v>1</x:v>
      </x:c>
      <x:c r="M796" s="23" t="n">
        <x:v>1</x:v>
      </x:c>
      <x:c r="N796" s="28" t="n">
        <x:v>46219.812988715275</x:v>
      </x:c>
      <x:c r="O796" s="28" t="n">
        <x:v>46219.812988715275</x:v>
      </x:c>
      <x:c r="P796" s="23" t="str">
        <x:v>BARUERI</x:v>
      </x:c>
      <x:c r="Q796" s="30" t="n">
        <x:v>36802</x:v>
      </x:c>
      <x:c r="R796" s="22" t="str">
        <x:f>"540329241"</x:f>
        <x:v>540329241</x:v>
      </x:c>
      <x:c r="S796" s="23" t="str">
        <x:v>masculino</x:v>
      </x:c>
      <x:c r="T796" s="22" t="str"/>
      <x:c r="U796" s="23" t="str">
        <x:v>DENILSON PEREIRA DOS SANTOS</x:v>
      </x:c>
      <x:c r="V796" s="22" t="str">
        <x:f>"463.620.128-01"</x:f>
        <x:v>463.620.128-01</x:v>
      </x:c>
      <x:c r="W796" s="22" t="str">
        <x:f>"46362012801"</x:f>
        <x:v>46362012801</x:v>
      </x:c>
      <x:c r="X796" s="23" t="str">
        <x:v>denilson.pereira523@gmail.com</x:v>
      </x:c>
      <x:c r="Y796" s="22" t="str">
        <x:f>"11914468148"</x:f>
        <x:v>11914468148</x:v>
      </x:c>
      <x:c r="Z796" s="30" t="n">
        <x:v>46485</x:v>
      </x:c>
    </x:row>
    <x:row r="797" ht="18" customHeight="1">
      <x:c r="A797" s="22" t="str">
        <x:f>"96ed8ab9-0f1e-475e-840c-6d53d0d357fb"</x:f>
        <x:v>96ed8ab9-0f1e-475e-840c-6d53d0d357fb</x:v>
      </x:c>
      <x:c r="B797" s="23" t="str">
        <x:v>DENIS AUGUSTO RIBEIRO RITA</x:v>
      </x:c>
      <x:c r="C797" s="23" t="str">
        <x:v>denis augusto ribeiro rita</x:v>
      </x:c>
      <x:c r="D797" s="22" t="str">
        <x:f>"53.553.637/0001-71"</x:f>
        <x:v>53.553.637/0001-71</x:v>
      </x:c>
      <x:c r="E797" s="22" t="str">
        <x:f>"53553637000171"</x:f>
        <x:v>53553637000171</x:v>
      </x:c>
      <x:c r="F797" s="22" t="str">
        <x:f>"130.479.266-89"</x:f>
        <x:v>130.479.266-89</x:v>
      </x:c>
      <x:c r="G797" s="22" t="str">
        <x:f>"13047926689"</x:f>
        <x:v>13047926689</x:v>
      </x:c>
      <x:c r="H797" s="23" t="str">
        <x:v>ausdenis@hotmail.com</x:v>
      </x:c>
      <x:c r="I797" s="22" t="str">
        <x:f>"(35) 99856-9056"</x:f>
        <x:v>(35) 99856-9056</x:v>
      </x:c>
      <x:c r="J797" s="23" t="str">
        <x:v>RENTAL</x:v>
      </x:c>
      <x:c r="K797" s="23" t="str">
        <x:v>rental_company</x:v>
      </x:c>
      <x:c r="L797" s="24" t="b">
        <x:v>1</x:v>
      </x:c>
      <x:c r="M797" s="23" t="n">
        <x:v>1</x:v>
      </x:c>
      <x:c r="N797" s="28" t="n">
        <x:v>46219.812988715275</x:v>
      </x:c>
      <x:c r="O797" s="28" t="n">
        <x:v>46219.812988715275</x:v>
      </x:c>
      <x:c r="P797" s="23" t="str">
        <x:v>POUSO ALEGRE</x:v>
      </x:c>
      <x:c r="Q797" s="30" t="n">
        <x:v>35103</x:v>
      </x:c>
      <x:c r="R797" s="22" t="str">
        <x:f>"MG17696079 SSP MG"</x:f>
        <x:v>MG17696079 SSP MG</x:v>
      </x:c>
      <x:c r="S797" s="23" t="str">
        <x:v>masculino</x:v>
      </x:c>
      <x:c r="T797" s="22" t="str"/>
      <x:c r="U797" s="23" t="str">
        <x:v>DENIS AUGUSTO RIBEIRO RITA</x:v>
      </x:c>
      <x:c r="V797" s="22" t="str">
        <x:f>"130.479.226-89"</x:f>
        <x:v>130.479.226-89</x:v>
      </x:c>
      <x:c r="W797" s="22" t="str">
        <x:f>"13047922689"</x:f>
        <x:v>13047922689</x:v>
      </x:c>
      <x:c r="X797" s="23" t="str">
        <x:v>ausdenis@hotmail.com</x:v>
      </x:c>
      <x:c r="Y797" s="22" t="str">
        <x:f>"(35) 99856-9056"</x:f>
        <x:v>(35) 99856-9056</x:v>
      </x:c>
      <x:c r="Z797" s="30" t="n">
        <x:v>46581</x:v>
      </x:c>
    </x:row>
    <x:row r="798" ht="18" customHeight="1">
      <x:c r="A798" s="22" t="str">
        <x:f>"60d95580-bf26-4d2e-b459-9f8a540ec23b"</x:f>
        <x:v>60d95580-bf26-4d2e-b459-9f8a540ec23b</x:v>
      </x:c>
      <x:c r="B798" s="23" t="str">
        <x:v>DENIS DA SILVA CLAUDIO</x:v>
      </x:c>
      <x:c r="C798" s="23" t="str">
        <x:v>denis da silva claudio</x:v>
      </x:c>
      <x:c r="D798" s="22" t="str">
        <x:f>"64.035.852/0001-05"</x:f>
        <x:v>64.035.852/0001-05</x:v>
      </x:c>
      <x:c r="E798" s="22" t="str">
        <x:f>"64035852000105"</x:f>
        <x:v>64035852000105</x:v>
      </x:c>
      <x:c r="F798" s="22" t="str">
        <x:f>"193.618.977-13"</x:f>
        <x:v>193.618.977-13</x:v>
      </x:c>
      <x:c r="G798" s="22" t="str">
        <x:f>"19361897713"</x:f>
        <x:v>19361897713</x:v>
      </x:c>
      <x:c r="H798" s="23" t="str">
        <x:v>Dnsilvafe@gmail.com</x:v>
      </x:c>
      <x:c r="I798" s="22" t="str">
        <x:f>"21 97963-9514"</x:f>
        <x:v>21 97963-9514</x:v>
      </x:c>
      <x:c r="J798" s="23" t="str">
        <x:v>SPOT</x:v>
      </x:c>
      <x:c r="K798" s="23" t="str">
        <x:v>favored_only</x:v>
      </x:c>
      <x:c r="L798" s="24" t="b">
        <x:v>1</x:v>
      </x:c>
      <x:c r="M798" s="23" t="n">
        <x:v>1</x:v>
      </x:c>
      <x:c r="N798" s="28" t="n">
        <x:v>46205.606765185184</x:v>
      </x:c>
      <x:c r="O798" s="28" t="n">
        <x:v>46219.812988715275</x:v>
      </x:c>
      <x:c r="P798" s="23" t="str">
        <x:v>CORDOVIL</x:v>
      </x:c>
      <x:c r="Q798" s="30" t="n">
        <x:v>37710</x:v>
      </x:c>
      <x:c r="R798" s="22" t="str">
        <x:f>"325126456"</x:f>
        <x:v>325126456</x:v>
      </x:c>
      <x:c r="S798" s="23" t="str">
        <x:v>masculino</x:v>
      </x:c>
      <x:c r="T798" s="22" t="str">
        <x:f>"KWU6E42"</x:f>
        <x:v>KWU6E42</x:v>
      </x:c>
      <x:c r="U798" s="23" t="str">
        <x:v>RENAN CAETANO DE SOUZA</x:v>
      </x:c>
      <x:c r="V798" s="22" t="str">
        <x:f>"155.965.417-10"</x:f>
        <x:v>155.965.417-10</x:v>
      </x:c>
      <x:c r="W798" s="22" t="str">
        <x:f>"15596541710"</x:f>
        <x:v>15596541710</x:v>
      </x:c>
      <x:c r="X798" s="23" t="str">
        <x:v>rncaetano021@gmail.com</x:v>
      </x:c>
      <x:c r="Y798" s="22" t="str">
        <x:f>"21 99348-5303"</x:f>
        <x:v>21 99348-5303</x:v>
      </x:c>
      <x:c r="Z798" s="30" t="n">
        <x:v>46374</x:v>
      </x:c>
    </x:row>
    <x:row r="799" ht="18" customHeight="1">
      <x:c r="A799" s="22" t="str">
        <x:f>"f4cc57e2-12fe-4a56-bb54-1d52f3c05a1c"</x:f>
        <x:v>f4cc57e2-12fe-4a56-bb54-1d52f3c05a1c</x:v>
      </x:c>
      <x:c r="B799" s="23" t="str">
        <x:v>DENISE DE OLIVEIRA ROCHA QUEIROZ DE MATOS</x:v>
      </x:c>
      <x:c r="C799" s="23" t="str">
        <x:v>denise de oliveira rocha queiroz de matos</x:v>
      </x:c>
      <x:c r="D799" s="22" t="str">
        <x:f>"28.871.353/0001-86"</x:f>
        <x:v>28.871.353/0001-86</x:v>
      </x:c>
      <x:c r="E799" s="22" t="str">
        <x:f>"28871353000186"</x:f>
        <x:v>28871353000186</x:v>
      </x:c>
      <x:c r="F799" s="22" t="str">
        <x:f>"045.039.971-06"</x:f>
        <x:v>045.039.971-06</x:v>
      </x:c>
      <x:c r="G799" s="22" t="str">
        <x:f>"04503997106"</x:f>
        <x:v>04503997106</x:v>
      </x:c>
      <x:c r="H799" s="23" t="str">
        <x:v>denisedeoliveirarocha664@gmail.com</x:v>
      </x:c>
      <x:c r="I799" s="22" t="str">
        <x:f>"67-984539616"</x:f>
        <x:v>67-984539616</x:v>
      </x:c>
      <x:c r="J799" s="23" t="str">
        <x:v>SPOT</x:v>
      </x:c>
      <x:c r="K799" s="23" t="str">
        <x:v>favored_only</x:v>
      </x:c>
      <x:c r="L799" s="24" t="b">
        <x:v>1</x:v>
      </x:c>
      <x:c r="M799" s="23" t="n">
        <x:v>1</x:v>
      </x:c>
      <x:c r="N799" s="28" t="n">
        <x:v>46219.812988715275</x:v>
      </x:c>
      <x:c r="O799" s="28" t="n">
        <x:v>46219.812988715275</x:v>
      </x:c>
      <x:c r="P799" s="23" t="str">
        <x:v>CHAPADÃO DO SUL</x:v>
      </x:c>
      <x:c r="Q799" s="30" t="n">
        <x:v>34872</x:v>
      </x:c>
      <x:c r="R799" s="22" t="str">
        <x:f>"1951234"</x:f>
        <x:v>1951234</x:v>
      </x:c>
      <x:c r="S799" s="23" t="str">
        <x:v>feminino</x:v>
      </x:c>
      <x:c r="T799" s="22" t="str">
        <x:f>"EAU9A29"</x:f>
        <x:v>EAU9A29</x:v>
      </x:c>
      <x:c r="U799" s="23" t="str">
        <x:v>DENISE DE OLIVEIRA ROCHA QUEIROZ DE MATOS</x:v>
      </x:c>
      <x:c r="V799" s="22" t="str">
        <x:f>"045.039.971-06"</x:f>
        <x:v>045.039.971-06</x:v>
      </x:c>
      <x:c r="W799" s="22" t="str">
        <x:f>"04503997106"</x:f>
        <x:v>04503997106</x:v>
      </x:c>
      <x:c r="X799" s="23" t="str">
        <x:v>denisedeoliveirarocha664@gmail.com</x:v>
      </x:c>
      <x:c r="Y799" s="22" t="str">
        <x:f>"67-984539616"</x:f>
        <x:v>67-984539616</x:v>
      </x:c>
      <x:c r="Z799" s="30" t="n">
        <x:v>46376</x:v>
      </x:c>
    </x:row>
    <x:row r="800" ht="18" customHeight="1">
      <x:c r="A800" s="22" t="str">
        <x:f>"043d5bb7-1b46-4ec5-a5fb-b0af95b94f6f"</x:f>
        <x:v>043d5bb7-1b46-4ec5-a5fb-b0af95b94f6f</x:v>
      </x:c>
      <x:c r="B800" s="23" t="str">
        <x:v>DENISE DE PAULA VENCESLAU</x:v>
      </x:c>
      <x:c r="C800" s="23" t="str">
        <x:v>denise de paula venceslau</x:v>
      </x:c>
      <x:c r="D800" s="22" t="str">
        <x:f>"66.298.986/0001-36"</x:f>
        <x:v>66.298.986/0001-36</x:v>
      </x:c>
      <x:c r="E800" s="22" t="str">
        <x:f>"66298986000136"</x:f>
        <x:v>66298986000136</x:v>
      </x:c>
      <x:c r="F800" s="22" t="str">
        <x:f>"105.812.316-51"</x:f>
        <x:v>105.812.316-51</x:v>
      </x:c>
      <x:c r="G800" s="22" t="str">
        <x:f>"10581231651"</x:f>
        <x:v>10581231651</x:v>
      </x:c>
      <x:c r="H800" s="23" t="str">
        <x:v>denise112@gmail.com</x:v>
      </x:c>
      <x:c r="I800" s="22" t="str">
        <x:f>"35910183904"</x:f>
        <x:v>35910183904</x:v>
      </x:c>
      <x:c r="J800" s="23" t="str">
        <x:v>RENTALS</x:v>
      </x:c>
      <x:c r="K800" s="23" t="str">
        <x:v>rental_company</x:v>
      </x:c>
      <x:c r="L800" s="24" t="b">
        <x:v>1</x:v>
      </x:c>
      <x:c r="M800" s="23" t="n">
        <x:v>1</x:v>
      </x:c>
      <x:c r="N800" s="28" t="n">
        <x:v>46219.812988715275</x:v>
      </x:c>
      <x:c r="O800" s="28" t="n">
        <x:v>46219.812988715275</x:v>
      </x:c>
      <x:c r="P800" s="23" t="str">
        <x:v>POUSO ALEGRE</x:v>
      </x:c>
      <x:c r="Q800" s="30" t="n">
        <x:v>33931</x:v>
      </x:c>
      <x:c r="R800" s="22" t="str">
        <x:f>"10581231651"</x:f>
        <x:v>10581231651</x:v>
      </x:c>
      <x:c r="S800" s="23" t="str">
        <x:v>feminino</x:v>
      </x:c>
      <x:c r="T800" s="22" t="str"/>
      <x:c r="U800" s="23" t="str">
        <x:v>DENISE DE PAULA VENCESLAU</x:v>
      </x:c>
      <x:c r="V800" s="22" t="str">
        <x:f>"105.812.316-51"</x:f>
        <x:v>105.812.316-51</x:v>
      </x:c>
      <x:c r="W800" s="22" t="str">
        <x:f>"10581231651"</x:f>
        <x:v>10581231651</x:v>
      </x:c>
      <x:c r="X800" s="23" t="str">
        <x:v>denise112@gmail.com</x:v>
      </x:c>
      <x:c r="Y800" s="22" t="str">
        <x:f>"35910183904"</x:f>
        <x:v>35910183904</x:v>
      </x:c>
      <x:c r="Z800" s="30" t="n">
        <x:v>46499</x:v>
      </x:c>
    </x:row>
    <x:row r="801" ht="18" customHeight="1">
      <x:c r="A801" s="22" t="str">
        <x:f>"54ae085b-8573-4a1f-852d-844562e6d0e4"</x:f>
        <x:v>54ae085b-8573-4a1f-852d-844562e6d0e4</x:v>
      </x:c>
      <x:c r="B801" s="23" t="str">
        <x:v>DENISE GONCALVES LAURINDO</x:v>
      </x:c>
      <x:c r="C801" s="23" t="str">
        <x:v>denise goncalves laurindo</x:v>
      </x:c>
      <x:c r="D801" s="22" t="str">
        <x:f>"52.386.462/0001-92"</x:f>
        <x:v>52.386.462/0001-92</x:v>
      </x:c>
      <x:c r="E801" s="22" t="str">
        <x:f>"52386462000192"</x:f>
        <x:v>52386462000192</x:v>
      </x:c>
      <x:c r="F801" s="22" t="str">
        <x:f>"123.685.196-02"</x:f>
        <x:v>123.685.196-02</x:v>
      </x:c>
      <x:c r="G801" s="22" t="str">
        <x:f>"12368519602"</x:f>
        <x:v>12368519602</x:v>
      </x:c>
      <x:c r="H801" s="23" t="str">
        <x:v>doc.mercedez@gmail.com</x:v>
      </x:c>
      <x:c r="I801" s="22" t="str">
        <x:f>"31973520180"</x:f>
        <x:v>31973520180</x:v>
      </x:c>
      <x:c r="J801" s="23" t="str">
        <x:v>SPOT</x:v>
      </x:c>
      <x:c r="K801" s="23" t="str">
        <x:v>favored_only</x:v>
      </x:c>
      <x:c r="L801" s="24" t="b">
        <x:v>1</x:v>
      </x:c>
      <x:c r="M801" s="23" t="n">
        <x:v>1</x:v>
      </x:c>
      <x:c r="N801" s="28" t="n">
        <x:v>46203.921824756944</x:v>
      </x:c>
      <x:c r="O801" s="28" t="n">
        <x:v>46219.812988715275</x:v>
      </x:c>
      <x:c r="P801" s="23" t="str">
        <x:v>CONTAGEM</x:v>
      </x:c>
      <x:c r="Q801" s="30" t="n">
        <x:v>35143</x:v>
      </x:c>
      <x:c r="R801" s="22" t="str">
        <x:f>"17821804"</x:f>
        <x:v>17821804</x:v>
      </x:c>
      <x:c r="S801" s="23" t="str">
        <x:v>feminino</x:v>
      </x:c>
      <x:c r="T801" s="22" t="str">
        <x:f>"QUN2C84"</x:f>
        <x:v>QUN2C84</x:v>
      </x:c>
      <x:c r="U801" s="23" t="str">
        <x:v>DENISE GONCALVES LAURINDO</x:v>
      </x:c>
      <x:c r="V801" s="22" t="str">
        <x:f>"123.685.196-02"</x:f>
        <x:v>123.685.196-02</x:v>
      </x:c>
      <x:c r="W801" s="22" t="str">
        <x:f>"12368519602"</x:f>
        <x:v>12368519602</x:v>
      </x:c>
      <x:c r="X801" s="23" t="str">
        <x:v>doc.mercedez@gmail.com</x:v>
      </x:c>
      <x:c r="Y801" s="22" t="str">
        <x:f>"31973520180"</x:f>
        <x:v>31973520180</x:v>
      </x:c>
      <x:c r="Z801" s="30" t="n">
        <x:v>46277</x:v>
      </x:c>
    </x:row>
    <x:row r="802" ht="18" customHeight="1">
      <x:c r="A802" s="22" t="str">
        <x:f>"f0af7a3b-fb68-45b3-9eb2-ece2b41fa665"</x:f>
        <x:v>f0af7a3b-fb68-45b3-9eb2-ece2b41fa665</x:v>
      </x:c>
      <x:c r="B802" s="23" t="str">
        <x:v>DENIS FERNANDO RIBEIRO CONSTANTINO JUNIOR</x:v>
      </x:c>
      <x:c r="C802" s="23" t="str">
        <x:v>denis fernando ribeiro constantino junior</x:v>
      </x:c>
      <x:c r="D802" s="22" t="str">
        <x:f>"58.204.410/0001-34"</x:f>
        <x:v>58.204.410/0001-34</x:v>
      </x:c>
      <x:c r="E802" s="22" t="str">
        <x:f>"58204410000134"</x:f>
        <x:v>58204410000134</x:v>
      </x:c>
      <x:c r="F802" s="22" t="str">
        <x:f>"197.695.617-03"</x:f>
        <x:v>197.695.617-03</x:v>
      </x:c>
      <x:c r="G802" s="22" t="str">
        <x:f>"19769561703"</x:f>
        <x:v>19769561703</x:v>
      </x:c>
      <x:c r="H802" s="23" t="str">
        <x:v>Denis.junior752861@gmail.com</x:v>
      </x:c>
      <x:c r="I802" s="22" t="str">
        <x:f>"22981795598"</x:f>
        <x:v>22981795598</x:v>
      </x:c>
      <x:c r="J802" s="23" t="str">
        <x:v>RENTAL</x:v>
      </x:c>
      <x:c r="K802" s="23" t="str">
        <x:v>rental_company</x:v>
      </x:c>
      <x:c r="L802" s="24" t="b">
        <x:v>1</x:v>
      </x:c>
      <x:c r="M802" s="23" t="n">
        <x:v>1</x:v>
      </x:c>
      <x:c r="N802" s="28" t="n">
        <x:v>46219.812988715275</x:v>
      </x:c>
      <x:c r="O802" s="28" t="n">
        <x:v>46219.812988715275</x:v>
      </x:c>
      <x:c r="P802" s="23" t="str">
        <x:v>CAMPOS DOS GOYTACAZES</x:v>
      </x:c>
      <x:c r="Q802" s="30" t="n">
        <x:v>38006</x:v>
      </x:c>
      <x:c r="R802" s="22" t="str">
        <x:f>"337062707"</x:f>
        <x:v>337062707</x:v>
      </x:c>
      <x:c r="S802" s="23" t="str">
        <x:v>masculino</x:v>
      </x:c>
      <x:c r="T802" s="22" t="str"/>
      <x:c r="U802" s="23" t="str">
        <x:v>DENIS FERNANDO RIBEIRO CONSTANTINO JUNIOR</x:v>
      </x:c>
      <x:c r="V802" s="22" t="str">
        <x:f>"197.695.617-03"</x:f>
        <x:v>197.695.617-03</x:v>
      </x:c>
      <x:c r="W802" s="22" t="str">
        <x:f>"19769561703"</x:f>
        <x:v>19769561703</x:v>
      </x:c>
      <x:c r="X802" s="23" t="str">
        <x:v>Denis.junior752861@gmail.com</x:v>
      </x:c>
      <x:c r="Y802" s="22" t="str">
        <x:f>"22981795598"</x:f>
        <x:v>22981795598</x:v>
      </x:c>
      <x:c r="Z802" s="30" t="n">
        <x:v>46521</x:v>
      </x:c>
    </x:row>
    <x:row r="803" ht="18" customHeight="1">
      <x:c r="A803" s="22" t="str">
        <x:f>"4775f47c-f97c-4b67-820b-09e31b2819c3"</x:f>
        <x:v>4775f47c-f97c-4b67-820b-09e31b2819c3</x:v>
      </x:c>
      <x:c r="B803" s="23" t="str">
        <x:v>DENIS GUILHERME</x:v>
      </x:c>
      <x:c r="C803" s="23" t="str">
        <x:v>denis guilherme</x:v>
      </x:c>
      <x:c r="D803" s="22" t="str">
        <x:f>"67.260.628/0001-05"</x:f>
        <x:v>67.260.628/0001-05</x:v>
      </x:c>
      <x:c r="E803" s="22" t="str">
        <x:f>"67260628000105"</x:f>
        <x:v>67260628000105</x:v>
      </x:c>
      <x:c r="F803" s="22" t="str">
        <x:f>"874.693.167-87"</x:f>
        <x:v>874.693.167-87</x:v>
      </x:c>
      <x:c r="G803" s="22" t="str">
        <x:f>"87469316787"</x:f>
        <x:v>87469316787</x:v>
      </x:c>
      <x:c r="H803" s="23" t="str">
        <x:v>Denis.guilherme5@gmail.com</x:v>
      </x:c>
      <x:c r="I803" s="22" t="str">
        <x:f>"21964405783"</x:f>
        <x:v>21964405783</x:v>
      </x:c>
      <x:c r="J803" s="23" t="str">
        <x:v>spot</x:v>
      </x:c>
      <x:c r="K803" s="23" t="str">
        <x:v>favored_only</x:v>
      </x:c>
      <x:c r="L803" s="24" t="b">
        <x:v>1</x:v>
      </x:c>
      <x:c r="M803" s="23" t="n">
        <x:v>1</x:v>
      </x:c>
      <x:c r="N803" s="28" t="n">
        <x:v>46219.812988715275</x:v>
      </x:c>
      <x:c r="O803" s="28" t="n">
        <x:v>46219.812988715275</x:v>
      </x:c>
      <x:c r="P803" s="23" t="str">
        <x:v>SÃO JOAO DE MERITI</x:v>
      </x:c>
      <x:c r="Q803" s="30" t="n">
        <x:v>25360</x:v>
      </x:c>
      <x:c r="R803" s="22" t="str">
        <x:f>"07312387-9"</x:f>
        <x:v>07312387-9</x:v>
      </x:c>
      <x:c r="S803" s="23" t="str">
        <x:v>masculino</x:v>
      </x:c>
      <x:c r="T803" s="22" t="str">
        <x:f>"GEG2B95"</x:f>
        <x:v>GEG2B95</x:v>
      </x:c>
      <x:c r="U803" s="23" t="str">
        <x:v>DENIS GUILHERME</x:v>
      </x:c>
      <x:c r="V803" s="22" t="str">
        <x:f>"874.693.167-87"</x:f>
        <x:v>874.693.167-87</x:v>
      </x:c>
      <x:c r="W803" s="22" t="str">
        <x:f>"87469316787"</x:f>
        <x:v>87469316787</x:v>
      </x:c>
      <x:c r="X803" s="23" t="str">
        <x:v>Denis.guilherme5@gmail.com</x:v>
      </x:c>
      <x:c r="Y803" s="22" t="str">
        <x:f>"21964405783"</x:f>
        <x:v>21964405783</x:v>
      </x:c>
      <x:c r="Z803" s="30" t="n">
        <x:v>46561</x:v>
      </x:c>
    </x:row>
    <x:row r="804" ht="18" customHeight="1">
      <x:c r="A804" s="22" t="str">
        <x:f>"01dabe3e-64a5-4281-b8cd-5bcb03e5cf76"</x:f>
        <x:v>01dabe3e-64a5-4281-b8cd-5bcb03e5cf76</x:v>
      </x:c>
      <x:c r="B804" s="23" t="str">
        <x:v>DENISON FERREIRA DE SOUZA</x:v>
      </x:c>
      <x:c r="C804" s="23" t="str">
        <x:v>denison ferreira de souza</x:v>
      </x:c>
      <x:c r="D804" s="22" t="str">
        <x:f>"53.188.860/0001-67"</x:f>
        <x:v>53.188.860/0001-67</x:v>
      </x:c>
      <x:c r="E804" s="22" t="str">
        <x:f>"53188860000167"</x:f>
        <x:v>53188860000167</x:v>
      </x:c>
      <x:c r="F804" s="22" t="str">
        <x:f>"066.098.296-08"</x:f>
        <x:v>066.098.296-08</x:v>
      </x:c>
      <x:c r="G804" s="22" t="str">
        <x:f>"06609829608"</x:f>
        <x:v>06609829608</x:v>
      </x:c>
      <x:c r="H804" s="23" t="str">
        <x:v>denisonferreirasoares@gmail.com</x:v>
      </x:c>
      <x:c r="I804" s="22" t="str">
        <x:f>"22 988779444"</x:f>
        <x:v>22 988779444</x:v>
      </x:c>
      <x:c r="J804" s="23" t="str">
        <x:v>RENTAL</x:v>
      </x:c>
      <x:c r="K804" s="23" t="str">
        <x:v>rental_company</x:v>
      </x:c>
      <x:c r="L804" s="24" t="b">
        <x:v>1</x:v>
      </x:c>
      <x:c r="M804" s="23" t="n">
        <x:v>1</x:v>
      </x:c>
      <x:c r="N804" s="28" t="n">
        <x:v>46203.92183017361</x:v>
      </x:c>
      <x:c r="O804" s="28" t="n">
        <x:v>46219.812988715275</x:v>
      </x:c>
      <x:c r="P804" s="23" t="str">
        <x:v>TEOFILO OTONI</x:v>
      </x:c>
      <x:c r="Q804" s="30" t="n">
        <x:v>31065</x:v>
      </x:c>
      <x:c r="R804" s="22" t="str">
        <x:f>"13877993"</x:f>
        <x:v>13877993</x:v>
      </x:c>
      <x:c r="S804" s="23" t="str">
        <x:v>masculino</x:v>
      </x:c>
      <x:c r="T804" s="22" t="str"/>
      <x:c r="U804" s="23" t="str">
        <x:v>DENISON FERREIRA DE SOUZA</x:v>
      </x:c>
      <x:c r="V804" s="22" t="str">
        <x:f>"066.098.296-08"</x:f>
        <x:v>066.098.296-08</x:v>
      </x:c>
      <x:c r="W804" s="22" t="str">
        <x:f>"06609829608"</x:f>
        <x:v>06609829608</x:v>
      </x:c>
      <x:c r="X804" s="23" t="str">
        <x:v>denisonferreirasoares@gmail.com</x:v>
      </x:c>
      <x:c r="Y804" s="22" t="str">
        <x:f>"22 988779444"</x:f>
        <x:v>22 988779444</x:v>
      </x:c>
      <x:c r="Z804" s="30" t="n">
        <x:v>46250</x:v>
      </x:c>
    </x:row>
    <x:row r="805" ht="18" customHeight="1">
      <x:c r="A805" s="22" t="str">
        <x:f>"41f0264e-0bfe-4e61-b746-34c52387d251"</x:f>
        <x:v>41f0264e-0bfe-4e61-b746-34c52387d251</x:v>
      </x:c>
      <x:c r="B805" s="23" t="str">
        <x:v>DENIZE DAS NEVES DE CASTRO</x:v>
      </x:c>
      <x:c r="C805" s="23" t="str">
        <x:v>denize das neves de castro</x:v>
      </x:c>
      <x:c r="D805" s="22" t="str">
        <x:f>"62326690/0001-20"</x:f>
        <x:v>62326690/0001-20</x:v>
      </x:c>
      <x:c r="E805" s="22" t="str">
        <x:f>"62326690000120"</x:f>
        <x:v>62326690000120</x:v>
      </x:c>
      <x:c r="F805" s="22" t="str">
        <x:f>"77163168772"</x:f>
        <x:v>77163168772</x:v>
      </x:c>
      <x:c r="G805" s="22" t="str">
        <x:f>"77163168772"</x:f>
        <x:v>77163168772</x:v>
      </x:c>
      <x:c r="H805" s="23" t="str">
        <x:v>brunocastro7321@gmail.com</x:v>
      </x:c>
      <x:c r="I805" s="22" t="str">
        <x:f>"21969472954"</x:f>
        <x:v>21969472954</x:v>
      </x:c>
      <x:c r="J805" s="23" t="str">
        <x:v>SPOT</x:v>
      </x:c>
      <x:c r="K805" s="23" t="str">
        <x:v>favored_only</x:v>
      </x:c>
      <x:c r="L805" s="24" t="b">
        <x:v>1</x:v>
      </x:c>
      <x:c r="M805" s="23" t="n">
        <x:v>2</x:v>
      </x:c>
      <x:c r="N805" s="28" t="n">
        <x:v>46203.921887453704</x:v>
      </x:c>
      <x:c r="O805" s="28" t="n">
        <x:v>46203.921887453704</x:v>
      </x:c>
      <x:c r="P805" s="23" t="str"/>
      <x:c r="Q805" s="30" t="str"/>
      <x:c r="R805" s="22" t="str"/>
      <x:c r="S805" s="23" t="str"/>
      <x:c r="T805" s="22" t="str"/>
      <x:c r="U805" s="23" t="str">
        <x:v>DENIZE DAS NEVES DE CASTRO</x:v>
      </x:c>
      <x:c r="V805" s="22" t="str">
        <x:f>"77163168772"</x:f>
        <x:v>77163168772</x:v>
      </x:c>
      <x:c r="W805" s="22" t="str">
        <x:f>"77163168772"</x:f>
        <x:v>77163168772</x:v>
      </x:c>
      <x:c r="X805" s="23" t="str">
        <x:v>brunocastro7321@gmail.com</x:v>
      </x:c>
      <x:c r="Y805" s="22" t="str">
        <x:f>"21969472954"</x:f>
        <x:v>21969472954</x:v>
      </x:c>
      <x:c r="Z805" s="30" t="str"/>
    </x:row>
    <x:row r="806" ht="18" customHeight="1">
      <x:c r="A806" s="22" t="str">
        <x:f>"6e9a4f14-9c3e-4ab5-b410-730b6322d498"</x:f>
        <x:v>6e9a4f14-9c3e-4ab5-b410-730b6322d498</x:v>
      </x:c>
      <x:c r="B806" s="23" t="str">
        <x:v>DENNER ALEXANDRE SOARES</x:v>
      </x:c>
      <x:c r="C806" s="23" t="str">
        <x:v>denner alexandre soares</x:v>
      </x:c>
      <x:c r="D806" s="22" t="str">
        <x:f>"57.665.459/0001-21"</x:f>
        <x:v>57.665.459/0001-21</x:v>
      </x:c>
      <x:c r="E806" s="22" t="str">
        <x:f>"57665459000121"</x:f>
        <x:v>57665459000121</x:v>
      </x:c>
      <x:c r="F806" s="22" t="str">
        <x:f>"138.498.627-80"</x:f>
        <x:v>138.498.627-80</x:v>
      </x:c>
      <x:c r="G806" s="22" t="str">
        <x:f>"13849862780"</x:f>
        <x:v>13849862780</x:v>
      </x:c>
      <x:c r="H806" s="23" t="str">
        <x:v>Denneralexandre38@gmail.com</x:v>
      </x:c>
      <x:c r="I806" s="22" t="str">
        <x:f>"21 9663443062"</x:f>
        <x:v>21 9663443062</x:v>
      </x:c>
      <x:c r="J806" s="23" t="str">
        <x:v>SPOT</x:v>
      </x:c>
      <x:c r="K806" s="23" t="str">
        <x:v>favored_only</x:v>
      </x:c>
      <x:c r="L806" s="24" t="b">
        <x:v>1</x:v>
      </x:c>
      <x:c r="M806" s="23" t="n">
        <x:v>1</x:v>
      </x:c>
      <x:c r="N806" s="28" t="n">
        <x:v>46219.812988715275</x:v>
      </x:c>
      <x:c r="O806" s="28" t="n">
        <x:v>46219.812988715275</x:v>
      </x:c>
      <x:c r="P806" s="23" t="str">
        <x:v>CORDOVIL</x:v>
      </x:c>
      <x:c r="Q806" s="30" t="n">
        <x:v>35104</x:v>
      </x:c>
      <x:c r="R806" s="22" t="str">
        <x:f>"2903665151"</x:f>
        <x:v>2903665151</x:v>
      </x:c>
      <x:c r="S806" s="23" t="str">
        <x:v>masculino</x:v>
      </x:c>
      <x:c r="T806" s="22" t="str">
        <x:f>"SWJ4B03"</x:f>
        <x:v>SWJ4B03</x:v>
      </x:c>
      <x:c r="U806" s="23" t="str">
        <x:v>PAMELA DE SOUZA NASCIMENTO</x:v>
      </x:c>
      <x:c r="V806" s="22" t="str">
        <x:f>"199.309.867-40"</x:f>
        <x:v>199.309.867-40</x:v>
      </x:c>
      <x:c r="W806" s="22" t="str">
        <x:f>"19930986740"</x:f>
        <x:v>19930986740</x:v>
      </x:c>
      <x:c r="X806" s="23" t="str">
        <x:v>Pamela.desouza15santiago@gmail.com</x:v>
      </x:c>
      <x:c r="Y806" s="22" t="str">
        <x:f>"21 968563969"</x:f>
        <x:v>21 968563969</x:v>
      </x:c>
      <x:c r="Z806" s="30" t="n">
        <x:v>46553</x:v>
      </x:c>
    </x:row>
    <x:row r="807" ht="18" customHeight="1">
      <x:c r="A807" s="22" t="str">
        <x:f>"ebb33808-25e9-41bc-95fc-ceba0cd954b6"</x:f>
        <x:v>ebb33808-25e9-41bc-95fc-ceba0cd954b6</x:v>
      </x:c>
      <x:c r="B807" s="23" t="str">
        <x:v>DENNER DUARTE</x:v>
      </x:c>
      <x:c r="C807" s="23" t="str">
        <x:v>denner duarte</x:v>
      </x:c>
      <x:c r="D807" s="22" t="str">
        <x:f>"32.316.279/0001-03"</x:f>
        <x:v>32.316.279/0001-03</x:v>
      </x:c>
      <x:c r="E807" s="22" t="str">
        <x:f>"32316279000103"</x:f>
        <x:v>32316279000103</x:v>
      </x:c>
      <x:c r="F807" s="22" t="str">
        <x:f>"138.286.166-40"</x:f>
        <x:v>138.286.166-40</x:v>
      </x:c>
      <x:c r="G807" s="22" t="str">
        <x:f>"13828616640"</x:f>
        <x:v>13828616640</x:v>
      </x:c>
      <x:c r="H807" s="23" t="str">
        <x:v>denner140719@gmail.com</x:v>
      </x:c>
      <x:c r="I807" s="22" t="str">
        <x:f>"(35) 98443-4093"</x:f>
        <x:v>(35) 98443-4093</x:v>
      </x:c>
      <x:c r="J807" s="23" t="str">
        <x:v>RENTAL</x:v>
      </x:c>
      <x:c r="K807" s="23" t="str">
        <x:v>rental_company</x:v>
      </x:c>
      <x:c r="L807" s="24" t="b">
        <x:v>1</x:v>
      </x:c>
      <x:c r="M807" s="23" t="n">
        <x:v>1</x:v>
      </x:c>
      <x:c r="N807" s="28" t="n">
        <x:v>46203.921824756944</x:v>
      </x:c>
      <x:c r="O807" s="28" t="n">
        <x:v>46219.812988715275</x:v>
      </x:c>
      <x:c r="P807" s="23" t="str">
        <x:v>POUSO ALEGRE</x:v>
      </x:c>
      <x:c r="Q807" s="30" t="n">
        <x:v>36173</x:v>
      </x:c>
      <x:c r="R807" s="22" t="str">
        <x:f>"20187155"</x:f>
        <x:v>20187155</x:v>
      </x:c>
      <x:c r="S807" s="23" t="str">
        <x:v>masculino</x:v>
      </x:c>
      <x:c r="T807" s="22" t="str"/>
      <x:c r="U807" s="23" t="str">
        <x:v>DENNER DUARTE</x:v>
      </x:c>
      <x:c r="V807" s="22" t="str">
        <x:f>"138.286.166-40"</x:f>
        <x:v>138.286.166-40</x:v>
      </x:c>
      <x:c r="W807" s="22" t="str">
        <x:f>"13828616640"</x:f>
        <x:v>13828616640</x:v>
      </x:c>
      <x:c r="X807" s="23" t="str">
        <x:v>denner140719@gmail.com</x:v>
      </x:c>
      <x:c r="Y807" s="22" t="str">
        <x:f>"(35) 98443-4093"</x:f>
        <x:v>(35) 98443-4093</x:v>
      </x:c>
      <x:c r="Z807" s="30" t="n">
        <x:v>46420</x:v>
      </x:c>
    </x:row>
    <x:row r="808" ht="18" customHeight="1">
      <x:c r="A808" s="22" t="str">
        <x:f>"b11a2594-e06d-4369-8ecf-9f6eb5f0d8dc"</x:f>
        <x:v>b11a2594-e06d-4369-8ecf-9f6eb5f0d8dc</x:v>
      </x:c>
      <x:c r="B808" s="23" t="str">
        <x:v>DEOCLIDES PEREIRA DE ALMEIDA</x:v>
      </x:c>
      <x:c r="C808" s="23" t="str">
        <x:v>deoclides pereira de almeida</x:v>
      </x:c>
      <x:c r="D808" s="22" t="str">
        <x:f>"37.823.997/0001-90"</x:f>
        <x:v>37.823.997/0001-90</x:v>
      </x:c>
      <x:c r="E808" s="22" t="str">
        <x:f>"37823997000190"</x:f>
        <x:v>37823997000190</x:v>
      </x:c>
      <x:c r="F808" s="22" t="str">
        <x:f>"651.577.881-34"</x:f>
        <x:v>651.577.881-34</x:v>
      </x:c>
      <x:c r="G808" s="22" t="str">
        <x:f>"65157788134"</x:f>
        <x:v>65157788134</x:v>
      </x:c>
      <x:c r="H808" s="23" t="str">
        <x:v>deoclidespereiradealmeida@gmail.com</x:v>
      </x:c>
      <x:c r="I808" s="22" t="str">
        <x:f>"65 9253-2737"</x:f>
        <x:v>65 9253-2737</x:v>
      </x:c>
      <x:c r="J808" s="23" t="str">
        <x:v>SPOT</x:v>
      </x:c>
      <x:c r="K808" s="23" t="str">
        <x:v>favored_only</x:v>
      </x:c>
      <x:c r="L808" s="24" t="b">
        <x:v>1</x:v>
      </x:c>
      <x:c r="M808" s="23" t="n">
        <x:v>1</x:v>
      </x:c>
      <x:c r="N808" s="28" t="n">
        <x:v>46205.605973645834</x:v>
      </x:c>
      <x:c r="O808" s="28" t="n">
        <x:v>46219.812988715275</x:v>
      </x:c>
      <x:c r="P808" s="23" t="str">
        <x:v>ARAPUTANGA</x:v>
      </x:c>
      <x:c r="Q808" s="30" t="n">
        <x:v>28309</x:v>
      </x:c>
      <x:c r="R808" s="22" t="str">
        <x:f>"11280492"</x:f>
        <x:v>11280492</x:v>
      </x:c>
      <x:c r="S808" s="23" t="str">
        <x:v>masculino</x:v>
      </x:c>
      <x:c r="T808" s="22" t="str">
        <x:f>"NMX4G44"</x:f>
        <x:v>NMX4G44</x:v>
      </x:c>
      <x:c r="U808" s="23" t="str">
        <x:v>DANILLO BACIEL ALMEIDA</x:v>
      </x:c>
      <x:c r="V808" s="22" t="str">
        <x:f>"038.768.901-01"</x:f>
        <x:v>038.768.901-01</x:v>
      </x:c>
      <x:c r="W808" s="22" t="str">
        <x:f>"03876890101"</x:f>
        <x:v>03876890101</x:v>
      </x:c>
      <x:c r="X808" s="23" t="str">
        <x:v>rtp.cargas@gmail.com</x:v>
      </x:c>
      <x:c r="Y808" s="22" t="str">
        <x:f>"62991277279"</x:f>
        <x:v>62991277279</x:v>
      </x:c>
      <x:c r="Z808" s="30" t="n">
        <x:v>46340</x:v>
      </x:c>
    </x:row>
    <x:row r="809" ht="18" customHeight="1">
      <x:c r="A809" s="22" t="str">
        <x:f>"789bf802-b3e5-4ade-8907-f376da48a0e9"</x:f>
        <x:v>789bf802-b3e5-4ade-8907-f376da48a0e9</x:v>
      </x:c>
      <x:c r="B809" s="23" t="str">
        <x:v>DEUSDETE ALVES DE OLIVEIRA</x:v>
      </x:c>
      <x:c r="C809" s="23" t="str">
        <x:v>deusdete alves de oliveira</x:v>
      </x:c>
      <x:c r="D809" s="22" t="str">
        <x:f>"59.655.759/0001-55"</x:f>
        <x:v>59.655.759/0001-55</x:v>
      </x:c>
      <x:c r="E809" s="22" t="str">
        <x:f>"59655759000155"</x:f>
        <x:v>59655759000155</x:v>
      </x:c>
      <x:c r="F809" s="22" t="str">
        <x:f>"449.381.601-53"</x:f>
        <x:v>449.381.601-53</x:v>
      </x:c>
      <x:c r="G809" s="22" t="str">
        <x:f>"44938160153"</x:f>
        <x:v>44938160153</x:v>
      </x:c>
      <x:c r="H809" s="23" t="str">
        <x:v>deusdetealvesdeoliveira@gmail.com</x:v>
      </x:c>
      <x:c r="I809" s="22" t="str">
        <x:f>"62992679559"</x:f>
        <x:v>62992679559</x:v>
      </x:c>
      <x:c r="J809" s="23" t="str">
        <x:v>SPOT</x:v>
      </x:c>
      <x:c r="K809" s="23" t="str">
        <x:v>favored_only</x:v>
      </x:c>
      <x:c r="L809" s="24" t="b">
        <x:v>1</x:v>
      </x:c>
      <x:c r="M809" s="23" t="n">
        <x:v>1</x:v>
      </x:c>
      <x:c r="N809" s="28" t="n">
        <x:v>46203.92186888889</x:v>
      </x:c>
      <x:c r="O809" s="28" t="n">
        <x:v>46219.812988715275</x:v>
      </x:c>
      <x:c r="P809" s="23" t="str">
        <x:v>GOIANIA</x:v>
      </x:c>
      <x:c r="Q809" s="30" t="n">
        <x:v>23555</x:v>
      </x:c>
      <x:c r="R809" s="22" t="str">
        <x:f>"90989"</x:f>
        <x:v>90989</x:v>
      </x:c>
      <x:c r="S809" s="23" t="str">
        <x:v>masculino</x:v>
      </x:c>
      <x:c r="T809" s="22" t="str">
        <x:f>"ooc1566"</x:f>
        <x:v>ooc1566</x:v>
      </x:c>
      <x:c r="U809" s="23" t="str">
        <x:v>DEUSDETE ALVES DE OLIVEIRA</x:v>
      </x:c>
      <x:c r="V809" s="22" t="str">
        <x:f>"449.381.601-53"</x:f>
        <x:v>449.381.601-53</x:v>
      </x:c>
      <x:c r="W809" s="22" t="str">
        <x:f>"44938160153"</x:f>
        <x:v>44938160153</x:v>
      </x:c>
      <x:c r="X809" s="23" t="str">
        <x:v>deusdetealvesdeoliveira@gmail.com</x:v>
      </x:c>
      <x:c r="Y809" s="22" t="str">
        <x:f>"62992679559"</x:f>
        <x:v>62992679559</x:v>
      </x:c>
      <x:c r="Z809" s="30" t="n">
        <x:v>46290</x:v>
      </x:c>
    </x:row>
    <x:row r="810" ht="18" customHeight="1">
      <x:c r="A810" s="22" t="str">
        <x:f>"24c641f1-2738-480b-9119-c3fdf72edf96"</x:f>
        <x:v>24c641f1-2738-480b-9119-c3fdf72edf96</x:v>
      </x:c>
      <x:c r="B810" s="23" t="str">
        <x:v>DEVANI DAVID SOARES</x:v>
      </x:c>
      <x:c r="C810" s="23" t="str">
        <x:v>devani david soares</x:v>
      </x:c>
      <x:c r="D810" s="22" t="str">
        <x:f>"53.376.189/0001-88"</x:f>
        <x:v>53.376.189/0001-88</x:v>
      </x:c>
      <x:c r="E810" s="22" t="str">
        <x:f>"53376189000188"</x:f>
        <x:v>53376189000188</x:v>
      </x:c>
      <x:c r="F810" s="22" t="str">
        <x:f>"314.343.801-06"</x:f>
        <x:v>314.343.801-06</x:v>
      </x:c>
      <x:c r="G810" s="22" t="str">
        <x:f>"31434380106"</x:f>
        <x:v>31434380106</x:v>
      </x:c>
      <x:c r="H810" s="23" t="str">
        <x:v>devanildavid812@gmail.com</x:v>
      </x:c>
      <x:c r="I810" s="22" t="str">
        <x:f>"19 99224-7000"</x:f>
        <x:v>19 99224-7000</x:v>
      </x:c>
      <x:c r="J810" s="23" t="str">
        <x:v>SPOT</x:v>
      </x:c>
      <x:c r="K810" s="23" t="str">
        <x:v>favored_only</x:v>
      </x:c>
      <x:c r="L810" s="24" t="b">
        <x:v>1</x:v>
      </x:c>
      <x:c r="M810" s="23" t="n">
        <x:v>1</x:v>
      </x:c>
      <x:c r="N810" s="28" t="n">
        <x:v>46203.9218771875</x:v>
      </x:c>
      <x:c r="O810" s="28" t="n">
        <x:v>46203.9218771875</x:v>
      </x:c>
      <x:c r="P810" s="23" t="str"/>
      <x:c r="Q810" s="30" t="str"/>
      <x:c r="R810" s="22" t="str"/>
      <x:c r="S810" s="23" t="str"/>
      <x:c r="T810" s="22" t="str"/>
      <x:c r="U810" s="23" t="str">
        <x:v>DEVANI DAVID SOARES</x:v>
      </x:c>
      <x:c r="V810" s="22" t="str">
        <x:f>"314.343.801-06"</x:f>
        <x:v>314.343.801-06</x:v>
      </x:c>
      <x:c r="W810" s="22" t="str">
        <x:f>"31434380106"</x:f>
        <x:v>31434380106</x:v>
      </x:c>
      <x:c r="X810" s="23" t="str">
        <x:v>devanildavid812@gmail.com</x:v>
      </x:c>
      <x:c r="Y810" s="22" t="str">
        <x:f>"19 99224-7000"</x:f>
        <x:v>19 99224-7000</x:v>
      </x:c>
      <x:c r="Z810" s="30" t="str"/>
    </x:row>
    <x:row r="811" ht="18" customHeight="1">
      <x:c r="A811" s="22" t="str">
        <x:f>"77373f4e-4e14-45a7-8036-0476f935d8d2"</x:f>
        <x:v>77373f4e-4e14-45a7-8036-0476f935d8d2</x:v>
      </x:c>
      <x:c r="B811" s="23" t="str">
        <x:v>DEYVID WILLIAM VIEIRA ENORE</x:v>
      </x:c>
      <x:c r="C811" s="23" t="str">
        <x:v>deyvid william vieira enore</x:v>
      </x:c>
      <x:c r="D811" s="22" t="str">
        <x:f>"60.492.248/0001-49"</x:f>
        <x:v>60.492.248/0001-49</x:v>
      </x:c>
      <x:c r="E811" s="22" t="str">
        <x:f>"60492248000149"</x:f>
        <x:v>60492248000149</x:v>
      </x:c>
      <x:c r="F811" s="22" t="str">
        <x:f>"073.648.871-56"</x:f>
        <x:v>073.648.871-56</x:v>
      </x:c>
      <x:c r="G811" s="22" t="str">
        <x:f>"07364887156"</x:f>
        <x:v>07364887156</x:v>
      </x:c>
      <x:c r="H811" s="23" t="str">
        <x:v>deyvidenore26@gmail.com</x:v>
      </x:c>
      <x:c r="I811" s="22" t="str">
        <x:f>"65984673665"</x:f>
        <x:v>65984673665</x:v>
      </x:c>
      <x:c r="J811" s="23" t="str">
        <x:v>SPOT</x:v>
      </x:c>
      <x:c r="K811" s="23" t="str">
        <x:v>favored_only</x:v>
      </x:c>
      <x:c r="L811" s="24" t="b">
        <x:v>1</x:v>
      </x:c>
      <x:c r="M811" s="23" t="n">
        <x:v>1</x:v>
      </x:c>
      <x:c r="N811" s="28" t="n">
        <x:v>46219.812988715275</x:v>
      </x:c>
      <x:c r="O811" s="28" t="n">
        <x:v>46219.812988715275</x:v>
      </x:c>
      <x:c r="P811" s="23" t="str">
        <x:v>CUIABA</x:v>
      </x:c>
      <x:c r="Q811" s="30" t="n">
        <x:v>39202</x:v>
      </x:c>
      <x:c r="R811" s="22" t="str">
        <x:f>"3420303-6"</x:f>
        <x:v>3420303-6</x:v>
      </x:c>
      <x:c r="S811" s="23" t="str">
        <x:v>masculino</x:v>
      </x:c>
      <x:c r="T811" s="22" t="str">
        <x:f>"RRM5B20"</x:f>
        <x:v>RRM5B20</x:v>
      </x:c>
      <x:c r="U811" s="23" t="str">
        <x:v>VICTOR HUGO ANTUNES VIEIRA</x:v>
      </x:c>
      <x:c r="V811" s="22" t="str">
        <x:f>"039.196.241-81"</x:f>
        <x:v>039.196.241-81</x:v>
      </x:c>
      <x:c r="W811" s="22" t="str">
        <x:f>"03919624181"</x:f>
        <x:v>03919624181</x:v>
      </x:c>
      <x:c r="X811" s="23" t="str">
        <x:v>victor_antunes23@hotmail.com</x:v>
      </x:c>
      <x:c r="Y811" s="22" t="str">
        <x:f>"65998197307"</x:f>
        <x:v>65998197307</x:v>
      </x:c>
      <x:c r="Z811" s="30" t="n">
        <x:v>46380</x:v>
      </x:c>
    </x:row>
    <x:row r="812" ht="18" customHeight="1">
      <x:c r="A812" s="22" t="str">
        <x:f>"1e4bd8cc-4f82-48fe-aca8-bdb7f2b66c4b"</x:f>
        <x:v>1e4bd8cc-4f82-48fe-aca8-bdb7f2b66c4b</x:v>
      </x:c>
      <x:c r="B812" s="23" t="str">
        <x:v>DEYVISON GUILHERME DE MAGALHAES</x:v>
      </x:c>
      <x:c r="C812" s="23" t="str">
        <x:v>deyvison guilherme de magalhaes</x:v>
      </x:c>
      <x:c r="D812" s="22" t="str">
        <x:f>"52.490.519/0001-07"</x:f>
        <x:v>52.490.519/0001-07</x:v>
      </x:c>
      <x:c r="E812" s="22" t="str">
        <x:f>"52490519000107"</x:f>
        <x:v>52490519000107</x:v>
      </x:c>
      <x:c r="F812" s="22" t="str">
        <x:f>"018.302.151-75"</x:f>
        <x:v>018.302.151-75</x:v>
      </x:c>
      <x:c r="G812" s="22" t="str">
        <x:f>"01830215175"</x:f>
        <x:v>01830215175</x:v>
      </x:c>
      <x:c r="H812" s="23" t="str">
        <x:v>deyvison.kbr26@gmail.com</x:v>
      </x:c>
      <x:c r="I812" s="22" t="str">
        <x:f>"65 992755488"</x:f>
        <x:v>65 992755488</x:v>
      </x:c>
      <x:c r="J812" s="23" t="str">
        <x:v>SPOT</x:v>
      </x:c>
      <x:c r="K812" s="23" t="str">
        <x:v>favored_only</x:v>
      </x:c>
      <x:c r="L812" s="24" t="b">
        <x:v>1</x:v>
      </x:c>
      <x:c r="M812" s="23" t="n">
        <x:v>1</x:v>
      </x:c>
      <x:c r="N812" s="28" t="n">
        <x:v>46219.812988715275</x:v>
      </x:c>
      <x:c r="O812" s="28" t="n">
        <x:v>46219.812988715275</x:v>
      </x:c>
      <x:c r="P812" s="23" t="str">
        <x:v>CUIABA</x:v>
      </x:c>
      <x:c r="Q812" s="30" t="n">
        <x:v>31104</x:v>
      </x:c>
      <x:c r="R812" s="22" t="str">
        <x:f>"14107999"</x:f>
        <x:v>14107999</x:v>
      </x:c>
      <x:c r="S812" s="23" t="str">
        <x:v>masculino</x:v>
      </x:c>
      <x:c r="T812" s="22" t="str">
        <x:f>"RRO5G31"</x:f>
        <x:v>RRO5G31</x:v>
      </x:c>
      <x:c r="U812" s="23" t="str">
        <x:v>DEYVISON GUILHERME DE MAGALHAES</x:v>
      </x:c>
      <x:c r="V812" s="22" t="str">
        <x:f>"018.302.151-75"</x:f>
        <x:v>018.302.151-75</x:v>
      </x:c>
      <x:c r="W812" s="22" t="str">
        <x:f>"01830215175"</x:f>
        <x:v>01830215175</x:v>
      </x:c>
      <x:c r="X812" s="23" t="str">
        <x:v>deyvison.kbr26@gmail.com</x:v>
      </x:c>
      <x:c r="Y812" s="22" t="str">
        <x:f>"65 992755488"</x:f>
        <x:v>65 992755488</x:v>
      </x:c>
      <x:c r="Z812" s="30" t="n">
        <x:v>46463</x:v>
      </x:c>
    </x:row>
    <x:row r="813" ht="18" customHeight="1">
      <x:c r="A813" s="22" t="str">
        <x:f>"fadf9b96-1b21-4ef8-a8b0-ef35cad58f41"</x:f>
        <x:v>fadf9b96-1b21-4ef8-a8b0-ef35cad58f41</x:v>
      </x:c>
      <x:c r="B813" s="23" t="str">
        <x:v>DHIANEFER DOS REIS GOMES DA MATA</x:v>
      </x:c>
      <x:c r="C813" s="23" t="str">
        <x:v>dhianefer dos reis gomes da mata</x:v>
      </x:c>
      <x:c r="D813" s="22" t="str">
        <x:f>"59.158.631/0001-86"</x:f>
        <x:v>59.158.631/0001-86</x:v>
      </x:c>
      <x:c r="E813" s="22" t="str">
        <x:f>"59158631000186"</x:f>
        <x:v>59158631000186</x:v>
      </x:c>
      <x:c r="F813" s="22" t="str">
        <x:f>"401.741.278-55"</x:f>
        <x:v>401.741.278-55</x:v>
      </x:c>
      <x:c r="G813" s="22" t="str">
        <x:f>"40174127855"</x:f>
        <x:v>40174127855</x:v>
      </x:c>
      <x:c r="H813" s="23" t="str">
        <x:v>Marcearessuto20@gmail.com</x:v>
      </x:c>
      <x:c r="I813" s="22" t="str">
        <x:f>"16 99378-1297"</x:f>
        <x:v>16 99378-1297</x:v>
      </x:c>
      <x:c r="J813" s="23" t="str">
        <x:v>SPOT</x:v>
      </x:c>
      <x:c r="K813" s="23" t="str">
        <x:v>favored_only</x:v>
      </x:c>
      <x:c r="L813" s="24" t="b">
        <x:v>1</x:v>
      </x:c>
      <x:c r="M813" s="23" t="n">
        <x:v>1</x:v>
      </x:c>
      <x:c r="N813" s="28" t="n">
        <x:v>46203.921887453704</x:v>
      </x:c>
      <x:c r="O813" s="28" t="n">
        <x:v>46203.921887453704</x:v>
      </x:c>
      <x:c r="P813" s="23" t="str"/>
      <x:c r="Q813" s="30" t="str"/>
      <x:c r="R813" s="22" t="str"/>
      <x:c r="S813" s="23" t="str"/>
      <x:c r="T813" s="22" t="str"/>
      <x:c r="U813" s="23" t="str">
        <x:v>DHIANEFER DOS REIS GOMES DA MATA</x:v>
      </x:c>
      <x:c r="V813" s="22" t="str">
        <x:f>"401.741.278-55"</x:f>
        <x:v>401.741.278-55</x:v>
      </x:c>
      <x:c r="W813" s="22" t="str">
        <x:f>"40174127855"</x:f>
        <x:v>40174127855</x:v>
      </x:c>
      <x:c r="X813" s="23" t="str">
        <x:v>Marcearessuto20@gmail.com</x:v>
      </x:c>
      <x:c r="Y813" s="22" t="str">
        <x:f>"16 99378-1297"</x:f>
        <x:v>16 99378-1297</x:v>
      </x:c>
      <x:c r="Z813" s="30" t="str"/>
    </x:row>
    <x:row r="814" ht="18" customHeight="1">
      <x:c r="A814" s="22" t="str">
        <x:f>"88709cb0-902b-481d-8274-0b1272622e00"</x:f>
        <x:v>88709cb0-902b-481d-8274-0b1272622e00</x:v>
      </x:c>
      <x:c r="B814" s="23" t="str">
        <x:v>DHIEGO ALVES DE OLIVEIRA SNTOS</x:v>
      </x:c>
      <x:c r="C814" s="23" t="str">
        <x:v>dhiego alves de oliveira sntos</x:v>
      </x:c>
      <x:c r="D814" s="22" t="str">
        <x:f>"63.448.399/0001-98"</x:f>
        <x:v>63.448.399/0001-98</x:v>
      </x:c>
      <x:c r="E814" s="22" t="str">
        <x:f>"63448399000198"</x:f>
        <x:v>63448399000198</x:v>
      </x:c>
      <x:c r="F814" s="22" t="str">
        <x:f>"126.812.997-64"</x:f>
        <x:v>126.812.997-64</x:v>
      </x:c>
      <x:c r="G814" s="22" t="str">
        <x:f>"12681299764"</x:f>
        <x:v>12681299764</x:v>
      </x:c>
      <x:c r="H814" s="23" t="str">
        <x:v>dhiegoo_rj@hotmail.com</x:v>
      </x:c>
      <x:c r="I814" s="22" t="str">
        <x:f>"21969917315"</x:f>
        <x:v>21969917315</x:v>
      </x:c>
      <x:c r="J814" s="23" t="str">
        <x:v>SPOT</x:v>
      </x:c>
      <x:c r="K814" s="23" t="str">
        <x:v>favored_only</x:v>
      </x:c>
      <x:c r="L814" s="24" t="b">
        <x:v>1</x:v>
      </x:c>
      <x:c r="M814" s="23" t="n">
        <x:v>1</x:v>
      </x:c>
      <x:c r="N814" s="28" t="n">
        <x:v>46203.921887453704</x:v>
      </x:c>
      <x:c r="O814" s="28" t="n">
        <x:v>46219.812988715275</x:v>
      </x:c>
      <x:c r="P814" s="23" t="str">
        <x:v>CAMPO GRANDE</x:v>
      </x:c>
      <x:c r="Q814" s="30" t="n">
        <x:v>34035</x:v>
      </x:c>
      <x:c r="R814" s="22" t="str">
        <x:f>"258204460"</x:f>
        <x:v>258204460</x:v>
      </x:c>
      <x:c r="S814" s="23" t="str">
        <x:v>masculino</x:v>
      </x:c>
      <x:c r="T814" s="22" t="str">
        <x:f>"KYC5G29"</x:f>
        <x:v>KYC5G29</x:v>
      </x:c>
      <x:c r="U814" s="23" t="str">
        <x:v>DHIEGO ALVES DE OLIVEIRA SNTOS</x:v>
      </x:c>
      <x:c r="V814" s="22" t="str">
        <x:f>"126.812.997-64"</x:f>
        <x:v>126.812.997-64</x:v>
      </x:c>
      <x:c r="W814" s="22" t="str">
        <x:f>"12681299764"</x:f>
        <x:v>12681299764</x:v>
      </x:c>
      <x:c r="X814" s="23" t="str">
        <x:v>dhiegoo_rj@hotmail.com</x:v>
      </x:c>
      <x:c r="Y814" s="22" t="str">
        <x:f>"21969917315"</x:f>
        <x:v>21969917315</x:v>
      </x:c>
      <x:c r="Z814" s="30" t="n">
        <x:v>46326</x:v>
      </x:c>
    </x:row>
    <x:row r="815" ht="18" customHeight="1">
      <x:c r="A815" s="22" t="str">
        <x:f>"0b2e25b8-1be1-4559-b5c2-cbf814d4d798"</x:f>
        <x:v>0b2e25b8-1be1-4559-b5c2-cbf814d4d798</x:v>
      </x:c>
      <x:c r="B815" s="23" t="str">
        <x:v>DIEGO ALEXANDRE DA SILVA</x:v>
      </x:c>
      <x:c r="C815" s="23" t="str">
        <x:v>diego alexandre da silva</x:v>
      </x:c>
      <x:c r="D815" s="22" t="str">
        <x:f>"63.890.525/0001-60"</x:f>
        <x:v>63.890.525/0001-60</x:v>
      </x:c>
      <x:c r="E815" s="22" t="str">
        <x:f>"63890525000160"</x:f>
        <x:v>63890525000160</x:v>
      </x:c>
      <x:c r="F815" s="22" t="str">
        <x:f>"425.419.168-50"</x:f>
        <x:v>425.419.168-50</x:v>
      </x:c>
      <x:c r="G815" s="22" t="str">
        <x:f>"42541916850"</x:f>
        <x:v>42541916850</x:v>
      </x:c>
      <x:c r="H815" s="23" t="str">
        <x:v>colombari53@gmail.com</x:v>
      </x:c>
      <x:c r="I815" s="22" t="str">
        <x:f>"(16)99738-8160"</x:f>
        <x:v>(16)99738-8160</x:v>
      </x:c>
      <x:c r="J815" s="23" t="str">
        <x:v>RENTAL</x:v>
      </x:c>
      <x:c r="K815" s="23" t="str">
        <x:v>rental_company</x:v>
      </x:c>
      <x:c r="L815" s="24" t="b">
        <x:v>1</x:v>
      </x:c>
      <x:c r="M815" s="23" t="n">
        <x:v>1</x:v>
      </x:c>
      <x:c r="N815" s="28" t="n">
        <x:v>46203.92189965278</x:v>
      </x:c>
      <x:c r="O815" s="28" t="n">
        <x:v>46219.812988715275</x:v>
      </x:c>
      <x:c r="P815" s="23" t="str">
        <x:v>SÃO CARLOS</x:v>
      </x:c>
      <x:c r="Q815" s="30" t="n">
        <x:v>33319</x:v>
      </x:c>
      <x:c r="R815" s="22" t="str">
        <x:f>"47544887"</x:f>
        <x:v>47544887</x:v>
      </x:c>
      <x:c r="S815" s="23" t="str">
        <x:v>masculino</x:v>
      </x:c>
      <x:c r="T815" s="22" t="str"/>
      <x:c r="U815" s="23" t="str">
        <x:v>DIEGO ALEXANDRE DA SILVA</x:v>
      </x:c>
      <x:c r="V815" s="22" t="str">
        <x:f>"425.419.168-50"</x:f>
        <x:v>425.419.168-50</x:v>
      </x:c>
      <x:c r="W815" s="22" t="str">
        <x:f>"42541916850"</x:f>
        <x:v>42541916850</x:v>
      </x:c>
      <x:c r="X815" s="23" t="str">
        <x:v>colombari53@gmail.com</x:v>
      </x:c>
      <x:c r="Y815" s="22" t="str">
        <x:f>"(16)99738-8160"</x:f>
        <x:v>(16)99738-8160</x:v>
      </x:c>
      <x:c r="Z815" s="30" t="n">
        <x:v>46358</x:v>
      </x:c>
    </x:row>
    <x:row r="816" ht="18" customHeight="1">
      <x:c r="A816" s="22" t="str">
        <x:f>"0a96a4b7-af18-4bc0-bf57-66a1d1ca252f"</x:f>
        <x:v>0a96a4b7-af18-4bc0-bf57-66a1d1ca252f</x:v>
      </x:c>
      <x:c r="B816" s="23" t="str">
        <x:v>DIEGO ALVES MOREIRA</x:v>
      </x:c>
      <x:c r="C816" s="23" t="str">
        <x:v>diego alves moreira</x:v>
      </x:c>
      <x:c r="D816" s="22" t="str">
        <x:f>"58.378.867/0001-65"</x:f>
        <x:v>58.378.867/0001-65</x:v>
      </x:c>
      <x:c r="E816" s="22" t="str">
        <x:f>"58378867000165"</x:f>
        <x:v>58378867000165</x:v>
      </x:c>
      <x:c r="F816" s="22" t="str">
        <x:f>"153.445.717-80"</x:f>
        <x:v>153.445.717-80</x:v>
      </x:c>
      <x:c r="G816" s="22" t="str">
        <x:f>"15344571780"</x:f>
        <x:v>15344571780</x:v>
      </x:c>
      <x:c r="H816" s="23" t="str">
        <x:v>trans.diegomoreira@gmail.com</x:v>
      </x:c>
      <x:c r="I816" s="22" t="str">
        <x:f>"2197655-2148"</x:f>
        <x:v>2197655-2148</x:v>
      </x:c>
      <x:c r="J816" s="23" t="str">
        <x:v>spot</x:v>
      </x:c>
      <x:c r="K816" s="23" t="str">
        <x:v>favored_only</x:v>
      </x:c>
      <x:c r="L816" s="24" t="b">
        <x:v>1</x:v>
      </x:c>
      <x:c r="M816" s="23" t="n">
        <x:v>2</x:v>
      </x:c>
      <x:c r="N816" s="28" t="n">
        <x:v>46219.812988715275</x:v>
      </x:c>
      <x:c r="O816" s="28" t="n">
        <x:v>46219.812988715275</x:v>
      </x:c>
      <x:c r="P816" s="23" t="str">
        <x:v>ITABORAI</x:v>
      </x:c>
      <x:c r="Q816" s="30" t="n">
        <x:v>34481</x:v>
      </x:c>
      <x:c r="R816" s="22" t="str">
        <x:f>"281056275"</x:f>
        <x:v>281056275</x:v>
      </x:c>
      <x:c r="S816" s="23" t="str">
        <x:v>masculino</x:v>
      </x:c>
      <x:c r="T816" s="22" t="str">
        <x:f>"HOC4A75"</x:f>
        <x:v>HOC4A75</x:v>
      </x:c>
      <x:c r="U816" s="23" t="str">
        <x:v>DIEGO ALVES MOREIRA</x:v>
      </x:c>
      <x:c r="V816" s="22" t="str">
        <x:f>"153.445.717-80"</x:f>
        <x:v>153.445.717-80</x:v>
      </x:c>
      <x:c r="W816" s="22" t="str">
        <x:f>"15344571780"</x:f>
        <x:v>15344571780</x:v>
      </x:c>
      <x:c r="X816" s="23" t="str">
        <x:v>trans.diegomoreira@gmail.com</x:v>
      </x:c>
      <x:c r="Y816" s="22" t="str">
        <x:f>"2197655-2148"</x:f>
        <x:v>2197655-2148</x:v>
      </x:c>
      <x:c r="Z816" s="30" t="n">
        <x:v>46571</x:v>
      </x:c>
    </x:row>
    <x:row r="817" ht="18" customHeight="1">
      <x:c r="A817" s="22" t="str">
        <x:f>"478b23c2-eee5-4ce8-9590-4cacab056a40"</x:f>
        <x:v>478b23c2-eee5-4ce8-9590-4cacab056a40</x:v>
      </x:c>
      <x:c r="B817" s="23" t="str">
        <x:v>DIEGO AUGUSTO FLORIANO</x:v>
      </x:c>
      <x:c r="C817" s="23" t="str">
        <x:v>diego augusto floriano</x:v>
      </x:c>
      <x:c r="D817" s="22" t="str">
        <x:f>"54.687.305/0001-42"</x:f>
        <x:v>54.687.305/0001-42</x:v>
      </x:c>
      <x:c r="E817" s="22" t="str">
        <x:f>"54687305000142"</x:f>
        <x:v>54687305000142</x:v>
      </x:c>
      <x:c r="F817" s="22" t="str">
        <x:f>"388.750.688-01"</x:f>
        <x:v>388.750.688-01</x:v>
      </x:c>
      <x:c r="G817" s="22" t="str">
        <x:f>"38875068801"</x:f>
        <x:v>38875068801</x:v>
      </x:c>
      <x:c r="H817" s="23" t="str">
        <x:v>florianodiego.29@icloud.com</x:v>
      </x:c>
      <x:c r="I817" s="22" t="str">
        <x:f>"16993816883"</x:f>
        <x:v>16993816883</x:v>
      </x:c>
      <x:c r="J817" s="23" t="str">
        <x:v>SPOT</x:v>
      </x:c>
      <x:c r="K817" s="23" t="str">
        <x:v>favored_only</x:v>
      </x:c>
      <x:c r="L817" s="24" t="b">
        <x:v>1</x:v>
      </x:c>
      <x:c r="M817" s="23" t="n">
        <x:v>1</x:v>
      </x:c>
      <x:c r="N817" s="28" t="n">
        <x:v>46203.9218771875</x:v>
      </x:c>
      <x:c r="O817" s="28" t="n">
        <x:v>46219.812988715275</x:v>
      </x:c>
      <x:c r="P817" s="23" t="str">
        <x:v>SÃO CARLOS</x:v>
      </x:c>
      <x:c r="Q817" s="30" t="n">
        <x:v>33603</x:v>
      </x:c>
      <x:c r="R817" s="22" t="str">
        <x:f>"47939303-5"</x:f>
        <x:v>47939303-5</x:v>
      </x:c>
      <x:c r="S817" s="23" t="str">
        <x:v>masculino</x:v>
      </x:c>
      <x:c r="T817" s="22" t="str">
        <x:f>"FAK8B99"</x:f>
        <x:v>FAK8B99</x:v>
      </x:c>
      <x:c r="U817" s="23" t="str">
        <x:v>DIEGO AUGUSTO FLORIANO</x:v>
      </x:c>
      <x:c r="V817" s="22" t="str">
        <x:f>"388.750.688-01"</x:f>
        <x:v>388.750.688-01</x:v>
      </x:c>
      <x:c r="W817" s="22" t="str">
        <x:f>"38875068801"</x:f>
        <x:v>38875068801</x:v>
      </x:c>
      <x:c r="X817" s="23" t="str">
        <x:v>florianodiego.29@icloud.com</x:v>
      </x:c>
      <x:c r="Y817" s="22" t="str">
        <x:f>"16993816883"</x:f>
        <x:v>16993816883</x:v>
      </x:c>
      <x:c r="Z817" s="30" t="n">
        <x:v>46305</x:v>
      </x:c>
    </x:row>
    <x:row r="818" ht="18" customHeight="1">
      <x:c r="A818" s="22" t="str">
        <x:f>"a26a0872-30ae-4178-bf69-033a6108fdbc"</x:f>
        <x:v>a26a0872-30ae-4178-bf69-033a6108fdbc</x:v>
      </x:c>
      <x:c r="B818" s="23" t="str">
        <x:v>DIEGO CARLOS MARIANO</x:v>
      </x:c>
      <x:c r="C818" s="23" t="str">
        <x:v>diego carlos mariano</x:v>
      </x:c>
      <x:c r="D818" s="22" t="str">
        <x:f>"61.202.280/0001-05"</x:f>
        <x:v>61.202.280/0001-05</x:v>
      </x:c>
      <x:c r="E818" s="22" t="str">
        <x:f>"61202280000105"</x:f>
        <x:v>61202280000105</x:v>
      </x:c>
      <x:c r="F818" s="22" t="str">
        <x:f>"107.745.876-28"</x:f>
        <x:v>107.745.876-28</x:v>
      </x:c>
      <x:c r="G818" s="22" t="str">
        <x:f>"10774587628"</x:f>
        <x:v>10774587628</x:v>
      </x:c>
      <x:c r="H818" s="23" t="str">
        <x:v>diegocarlosmariano@gmail.com</x:v>
      </x:c>
      <x:c r="I818" s="22" t="str">
        <x:f>"(35)99170-7721"</x:f>
        <x:v>(35)99170-7721</x:v>
      </x:c>
      <x:c r="J818" s="23" t="str">
        <x:v>SPOT</x:v>
      </x:c>
      <x:c r="K818" s="23" t="str">
        <x:v>favored_only</x:v>
      </x:c>
      <x:c r="L818" s="24" t="b">
        <x:v>1</x:v>
      </x:c>
      <x:c r="M818" s="23" t="n">
        <x:v>1</x:v>
      </x:c>
      <x:c r="N818" s="28" t="n">
        <x:v>46203.921840393516</x:v>
      </x:c>
      <x:c r="O818" s="28" t="n">
        <x:v>46203.921840393516</x:v>
      </x:c>
      <x:c r="P818" s="23" t="str"/>
      <x:c r="Q818" s="30" t="str"/>
      <x:c r="R818" s="22" t="str"/>
      <x:c r="S818" s="23" t="str"/>
      <x:c r="T818" s="22" t="str"/>
      <x:c r="U818" s="23" t="str">
        <x:v>DIEGO CARLOS MARIANO</x:v>
      </x:c>
      <x:c r="V818" s="22" t="str">
        <x:f>"107.745.876-28"</x:f>
        <x:v>107.745.876-28</x:v>
      </x:c>
      <x:c r="W818" s="22" t="str">
        <x:f>"10774587628"</x:f>
        <x:v>10774587628</x:v>
      </x:c>
      <x:c r="X818" s="23" t="str">
        <x:v>diegocarlosmariano@gmail.com</x:v>
      </x:c>
      <x:c r="Y818" s="22" t="str">
        <x:f>"(35)99170-7721"</x:f>
        <x:v>(35)99170-7721</x:v>
      </x:c>
      <x:c r="Z818" s="30" t="str"/>
    </x:row>
    <x:row r="819" ht="18" customHeight="1">
      <x:c r="A819" s="22" t="str">
        <x:f>"3f57733a-5ad4-46f1-a4b6-49ea1b9964f0"</x:f>
        <x:v>3f57733a-5ad4-46f1-a4b6-49ea1b9964f0</x:v>
      </x:c>
      <x:c r="B819" s="23" t="str">
        <x:v>DIEGO CORREA DE ARAUJO</x:v>
      </x:c>
      <x:c r="C819" s="23" t="str">
        <x:v>diego correa de araujo</x:v>
      </x:c>
      <x:c r="D819" s="22" t="str">
        <x:f>"62.395.836/0001-90"</x:f>
        <x:v>62.395.836/0001-90</x:v>
      </x:c>
      <x:c r="E819" s="22" t="str">
        <x:f>"62395836000190"</x:f>
        <x:v>62395836000190</x:v>
      </x:c>
      <x:c r="F819" s="22" t="str">
        <x:f>"352.126.078-09"</x:f>
        <x:v>352.126.078-09</x:v>
      </x:c>
      <x:c r="G819" s="22" t="str">
        <x:f>"35212607809"</x:f>
        <x:v>35212607809</x:v>
      </x:c>
      <x:c r="H819" s="23" t="str">
        <x:v>diaraujo788@gmail.com</x:v>
      </x:c>
      <x:c r="I819" s="22" t="str">
        <x:f>"16996108267"</x:f>
        <x:v>16996108267</x:v>
      </x:c>
      <x:c r="J819" s="23" t="str">
        <x:v>SPOT</x:v>
      </x:c>
      <x:c r="K819" s="23" t="str">
        <x:v>favored_only</x:v>
      </x:c>
      <x:c r="L819" s="24" t="b">
        <x:v>1</x:v>
      </x:c>
      <x:c r="M819" s="23" t="n">
        <x:v>1</x:v>
      </x:c>
      <x:c r="N819" s="28" t="n">
        <x:v>46203.9218771875</x:v>
      </x:c>
      <x:c r="O819" s="28" t="n">
        <x:v>46219.812988715275</x:v>
      </x:c>
      <x:c r="P819" s="23" t="str">
        <x:v>RIBEIRAO PRETO</x:v>
      </x:c>
      <x:c r="Q819" s="30" t="n">
        <x:v>32028</x:v>
      </x:c>
      <x:c r="R819" s="22" t="str">
        <x:f>"45407928"</x:f>
        <x:v>45407928</x:v>
      </x:c>
      <x:c r="S819" s="23" t="str">
        <x:v>masculino</x:v>
      </x:c>
      <x:c r="T819" s="22" t="str">
        <x:f>"FRZ7I49"</x:f>
        <x:v>FRZ7I49</x:v>
      </x:c>
      <x:c r="U819" s="23" t="str">
        <x:v>DIEGO CORREA DE ARAUJO</x:v>
      </x:c>
      <x:c r="V819" s="22" t="str">
        <x:f>"352.126.078-09"</x:f>
        <x:v>352.126.078-09</x:v>
      </x:c>
      <x:c r="W819" s="22" t="str">
        <x:f>"35212607809"</x:f>
        <x:v>35212607809</x:v>
      </x:c>
      <x:c r="X819" s="23" t="str">
        <x:v>diaraujo788@gmail.com</x:v>
      </x:c>
      <x:c r="Y819" s="22" t="str">
        <x:f>"16996108267"</x:f>
        <x:v>16996108267</x:v>
      </x:c>
      <x:c r="Z819" s="30" t="n">
        <x:v>46315</x:v>
      </x:c>
    </x:row>
    <x:row r="820" ht="18" customHeight="1">
      <x:c r="A820" s="22" t="str">
        <x:f>"b5afa454-77b1-4900-a944-9d25a4a3a370"</x:f>
        <x:v>b5afa454-77b1-4900-a944-9d25a4a3a370</x:v>
      </x:c>
      <x:c r="B820" s="23" t="str">
        <x:v>DIEGO DE ALMEIDA MARTINEZ</x:v>
      </x:c>
      <x:c r="C820" s="23" t="str">
        <x:v>diego de almeida martinez</x:v>
      </x:c>
      <x:c r="D820" s="22" t="str">
        <x:f>"56.979.302/0001-08"</x:f>
        <x:v>56.979.302/0001-08</x:v>
      </x:c>
      <x:c r="E820" s="22" t="str">
        <x:f>"56979302000108"</x:f>
        <x:v>56979302000108</x:v>
      </x:c>
      <x:c r="F820" s="22" t="str">
        <x:f>"122.222.366-06"</x:f>
        <x:v>122.222.366-06</x:v>
      </x:c>
      <x:c r="G820" s="22" t="str">
        <x:f>"12222236606"</x:f>
        <x:v>12222236606</x:v>
      </x:c>
      <x:c r="H820" s="23" t="str">
        <x:v>diegomartinez.logistica@gmail.com</x:v>
      </x:c>
      <x:c r="I820" s="22" t="str">
        <x:f>"31993224411"</x:f>
        <x:v>31993224411</x:v>
      </x:c>
      <x:c r="J820" s="23" t="str">
        <x:v>SPOT</x:v>
      </x:c>
      <x:c r="K820" s="23" t="str">
        <x:v>favored_only</x:v>
      </x:c>
      <x:c r="L820" s="24" t="b">
        <x:v>1</x:v>
      </x:c>
      <x:c r="M820" s="23" t="n">
        <x:v>1</x:v>
      </x:c>
      <x:c r="N820" s="28" t="n">
        <x:v>46203.92186888889</x:v>
      </x:c>
      <x:c r="O820" s="28" t="n">
        <x:v>46219.812988715275</x:v>
      </x:c>
      <x:c r="P820" s="23" t="str">
        <x:v>CONTAGEM</x:v>
      </x:c>
      <x:c r="Q820" s="30" t="n">
        <x:v>34884</x:v>
      </x:c>
      <x:c r="R820" s="22" t="str">
        <x:f>"18527284"</x:f>
        <x:v>18527284</x:v>
      </x:c>
      <x:c r="S820" s="23" t="str">
        <x:v>masculino</x:v>
      </x:c>
      <x:c r="T820" s="22" t="str">
        <x:f>"QNK3I70"</x:f>
        <x:v>QNK3I70</x:v>
      </x:c>
      <x:c r="U820" s="23" t="str">
        <x:v>DIEGO DE ALMEIDA MARTINEZ</x:v>
      </x:c>
      <x:c r="V820" s="22" t="str">
        <x:f>"122.222.366-06"</x:f>
        <x:v>122.222.366-06</x:v>
      </x:c>
      <x:c r="W820" s="22" t="str">
        <x:f>"12222236606"</x:f>
        <x:v>12222236606</x:v>
      </x:c>
      <x:c r="X820" s="23" t="str">
        <x:v>diegomartinez.logistica@gmail.com</x:v>
      </x:c>
      <x:c r="Y820" s="22" t="str">
        <x:f>"31993224411"</x:f>
        <x:v>31993224411</x:v>
      </x:c>
      <x:c r="Z820" s="30" t="n">
        <x:v>46291</x:v>
      </x:c>
    </x:row>
    <x:row r="821" ht="18" customHeight="1">
      <x:c r="A821" s="22" t="str">
        <x:f>"082358fd-79cb-4796-b78c-31777b178dac"</x:f>
        <x:v>082358fd-79cb-4796-b78c-31777b178dac</x:v>
      </x:c>
      <x:c r="B821" s="23" t="str">
        <x:v>DIEGO EVARISTO</x:v>
      </x:c>
      <x:c r="C821" s="23" t="str">
        <x:v>diego evaristo</x:v>
      </x:c>
      <x:c r="D821" s="22" t="str">
        <x:f>"65.006.230/0001-03"</x:f>
        <x:v>65.006.230/0001-03</x:v>
      </x:c>
      <x:c r="E821" s="22" t="str">
        <x:f>"65006230000103"</x:f>
        <x:v>65006230000103</x:v>
      </x:c>
      <x:c r="F821" s="22" t="str">
        <x:f>"323.556.638-40"</x:f>
        <x:v>323.556.638-40</x:v>
      </x:c>
      <x:c r="G821" s="22" t="str">
        <x:f>"32355663840"</x:f>
        <x:v>32355663840</x:v>
      </x:c>
      <x:c r="H821" s="23" t="str">
        <x:v>EVARISTODIEGO35@GMAIL.COM</x:v>
      </x:c>
      <x:c r="I821" s="22" t="str">
        <x:f>"16997556974"</x:f>
        <x:v>16997556974</x:v>
      </x:c>
      <x:c r="J821" s="23" t="str">
        <x:v>RENTAL</x:v>
      </x:c>
      <x:c r="K821" s="23" t="str">
        <x:v>rental_company</x:v>
      </x:c>
      <x:c r="L821" s="24" t="b">
        <x:v>1</x:v>
      </x:c>
      <x:c r="M821" s="23" t="n">
        <x:v>1</x:v>
      </x:c>
      <x:c r="N821" s="28" t="n">
        <x:v>46219.812988715275</x:v>
      </x:c>
      <x:c r="O821" s="28" t="n">
        <x:v>46219.812988715275</x:v>
      </x:c>
      <x:c r="P821" s="23" t="str">
        <x:v>SÃO CARLOS</x:v>
      </x:c>
      <x:c r="Q821" s="30" t="n">
        <x:v>30629</x:v>
      </x:c>
      <x:c r="R821" s="22" t="str">
        <x:f>"40286810-9"</x:f>
        <x:v>40286810-9</x:v>
      </x:c>
      <x:c r="S821" s="23" t="str">
        <x:v>masculino</x:v>
      </x:c>
      <x:c r="T821" s="22" t="str"/>
      <x:c r="U821" s="23" t="str">
        <x:v>DIEGO EVARISTO</x:v>
      </x:c>
      <x:c r="V821" s="22" t="str">
        <x:f>"323.556.638-40"</x:f>
        <x:v>323.556.638-40</x:v>
      </x:c>
      <x:c r="W821" s="22" t="str">
        <x:f>"32355663840"</x:f>
        <x:v>32355663840</x:v>
      </x:c>
      <x:c r="X821" s="23" t="str">
        <x:v>EVARISTODIEGO35@GMAIL.COM</x:v>
      </x:c>
      <x:c r="Y821" s="22" t="str">
        <x:f>"16997556974"</x:f>
        <x:v>16997556974</x:v>
      </x:c>
      <x:c r="Z821" s="30" t="n">
        <x:v>46554</x:v>
      </x:c>
    </x:row>
    <x:row r="822" ht="18" customHeight="1">
      <x:c r="A822" s="22" t="str">
        <x:f>"c71f8925-4458-4b05-96c9-546a5b542bd6"</x:f>
        <x:v>c71f8925-4458-4b05-96c9-546a5b542bd6</x:v>
      </x:c>
      <x:c r="B822" s="23" t="str">
        <x:v>DIEGO FERREIRA SOARES</x:v>
      </x:c>
      <x:c r="C822" s="23" t="str">
        <x:v>diego ferreira soares</x:v>
      </x:c>
      <x:c r="D822" s="22" t="str">
        <x:f>"57.322.225/0001-81"</x:f>
        <x:v>57.322.225/0001-81</x:v>
      </x:c>
      <x:c r="E822" s="22" t="str">
        <x:f>"57322225000181"</x:f>
        <x:v>57322225000181</x:v>
      </x:c>
      <x:c r="F822" s="22" t="str">
        <x:f>"091.747.386-82"</x:f>
        <x:v>091.747.386-82</x:v>
      </x:c>
      <x:c r="G822" s="22" t="str">
        <x:f>"09174738682"</x:f>
        <x:v>09174738682</x:v>
      </x:c>
      <x:c r="H822" s="23" t="str">
        <x:v>ferreira30.diego@gmail.com</x:v>
      </x:c>
      <x:c r="I822" s="22" t="str">
        <x:f>"3199208-9307"</x:f>
        <x:v>3199208-9307</x:v>
      </x:c>
      <x:c r="J822" s="23" t="str">
        <x:v>SPOT</x:v>
      </x:c>
      <x:c r="K822" s="23" t="str">
        <x:v>favored_only</x:v>
      </x:c>
      <x:c r="L822" s="24" t="b">
        <x:v>1</x:v>
      </x:c>
      <x:c r="M822" s="23" t="n">
        <x:v>1</x:v>
      </x:c>
      <x:c r="N822" s="28" t="n">
        <x:v>46205.60523311343</x:v>
      </x:c>
      <x:c r="O822" s="28" t="n">
        <x:v>46219.812988715275</x:v>
      </x:c>
      <x:c r="P822" s="23" t="str">
        <x:v>VESPASIANO</x:v>
      </x:c>
      <x:c r="Q822" s="30" t="n">
        <x:v>31848</x:v>
      </x:c>
      <x:c r="R822" s="22" t="str">
        <x:f>"14043903"</x:f>
        <x:v>14043903</x:v>
      </x:c>
      <x:c r="S822" s="23" t="str">
        <x:v>masculino</x:v>
      </x:c>
      <x:c r="T822" s="22" t="str">
        <x:f>"OLR8D72"</x:f>
        <x:v>OLR8D72</x:v>
      </x:c>
      <x:c r="U822" s="23" t="str">
        <x:v>ALAN FELIX BARBALHO</x:v>
      </x:c>
      <x:c r="V822" s="22" t="str">
        <x:f>"096.654.956-23"</x:f>
        <x:v>096.654.956-23</x:v>
      </x:c>
      <x:c r="W822" s="22" t="str">
        <x:f>"09665495623"</x:f>
        <x:v>09665495623</x:v>
      </x:c>
      <x:c r="X822" s="23" t="str">
        <x:v>alan_gzn@hotmail.com</x:v>
      </x:c>
      <x:c r="Y822" s="22" t="str">
        <x:f>"3198686-2054"</x:f>
        <x:v>3198686-2054</x:v>
      </x:c>
      <x:c r="Z822" s="30" t="n">
        <x:v>46315</x:v>
      </x:c>
    </x:row>
    <x:row r="823" ht="18" customHeight="1">
      <x:c r="A823" s="22" t="str">
        <x:f>"cabd756e-6824-477b-855e-891a722249a6"</x:f>
        <x:v>cabd756e-6824-477b-855e-891a722249a6</x:v>
      </x:c>
      <x:c r="B823" s="23" t="str">
        <x:v>DIEGO FRANCISCO DA SILVA</x:v>
      </x:c>
      <x:c r="C823" s="23" t="str">
        <x:v>diego francisco da silva</x:v>
      </x:c>
      <x:c r="D823" s="22" t="str">
        <x:f>"55.019.371/0001-07"</x:f>
        <x:v>55.019.371/0001-07</x:v>
      </x:c>
      <x:c r="E823" s="22" t="str">
        <x:f>"55019371000107"</x:f>
        <x:v>55019371000107</x:v>
      </x:c>
      <x:c r="F823" s="22" t="str">
        <x:f>"326.694.998-64"</x:f>
        <x:v>326.694.998-64</x:v>
      </x:c>
      <x:c r="G823" s="22" t="str">
        <x:f>"32669499864"</x:f>
        <x:v>32669499864</x:v>
      </x:c>
      <x:c r="H823" s="23" t="str">
        <x:v>diego.jece@gmail.com</x:v>
      </x:c>
      <x:c r="I823" s="22" t="str">
        <x:f>"1799669-0007"</x:f>
        <x:v>1799669-0007</x:v>
      </x:c>
      <x:c r="J823" s="23" t="str">
        <x:v>RENTAL</x:v>
      </x:c>
      <x:c r="K823" s="23" t="str">
        <x:v>rental_company</x:v>
      </x:c>
      <x:c r="L823" s="24" t="b">
        <x:v>1</x:v>
      </x:c>
      <x:c r="M823" s="23" t="n">
        <x:v>1</x:v>
      </x:c>
      <x:c r="N823" s="28" t="n">
        <x:v>46203.92183017361</x:v>
      </x:c>
      <x:c r="O823" s="28" t="n">
        <x:v>46219.812988715275</x:v>
      </x:c>
      <x:c r="P823" s="23" t="str">
        <x:v>BARRETOS</x:v>
      </x:c>
      <x:c r="Q823" s="30" t="n">
        <x:v>31004</x:v>
      </x:c>
      <x:c r="R823" s="22" t="str">
        <x:f>"42318521"</x:f>
        <x:v>42318521</x:v>
      </x:c>
      <x:c r="S823" s="23" t="str">
        <x:v>masculino</x:v>
      </x:c>
      <x:c r="T823" s="22" t="str"/>
      <x:c r="U823" s="23" t="str">
        <x:v>DIEGO FRANCISCO DA SILVA</x:v>
      </x:c>
      <x:c r="V823" s="22" t="str">
        <x:f>"326.694.998-64"</x:f>
        <x:v>326.694.998-64</x:v>
      </x:c>
      <x:c r="W823" s="22" t="str">
        <x:f>"32669499864"</x:f>
        <x:v>32669499864</x:v>
      </x:c>
      <x:c r="X823" s="23" t="str">
        <x:v>diego.jece@gmail.com</x:v>
      </x:c>
      <x:c r="Y823" s="22" t="str">
        <x:f>"1799669-0007"</x:f>
        <x:v>1799669-0007</x:v>
      </x:c>
      <x:c r="Z823" s="30" t="n">
        <x:v>46252</x:v>
      </x:c>
    </x:row>
    <x:row r="824" ht="18" customHeight="1">
      <x:c r="A824" s="22" t="str">
        <x:f>"21e2e2af-7970-4838-809f-d1ee8bab2c11"</x:f>
        <x:v>21e2e2af-7970-4838-809f-d1ee8bab2c11</x:v>
      </x:c>
      <x:c r="B824" s="23" t="str">
        <x:v>DIEGO HENRIQUE LOPES DE OLIVEIRA</x:v>
      </x:c>
      <x:c r="C824" s="23" t="str">
        <x:v>diego henrique lopes de oliveira</x:v>
      </x:c>
      <x:c r="D824" s="22" t="str">
        <x:f>"50.706.568/0001-09"</x:f>
        <x:v>50.706.568/0001-09</x:v>
      </x:c>
      <x:c r="E824" s="22" t="str">
        <x:f>"50706568000109"</x:f>
        <x:v>50706568000109</x:v>
      </x:c>
      <x:c r="F824" s="22" t="str">
        <x:f>"347.926.508-10"</x:f>
        <x:v>347.926.508-10</x:v>
      </x:c>
      <x:c r="G824" s="22" t="str">
        <x:f>"34792650810"</x:f>
        <x:v>34792650810</x:v>
      </x:c>
      <x:c r="H824" s="23" t="str">
        <x:v>diegolopes190487@gmail.com</x:v>
      </x:c>
      <x:c r="I824" s="22" t="str">
        <x:f>"11913431965"</x:f>
        <x:v>11913431965</x:v>
      </x:c>
      <x:c r="J824" s="23" t="str">
        <x:v>RENTAL</x:v>
      </x:c>
      <x:c r="K824" s="23" t="str">
        <x:v>rental_company</x:v>
      </x:c>
      <x:c r="L824" s="24" t="b">
        <x:v>1</x:v>
      </x:c>
      <x:c r="M824" s="23" t="n">
        <x:v>1</x:v>
      </x:c>
      <x:c r="N824" s="28" t="n">
        <x:v>46203.92189965278</x:v>
      </x:c>
      <x:c r="O824" s="28" t="n">
        <x:v>46219.812988715275</x:v>
      </x:c>
      <x:c r="P824" s="23" t="str">
        <x:v>MADEIRA MADEIRA</x:v>
      </x:c>
      <x:c r="Q824" s="30" t="n">
        <x:v>31886</x:v>
      </x:c>
      <x:c r="R824" s="22" t="str">
        <x:f>"454287781"</x:f>
        <x:v>454287781</x:v>
      </x:c>
      <x:c r="S824" s="23" t="str">
        <x:v>masculino</x:v>
      </x:c>
      <x:c r="T824" s="22" t="str"/>
      <x:c r="U824" s="23" t="str">
        <x:v>DIEGO HENRIQUE LOPES DE OLIVEIRA</x:v>
      </x:c>
      <x:c r="V824" s="22" t="str">
        <x:f>"347.926.508-10"</x:f>
        <x:v>347.926.508-10</x:v>
      </x:c>
      <x:c r="W824" s="22" t="str">
        <x:f>"34792650810"</x:f>
        <x:v>34792650810</x:v>
      </x:c>
      <x:c r="X824" s="23" t="str">
        <x:v>diegolopes190487@gmail.com</x:v>
      </x:c>
      <x:c r="Y824" s="22" t="str">
        <x:f>"11913431965"</x:f>
        <x:v>11913431965</x:v>
      </x:c>
      <x:c r="Z824" s="30" t="n">
        <x:v>46357</x:v>
      </x:c>
    </x:row>
    <x:row r="825" ht="18" customHeight="1">
      <x:c r="A825" s="22" t="str">
        <x:f>"00ec0ca7-16d5-4350-b6cf-9e81df02436f"</x:f>
        <x:v>00ec0ca7-16d5-4350-b6cf-9e81df02436f</x:v>
      </x:c>
      <x:c r="B825" s="23" t="str">
        <x:v>DIEGO HIROSHI OKUBO</x:v>
      </x:c>
      <x:c r="C825" s="23" t="str">
        <x:v>diego hiroshi okubo</x:v>
      </x:c>
      <x:c r="D825" s="22" t="str">
        <x:f>"60.896.799/0001-78"</x:f>
        <x:v>60.896.799/0001-78</x:v>
      </x:c>
      <x:c r="E825" s="22" t="str">
        <x:f>"60896799000178"</x:f>
        <x:v>60896799000178</x:v>
      </x:c>
      <x:c r="F825" s="22" t="str">
        <x:f>"067.516.646-21"</x:f>
        <x:v>067.516.646-21</x:v>
      </x:c>
      <x:c r="G825" s="22" t="str">
        <x:f>"06751664621"</x:f>
        <x:v>06751664621</x:v>
      </x:c>
      <x:c r="H825" s="23" t="str">
        <x:v>okubodovalle@gmail.com</x:v>
      </x:c>
      <x:c r="I825" s="22" t="str">
        <x:f>"12 99666-9791"</x:f>
        <x:v>12 99666-9791</x:v>
      </x:c>
      <x:c r="J825" s="23" t="str">
        <x:v>RENTAL</x:v>
      </x:c>
      <x:c r="K825" s="23" t="str">
        <x:v>rental_company</x:v>
      </x:c>
      <x:c r="L825" s="24" t="b">
        <x:v>1</x:v>
      </x:c>
      <x:c r="M825" s="23" t="n">
        <x:v>1</x:v>
      </x:c>
      <x:c r="N825" s="28" t="n">
        <x:v>46203.92186888889</x:v>
      </x:c>
      <x:c r="O825" s="28" t="n">
        <x:v>46219.812988715275</x:v>
      </x:c>
      <x:c r="P825" s="23" t="str">
        <x:v>POUSO ALEGRE</x:v>
      </x:c>
      <x:c r="Q825" s="30" t="n">
        <x:v>30713</x:v>
      </x:c>
      <x:c r="R825" s="22" t="str">
        <x:f>"423673907"</x:f>
        <x:v>423673907</x:v>
      </x:c>
      <x:c r="S825" s="23" t="str">
        <x:v>masculino</x:v>
      </x:c>
      <x:c r="T825" s="22" t="str"/>
      <x:c r="U825" s="23" t="str">
        <x:v>DIEGO HIROSHI OKUBO</x:v>
      </x:c>
      <x:c r="V825" s="22" t="str">
        <x:f>"067.516.646-21"</x:f>
        <x:v>067.516.646-21</x:v>
      </x:c>
      <x:c r="W825" s="22" t="str">
        <x:f>"06751664621"</x:f>
        <x:v>06751664621</x:v>
      </x:c>
      <x:c r="X825" s="23" t="str">
        <x:v>okubodovalle@gmail.com</x:v>
      </x:c>
      <x:c r="Y825" s="22" t="str">
        <x:f>"12 99666-9791"</x:f>
        <x:v>12 99666-9791</x:v>
      </x:c>
      <x:c r="Z825" s="30" t="n">
        <x:v>46295</x:v>
      </x:c>
    </x:row>
    <x:row r="826" ht="18" customHeight="1">
      <x:c r="A826" s="22" t="str">
        <x:f>"49041ee5-f0ab-4562-afc0-c3562962198e"</x:f>
        <x:v>49041ee5-f0ab-4562-afc0-c3562962198e</x:v>
      </x:c>
      <x:c r="B826" s="23" t="str">
        <x:v>DIEGO JOSE DA ROCHA QUEIROZ</x:v>
      </x:c>
      <x:c r="C826" s="23" t="str">
        <x:v>diego jose da rocha queiroz</x:v>
      </x:c>
      <x:c r="D826" s="22" t="str">
        <x:f>"64.787.656/0001-89"</x:f>
        <x:v>64.787.656/0001-89</x:v>
      </x:c>
      <x:c r="E826" s="22" t="str">
        <x:f>"64787656000189"</x:f>
        <x:v>64787656000189</x:v>
      </x:c>
      <x:c r="F826" s="22" t="str">
        <x:f>"898.795.111-15"</x:f>
        <x:v>898.795.111-15</x:v>
      </x:c>
      <x:c r="G826" s="22" t="str">
        <x:f>"89879511115"</x:f>
        <x:v>89879511115</x:v>
      </x:c>
      <x:c r="H826" s="23" t="str">
        <x:v>diego.queiroz620@gmail.com</x:v>
      </x:c>
      <x:c r="I826" s="22" t="str">
        <x:f>"(65) 99695 4716"</x:f>
        <x:v>(65) 99695 4716</x:v>
      </x:c>
      <x:c r="J826" s="23" t="str">
        <x:v>SPOT</x:v>
      </x:c>
      <x:c r="K826" s="23" t="str">
        <x:v>favored_only</x:v>
      </x:c>
      <x:c r="L826" s="24" t="b">
        <x:v>1</x:v>
      </x:c>
      <x:c r="M826" s="23" t="n">
        <x:v>1</x:v>
      </x:c>
      <x:c r="N826" s="28" t="n">
        <x:v>46219.812988715275</x:v>
      </x:c>
      <x:c r="O826" s="28" t="n">
        <x:v>46219.812988715275</x:v>
      </x:c>
      <x:c r="P826" s="23" t="str">
        <x:v>CÁCERES</x:v>
      </x:c>
      <x:c r="Q826" s="30" t="n">
        <x:v>29984</x:v>
      </x:c>
      <x:c r="R826" s="22" t="str">
        <x:f>"13260014"</x:f>
        <x:v>13260014</x:v>
      </x:c>
      <x:c r="S826" s="23" t="str">
        <x:v>masculino</x:v>
      </x:c>
      <x:c r="T826" s="22" t="str">
        <x:f>"obs6965"</x:f>
        <x:v>obs6965</x:v>
      </x:c>
      <x:c r="U826" s="23" t="str">
        <x:v>DIEGO JOSE DA ROCHA QUEIROZ</x:v>
      </x:c>
      <x:c r="V826" s="22" t="str">
        <x:f>"898.795.111-15"</x:f>
        <x:v>898.795.111-15</x:v>
      </x:c>
      <x:c r="W826" s="22" t="str">
        <x:f>"89879511115"</x:f>
        <x:v>89879511115</x:v>
      </x:c>
      <x:c r="X826" s="23" t="str">
        <x:v>diego.queiroz620@gmail.com</x:v>
      </x:c>
      <x:c r="Y826" s="22" t="str">
        <x:f>"(65) 99695 4716"</x:f>
        <x:v>(65) 99695 4716</x:v>
      </x:c>
      <x:c r="Z826" s="30" t="n">
        <x:v>46504</x:v>
      </x:c>
    </x:row>
    <x:row r="827" ht="18" customHeight="1">
      <x:c r="A827" s="22" t="str">
        <x:f>"3a5d8e57-a691-4768-b39a-c94fa15167a8"</x:f>
        <x:v>3a5d8e57-a691-4768-b39a-c94fa15167a8</x:v>
      </x:c>
      <x:c r="B827" s="23" t="str">
        <x:v>DIEGO JOSE FERREIRA PERES</x:v>
      </x:c>
      <x:c r="C827" s="23" t="str">
        <x:v>diego jose ferreira peres</x:v>
      </x:c>
      <x:c r="D827" s="22" t="str">
        <x:f>"61.377.820/0001-91"</x:f>
        <x:v>61.377.820/0001-91</x:v>
      </x:c>
      <x:c r="E827" s="22" t="str">
        <x:f>"61377820000191"</x:f>
        <x:v>61377820000191</x:v>
      </x:c>
      <x:c r="F827" s="22" t="str">
        <x:f>"087.574.796-58"</x:f>
        <x:v>087.574.796-58</x:v>
      </x:c>
      <x:c r="G827" s="22" t="str">
        <x:f>"08757479658"</x:f>
        <x:v>08757479658</x:v>
      </x:c>
      <x:c r="H827" s="23" t="str">
        <x:v>diegojosetaua@gmail.com</x:v>
      </x:c>
      <x:c r="I827" s="22" t="str">
        <x:f>"34 9826-3533"</x:f>
        <x:v>34 9826-3533</x:v>
      </x:c>
      <x:c r="J827" s="23" t="str">
        <x:v>SPOT</x:v>
      </x:c>
      <x:c r="K827" s="23" t="str">
        <x:v>favored_only</x:v>
      </x:c>
      <x:c r="L827" s="24" t="b">
        <x:v>1</x:v>
      </x:c>
      <x:c r="M827" s="23" t="n">
        <x:v>1</x:v>
      </x:c>
      <x:c r="N827" s="28" t="n">
        <x:v>46219.812988715275</x:v>
      </x:c>
      <x:c r="O827" s="28" t="n">
        <x:v>46219.812988715275</x:v>
      </x:c>
      <x:c r="P827" s="23" t="str">
        <x:v>PATOS DE MINAS</x:v>
      </x:c>
      <x:c r="Q827" s="30" t="n">
        <x:v>31656</x:v>
      </x:c>
      <x:c r="R827" s="22" t="str">
        <x:f>"MG17143682"</x:f>
        <x:v>MG17143682</x:v>
      </x:c>
      <x:c r="S827" s="23" t="str">
        <x:v>masculino</x:v>
      </x:c>
      <x:c r="T827" s="22" t="str">
        <x:f>"UIV8A47"</x:f>
        <x:v>UIV8A47</x:v>
      </x:c>
      <x:c r="U827" s="23" t="str">
        <x:v>DIEGO JOSE FERREIRA PERES</x:v>
      </x:c>
      <x:c r="V827" s="22" t="str">
        <x:f>"087.574.796-58"</x:f>
        <x:v>087.574.796-58</x:v>
      </x:c>
      <x:c r="W827" s="22" t="str">
        <x:f>"08757479658"</x:f>
        <x:v>08757479658</x:v>
      </x:c>
      <x:c r="X827" s="23" t="str">
        <x:v>diegojosetaua@gmail.com</x:v>
      </x:c>
      <x:c r="Y827" s="22" t="str">
        <x:f>"34 9826-3533"</x:f>
        <x:v>34 9826-3533</x:v>
      </x:c>
      <x:c r="Z827" s="30" t="n">
        <x:v>46567</x:v>
      </x:c>
    </x:row>
    <x:row r="828" ht="18" customHeight="1">
      <x:c r="A828" s="22" t="str">
        <x:f>"9e29b28a-b084-46c3-85ad-470d93cb1cbe"</x:f>
        <x:v>9e29b28a-b084-46c3-85ad-470d93cb1cbe</x:v>
      </x:c>
      <x:c r="B828" s="23" t="str">
        <x:v>DIEGO LOPES DA SILVA</x:v>
      </x:c>
      <x:c r="C828" s="23" t="str">
        <x:v>diego lopes da silva</x:v>
      </x:c>
      <x:c r="D828" s="22" t="str">
        <x:f>"59.099.173/0001-51"</x:f>
        <x:v>59.099.173/0001-51</x:v>
      </x:c>
      <x:c r="E828" s="22" t="str">
        <x:f>"59099173000151"</x:f>
        <x:v>59099173000151</x:v>
      </x:c>
      <x:c r="F828" s="22" t="str">
        <x:f>"402.404.008-10"</x:f>
        <x:v>402.404.008-10</x:v>
      </x:c>
      <x:c r="G828" s="22" t="str">
        <x:f>"40240400810"</x:f>
        <x:v>40240400810</x:v>
      </x:c>
      <x:c r="H828" s="23" t="str">
        <x:v>di_tj2008@hotmail.com</x:v>
      </x:c>
      <x:c r="I828" s="22" t="str">
        <x:f>"11 921577227"</x:f>
        <x:v>11 921577227</x:v>
      </x:c>
      <x:c r="J828" s="23" t="str">
        <x:v>SPOT</x:v>
      </x:c>
      <x:c r="K828" s="23" t="str">
        <x:v>favored_only</x:v>
      </x:c>
      <x:c r="L828" s="24" t="b">
        <x:v>1</x:v>
      </x:c>
      <x:c r="M828" s="23" t="n">
        <x:v>2</x:v>
      </x:c>
      <x:c r="N828" s="28" t="n">
        <x:v>46203.921858726855</x:v>
      </x:c>
      <x:c r="O828" s="28" t="n">
        <x:v>46219.812988715275</x:v>
      </x:c>
      <x:c r="P828" s="23" t="str">
        <x:v>BARUERI</x:v>
      </x:c>
      <x:c r="Q828" s="30" t="n">
        <x:v>34162</x:v>
      </x:c>
      <x:c r="R828" s="22" t="str">
        <x:f>"494197420"</x:f>
        <x:v>494197420</x:v>
      </x:c>
      <x:c r="S828" s="23" t="str">
        <x:v>masculino</x:v>
      </x:c>
      <x:c r="T828" s="22" t="str">
        <x:f>"DWT9239"</x:f>
        <x:v>DWT9239</x:v>
      </x:c>
      <x:c r="U828" s="23" t="str">
        <x:v>DIEGO LOPES DA SILVA</x:v>
      </x:c>
      <x:c r="V828" s="22" t="str">
        <x:f>"402.404.008-10"</x:f>
        <x:v>402.404.008-10</x:v>
      </x:c>
      <x:c r="W828" s="22" t="str">
        <x:f>"40240400810"</x:f>
        <x:v>40240400810</x:v>
      </x:c>
      <x:c r="X828" s="23" t="str">
        <x:v>di_tj2008@hotmail.com</x:v>
      </x:c>
      <x:c r="Y828" s="22" t="str">
        <x:f>"11 921577227"</x:f>
        <x:v>11 921577227</x:v>
      </x:c>
      <x:c r="Z828" s="30" t="n">
        <x:v>46298</x:v>
      </x:c>
    </x:row>
    <x:row r="829" ht="18" customHeight="1">
      <x:c r="A829" s="22" t="str">
        <x:f>"2c05da8c-e44e-469c-8692-5c507fd871cf"</x:f>
        <x:v>2c05da8c-e44e-469c-8692-5c507fd871cf</x:v>
      </x:c>
      <x:c r="B829" s="23" t="str">
        <x:v>DIEGO MARTINS DA SILVA</x:v>
      </x:c>
      <x:c r="C829" s="23" t="str">
        <x:v>diego martins da silva</x:v>
      </x:c>
      <x:c r="D829" s="22" t="str">
        <x:f>"371503700001-15"</x:f>
        <x:v>371503700001-15</x:v>
      </x:c>
      <x:c r="E829" s="22" t="str">
        <x:f>"37150370000115"</x:f>
        <x:v>37150370000115</x:v>
      </x:c>
      <x:c r="F829" s="22" t="str">
        <x:f>"01210562103"</x:f>
        <x:v>01210562103</x:v>
      </x:c>
      <x:c r="G829" s="22" t="str">
        <x:f>"01210562103"</x:f>
        <x:v>01210562103</x:v>
      </x:c>
      <x:c r="H829" s="23" t="str">
        <x:v>coorddiegomartins@gmail.com</x:v>
      </x:c>
      <x:c r="I829" s="22" t="str">
        <x:f>"65999021326"</x:f>
        <x:v>65999021326</x:v>
      </x:c>
      <x:c r="J829" s="23" t="str">
        <x:v>SPOT</x:v>
      </x:c>
      <x:c r="K829" s="23" t="str">
        <x:v>favored_only</x:v>
      </x:c>
      <x:c r="L829" s="24" t="b">
        <x:v>1</x:v>
      </x:c>
      <x:c r="M829" s="23" t="n">
        <x:v>1</x:v>
      </x:c>
      <x:c r="N829" s="28" t="n">
        <x:v>46203.92191240741</x:v>
      </x:c>
      <x:c r="O829" s="28" t="n">
        <x:v>46203.92191240741</x:v>
      </x:c>
      <x:c r="P829" s="23" t="str"/>
      <x:c r="Q829" s="30" t="str"/>
      <x:c r="R829" s="22" t="str"/>
      <x:c r="S829" s="23" t="str"/>
      <x:c r="T829" s="22" t="str"/>
      <x:c r="U829" s="23" t="str">
        <x:v>DIEGO MARTINS DA SILVA</x:v>
      </x:c>
      <x:c r="V829" s="22" t="str">
        <x:f>"01210562103"</x:f>
        <x:v>01210562103</x:v>
      </x:c>
      <x:c r="W829" s="22" t="str">
        <x:f>"01210562103"</x:f>
        <x:v>01210562103</x:v>
      </x:c>
      <x:c r="X829" s="23" t="str">
        <x:v>coorddiegomartins@gmail.com</x:v>
      </x:c>
      <x:c r="Y829" s="22" t="str">
        <x:f>"65999021326"</x:f>
        <x:v>65999021326</x:v>
      </x:c>
      <x:c r="Z829" s="30" t="str"/>
    </x:row>
    <x:row r="830" ht="18" customHeight="1">
      <x:c r="A830" s="22" t="str">
        <x:f>"dfff440f-0ec8-417d-97fd-6e86d200cabf"</x:f>
        <x:v>dfff440f-0ec8-417d-97fd-6e86d200cabf</x:v>
      </x:c>
      <x:c r="B830" s="23" t="str">
        <x:v>DIEGO NUNES DOS SANTOS</x:v>
      </x:c>
      <x:c r="C830" s="23" t="str">
        <x:v>diego nunes dos santos</x:v>
      </x:c>
      <x:c r="D830" s="22" t="str">
        <x:f>"25.245.350/0001-49"</x:f>
        <x:v>25.245.350/0001-49</x:v>
      </x:c>
      <x:c r="E830" s="22" t="str">
        <x:f>"25245350000149"</x:f>
        <x:v>25245350000149</x:v>
      </x:c>
      <x:c r="F830" s="22" t="str">
        <x:f>"008.478.401-66"</x:f>
        <x:v>008.478.401-66</x:v>
      </x:c>
      <x:c r="G830" s="22" t="str">
        <x:f>"00847840166"</x:f>
        <x:v>00847840166</x:v>
      </x:c>
      <x:c r="H830" s="23" t="str">
        <x:v>diegonunesmaster@gmail.com</x:v>
      </x:c>
      <x:c r="I830" s="22" t="str">
        <x:f>"64974004335"</x:f>
        <x:v>64974004335</x:v>
      </x:c>
      <x:c r="J830" s="23" t="str">
        <x:v>SPOT</x:v>
      </x:c>
      <x:c r="K830" s="23" t="str">
        <x:v>favored_only</x:v>
      </x:c>
      <x:c r="L830" s="24" t="b">
        <x:v>1</x:v>
      </x:c>
      <x:c r="M830" s="23" t="n">
        <x:v>1</x:v>
      </x:c>
      <x:c r="N830" s="28" t="n">
        <x:v>46205.60516443287</x:v>
      </x:c>
      <x:c r="O830" s="28" t="n">
        <x:v>46219.812988715275</x:v>
      </x:c>
      <x:c r="P830" s="23" t="str">
        <x:v>RIO VERDE</x:v>
      </x:c>
      <x:c r="Q830" s="30" t="n">
        <x:v>30825</x:v>
      </x:c>
      <x:c r="R830" s="22" t="str">
        <x:f>"4736672"</x:f>
        <x:v>4736672</x:v>
      </x:c>
      <x:c r="S830" s="23" t="str">
        <x:v>masculino</x:v>
      </x:c>
      <x:c r="T830" s="22" t="str">
        <x:f>"SCS3B92"</x:f>
        <x:v>SCS3B92</x:v>
      </x:c>
      <x:c r="U830" s="23" t="str">
        <x:v>ZENILDA NUNES DOS SANTOS</x:v>
      </x:c>
      <x:c r="V830" s="22" t="str">
        <x:f>"491.319.741-04"</x:f>
        <x:v>491.319.741-04</x:v>
      </x:c>
      <x:c r="W830" s="22" t="str">
        <x:f>"49131974104"</x:f>
        <x:v>49131974104</x:v>
      </x:c>
      <x:c r="X830" s="23" t="str">
        <x:v>Zenildanunesdossantos@gmail.com</x:v>
      </x:c>
      <x:c r="Y830" s="22" t="str">
        <x:f>"6498156-8805"</x:f>
        <x:v>6498156-8805</x:v>
      </x:c>
      <x:c r="Z830" s="30" t="n">
        <x:v>46312</x:v>
      </x:c>
    </x:row>
    <x:row r="831" ht="18" customHeight="1">
      <x:c r="A831" s="22" t="str">
        <x:f>"356768fa-1b28-4a0c-8020-e7db0049f486"</x:f>
        <x:v>356768fa-1b28-4a0c-8020-e7db0049f486</x:v>
      </x:c>
      <x:c r="B831" s="23" t="str">
        <x:v>DIEGO PEREIRA DA SILVA</x:v>
      </x:c>
      <x:c r="C831" s="23" t="str">
        <x:v>diego pereira da silva</x:v>
      </x:c>
      <x:c r="D831" s="22" t="str">
        <x:f>"65.973.918/0001-62"</x:f>
        <x:v>65.973.918/0001-62</x:v>
      </x:c>
      <x:c r="E831" s="22" t="str">
        <x:f>"65973918000162"</x:f>
        <x:v>65973918000162</x:v>
      </x:c>
      <x:c r="F831" s="22" t="str">
        <x:f>"519.359.558-88"</x:f>
        <x:v>519.359.558-88</x:v>
      </x:c>
      <x:c r="G831" s="22" t="str">
        <x:f>"51935955888"</x:f>
        <x:v>51935955888</x:v>
      </x:c>
      <x:c r="H831" s="23" t="str">
        <x:v>diegoopereira009@gmail.com</x:v>
      </x:c>
      <x:c r="I831" s="22" t="str">
        <x:f>"18 981524027"</x:f>
        <x:v>18 981524027</x:v>
      </x:c>
      <x:c r="J831" s="23" t="str">
        <x:v>RENTALS</x:v>
      </x:c>
      <x:c r="K831" s="23" t="str">
        <x:v>rental_company</x:v>
      </x:c>
      <x:c r="L831" s="24" t="b">
        <x:v>1</x:v>
      </x:c>
      <x:c r="M831" s="23" t="n">
        <x:v>1</x:v>
      </x:c>
      <x:c r="N831" s="28" t="n">
        <x:v>46219.812988715275</x:v>
      </x:c>
      <x:c r="O831" s="28" t="n">
        <x:v>46219.812988715275</x:v>
      </x:c>
      <x:c r="P831" s="23" t="str">
        <x:v>PRESIDENTE PRUDENTE</x:v>
      </x:c>
      <x:c r="Q831" s="30" t="n">
        <x:v>37365</x:v>
      </x:c>
      <x:c r="R831" s="22" t="str">
        <x:f>"599000910"</x:f>
        <x:v>599000910</x:v>
      </x:c>
      <x:c r="S831" s="23" t="str">
        <x:v>masculino</x:v>
      </x:c>
      <x:c r="T831" s="22" t="str"/>
      <x:c r="U831" s="23" t="str">
        <x:v>DIEGO PEREIRA DA SILVA</x:v>
      </x:c>
      <x:c r="V831" s="22" t="str">
        <x:f>"519.359.558-88"</x:f>
        <x:v>519.359.558-88</x:v>
      </x:c>
      <x:c r="W831" s="22" t="str">
        <x:f>"51935955888"</x:f>
        <x:v>51935955888</x:v>
      </x:c>
      <x:c r="X831" s="23" t="str">
        <x:v>diegoopereira009@gmail.com</x:v>
      </x:c>
      <x:c r="Y831" s="22" t="str">
        <x:f>"18 981524027"</x:f>
        <x:v>18 981524027</x:v>
      </x:c>
      <x:c r="Z831" s="30" t="n">
        <x:v>46485</x:v>
      </x:c>
    </x:row>
    <x:row r="832" ht="18" customHeight="1">
      <x:c r="A832" s="22" t="str">
        <x:f>"0e2d0312-be72-4aee-aa1a-a356686cf939"</x:f>
        <x:v>0e2d0312-be72-4aee-aa1a-a356686cf939</x:v>
      </x:c>
      <x:c r="B832" s="23" t="str">
        <x:v>DIEGO PIRES CANAVIEIRA</x:v>
      </x:c>
      <x:c r="C832" s="23" t="str">
        <x:v>diego pires canavieira</x:v>
      </x:c>
      <x:c r="D832" s="22" t="str">
        <x:f>"59.563.579/0001-43"</x:f>
        <x:v>59.563.579/0001-43</x:v>
      </x:c>
      <x:c r="E832" s="22" t="str">
        <x:f>"59563579000143"</x:f>
        <x:v>59563579000143</x:v>
      </x:c>
      <x:c r="F832" s="22" t="str">
        <x:f>"021.198.443-48"</x:f>
        <x:v>021.198.443-48</x:v>
      </x:c>
      <x:c r="G832" s="22" t="str">
        <x:f>"02119844348"</x:f>
        <x:v>02119844348</x:v>
      </x:c>
      <x:c r="H832" s="23" t="str">
        <x:v>pirescanavieirad@gmail.com</x:v>
      </x:c>
      <x:c r="I832" s="22" t="str">
        <x:f>"(31) 97192-8154"</x:f>
        <x:v>(31) 97192-8154</x:v>
      </x:c>
      <x:c r="J832" s="23" t="str">
        <x:v>SPOT</x:v>
      </x:c>
      <x:c r="K832" s="23" t="str">
        <x:v>favored_only</x:v>
      </x:c>
      <x:c r="L832" s="24" t="b">
        <x:v>1</x:v>
      </x:c>
      <x:c r="M832" s="23" t="n">
        <x:v>1</x:v>
      </x:c>
      <x:c r="N832" s="28" t="n">
        <x:v>46205.6063287037</x:v>
      </x:c>
      <x:c r="O832" s="28" t="n">
        <x:v>46219.812988715275</x:v>
      </x:c>
      <x:c r="P832" s="23" t="str">
        <x:v>GUANHAES</x:v>
      </x:c>
      <x:c r="Q832" s="30" t="n">
        <x:v>31068</x:v>
      </x:c>
      <x:c r="R832" s="22" t="str">
        <x:f>"22350773"</x:f>
        <x:v>22350773</x:v>
      </x:c>
      <x:c r="S832" s="23" t="str">
        <x:v>masculino</x:v>
      </x:c>
      <x:c r="T832" s="22" t="str">
        <x:f>"HEM7896"</x:f>
        <x:v>HEM7896</x:v>
      </x:c>
      <x:c r="U832" s="23" t="str">
        <x:v>FELIPE BORGES SANTIAGO</x:v>
      </x:c>
      <x:c r="V832" s="22" t="str">
        <x:f>"079.865.596-83"</x:f>
        <x:v>079.865.596-83</x:v>
      </x:c>
      <x:c r="W832" s="22" t="str">
        <x:f>"07986559683"</x:f>
        <x:v>07986559683</x:v>
      </x:c>
      <x:c r="X832" s="23" t="str">
        <x:v>santiago.lipe@gmail.com</x:v>
      </x:c>
      <x:c r="Y832" s="22" t="str">
        <x:f>"31988843193"</x:f>
        <x:v>31988843193</x:v>
      </x:c>
      <x:c r="Z832" s="30" t="n">
        <x:v>46353</x:v>
      </x:c>
    </x:row>
    <x:row r="833" ht="18" customHeight="1">
      <x:c r="A833" s="22" t="str">
        <x:f>"c7948d1a-9348-4a7a-a832-5b802af8cc20"</x:f>
        <x:v>c7948d1a-9348-4a7a-a832-5b802af8cc20</x:v>
      </x:c>
      <x:c r="B833" s="23" t="str">
        <x:v>DIEGO PIRES CANAVIEIRA</x:v>
      </x:c>
      <x:c r="C833" s="23" t="str">
        <x:v>diego pires canavieira</x:v>
      </x:c>
      <x:c r="D833" s="22" t="str">
        <x:f>"61.909.997/0001-91"</x:f>
        <x:v>61.909.997/0001-91</x:v>
      </x:c>
      <x:c r="E833" s="22" t="str">
        <x:f>"61909997000191"</x:f>
        <x:v>61909997000191</x:v>
      </x:c>
      <x:c r="F833" s="22" t="str">
        <x:f>"021.198.443-48"</x:f>
        <x:v>021.198.443-48</x:v>
      </x:c>
      <x:c r="G833" s="22" t="str">
        <x:f>"02119844348"</x:f>
        <x:v>02119844348</x:v>
      </x:c>
      <x:c r="H833" s="23" t="str">
        <x:v>pireacanavieirad@gmail.com</x:v>
      </x:c>
      <x:c r="I833" s="22" t="str">
        <x:f>"31971928154"</x:f>
        <x:v>31971928154</x:v>
      </x:c>
      <x:c r="J833" s="23" t="str">
        <x:v>SPOT</x:v>
      </x:c>
      <x:c r="K833" s="23" t="str">
        <x:v>favored_only</x:v>
      </x:c>
      <x:c r="L833" s="24" t="b">
        <x:v>1</x:v>
      </x:c>
      <x:c r="M833" s="23" t="n">
        <x:v>1</x:v>
      </x:c>
      <x:c r="N833" s="28" t="n">
        <x:v>46205.60561262732</x:v>
      </x:c>
      <x:c r="O833" s="28" t="n">
        <x:v>46219.812988715275</x:v>
      </x:c>
      <x:c r="P833" s="23" t="str">
        <x:v>GUANHAES</x:v>
      </x:c>
      <x:c r="Q833" s="30" t="n">
        <x:v>31068</x:v>
      </x:c>
      <x:c r="R833" s="22" t="str">
        <x:f>"22350773"</x:f>
        <x:v>22350773</x:v>
      </x:c>
      <x:c r="S833" s="23" t="str">
        <x:v>masculino</x:v>
      </x:c>
      <x:c r="T833" s="22" t="str">
        <x:f>"PXI4G82"</x:f>
        <x:v>PXI4G82</x:v>
      </x:c>
      <x:c r="U833" s="23" t="str">
        <x:v>LILLIAM CARVALHO SILVEIRA</x:v>
      </x:c>
      <x:c r="V833" s="22" t="str">
        <x:f>"037.667.696-50"</x:f>
        <x:v>037.667.696-50</x:v>
      </x:c>
      <x:c r="W833" s="22" t="str">
        <x:f>"03766769650"</x:f>
        <x:v>03766769650</x:v>
      </x:c>
      <x:c r="X833" s="23" t="str">
        <x:v>entregasrapidaslcs@gmail.com</x:v>
      </x:c>
      <x:c r="Y833" s="22" t="str">
        <x:f>"31 998634473"</x:f>
        <x:v>31 998634473</x:v>
      </x:c>
      <x:c r="Z833" s="30" t="n">
        <x:v>46329</x:v>
      </x:c>
    </x:row>
    <x:row r="834" ht="18" customHeight="1">
      <x:c r="A834" s="22" t="str">
        <x:f>"15155ff5-747b-4a0e-8ced-a7817aade564"</x:f>
        <x:v>15155ff5-747b-4a0e-8ced-a7817aade564</x:v>
      </x:c>
      <x:c r="B834" s="23" t="str">
        <x:v>DIEGO RIBEIRO DE ABREU GARRETO</x:v>
      </x:c>
      <x:c r="C834" s="23" t="str">
        <x:v>diego ribeiro de abreu garreto</x:v>
      </x:c>
      <x:c r="D834" s="22" t="str">
        <x:f>"65.319.291/0001-20"</x:f>
        <x:v>65.319.291/0001-20</x:v>
      </x:c>
      <x:c r="E834" s="22" t="str">
        <x:f>"65319291000120"</x:f>
        <x:v>65319291000120</x:v>
      </x:c>
      <x:c r="F834" s="22" t="str">
        <x:f>"144.640.727-63"</x:f>
        <x:v>144.640.727-63</x:v>
      </x:c>
      <x:c r="G834" s="22" t="str">
        <x:f>"14464072763"</x:f>
        <x:v>14464072763</x:v>
      </x:c>
      <x:c r="H834" s="23" t="str">
        <x:v>diegogarreto.kd@gmail.com</x:v>
      </x:c>
      <x:c r="I834" s="22" t="str">
        <x:f>"21987594725"</x:f>
        <x:v>21987594725</x:v>
      </x:c>
      <x:c r="J834" s="23" t="str">
        <x:v>SPOT</x:v>
      </x:c>
      <x:c r="K834" s="23" t="str">
        <x:v>favored_only</x:v>
      </x:c>
      <x:c r="L834" s="24" t="b">
        <x:v>1</x:v>
      </x:c>
      <x:c r="M834" s="23" t="n">
        <x:v>1</x:v>
      </x:c>
      <x:c r="N834" s="28" t="n">
        <x:v>46219.812988715275</x:v>
      </x:c>
      <x:c r="O834" s="28" t="n">
        <x:v>46219.812988715275</x:v>
      </x:c>
      <x:c r="P834" s="23" t="str">
        <x:v>CORDOVIL</x:v>
      </x:c>
      <x:c r="Q834" s="30" t="n">
        <x:v>33712</x:v>
      </x:c>
      <x:c r="R834" s="22" t="str">
        <x:f>"206464174"</x:f>
        <x:v>206464174</x:v>
      </x:c>
      <x:c r="S834" s="23" t="str">
        <x:v>masculino</x:v>
      </x:c>
      <x:c r="T834" s="22" t="str">
        <x:f>"QUA5J70"</x:f>
        <x:v>QUA5J70</x:v>
      </x:c>
      <x:c r="U834" s="23" t="str">
        <x:v>DIEGO RIBEIRO DE ABREU GARRETO</x:v>
      </x:c>
      <x:c r="V834" s="22" t="str">
        <x:f>"144.640.727-63"</x:f>
        <x:v>144.640.727-63</x:v>
      </x:c>
      <x:c r="W834" s="22" t="str">
        <x:f>"14464072763"</x:f>
        <x:v>14464072763</x:v>
      </x:c>
      <x:c r="X834" s="23" t="str">
        <x:v>diegogarreto.kd@gmail.com</x:v>
      </x:c>
      <x:c r="Y834" s="22" t="str">
        <x:f>"21987594725"</x:f>
        <x:v>21987594725</x:v>
      </x:c>
      <x:c r="Z834" s="30" t="n">
        <x:v>46452</x:v>
      </x:c>
    </x:row>
    <x:row r="835" ht="18" customHeight="1">
      <x:c r="A835" s="22" t="str">
        <x:f>"b4b16d07-88a2-42f6-8aa7-1a5fe5e3c8a9"</x:f>
        <x:v>b4b16d07-88a2-42f6-8aa7-1a5fe5e3c8a9</x:v>
      </x:c>
      <x:c r="B835" s="23" t="str">
        <x:v>DIEGO SANTIAGO DA SILVA</x:v>
      </x:c>
      <x:c r="C835" s="23" t="str">
        <x:v>diego santiago da silva</x:v>
      </x:c>
      <x:c r="D835" s="22" t="str">
        <x:f>"52.980.418/0001-06"</x:f>
        <x:v>52.980.418/0001-06</x:v>
      </x:c>
      <x:c r="E835" s="22" t="str">
        <x:f>"52980418000106"</x:f>
        <x:v>52980418000106</x:v>
      </x:c>
      <x:c r="F835" s="22" t="str">
        <x:f>"453.634.938-37"</x:f>
        <x:v>453.634.938-37</x:v>
      </x:c>
      <x:c r="G835" s="22" t="str">
        <x:f>"45363493837"</x:f>
        <x:v>45363493837</x:v>
      </x:c>
      <x:c r="H835" s="23" t="str">
        <x:v>Diego.santiago.silva@hotmail.com</x:v>
      </x:c>
      <x:c r="I835" s="22" t="str">
        <x:f>"11915123772"</x:f>
        <x:v>11915123772</x:v>
      </x:c>
      <x:c r="J835" s="23" t="str">
        <x:v>RENTAL</x:v>
      </x:c>
      <x:c r="K835" s="23" t="str">
        <x:v>rental_company</x:v>
      </x:c>
      <x:c r="L835" s="24" t="b">
        <x:v>1</x:v>
      </x:c>
      <x:c r="M835" s="23" t="n">
        <x:v>1</x:v>
      </x:c>
      <x:c r="N835" s="28" t="n">
        <x:v>46219.812988715275</x:v>
      </x:c>
      <x:c r="O835" s="28" t="n">
        <x:v>46219.812988715275</x:v>
      </x:c>
      <x:c r="P835" s="23" t="str">
        <x:v>BARUERI</x:v>
      </x:c>
      <x:c r="Q835" s="30" t="n">
        <x:v>34783</x:v>
      </x:c>
      <x:c r="R835" s="22" t="str">
        <x:f>"490088739"</x:f>
        <x:v>490088739</x:v>
      </x:c>
      <x:c r="S835" s="23" t="str">
        <x:v>masculino</x:v>
      </x:c>
      <x:c r="T835" s="22" t="str"/>
      <x:c r="U835" s="23" t="str">
        <x:v>DIEGO SANTIAGO DA SILVA</x:v>
      </x:c>
      <x:c r="V835" s="22" t="str">
        <x:f>"453.634.938-37"</x:f>
        <x:v>453.634.938-37</x:v>
      </x:c>
      <x:c r="W835" s="22" t="str">
        <x:f>"45363493837"</x:f>
        <x:v>45363493837</x:v>
      </x:c>
      <x:c r="X835" s="23" t="str">
        <x:v>Diego.santiago.silva@hotmail.com</x:v>
      </x:c>
      <x:c r="Y835" s="22" t="str">
        <x:f>"11915123772"</x:f>
        <x:v>11915123772</x:v>
      </x:c>
      <x:c r="Z835" s="30" t="n">
        <x:v>46583</x:v>
      </x:c>
    </x:row>
    <x:row r="836" ht="18" customHeight="1">
      <x:c r="A836" s="22" t="str">
        <x:f>"bc5cf53e-eb34-4c66-850b-d914391129bd"</x:f>
        <x:v>bc5cf53e-eb34-4c66-850b-d914391129bd</x:v>
      </x:c>
      <x:c r="B836" s="23" t="str">
        <x:v>DIEGO SOUZA CORREIA</x:v>
      </x:c>
      <x:c r="C836" s="23" t="str">
        <x:v>diego souza correia</x:v>
      </x:c>
      <x:c r="D836" s="22" t="str">
        <x:f>"51.669.418/0001-27"</x:f>
        <x:v>51.669.418/0001-27</x:v>
      </x:c>
      <x:c r="E836" s="22" t="str">
        <x:f>"51669418000127"</x:f>
        <x:v>51669418000127</x:v>
      </x:c>
      <x:c r="F836" s="22" t="str">
        <x:f>"094.297.266-09"</x:f>
        <x:v>094.297.266-09</x:v>
      </x:c>
      <x:c r="G836" s="22" t="str">
        <x:f>"09429726609"</x:f>
        <x:v>09429726609</x:v>
      </x:c>
      <x:c r="H836" s="23" t="str">
        <x:v>diesouza@gmail.com</x:v>
      </x:c>
      <x:c r="I836" s="22" t="str">
        <x:f>"17 9 991081996"</x:f>
        <x:v>17 9 991081996</x:v>
      </x:c>
      <x:c r="J836" s="23" t="str">
        <x:v>SPOT</x:v>
      </x:c>
      <x:c r="K836" s="23" t="str">
        <x:v>favored_only</x:v>
      </x:c>
      <x:c r="L836" s="24" t="b">
        <x:v>1</x:v>
      </x:c>
      <x:c r="M836" s="23" t="n">
        <x:v>1</x:v>
      </x:c>
      <x:c r="N836" s="28" t="n">
        <x:v>46203.921858726855</x:v>
      </x:c>
      <x:c r="O836" s="28" t="n">
        <x:v>46219.812988715275</x:v>
      </x:c>
      <x:c r="P836" s="23" t="str">
        <x:v>SÃO JOSE DO RIO PRETO</x:v>
      </x:c>
      <x:c r="Q836" s="30" t="n">
        <x:v>32733</x:v>
      </x:c>
      <x:c r="R836" s="22" t="str">
        <x:f>"MG14370182"</x:f>
        <x:v>MG14370182</x:v>
      </x:c>
      <x:c r="S836" s="23" t="str">
        <x:v>masculino</x:v>
      </x:c>
      <x:c r="T836" s="22" t="str">
        <x:f>"OQR5799"</x:f>
        <x:v>OQR5799</x:v>
      </x:c>
      <x:c r="U836" s="23" t="str">
        <x:v>DIEGO SOUZA CORREIA</x:v>
      </x:c>
      <x:c r="V836" s="22" t="str">
        <x:f>"094.297.266-09"</x:f>
        <x:v>094.297.266-09</x:v>
      </x:c>
      <x:c r="W836" s="22" t="str">
        <x:f>"09429726609"</x:f>
        <x:v>09429726609</x:v>
      </x:c>
      <x:c r="X836" s="23" t="str">
        <x:v>diesouza@gmail.com</x:v>
      </x:c>
      <x:c r="Y836" s="22" t="str">
        <x:f>"17 9 991081996"</x:f>
        <x:v>17 9 991081996</x:v>
      </x:c>
      <x:c r="Z836" s="30" t="n">
        <x:v>46267</x:v>
      </x:c>
    </x:row>
    <x:row r="837" ht="18" customHeight="1">
      <x:c r="A837" s="22" t="str">
        <x:f>"16e0fb50-06a6-4e6d-ae37-2af71b5b61c8"</x:f>
        <x:v>16e0fb50-06a6-4e6d-ae37-2af71b5b61c8</x:v>
      </x:c>
      <x:c r="B837" s="23" t="str">
        <x:v>DIEGO VITOR CAMARGO SENA</x:v>
      </x:c>
      <x:c r="C837" s="23" t="str">
        <x:v>diego vitor camargo sena</x:v>
      </x:c>
      <x:c r="D837" s="22" t="str">
        <x:f>"61.750.749/0001-40"</x:f>
        <x:v>61.750.749/0001-40</x:v>
      </x:c>
      <x:c r="E837" s="22" t="str">
        <x:f>"61750749000140"</x:f>
        <x:v>61750749000140</x:v>
      </x:c>
      <x:c r="F837" s="22" t="str">
        <x:f>"109.225.506-03"</x:f>
        <x:v>109.225.506-03</x:v>
      </x:c>
      <x:c r="G837" s="22" t="str">
        <x:f>"10922550603"</x:f>
        <x:v>10922550603</x:v>
      </x:c>
      <x:c r="H837" s="23" t="str">
        <x:v>diegocamargosena@hotmail.com</x:v>
      </x:c>
      <x:c r="I837" s="22" t="str">
        <x:f>"+55 33 9932-5290"</x:f>
        <x:v>+55 33 9932-5290</x:v>
      </x:c>
      <x:c r="J837" s="23" t="str">
        <x:v>SPOT</x:v>
      </x:c>
      <x:c r="K837" s="23" t="str">
        <x:v>favored_only</x:v>
      </x:c>
      <x:c r="L837" s="24" t="b">
        <x:v>1</x:v>
      </x:c>
      <x:c r="M837" s="23" t="n">
        <x:v>1</x:v>
      </x:c>
      <x:c r="N837" s="28" t="n">
        <x:v>46205.60561489583</x:v>
      </x:c>
      <x:c r="O837" s="28" t="n">
        <x:v>46219.812988715275</x:v>
      </x:c>
      <x:c r="P837" s="23" t="str">
        <x:v>GUANHAES</x:v>
      </x:c>
      <x:c r="Q837" s="30" t="n">
        <x:v>34053</x:v>
      </x:c>
      <x:c r="R837" s="22" t="str">
        <x:f>"17158935"</x:f>
        <x:v>17158935</x:v>
      </x:c>
      <x:c r="S837" s="23" t="str">
        <x:v>masculino</x:v>
      </x:c>
      <x:c r="T837" s="22" t="str">
        <x:f>"HKZ8177"</x:f>
        <x:v>HKZ8177</x:v>
      </x:c>
      <x:c r="U837" s="23" t="str">
        <x:v>WALAKCI ALVES DA SILVA</x:v>
      </x:c>
      <x:c r="V837" s="22" t="str">
        <x:f>"162.505.736-90"</x:f>
        <x:v>162.505.736-90</x:v>
      </x:c>
      <x:c r="W837" s="22" t="str">
        <x:f>"16250573690"</x:f>
        <x:v>16250573690</x:v>
      </x:c>
      <x:c r="X837" s="23" t="str">
        <x:v>walakcisilva@gmail.com</x:v>
      </x:c>
      <x:c r="Y837" s="22" t="str">
        <x:f>"31994025585"</x:f>
        <x:v>31994025585</x:v>
      </x:c>
      <x:c r="Z837" s="30" t="n">
        <x:v>46329</x:v>
      </x:c>
    </x:row>
    <x:row r="838" ht="18" customHeight="1">
      <x:c r="A838" s="22" t="str">
        <x:f>"9bb9cf2e-e6aa-45f3-a9c6-7e6f970d8653"</x:f>
        <x:v>9bb9cf2e-e6aa-45f3-a9c6-7e6f970d8653</x:v>
      </x:c>
      <x:c r="B838" s="23" t="str">
        <x:v>DIEGO WILSON DE SOLZA ALVES</x:v>
      </x:c>
      <x:c r="C838" s="23" t="str">
        <x:v>diego wilson de solza alves</x:v>
      </x:c>
      <x:c r="D838" s="22" t="str">
        <x:f>"59.951.957/0001-66"</x:f>
        <x:v>59.951.957/0001-66</x:v>
      </x:c>
      <x:c r="E838" s="22" t="str">
        <x:f>"59951957000166"</x:f>
        <x:v>59951957000166</x:v>
      </x:c>
      <x:c r="F838" s="22" t="str">
        <x:f>"105.902.456-00"</x:f>
        <x:v>105.902.456-00</x:v>
      </x:c>
      <x:c r="G838" s="22" t="str">
        <x:f>"10590245600"</x:f>
        <x:v>10590245600</x:v>
      </x:c>
      <x:c r="H838" s="23" t="str">
        <x:v>diegowilsonsouza91@gmail.com</x:v>
      </x:c>
      <x:c r="I838" s="22" t="str">
        <x:f>"19997136471"</x:f>
        <x:v>19997136471</x:v>
      </x:c>
      <x:c r="J838" s="23" t="str">
        <x:v>RENTAL</x:v>
      </x:c>
      <x:c r="K838" s="23" t="str">
        <x:v>rental_company</x:v>
      </x:c>
      <x:c r="L838" s="24" t="b">
        <x:v>1</x:v>
      </x:c>
      <x:c r="M838" s="23" t="n">
        <x:v>1</x:v>
      </x:c>
      <x:c r="N838" s="28" t="n">
        <x:v>46203.92184908565</x:v>
      </x:c>
      <x:c r="O838" s="28" t="n">
        <x:v>46219.812988715275</x:v>
      </x:c>
      <x:c r="P838" s="23" t="str">
        <x:v>POUSO ALEGRE</x:v>
      </x:c>
      <x:c r="Q838" s="30" t="n">
        <x:v>33500</x:v>
      </x:c>
      <x:c r="R838" s="22" t="str">
        <x:f>"13980033"</x:f>
        <x:v>13980033</x:v>
      </x:c>
      <x:c r="S838" s="23" t="str">
        <x:v>masculino</x:v>
      </x:c>
      <x:c r="T838" s="22" t="str"/>
      <x:c r="U838" s="23" t="str">
        <x:v>DIEGO WILSON DE SOLZA ALVES</x:v>
      </x:c>
      <x:c r="V838" s="22" t="str">
        <x:f>"105.902.456-00"</x:f>
        <x:v>105.902.456-00</x:v>
      </x:c>
      <x:c r="W838" s="22" t="str">
        <x:f>"10590245600"</x:f>
        <x:v>10590245600</x:v>
      </x:c>
      <x:c r="X838" s="23" t="str">
        <x:v>diegowilsonsouza91@gmail.com</x:v>
      </x:c>
      <x:c r="Y838" s="22" t="str">
        <x:f>"19997136471"</x:f>
        <x:v>19997136471</x:v>
      </x:c>
      <x:c r="Z838" s="30" t="n">
        <x:v>46236</x:v>
      </x:c>
    </x:row>
    <x:row r="839" ht="18" customHeight="1">
      <x:c r="A839" s="22" t="str">
        <x:f>"f09414cb-5219-491b-a4cb-9cce7d7127ee"</x:f>
        <x:v>f09414cb-5219-491b-a4cb-9cce7d7127ee</x:v>
      </x:c>
      <x:c r="B839" s="23" t="str">
        <x:v>DIENE ROSELI DA SILVA CORREA</x:v>
      </x:c>
      <x:c r="C839" s="23" t="str">
        <x:v>diene roseli da silva correa</x:v>
      </x:c>
      <x:c r="D839" s="22" t="str">
        <x:f>"59.817.673/0001-81"</x:f>
        <x:v>59.817.673/0001-81</x:v>
      </x:c>
      <x:c r="E839" s="22" t="str">
        <x:f>"59817673000181"</x:f>
        <x:v>59817673000181</x:v>
      </x:c>
      <x:c r="F839" s="22" t="str">
        <x:f>"084.741.186-97"</x:f>
        <x:v>084.741.186-97</x:v>
      </x:c>
      <x:c r="G839" s="22" t="str">
        <x:f>"08474118697"</x:f>
        <x:v>08474118697</x:v>
      </x:c>
      <x:c r="H839" s="23" t="str">
        <x:v>dienetst2014@outlook.com</x:v>
      </x:c>
      <x:c r="I839" s="22" t="str">
        <x:f>"3193118984"</x:f>
        <x:v>3193118984</x:v>
      </x:c>
      <x:c r="J839" s="23" t="str">
        <x:v>SPOT</x:v>
      </x:c>
      <x:c r="K839" s="23" t="str">
        <x:v>favored_only</x:v>
      </x:c>
      <x:c r="L839" s="24" t="b">
        <x:v>1</x:v>
      </x:c>
      <x:c r="M839" s="23" t="n">
        <x:v>1</x:v>
      </x:c>
      <x:c r="N839" s="28" t="n">
        <x:v>46203.921858726855</x:v>
      </x:c>
      <x:c r="O839" s="28" t="n">
        <x:v>46219.812988715275</x:v>
      </x:c>
      <x:c r="P839" s="23" t="str">
        <x:v>CONTAGEM</x:v>
      </x:c>
      <x:c r="Q839" s="30" t="n">
        <x:v>32017</x:v>
      </x:c>
      <x:c r="R839" s="22" t="str">
        <x:f>"14661223"</x:f>
        <x:v>14661223</x:v>
      </x:c>
      <x:c r="S839" s="23" t="str">
        <x:v>feminino</x:v>
      </x:c>
      <x:c r="T839" s="22" t="str">
        <x:f>"BAB5984"</x:f>
        <x:v>BAB5984</x:v>
      </x:c>
      <x:c r="U839" s="23" t="str">
        <x:v>DIENE ROSELI DA SILVA CORREA</x:v>
      </x:c>
      <x:c r="V839" s="22" t="str">
        <x:f>"084.741.186-97"</x:f>
        <x:v>084.741.186-97</x:v>
      </x:c>
      <x:c r="W839" s="22" t="str">
        <x:f>"08474118697"</x:f>
        <x:v>08474118697</x:v>
      </x:c>
      <x:c r="X839" s="23" t="str">
        <x:v>dienetst2014@outlook.com</x:v>
      </x:c>
      <x:c r="Y839" s="22" t="str">
        <x:f>"3193118984"</x:f>
        <x:v>3193118984</x:v>
      </x:c>
      <x:c r="Z839" s="30" t="n">
        <x:v>46260</x:v>
      </x:c>
    </x:row>
    <x:row r="840" ht="18" customHeight="1">
      <x:c r="A840" s="22" t="str">
        <x:f>"0a9d4836-665e-436b-8df8-7caa21e75ba4"</x:f>
        <x:v>0a9d4836-665e-436b-8df8-7caa21e75ba4</x:v>
      </x:c>
      <x:c r="B840" s="23" t="str">
        <x:v>DIEYZON RODRIGO DE PAULA FARIA</x:v>
      </x:c>
      <x:c r="C840" s="23" t="str">
        <x:v>dieyzon rodrigo de paula faria</x:v>
      </x:c>
      <x:c r="D840" s="22" t="str">
        <x:f>"67.830.989/0001-31"</x:f>
        <x:v>67.830.989/0001-31</x:v>
      </x:c>
      <x:c r="E840" s="22" t="str">
        <x:f>"67830989000131"</x:f>
        <x:v>67830989000131</x:v>
      </x:c>
      <x:c r="F840" s="22" t="str">
        <x:f>"075.690.896-50"</x:f>
        <x:v>075.690.896-50</x:v>
      </x:c>
      <x:c r="G840" s="22" t="str">
        <x:f>"07569089650"</x:f>
        <x:v>07569089650</x:v>
      </x:c>
      <x:c r="H840" s="23" t="str">
        <x:v>dieyzonnfarii@gmail.com</x:v>
      </x:c>
      <x:c r="I840" s="22" t="str">
        <x:f>"(350 99877-5526"</x:f>
        <x:v>(350 99877-5526</x:v>
      </x:c>
      <x:c r="J840" s="23" t="str">
        <x:v>RENTAL</x:v>
      </x:c>
      <x:c r="K840" s="23" t="str">
        <x:v>rental_company</x:v>
      </x:c>
      <x:c r="L840" s="24" t="b">
        <x:v>1</x:v>
      </x:c>
      <x:c r="M840" s="23" t="n">
        <x:v>1</x:v>
      </x:c>
      <x:c r="N840" s="28" t="n">
        <x:v>46219.812988715275</x:v>
      </x:c>
      <x:c r="O840" s="28" t="n">
        <x:v>46219.812988715275</x:v>
      </x:c>
      <x:c r="P840" s="23" t="str">
        <x:v>POUSO ALEGRE</x:v>
      </x:c>
      <x:c r="Q840" s="30" t="n">
        <x:v>31162</x:v>
      </x:c>
      <x:c r="R840" s="22" t="str">
        <x:f>"MG13127094 SSP MG"</x:f>
        <x:v>MG13127094 SSP MG</x:v>
      </x:c>
      <x:c r="S840" s="23" t="str">
        <x:v>masculino</x:v>
      </x:c>
      <x:c r="T840" s="22" t="str"/>
      <x:c r="U840" s="23" t="str">
        <x:v>DIEYZON RODRIGO DE PAULA FARIA</x:v>
      </x:c>
      <x:c r="V840" s="22" t="str">
        <x:f>"075.690.896-50"</x:f>
        <x:v>075.690.896-50</x:v>
      </x:c>
      <x:c r="W840" s="22" t="str">
        <x:f>"07569089650"</x:f>
        <x:v>07569089650</x:v>
      </x:c>
      <x:c r="X840" s="23" t="str">
        <x:v>dieyzonnfarii@gmail.com</x:v>
      </x:c>
      <x:c r="Y840" s="22" t="str">
        <x:f>"(350 99877-5526"</x:f>
        <x:v>(350 99877-5526</x:v>
      </x:c>
      <x:c r="Z840" s="30" t="n">
        <x:v>46574</x:v>
      </x:c>
    </x:row>
    <x:row r="841" ht="18" customHeight="1">
      <x:c r="A841" s="22" t="str">
        <x:f>"3107c987-0147-4fe1-a4e5-516f8583a67c"</x:f>
        <x:v>3107c987-0147-4fe1-a4e5-516f8583a67c</x:v>
      </x:c>
      <x:c r="B841" s="23" t="str">
        <x:v>DIOGO ANCELMO RODRIGUES SANTOS</x:v>
      </x:c>
      <x:c r="C841" s="23" t="str">
        <x:v>diogo ancelmo rodrigues santos</x:v>
      </x:c>
      <x:c r="D841" s="22" t="str">
        <x:f>"59.179.742/0001-79"</x:f>
        <x:v>59.179.742/0001-79</x:v>
      </x:c>
      <x:c r="E841" s="22" t="str">
        <x:f>"59179742000179"</x:f>
        <x:v>59179742000179</x:v>
      </x:c>
      <x:c r="F841" s="22" t="str">
        <x:f>"130.283.016-36"</x:f>
        <x:v>130.283.016-36</x:v>
      </x:c>
      <x:c r="G841" s="22" t="str">
        <x:f>"13028301636"</x:f>
        <x:v>13028301636</x:v>
      </x:c>
      <x:c r="H841" s="23" t="str">
        <x:v>diogoancelmo4@gmail.com</x:v>
      </x:c>
      <x:c r="I841" s="22" t="str">
        <x:f>"14 99106-5008"</x:f>
        <x:v>14 99106-5008</x:v>
      </x:c>
      <x:c r="J841" s="23" t="str">
        <x:v>RENTAL</x:v>
      </x:c>
      <x:c r="K841" s="23" t="str">
        <x:v>rental_company</x:v>
      </x:c>
      <x:c r="L841" s="24" t="b">
        <x:v>1</x:v>
      </x:c>
      <x:c r="M841" s="23" t="n">
        <x:v>1</x:v>
      </x:c>
      <x:c r="N841" s="28" t="n">
        <x:v>46203.92188238426</x:v>
      </x:c>
      <x:c r="O841" s="28" t="n">
        <x:v>46219.812988715275</x:v>
      </x:c>
      <x:c r="P841" s="23" t="str">
        <x:v>BAURU</x:v>
      </x:c>
      <x:c r="Q841" s="30" t="n">
        <x:v>36523</x:v>
      </x:c>
      <x:c r="R841" s="22" t="str">
        <x:f>"69298897-X"</x:f>
        <x:v>69298897-X</x:v>
      </x:c>
      <x:c r="S841" s="23" t="str">
        <x:v>masculino</x:v>
      </x:c>
      <x:c r="T841" s="22" t="str"/>
      <x:c r="U841" s="23" t="str">
        <x:v>DIOGO ANCELMO RODRIGUES SANTOS</x:v>
      </x:c>
      <x:c r="V841" s="22" t="str">
        <x:f>"130.283.016-36"</x:f>
        <x:v>130.283.016-36</x:v>
      </x:c>
      <x:c r="W841" s="22" t="str">
        <x:f>"13028301636"</x:f>
        <x:v>13028301636</x:v>
      </x:c>
      <x:c r="X841" s="23" t="str">
        <x:v>diogoancelmo4@gmail.com</x:v>
      </x:c>
      <x:c r="Y841" s="22" t="str">
        <x:f>"14 99106-5008"</x:f>
        <x:v>14 99106-5008</x:v>
      </x:c>
      <x:c r="Z841" s="30" t="n">
        <x:v>46324</x:v>
      </x:c>
    </x:row>
    <x:row r="842" ht="18" customHeight="1">
      <x:c r="A842" s="22" t="str">
        <x:f>"b001f991-de7f-48d4-9dac-72c87a797cbc"</x:f>
        <x:v>b001f991-de7f-48d4-9dac-72c87a797cbc</x:v>
      </x:c>
      <x:c r="B842" s="23" t="str">
        <x:v>DIOGO AUGUSTO VASCONCELOS</x:v>
      </x:c>
      <x:c r="C842" s="23" t="str">
        <x:v>diogo augusto vasconcelos</x:v>
      </x:c>
      <x:c r="D842" s="22" t="str">
        <x:f>"47.025.932/0001-52"</x:f>
        <x:v>47.025.932/0001-52</x:v>
      </x:c>
      <x:c r="E842" s="22" t="str">
        <x:f>"47025932000152"</x:f>
        <x:v>47025932000152</x:v>
      </x:c>
      <x:c r="F842" s="22" t="str">
        <x:f>"109.036.536-56"</x:f>
        <x:v>109.036.536-56</x:v>
      </x:c>
      <x:c r="G842" s="22" t="str">
        <x:f>"10903653656"</x:f>
        <x:v>10903653656</x:v>
      </x:c>
      <x:c r="H842" s="23" t="str">
        <x:v>vasconcelos0transporte@gmail.com</x:v>
      </x:c>
      <x:c r="I842" s="22" t="str">
        <x:f>"31991155727"</x:f>
        <x:v>31991155727</x:v>
      </x:c>
      <x:c r="J842" s="23" t="str">
        <x:v>SPOT</x:v>
      </x:c>
      <x:c r="K842" s="23" t="str">
        <x:v>favored_only</x:v>
      </x:c>
      <x:c r="L842" s="24" t="b">
        <x:v>1</x:v>
      </x:c>
      <x:c r="M842" s="23" t="n">
        <x:v>1</x:v>
      </x:c>
      <x:c r="N842" s="28" t="n">
        <x:v>46219.79396105324</x:v>
      </x:c>
      <x:c r="O842" s="28" t="n">
        <x:v>46219.812988715275</x:v>
      </x:c>
      <x:c r="P842" s="23" t="str">
        <x:v>VESPASIANO</x:v>
      </x:c>
      <x:c r="Q842" s="30" t="n">
        <x:v>33403</x:v>
      </x:c>
      <x:c r="R842" s="22" t="str">
        <x:f>"31991155727"</x:f>
        <x:v>31991155727</x:v>
      </x:c>
      <x:c r="S842" s="23" t="str">
        <x:v>masculino</x:v>
      </x:c>
      <x:c r="T842" s="22" t="str">
        <x:f>"EKX3E26"</x:f>
        <x:v>EKX3E26</x:v>
      </x:c>
      <x:c r="U842" s="23" t="str">
        <x:v>DIOGO AUGUSTO VASCONCELOS</x:v>
      </x:c>
      <x:c r="V842" s="22" t="str">
        <x:f>"109.036.536-56"</x:f>
        <x:v>109.036.536-56</x:v>
      </x:c>
      <x:c r="W842" s="22" t="str">
        <x:f>"10903653656"</x:f>
        <x:v>10903653656</x:v>
      </x:c>
      <x:c r="X842" s="23" t="str">
        <x:v>vasconcelos0transporte@gmail.com</x:v>
      </x:c>
      <x:c r="Y842" s="22" t="str">
        <x:f>"31991155727"</x:f>
        <x:v>31991155727</x:v>
      </x:c>
      <x:c r="Z842" s="30" t="n">
        <x:v>46305</x:v>
      </x:c>
    </x:row>
    <x:row r="843" ht="18" customHeight="1">
      <x:c r="A843" s="22" t="str">
        <x:f>"4370cb6b-6645-4b7b-a56b-e43c9e467b96"</x:f>
        <x:v>4370cb6b-6645-4b7b-a56b-e43c9e467b96</x:v>
      </x:c>
      <x:c r="B843" s="23" t="str">
        <x:v>Diogo bento Pereira</x:v>
      </x:c>
      <x:c r="C843" s="23" t="str">
        <x:v>diogo bento pereira</x:v>
      </x:c>
      <x:c r="D843" s="22" t="str">
        <x:f>"58.561.496/0001-52"</x:f>
        <x:v>58.561.496/0001-52</x:v>
      </x:c>
      <x:c r="E843" s="22" t="str">
        <x:f>"58561496000152"</x:f>
        <x:v>58561496000152</x:v>
      </x:c>
      <x:c r="F843" s="22" t="str">
        <x:f>"71571343148"</x:f>
        <x:v>71571343148</x:v>
      </x:c>
      <x:c r="G843" s="22" t="str">
        <x:f>"71571343148"</x:f>
        <x:v>71571343148</x:v>
      </x:c>
      <x:c r="H843" s="23" t="str">
        <x:v>diogobentopereira612@gmail.com</x:v>
      </x:c>
      <x:c r="I843" s="22" t="str">
        <x:f>"62981327485"</x:f>
        <x:v>62981327485</x:v>
      </x:c>
      <x:c r="J843" s="23" t="str">
        <x:v>SPOT</x:v>
      </x:c>
      <x:c r="K843" s="23" t="str">
        <x:v>favored_only</x:v>
      </x:c>
      <x:c r="L843" s="24" t="b">
        <x:v>1</x:v>
      </x:c>
      <x:c r="M843" s="23" t="n">
        <x:v>2</x:v>
      </x:c>
      <x:c r="N843" s="28" t="n">
        <x:v>46203.92183017361</x:v>
      </x:c>
      <x:c r="O843" s="28" t="n">
        <x:v>46203.92183017361</x:v>
      </x:c>
      <x:c r="P843" s="23" t="str"/>
      <x:c r="Q843" s="30" t="str"/>
      <x:c r="R843" s="22" t="str"/>
      <x:c r="S843" s="23" t="str"/>
      <x:c r="T843" s="22" t="str"/>
      <x:c r="U843" s="23" t="str">
        <x:v>Diogo bento Pereira</x:v>
      </x:c>
      <x:c r="V843" s="22" t="str">
        <x:f>"71571343148"</x:f>
        <x:v>71571343148</x:v>
      </x:c>
      <x:c r="W843" s="22" t="str">
        <x:f>"71571343148"</x:f>
        <x:v>71571343148</x:v>
      </x:c>
      <x:c r="X843" s="23" t="str">
        <x:v>diogobentopereira612@gmail.com</x:v>
      </x:c>
      <x:c r="Y843" s="22" t="str">
        <x:f>"981327485"</x:f>
        <x:v>981327485</x:v>
      </x:c>
      <x:c r="Z843" s="30" t="str"/>
    </x:row>
    <x:row r="844" ht="18" customHeight="1">
      <x:c r="A844" s="22" t="str">
        <x:f>"5646ae1f-2b5c-4d5c-b85e-e4bde5393892"</x:f>
        <x:v>5646ae1f-2b5c-4d5c-b85e-e4bde5393892</x:v>
      </x:c>
      <x:c r="B844" s="23" t="str">
        <x:v>DIOGO BORGES SANTIAGO</x:v>
      </x:c>
      <x:c r="C844" s="23" t="str">
        <x:v>diogo borges santiago</x:v>
      </x:c>
      <x:c r="D844" s="22" t="str">
        <x:f>"59.563.579/0001-43"</x:f>
        <x:v>59.563.579/0001-43</x:v>
      </x:c>
      <x:c r="E844" s="22" t="str">
        <x:f>"59563579000143"</x:f>
        <x:v>59563579000143</x:v>
      </x:c>
      <x:c r="F844" s="22" t="str">
        <x:f>"071.882.906-95"</x:f>
        <x:v>071.882.906-95</x:v>
      </x:c>
      <x:c r="G844" s="22" t="str">
        <x:f>"07188290695"</x:f>
        <x:v>07188290695</x:v>
      </x:c>
      <x:c r="H844" s="23" t="str">
        <x:v>diogobsantiago57@gmail.com</x:v>
      </x:c>
      <x:c r="I844" s="22" t="str">
        <x:f>"(31) 98921-8119"</x:f>
        <x:v>(31) 98921-8119</x:v>
      </x:c>
      <x:c r="J844" s="23" t="str">
        <x:v>SPOT</x:v>
      </x:c>
      <x:c r="K844" s="23" t="str">
        <x:v>favored_only</x:v>
      </x:c>
      <x:c r="L844" s="24" t="b">
        <x:v>1</x:v>
      </x:c>
      <x:c r="M844" s="23" t="n">
        <x:v>1</x:v>
      </x:c>
      <x:c r="N844" s="28" t="n">
        <x:v>46205.60396267361</x:v>
      </x:c>
      <x:c r="O844" s="28" t="n">
        <x:v>46219.812988715275</x:v>
      </x:c>
      <x:c r="P844" s="23" t="str">
        <x:v>CONCEIÇÃO DO MATO DENTRO</x:v>
      </x:c>
      <x:c r="Q844" s="30" t="n">
        <x:v>30921</x:v>
      </x:c>
      <x:c r="R844" s="22" t="str">
        <x:f>"12499654"</x:f>
        <x:v>12499654</x:v>
      </x:c>
      <x:c r="S844" s="23" t="str">
        <x:v>masculino</x:v>
      </x:c>
      <x:c r="T844" s="22" t="str">
        <x:f>"FNB3B11"</x:f>
        <x:v>FNB3B11</x:v>
      </x:c>
      <x:c r="U844" s="23" t="str">
        <x:v>FELIPE BORGES SANTIAGO</x:v>
      </x:c>
      <x:c r="V844" s="22" t="str">
        <x:f>"079.865.596-83"</x:f>
        <x:v>079.865.596-83</x:v>
      </x:c>
      <x:c r="W844" s="22" t="str">
        <x:f>"07986559683"</x:f>
        <x:v>07986559683</x:v>
      </x:c>
      <x:c r="X844" s="23" t="str">
        <x:v>felipe.borges.alctransportes@gmail.com</x:v>
      </x:c>
      <x:c r="Y844" s="22" t="str">
        <x:f>"31988843193"</x:f>
        <x:v>31988843193</x:v>
      </x:c>
      <x:c r="Z844" s="30" t="n">
        <x:v>46252</x:v>
      </x:c>
    </x:row>
    <x:row r="845" ht="18" customHeight="1">
      <x:c r="A845" s="22" t="str">
        <x:f>"e38fbc55-9af2-4a95-b4c6-1c86f0193a9e"</x:f>
        <x:v>e38fbc55-9af2-4a95-b4c6-1c86f0193a9e</x:v>
      </x:c>
      <x:c r="B845" s="23" t="str">
        <x:v>DIOGO CARLOS DA SILVA</x:v>
      </x:c>
      <x:c r="C845" s="23" t="str">
        <x:v>diogo carlos da silva</x:v>
      </x:c>
      <x:c r="D845" s="22" t="str">
        <x:f>"66.854.132/0001-99"</x:f>
        <x:v>66.854.132/0001-99</x:v>
      </x:c>
      <x:c r="E845" s="22" t="str">
        <x:f>"66854132000199"</x:f>
        <x:v>66854132000199</x:v>
      </x:c>
      <x:c r="F845" s="22" t="str">
        <x:f>"379.294.658-02"</x:f>
        <x:v>379.294.658-02</x:v>
      </x:c>
      <x:c r="G845" s="22" t="str">
        <x:f>"37929465802"</x:f>
        <x:v>37929465802</x:v>
      </x:c>
      <x:c r="H845" s="23" t="str">
        <x:v>diogocarlossilva31@gmail.com</x:v>
      </x:c>
      <x:c r="I845" s="22" t="str">
        <x:f>"(35) 99749-8263"</x:f>
        <x:v>(35) 99749-8263</x:v>
      </x:c>
      <x:c r="J845" s="23" t="str">
        <x:v>RENTAL</x:v>
      </x:c>
      <x:c r="K845" s="23" t="str">
        <x:v>rental_company</x:v>
      </x:c>
      <x:c r="L845" s="24" t="b">
        <x:v>1</x:v>
      </x:c>
      <x:c r="M845" s="23" t="n">
        <x:v>1</x:v>
      </x:c>
      <x:c r="N845" s="28" t="n">
        <x:v>46219.812988715275</x:v>
      </x:c>
      <x:c r="O845" s="28" t="n">
        <x:v>46219.812988715275</x:v>
      </x:c>
      <x:c r="P845" s="23" t="str">
        <x:v>POUSO ALEGRE</x:v>
      </x:c>
      <x:c r="Q845" s="30" t="n">
        <x:v>38619</x:v>
      </x:c>
      <x:c r="R845" s="22" t="str">
        <x:f>"398832833 SSP SP"</x:f>
        <x:v>398832833 SSP SP</x:v>
      </x:c>
      <x:c r="S845" s="23" t="str">
        <x:v>masculino</x:v>
      </x:c>
      <x:c r="T845" s="22" t="str"/>
      <x:c r="U845" s="23" t="str">
        <x:v>DIOGO CARLOS DA SILVA</x:v>
      </x:c>
      <x:c r="V845" s="22" t="str">
        <x:f>"379.294.658-02"</x:f>
        <x:v>379.294.658-02</x:v>
      </x:c>
      <x:c r="W845" s="22" t="str">
        <x:f>"37929465802"</x:f>
        <x:v>37929465802</x:v>
      </x:c>
      <x:c r="X845" s="23" t="str">
        <x:v>diogocarlossilva31@gmail.com</x:v>
      </x:c>
      <x:c r="Y845" s="22" t="str">
        <x:f>"(35) 99749-8263"</x:f>
        <x:v>(35) 99749-8263</x:v>
      </x:c>
      <x:c r="Z845" s="30" t="n">
        <x:v>46534</x:v>
      </x:c>
    </x:row>
    <x:row r="846" ht="18" customHeight="1">
      <x:c r="A846" s="22" t="str">
        <x:f>"e5bbc1a5-0c3c-4da3-8679-8e52cac58053"</x:f>
        <x:v>e5bbc1a5-0c3c-4da3-8679-8e52cac58053</x:v>
      </x:c>
      <x:c r="B846" s="23" t="str">
        <x:v>DIOGO DOS SANTOS SILVA</x:v>
      </x:c>
      <x:c r="C846" s="23" t="str">
        <x:v>diogo dos santos silva</x:v>
      </x:c>
      <x:c r="D846" s="22" t="str">
        <x:f>"55.993.710/0001-51"</x:f>
        <x:v>55.993.710/0001-51</x:v>
      </x:c>
      <x:c r="E846" s="22" t="str">
        <x:f>"55993710000151"</x:f>
        <x:v>55993710000151</x:v>
      </x:c>
      <x:c r="F846" s="22" t="str">
        <x:f>"425.112.238-05"</x:f>
        <x:v>425.112.238-05</x:v>
      </x:c>
      <x:c r="G846" s="22" t="str">
        <x:f>"42511223805"</x:f>
        <x:v>42511223805</x:v>
      </x:c>
      <x:c r="H846" s="23" t="str">
        <x:v>diogosantos19952025@outlook.com</x:v>
      </x:c>
      <x:c r="I846" s="22" t="str">
        <x:f>"11953440671"</x:f>
        <x:v>11953440671</x:v>
      </x:c>
      <x:c r="J846" s="23" t="str">
        <x:v>RENTAL</x:v>
      </x:c>
      <x:c r="K846" s="23" t="str">
        <x:v>rental_company</x:v>
      </x:c>
      <x:c r="L846" s="24" t="b">
        <x:v>1</x:v>
      </x:c>
      <x:c r="M846" s="23" t="n">
        <x:v>1</x:v>
      </x:c>
      <x:c r="N846" s="28" t="n">
        <x:v>46203.92189349537</x:v>
      </x:c>
      <x:c r="O846" s="28" t="n">
        <x:v>46219.812988715275</x:v>
      </x:c>
      <x:c r="P846" s="23" t="str">
        <x:v>BARUERI</x:v>
      </x:c>
      <x:c r="Q846" s="30" t="n">
        <x:v>34834</x:v>
      </x:c>
      <x:c r="R846" s="22" t="str">
        <x:f>"37329145"</x:f>
        <x:v>37329145</x:v>
      </x:c>
      <x:c r="S846" s="23" t="str">
        <x:v>masculino</x:v>
      </x:c>
      <x:c r="T846" s="22" t="str"/>
      <x:c r="U846" s="23" t="str">
        <x:v>DIOGO DOS SANTOS SILVA</x:v>
      </x:c>
      <x:c r="V846" s="22" t="str">
        <x:f>"425.112.238-05"</x:f>
        <x:v>425.112.238-05</x:v>
      </x:c>
      <x:c r="W846" s="22" t="str">
        <x:f>"42511223805"</x:f>
        <x:v>42511223805</x:v>
      </x:c>
      <x:c r="X846" s="23" t="str">
        <x:v>diogosantos19952025@outlook.com</x:v>
      </x:c>
      <x:c r="Y846" s="22" t="str">
        <x:f>"11953440671"</x:f>
        <x:v>11953440671</x:v>
      </x:c>
      <x:c r="Z846" s="30" t="n">
        <x:v>46338</x:v>
      </x:c>
    </x:row>
    <x:row r="847" ht="18" customHeight="1">
      <x:c r="A847" s="22" t="str">
        <x:f>"e9adb5ac-f103-4b70-9a85-a07284d8a179"</x:f>
        <x:v>e9adb5ac-f103-4b70-9a85-a07284d8a179</x:v>
      </x:c>
      <x:c r="B847" s="23" t="str">
        <x:v>DIOGO LIMA ROSA</x:v>
      </x:c>
      <x:c r="C847" s="23" t="str">
        <x:v>diogo lima rosa</x:v>
      </x:c>
      <x:c r="D847" s="22" t="str">
        <x:f>"65.878.420/0001-10"</x:f>
        <x:v>65.878.420/0001-10</x:v>
      </x:c>
      <x:c r="E847" s="22" t="str">
        <x:f>"65878420000110"</x:f>
        <x:v>65878420000110</x:v>
      </x:c>
      <x:c r="F847" s="22" t="str">
        <x:f>"339.825.798-48"</x:f>
        <x:v>339.825.798-48</x:v>
      </x:c>
      <x:c r="G847" s="22" t="str">
        <x:f>"33982579848"</x:f>
        <x:v>33982579848</x:v>
      </x:c>
      <x:c r="H847" s="23" t="str">
        <x:v>diogolimarosa@gmail.com</x:v>
      </x:c>
      <x:c r="I847" s="22" t="str">
        <x:f>"35 998660787"</x:f>
        <x:v>35 998660787</x:v>
      </x:c>
      <x:c r="J847" s="23" t="str">
        <x:v>RENTAL</x:v>
      </x:c>
      <x:c r="K847" s="23" t="str">
        <x:v>rental_company</x:v>
      </x:c>
      <x:c r="L847" s="24" t="b">
        <x:v>1</x:v>
      </x:c>
      <x:c r="M847" s="23" t="n">
        <x:v>1</x:v>
      </x:c>
      <x:c r="N847" s="28" t="n">
        <x:v>46219.812988715275</x:v>
      </x:c>
      <x:c r="O847" s="28" t="n">
        <x:v>46219.812988715275</x:v>
      </x:c>
      <x:c r="P847" s="23" t="str">
        <x:v>BAURU</x:v>
      </x:c>
      <x:c r="Q847" s="30" t="n">
        <x:v>31078</x:v>
      </x:c>
      <x:c r="R847" s="22" t="str">
        <x:f>"42454798-3"</x:f>
        <x:v>42454798-3</x:v>
      </x:c>
      <x:c r="S847" s="23" t="str">
        <x:v>masculino</x:v>
      </x:c>
      <x:c r="T847" s="22" t="str"/>
      <x:c r="U847" s="23" t="str">
        <x:v>DIOGO LIMA ROSA</x:v>
      </x:c>
      <x:c r="V847" s="22" t="str">
        <x:f>"339.825.798-48"</x:f>
        <x:v>339.825.798-48</x:v>
      </x:c>
      <x:c r="W847" s="22" t="str">
        <x:f>"33982579848"</x:f>
        <x:v>33982579848</x:v>
      </x:c>
      <x:c r="X847" s="23" t="str">
        <x:v>diogolimarosa@gmail.com</x:v>
      </x:c>
      <x:c r="Y847" s="22" t="str">
        <x:f>"35 998660787"</x:f>
        <x:v>35 998660787</x:v>
      </x:c>
      <x:c r="Z847" s="30" t="n">
        <x:v>46483</x:v>
      </x:c>
    </x:row>
    <x:row r="848" ht="18" customHeight="1">
      <x:c r="A848" s="22" t="str">
        <x:f>"f1b179f2-4198-4f07-a621-7d506874f68e"</x:f>
        <x:v>f1b179f2-4198-4f07-a621-7d506874f68e</x:v>
      </x:c>
      <x:c r="B848" s="23" t="str">
        <x:v>DIOGO NOVAES FEITOZA</x:v>
      </x:c>
      <x:c r="C848" s="23" t="str">
        <x:v>diogo novaes feitoza</x:v>
      </x:c>
      <x:c r="D848" s="22" t="str">
        <x:f>"20.769.401/0001-18"</x:f>
        <x:v>20.769.401/0001-18</x:v>
      </x:c>
      <x:c r="E848" s="22" t="str">
        <x:f>"20769401000118"</x:f>
        <x:v>20769401000118</x:v>
      </x:c>
      <x:c r="F848" s="22" t="str">
        <x:f>"093.391.957-36"</x:f>
        <x:v>093.391.957-36</x:v>
      </x:c>
      <x:c r="G848" s="22" t="str">
        <x:f>"09339195736"</x:f>
        <x:v>09339195736</x:v>
      </x:c>
      <x:c r="H848" s="23" t="str">
        <x:v>DIOGONOVAIS4214@GMAIL.COM</x:v>
      </x:c>
      <x:c r="I848" s="22" t="str">
        <x:f>"22 981773156"</x:f>
        <x:v>22 981773156</x:v>
      </x:c>
      <x:c r="J848" s="23" t="str">
        <x:v>SPOT</x:v>
      </x:c>
      <x:c r="K848" s="23" t="str">
        <x:v>favored_only</x:v>
      </x:c>
      <x:c r="L848" s="24" t="b">
        <x:v>1</x:v>
      </x:c>
      <x:c r="M848" s="23" t="n">
        <x:v>1</x:v>
      </x:c>
      <x:c r="N848" s="28" t="n">
        <x:v>46205.60715042824</x:v>
      </x:c>
      <x:c r="O848" s="28" t="n">
        <x:v>46219.812988715275</x:v>
      </x:c>
      <x:c r="P848" s="23" t="str">
        <x:v>CAMPOS DOS GOYTACAZES</x:v>
      </x:c>
      <x:c r="Q848" s="30" t="n">
        <x:v>29911</x:v>
      </x:c>
      <x:c r="R848" s="22" t="str">
        <x:f>"130251473"</x:f>
        <x:v>130251473</x:v>
      </x:c>
      <x:c r="S848" s="23" t="str">
        <x:v>masculino</x:v>
      </x:c>
      <x:c r="T848" s="22" t="str">
        <x:f>"QXX2E39"</x:f>
        <x:v>QXX2E39</x:v>
      </x:c>
      <x:c r="U848" s="23" t="str">
        <x:v>JOSE CARLOS RIBEIRO DA SILVA FILHO</x:v>
      </x:c>
      <x:c r="V848" s="22" t="str">
        <x:f>"114.263.937-17"</x:f>
        <x:v>114.263.937-17</x:v>
      </x:c>
      <x:c r="W848" s="22" t="str">
        <x:f>"11426393717"</x:f>
        <x:v>11426393717</x:v>
      </x:c>
      <x:c r="X848" s="23" t="str">
        <x:v>JCARLOSMECANICA@GMAIL.COM</x:v>
      </x:c>
      <x:c r="Y848" s="22" t="str">
        <x:f>"22 997954781"</x:f>
        <x:v>22 997954781</x:v>
      </x:c>
      <x:c r="Z848" s="30" t="n">
        <x:v>46401</x:v>
      </x:c>
    </x:row>
    <x:row r="849" ht="18" customHeight="1">
      <x:c r="A849" s="22" t="str">
        <x:f>"408f1fe6-3ff9-45c0-81f5-1bc2d9a5b281"</x:f>
        <x:v>408f1fe6-3ff9-45c0-81f5-1bc2d9a5b281</x:v>
      </x:c>
      <x:c r="B849" s="23" t="str">
        <x:v>DIOGO OLIVEIRA DA SILVA</x:v>
      </x:c>
      <x:c r="C849" s="23" t="str">
        <x:v>diogo oliveira da silva</x:v>
      </x:c>
      <x:c r="D849" s="22" t="str">
        <x:f>"62.108.473/0001-64"</x:f>
        <x:v>62.108.473/0001-64</x:v>
      </x:c>
      <x:c r="E849" s="22" t="str">
        <x:f>"62108473000164"</x:f>
        <x:v>62108473000164</x:v>
      </x:c>
      <x:c r="F849" s="22" t="str">
        <x:f>"385.095.738-16"</x:f>
        <x:v>385.095.738-16</x:v>
      </x:c>
      <x:c r="G849" s="22" t="str">
        <x:f>"38509573816"</x:f>
        <x:v>38509573816</x:v>
      </x:c>
      <x:c r="H849" s="23" t="str">
        <x:v>diogosilva1062@gmail.com</x:v>
      </x:c>
      <x:c r="I849" s="22" t="str">
        <x:f>"11910625848"</x:f>
        <x:v>11910625848</x:v>
      </x:c>
      <x:c r="J849" s="23" t="str">
        <x:v>RENTALS</x:v>
      </x:c>
      <x:c r="K849" s="23" t="str">
        <x:v>rental_company</x:v>
      </x:c>
      <x:c r="L849" s="24" t="b">
        <x:v>1</x:v>
      </x:c>
      <x:c r="M849" s="23" t="n">
        <x:v>1</x:v>
      </x:c>
      <x:c r="N849" s="28" t="n">
        <x:v>46219.812988715275</x:v>
      </x:c>
      <x:c r="O849" s="28" t="n">
        <x:v>46219.812988715275</x:v>
      </x:c>
      <x:c r="P849" s="23" t="str">
        <x:v>MADEIRA MADEIRA</x:v>
      </x:c>
      <x:c r="Q849" s="30" t="n">
        <x:v>32882</x:v>
      </x:c>
      <x:c r="R849" s="22" t="str">
        <x:f>"46498442"</x:f>
        <x:v>46498442</x:v>
      </x:c>
      <x:c r="S849" s="23" t="str">
        <x:v>masculino</x:v>
      </x:c>
      <x:c r="T849" s="22" t="str"/>
      <x:c r="U849" s="23" t="str">
        <x:v>DIOGO OLIVEIRA DA SILVA</x:v>
      </x:c>
      <x:c r="V849" s="22" t="str">
        <x:f>"385.095.738-16"</x:f>
        <x:v>385.095.738-16</x:v>
      </x:c>
      <x:c r="W849" s="22" t="str">
        <x:f>"38509573816"</x:f>
        <x:v>38509573816</x:v>
      </x:c>
      <x:c r="X849" s="23" t="str">
        <x:v>diogosilva1062@gmail.com</x:v>
      </x:c>
      <x:c r="Y849" s="22" t="str">
        <x:f>"11910625848"</x:f>
        <x:v>11910625848</x:v>
      </x:c>
      <x:c r="Z849" s="30" t="n">
        <x:v>46490</x:v>
      </x:c>
    </x:row>
    <x:row r="850" ht="18" customHeight="1">
      <x:c r="A850" s="22" t="str">
        <x:f>"007e2ee4-e6de-4f16-9ee6-d1e071ef5fcc"</x:f>
        <x:v>007e2ee4-e6de-4f16-9ee6-d1e071ef5fcc</x:v>
      </x:c>
      <x:c r="B850" s="23" t="str">
        <x:v>DIOGO RAFAEL SOUTO DE FREITAS</x:v>
      </x:c>
      <x:c r="C850" s="23" t="str">
        <x:v>diogo rafael souto de freitas</x:v>
      </x:c>
      <x:c r="D850" s="22" t="str">
        <x:f>"51.417.991/0001-43"</x:f>
        <x:v>51.417.991/0001-43</x:v>
      </x:c>
      <x:c r="E850" s="22" t="str">
        <x:f>"51417991000143"</x:f>
        <x:v>51417991000143</x:v>
      </x:c>
      <x:c r="F850" s="22" t="str">
        <x:f>"085.959.696-63"</x:f>
        <x:v>085.959.696-63</x:v>
      </x:c>
      <x:c r="G850" s="22" t="str">
        <x:f>"08595969663"</x:f>
        <x:v>08595969663</x:v>
      </x:c>
      <x:c r="H850" s="23" t="str">
        <x:v>dr9693400@gmail.com</x:v>
      </x:c>
      <x:c r="I850" s="22" t="str">
        <x:f>"( 34) 999222729"</x:f>
        <x:v>( 34) 999222729</x:v>
      </x:c>
      <x:c r="J850" s="23" t="str">
        <x:v>RENTAL</x:v>
      </x:c>
      <x:c r="K850" s="23" t="str">
        <x:v>rental_company</x:v>
      </x:c>
      <x:c r="L850" s="24" t="b">
        <x:v>1</x:v>
      </x:c>
      <x:c r="M850" s="23" t="n">
        <x:v>1</x:v>
      </x:c>
      <x:c r="N850" s="28" t="n">
        <x:v>46203.921824756944</x:v>
      </x:c>
      <x:c r="O850" s="28" t="n">
        <x:v>46219.812988715275</x:v>
      </x:c>
      <x:c r="P850" s="23" t="str">
        <x:v>UBERLANDIA</x:v>
      </x:c>
      <x:c r="Q850" s="30" t="n">
        <x:v>32443</x:v>
      </x:c>
      <x:c r="R850" s="22" t="str">
        <x:f>"MG14001474"</x:f>
        <x:v>MG14001474</x:v>
      </x:c>
      <x:c r="S850" s="23" t="str">
        <x:v>masculino</x:v>
      </x:c>
      <x:c r="T850" s="22" t="str"/>
      <x:c r="U850" s="23" t="str">
        <x:v>DIOGO RAFAEL SOUTO DE FREITAS</x:v>
      </x:c>
      <x:c r="V850" s="22" t="str">
        <x:f>"085.959.696-63"</x:f>
        <x:v>085.959.696-63</x:v>
      </x:c>
      <x:c r="W850" s="22" t="str">
        <x:f>"08595969663"</x:f>
        <x:v>08595969663</x:v>
      </x:c>
      <x:c r="X850" s="23" t="str">
        <x:v>dr9693400@gmail.com</x:v>
      </x:c>
      <x:c r="Y850" s="22" t="str">
        <x:f>"( 34) 999222729"</x:f>
        <x:v>( 34) 999222729</x:v>
      </x:c>
      <x:c r="Z850" s="30" t="n">
        <x:v>46350</x:v>
      </x:c>
    </x:row>
    <x:row r="851" ht="18" customHeight="1">
      <x:c r="A851" s="22" t="str">
        <x:f>"b32ff1ef-a417-4272-8c03-336ca2b99adf"</x:f>
        <x:v>b32ff1ef-a417-4272-8c03-336ca2b99adf</x:v>
      </x:c>
      <x:c r="B851" s="23" t="str">
        <x:v>DIOGO RAMOS MAGALHAES</x:v>
      </x:c>
      <x:c r="C851" s="23" t="str">
        <x:v>diogo ramos magalhaes</x:v>
      </x:c>
      <x:c r="D851" s="22" t="str">
        <x:f>"29.608.362/0001-41"</x:f>
        <x:v>29.608.362/0001-41</x:v>
      </x:c>
      <x:c r="E851" s="22" t="str">
        <x:f>"29608362000141"</x:f>
        <x:v>29608362000141</x:v>
      </x:c>
      <x:c r="F851" s="22" t="str">
        <x:f>"009.401.951-78"</x:f>
        <x:v>009.401.951-78</x:v>
      </x:c>
      <x:c r="G851" s="22" t="str">
        <x:f>"00940195178"</x:f>
        <x:v>00940195178</x:v>
      </x:c>
      <x:c r="H851" s="23" t="str">
        <x:v>diogo.tudorgo@gmail.com</x:v>
      </x:c>
      <x:c r="I851" s="22" t="str">
        <x:f>"62982498449"</x:f>
        <x:v>62982498449</x:v>
      </x:c>
      <x:c r="J851" s="23" t="str">
        <x:v>spot</x:v>
      </x:c>
      <x:c r="K851" s="23" t="str">
        <x:v>favored_only</x:v>
      </x:c>
      <x:c r="L851" s="24" t="b">
        <x:v>1</x:v>
      </x:c>
      <x:c r="M851" s="23" t="n">
        <x:v>1</x:v>
      </x:c>
      <x:c r="N851" s="28" t="n">
        <x:v>46219.812988715275</x:v>
      </x:c>
      <x:c r="O851" s="28" t="n">
        <x:v>46219.812988715275</x:v>
      </x:c>
      <x:c r="P851" s="23" t="str">
        <x:v>GOIANIA</x:v>
      </x:c>
      <x:c r="Q851" s="30" t="n">
        <x:v>31062</x:v>
      </x:c>
      <x:c r="R851" s="22" t="str">
        <x:f>"14745712"</x:f>
        <x:v>14745712</x:v>
      </x:c>
      <x:c r="S851" s="23" t="str">
        <x:v>masculino</x:v>
      </x:c>
      <x:c r="T851" s="22" t="str">
        <x:f>"PZB8D45"</x:f>
        <x:v>PZB8D45</x:v>
      </x:c>
      <x:c r="U851" s="23" t="str">
        <x:v>POLLYANA BATISTA RIBEIRO MAGALHAES</x:v>
      </x:c>
      <x:c r="V851" s="22" t="str">
        <x:f>"020.470.561-44"</x:f>
        <x:v>020.470.561-44</x:v>
      </x:c>
      <x:c r="W851" s="22" t="str">
        <x:f>"02047056144"</x:f>
        <x:v>02047056144</x:v>
      </x:c>
      <x:c r="X851" s="23" t="str">
        <x:v>pollyanabrmagalhaes@gmail.com</x:v>
      </x:c>
      <x:c r="Y851" s="22" t="str">
        <x:f>"62985043529"</x:f>
        <x:v>62985043529</x:v>
      </x:c>
      <x:c r="Z851" s="30" t="n">
        <x:v>46549</x:v>
      </x:c>
    </x:row>
    <x:row r="852" ht="18" customHeight="1">
      <x:c r="A852" s="22" t="str">
        <x:f>"f037163b-223d-4e24-a410-e41a9233a149"</x:f>
        <x:v>f037163b-223d-4e24-a410-e41a9233a149</x:v>
      </x:c>
      <x:c r="B852" s="23" t="str">
        <x:v>DIOGO SILVA DE SOUZA</x:v>
      </x:c>
      <x:c r="C852" s="23" t="str">
        <x:v>diogo silva de souza</x:v>
      </x:c>
      <x:c r="D852" s="22" t="str">
        <x:f>"44.151.303/0001-80"</x:f>
        <x:v>44.151.303/0001-80</x:v>
      </x:c>
      <x:c r="E852" s="22" t="str">
        <x:f>"44151303000180"</x:f>
        <x:v>44151303000180</x:v>
      </x:c>
      <x:c r="F852" s="22" t="str">
        <x:f>"392.468.868-01"</x:f>
        <x:v>392.468.868-01</x:v>
      </x:c>
      <x:c r="G852" s="22" t="str">
        <x:f>"39246886801"</x:f>
        <x:v>39246886801</x:v>
      </x:c>
      <x:c r="H852" s="23" t="str">
        <x:v>diihsilva.s@hotmail.com</x:v>
      </x:c>
      <x:c r="I852" s="22" t="str">
        <x:f>"14998927681"</x:f>
        <x:v>14998927681</x:v>
      </x:c>
      <x:c r="J852" s="23" t="str">
        <x:v>RENTAL</x:v>
      </x:c>
      <x:c r="K852" s="23" t="str">
        <x:v>rental_company</x:v>
      </x:c>
      <x:c r="L852" s="24" t="b">
        <x:v>1</x:v>
      </x:c>
      <x:c r="M852" s="23" t="n">
        <x:v>1</x:v>
      </x:c>
      <x:c r="N852" s="28" t="n">
        <x:v>46203.92183017361</x:v>
      </x:c>
      <x:c r="O852" s="28" t="n">
        <x:v>46219.812988715275</x:v>
      </x:c>
      <x:c r="P852" s="23" t="str">
        <x:v>MARILIA</x:v>
      </x:c>
      <x:c r="Q852" s="30" t="n">
        <x:v>33035</x:v>
      </x:c>
      <x:c r="R852" s="22" t="str">
        <x:f>"35367734"</x:f>
        <x:v>35367734</x:v>
      </x:c>
      <x:c r="S852" s="23" t="str">
        <x:v>masculino</x:v>
      </x:c>
      <x:c r="T852" s="22" t="str"/>
      <x:c r="U852" s="23" t="str">
        <x:v>DIOGO SILVA DE SOUZA</x:v>
      </x:c>
      <x:c r="V852" s="22" t="str">
        <x:f>"392.468.868-01"</x:f>
        <x:v>392.468.868-01</x:v>
      </x:c>
      <x:c r="W852" s="22" t="str">
        <x:f>"39246886801"</x:f>
        <x:v>39246886801</x:v>
      </x:c>
      <x:c r="X852" s="23" t="str">
        <x:v>diihsilva.s@hotmail.com</x:v>
      </x:c>
      <x:c r="Y852" s="22" t="str">
        <x:f>"14998927681"</x:f>
        <x:v>14998927681</x:v>
      </x:c>
      <x:c r="Z852" s="30" t="n">
        <x:v>46375</x:v>
      </x:c>
    </x:row>
    <x:row r="853" ht="18" customHeight="1">
      <x:c r="A853" s="22" t="str">
        <x:f>"90f86783-2f2f-40fd-9c55-a9b0c15b5061"</x:f>
        <x:v>90f86783-2f2f-40fd-9c55-a9b0c15b5061</x:v>
      </x:c>
      <x:c r="B853" s="23" t="str">
        <x:v>Diogo Tadeu Gomes Resende</x:v>
      </x:c>
      <x:c r="C853" s="23" t="str">
        <x:v>diogo tadeu gomes resende</x:v>
      </x:c>
      <x:c r="D853" s="22" t="str">
        <x:f>"38.161.604/0001-92"</x:f>
        <x:v>38.161.604/0001-92</x:v>
      </x:c>
      <x:c r="E853" s="22" t="str">
        <x:f>"38161604000192"</x:f>
        <x:v>38161604000192</x:v>
      </x:c>
      <x:c r="F853" s="22" t="str">
        <x:f>"115.280.316-60"</x:f>
        <x:v>115.280.316-60</x:v>
      </x:c>
      <x:c r="G853" s="22" t="str">
        <x:f>"11528031660"</x:f>
        <x:v>11528031660</x:v>
      </x:c>
      <x:c r="H853" s="23" t="str">
        <x:v>diogoresende11@hotmail.com</x:v>
      </x:c>
      <x:c r="I853" s="22" t="str">
        <x:f>"31998567359"</x:f>
        <x:v>31998567359</x:v>
      </x:c>
      <x:c r="J853" s="23" t="str">
        <x:v>SPOT</x:v>
      </x:c>
      <x:c r="K853" s="23" t="str">
        <x:v>favored_only</x:v>
      </x:c>
      <x:c r="L853" s="24" t="b">
        <x:v>1</x:v>
      </x:c>
      <x:c r="M853" s="23" t="n">
        <x:v>1</x:v>
      </x:c>
      <x:c r="N853" s="28" t="n">
        <x:v>46203.92184908565</x:v>
      </x:c>
      <x:c r="O853" s="28" t="n">
        <x:v>46205.60508070602</x:v>
      </x:c>
      <x:c r="P853" s="23" t="str">
        <x:v>CONTAGEM</x:v>
      </x:c>
      <x:c r="Q853" s="30" t="n">
        <x:v>34469</x:v>
      </x:c>
      <x:c r="R853" s="22" t="str">
        <x:f>"17021376"</x:f>
        <x:v>17021376</x:v>
      </x:c>
      <x:c r="S853" s="23" t="str">
        <x:v>Masculino</x:v>
      </x:c>
      <x:c r="T853" s="22" t="str">
        <x:f>"PZB6I26"</x:f>
        <x:v>PZB6I26</x:v>
      </x:c>
      <x:c r="U853" s="23" t="str">
        <x:v>Diogo Tadeu Gomes Resende</x:v>
      </x:c>
      <x:c r="V853" s="22" t="str">
        <x:f>"11528031660"</x:f>
        <x:v>11528031660</x:v>
      </x:c>
      <x:c r="W853" s="22" t="str">
        <x:f>"11528031660"</x:f>
        <x:v>11528031660</x:v>
      </x:c>
      <x:c r="X853" s="23" t="str">
        <x:v>diogoresende11@hotmail.com</x:v>
      </x:c>
      <x:c r="Y853" s="22" t="str">
        <x:f>"31998567359"</x:f>
        <x:v>31998567359</x:v>
      </x:c>
      <x:c r="Z853" s="30" t="n">
        <x:v>46226</x:v>
      </x:c>
    </x:row>
    <x:row r="854" ht="18" customHeight="1">
      <x:c r="A854" s="22" t="str">
        <x:f>"d88dfadc-3d12-40c4-86e7-60c48844f334"</x:f>
        <x:v>d88dfadc-3d12-40c4-86e7-60c48844f334</x:v>
      </x:c>
      <x:c r="B854" s="23" t="str">
        <x:v>DIONE BENTO PEREIRA</x:v>
      </x:c>
      <x:c r="C854" s="23" t="str">
        <x:v>dione bento pereira</x:v>
      </x:c>
      <x:c r="D854" s="22" t="str">
        <x:f>"58.561.496/0001-52"</x:f>
        <x:v>58.561.496/0001-52</x:v>
      </x:c>
      <x:c r="E854" s="22" t="str">
        <x:f>"58561496000152"</x:f>
        <x:v>58561496000152</x:v>
      </x:c>
      <x:c r="F854" s="22" t="str">
        <x:f>"069.038.451-35"</x:f>
        <x:v>069.038.451-35</x:v>
      </x:c>
      <x:c r="G854" s="22" t="str">
        <x:f>"06903845135"</x:f>
        <x:v>06903845135</x:v>
      </x:c>
      <x:c r="H854" s="23" t="str">
        <x:v>diogobentopereira612@gmail.com</x:v>
      </x:c>
      <x:c r="I854" s="22" t="str">
        <x:f>"981327485"</x:f>
        <x:v>981327485</x:v>
      </x:c>
      <x:c r="J854" s="23" t="str">
        <x:v>SPOT</x:v>
      </x:c>
      <x:c r="K854" s="23" t="str">
        <x:v>favored_only</x:v>
      </x:c>
      <x:c r="L854" s="24" t="b">
        <x:v>1</x:v>
      </x:c>
      <x:c r="M854" s="23" t="n">
        <x:v>1</x:v>
      </x:c>
      <x:c r="N854" s="28" t="n">
        <x:v>46205.60183903935</x:v>
      </x:c>
      <x:c r="O854" s="28" t="n">
        <x:v>46219.812988715275</x:v>
      </x:c>
      <x:c r="P854" s="23" t="str">
        <x:v>MINAÇU</x:v>
      </x:c>
      <x:c r="Q854" s="30" t="n">
        <x:v>36277</x:v>
      </x:c>
      <x:c r="R854" s="22" t="str">
        <x:f>"6559068"</x:f>
        <x:v>6559068</x:v>
      </x:c>
      <x:c r="S854" s="23" t="str">
        <x:v>masculino</x:v>
      </x:c>
      <x:c r="T854" s="22" t="str">
        <x:f>"QXJ7B47"</x:f>
        <x:v>QXJ7B47</x:v>
      </x:c>
      <x:c r="U854" s="23" t="str">
        <x:v>DIOGO BENTO PEREIRA</x:v>
      </x:c>
      <x:c r="V854" s="22" t="str">
        <x:f>"715.713.431-48"</x:f>
        <x:v>715.713.431-48</x:v>
      </x:c>
      <x:c r="W854" s="22" t="str">
        <x:f>"71571343148"</x:f>
        <x:v>71571343148</x:v>
      </x:c>
      <x:c r="X854" s="23" t="str">
        <x:v>diogobentopereira612@gmail.com</x:v>
      </x:c>
      <x:c r="Y854" s="22" t="str">
        <x:f>"981327485"</x:f>
        <x:v>981327485</x:v>
      </x:c>
      <x:c r="Z854" s="30" t="n">
        <x:v>46294</x:v>
      </x:c>
    </x:row>
    <x:row r="855" ht="18" customHeight="1">
      <x:c r="A855" s="22" t="str">
        <x:f>"fab1fc64-80be-4bb1-9edb-3d2f92fa534f"</x:f>
        <x:v>fab1fc64-80be-4bb1-9edb-3d2f92fa534f</x:v>
      </x:c>
      <x:c r="B855" s="23" t="str">
        <x:v>DIONE CARLOS RODRIGUES SILVA</x:v>
      </x:c>
      <x:c r="C855" s="23" t="str">
        <x:v>dione carlos rodrigues silva</x:v>
      </x:c>
      <x:c r="D855" s="22" t="str">
        <x:f>"11.621.437/0001-69"</x:f>
        <x:v>11.621.437/0001-69</x:v>
      </x:c>
      <x:c r="E855" s="22" t="str">
        <x:f>"11621437000169"</x:f>
        <x:v>11621437000169</x:v>
      </x:c>
      <x:c r="F855" s="22" t="str">
        <x:f>"041.839.967-07"</x:f>
        <x:v>041.839.967-07</x:v>
      </x:c>
      <x:c r="G855" s="22" t="str">
        <x:f>"04183996707"</x:f>
        <x:v>04183996707</x:v>
      </x:c>
      <x:c r="H855" s="23" t="str">
        <x:v>dcarlosrodriguessilva@gmail.com</x:v>
      </x:c>
      <x:c r="I855" s="22" t="str">
        <x:f>"34 99919-9612"</x:f>
        <x:v>34 99919-9612</x:v>
      </x:c>
      <x:c r="J855" s="23" t="str">
        <x:v>RENTAL</x:v>
      </x:c>
      <x:c r="K855" s="23" t="str">
        <x:v>rental_company</x:v>
      </x:c>
      <x:c r="L855" s="24" t="b">
        <x:v>1</x:v>
      </x:c>
      <x:c r="M855" s="23" t="n">
        <x:v>1</x:v>
      </x:c>
      <x:c r="N855" s="28" t="n">
        <x:v>46203.92183017361</x:v>
      </x:c>
      <x:c r="O855" s="28" t="n">
        <x:v>46219.812988715275</x:v>
      </x:c>
      <x:c r="P855" s="23" t="str">
        <x:v>PATOS DE MINAS</x:v>
      </x:c>
      <x:c r="Q855" s="30" t="n">
        <x:v>27490</x:v>
      </x:c>
      <x:c r="R855" s="22" t="str">
        <x:f>"4634562"</x:f>
        <x:v>4634562</x:v>
      </x:c>
      <x:c r="S855" s="23" t="str">
        <x:v>masculino</x:v>
      </x:c>
      <x:c r="T855" s="22" t="str"/>
      <x:c r="U855" s="23" t="str">
        <x:v>DIONE CARLOS RODRIGUES SILVA</x:v>
      </x:c>
      <x:c r="V855" s="22" t="str">
        <x:f>"041.839.967-07"</x:f>
        <x:v>041.839.967-07</x:v>
      </x:c>
      <x:c r="W855" s="22" t="str">
        <x:f>"04183996707"</x:f>
        <x:v>04183996707</x:v>
      </x:c>
      <x:c r="X855" s="23" t="str">
        <x:v>dcarlosrodriguessilva@gmail.com</x:v>
      </x:c>
      <x:c r="Y855" s="22" t="str">
        <x:f>"34 99919-9612"</x:f>
        <x:v>34 99919-9612</x:v>
      </x:c>
      <x:c r="Z855" s="30" t="n">
        <x:v>46319</x:v>
      </x:c>
    </x:row>
    <x:row r="856" ht="18" customHeight="1">
      <x:c r="A856" s="22" t="str">
        <x:f>"4b2af36e-1530-4655-a3b3-ea1b9957a693"</x:f>
        <x:v>4b2af36e-1530-4655-a3b3-ea1b9957a693</x:v>
      </x:c>
      <x:c r="B856" s="23" t="str">
        <x:v>DIONEDIS MARTINS TATA</x:v>
      </x:c>
      <x:c r="C856" s="23" t="str">
        <x:v>dionedis martins tata</x:v>
      </x:c>
      <x:c r="D856" s="22" t="str">
        <x:f>"43.052.829/0001-40"</x:f>
        <x:v>43.052.829/0001-40</x:v>
      </x:c>
      <x:c r="E856" s="22" t="str">
        <x:f>"43052829000140"</x:f>
        <x:v>43052829000140</x:v>
      </x:c>
      <x:c r="F856" s="22" t="str">
        <x:f>"022.013.656-44"</x:f>
        <x:v>022.013.656-44</x:v>
      </x:c>
      <x:c r="G856" s="22" t="str">
        <x:f>"02201365644"</x:f>
        <x:v>02201365644</x:v>
      </x:c>
      <x:c r="H856" s="23" t="str">
        <x:v>dionem643@gmail.com</x:v>
      </x:c>
      <x:c r="I856" s="22" t="str">
        <x:f>"16 98176-2141"</x:f>
        <x:v>16 98176-2141</x:v>
      </x:c>
      <x:c r="J856" s="23" t="str">
        <x:v>RENTAL</x:v>
      </x:c>
      <x:c r="K856" s="23" t="str">
        <x:v>rental_company</x:v>
      </x:c>
      <x:c r="L856" s="24" t="b">
        <x:v>1</x:v>
      </x:c>
      <x:c r="M856" s="23" t="n">
        <x:v>1</x:v>
      </x:c>
      <x:c r="N856" s="28" t="n">
        <x:v>46203.92183017361</x:v>
      </x:c>
      <x:c r="O856" s="28" t="n">
        <x:v>46219.812988715275</x:v>
      </x:c>
      <x:c r="P856" s="23" t="str">
        <x:v>RIBEIRAO PRETO</x:v>
      </x:c>
      <x:c r="Q856" s="30" t="n">
        <x:v>35044</x:v>
      </x:c>
      <x:c r="R856" s="22" t="str">
        <x:f>"63187169"</x:f>
        <x:v>63187169</x:v>
      </x:c>
      <x:c r="S856" s="23" t="str">
        <x:v>masculino</x:v>
      </x:c>
      <x:c r="T856" s="22" t="str"/>
      <x:c r="U856" s="23" t="str">
        <x:v>DIONEDIS MARTINS TATA</x:v>
      </x:c>
      <x:c r="V856" s="22" t="str">
        <x:f>"022.013.656-44"</x:f>
        <x:v>022.013.656-44</x:v>
      </x:c>
      <x:c r="W856" s="22" t="str">
        <x:f>"02201365644"</x:f>
        <x:v>02201365644</x:v>
      </x:c>
      <x:c r="X856" s="23" t="str">
        <x:v>dionem643@gmail.com</x:v>
      </x:c>
      <x:c r="Y856" s="22" t="str">
        <x:f>"16 98176-2141"</x:f>
        <x:v>16 98176-2141</x:v>
      </x:c>
      <x:c r="Z856" s="30" t="n">
        <x:v>46332</x:v>
      </x:c>
    </x:row>
    <x:row r="857" ht="18" customHeight="1">
      <x:c r="A857" s="22" t="str">
        <x:f>"c12d9270-4c1d-4918-9e90-1a03a7451058"</x:f>
        <x:v>c12d9270-4c1d-4918-9e90-1a03a7451058</x:v>
      </x:c>
      <x:c r="B857" s="23" t="str">
        <x:v>DIONE RENY DE OLIVEIRA</x:v>
      </x:c>
      <x:c r="C857" s="23" t="str">
        <x:v>dione reny de oliveira</x:v>
      </x:c>
      <x:c r="D857" s="22" t="str">
        <x:f>"51.099.136/0001-31"</x:f>
        <x:v>51.099.136/0001-31</x:v>
      </x:c>
      <x:c r="E857" s="22" t="str">
        <x:f>"51099136000131"</x:f>
        <x:v>51099136000131</x:v>
      </x:c>
      <x:c r="F857" s="22" t="str">
        <x:f>"043.539.066-07"</x:f>
        <x:v>043.539.066-07</x:v>
      </x:c>
      <x:c r="G857" s="22" t="str">
        <x:f>"04353906607"</x:f>
        <x:v>04353906607</x:v>
      </x:c>
      <x:c r="H857" s="23" t="str">
        <x:v>Renydione@gmail.com</x:v>
      </x:c>
      <x:c r="I857" s="22" t="str">
        <x:f>"31987215209"</x:f>
        <x:v>31987215209</x:v>
      </x:c>
      <x:c r="J857" s="23" t="str">
        <x:v>SPOT</x:v>
      </x:c>
      <x:c r="K857" s="23" t="str">
        <x:v>favored_only</x:v>
      </x:c>
      <x:c r="L857" s="24" t="b">
        <x:v>1</x:v>
      </x:c>
      <x:c r="M857" s="23" t="n">
        <x:v>1</x:v>
      </x:c>
      <x:c r="N857" s="28" t="n">
        <x:v>46205.60370670139</x:v>
      </x:c>
      <x:c r="O857" s="28" t="n">
        <x:v>46219.812988715275</x:v>
      </x:c>
      <x:c r="P857" s="23" t="str">
        <x:v>GUANHAES</x:v>
      </x:c>
      <x:c r="Q857" s="30" t="n">
        <x:v>27810</x:v>
      </x:c>
      <x:c r="R857" s="22" t="str">
        <x:f>"85341146"</x:f>
        <x:v>85341146</x:v>
      </x:c>
      <x:c r="S857" s="23" t="str">
        <x:v>masculino</x:v>
      </x:c>
      <x:c r="T857" s="22" t="str">
        <x:f>"Hcq8i43"</x:f>
        <x:v>Hcq8i43</x:v>
      </x:c>
      <x:c r="U857" s="23" t="str">
        <x:v>JANAINA APARECIDA SILVA DE OLIVEIRA</x:v>
      </x:c>
      <x:c r="V857" s="22" t="str">
        <x:f>"065.326.686-30"</x:f>
        <x:v>065.326.686-30</x:v>
      </x:c>
      <x:c r="W857" s="22" t="str">
        <x:f>"06532668630"</x:f>
        <x:v>06532668630</x:v>
      </x:c>
      <x:c r="X857" s="23" t="str">
        <x:v>Janainaapsilvaoliveira@gmail.com</x:v>
      </x:c>
      <x:c r="Y857" s="22" t="str">
        <x:f>"33988462113"</x:f>
        <x:v>33988462113</x:v>
      </x:c>
      <x:c r="Z857" s="30" t="n">
        <x:v>46235</x:v>
      </x:c>
    </x:row>
    <x:row r="858" ht="18" customHeight="1">
      <x:c r="A858" s="22" t="str">
        <x:f>"8a007dbd-a315-497d-aea3-3546cdef64a4"</x:f>
        <x:v>8a007dbd-a315-497d-aea3-3546cdef64a4</x:v>
      </x:c>
      <x:c r="B858" s="23" t="str">
        <x:v>DIONI HENRIQUE DE PAULA</x:v>
      </x:c>
      <x:c r="C858" s="23" t="str">
        <x:v>dioni henrique de paula</x:v>
      </x:c>
      <x:c r="D858" s="22" t="str">
        <x:f>"34.274.859/0001-00"</x:f>
        <x:v>34.274.859/0001-00</x:v>
      </x:c>
      <x:c r="E858" s="22" t="str">
        <x:f>"34274859000100"</x:f>
        <x:v>34274859000100</x:v>
      </x:c>
      <x:c r="F858" s="22" t="str">
        <x:f>"115.357.666-03"</x:f>
        <x:v>115.357.666-03</x:v>
      </x:c>
      <x:c r="G858" s="22" t="str">
        <x:f>"11535766603"</x:f>
        <x:v>11535766603</x:v>
      </x:c>
      <x:c r="H858" s="23" t="str">
        <x:v>dionihenrique22@gmail.com</x:v>
      </x:c>
      <x:c r="I858" s="22" t="str">
        <x:f>"(35)9 9701-0461"</x:f>
        <x:v>(35)9 9701-0461</x:v>
      </x:c>
      <x:c r="J858" s="23" t="str">
        <x:v>RENTAL</x:v>
      </x:c>
      <x:c r="K858" s="23" t="str">
        <x:v>rental_company</x:v>
      </x:c>
      <x:c r="L858" s="24" t="b">
        <x:v>1</x:v>
      </x:c>
      <x:c r="M858" s="23" t="n">
        <x:v>1</x:v>
      </x:c>
      <x:c r="N858" s="28" t="n">
        <x:v>46219.812988715275</x:v>
      </x:c>
      <x:c r="O858" s="28" t="n">
        <x:v>46219.812988715275</x:v>
      </x:c>
      <x:c r="P858" s="23" t="str">
        <x:v>POUSO ALEGRE</x:v>
      </x:c>
      <x:c r="Q858" s="30" t="n">
        <x:v>33988</x:v>
      </x:c>
      <x:c r="R858" s="22" t="str">
        <x:f>"19043932"</x:f>
        <x:v>19043932</x:v>
      </x:c>
      <x:c r="S858" s="23" t="str">
        <x:v>masculino</x:v>
      </x:c>
      <x:c r="T858" s="22" t="str"/>
      <x:c r="U858" s="23" t="str">
        <x:v>DIONI HENRIQUE DE PAULA</x:v>
      </x:c>
      <x:c r="V858" s="22" t="str">
        <x:f>"115.357.666-03"</x:f>
        <x:v>115.357.666-03</x:v>
      </x:c>
      <x:c r="W858" s="22" t="str">
        <x:f>"11535766603"</x:f>
        <x:v>11535766603</x:v>
      </x:c>
      <x:c r="X858" s="23" t="str">
        <x:v>dionihenrique22@gmail.com</x:v>
      </x:c>
      <x:c r="Y858" s="22" t="str">
        <x:f>"35)9 9701-0461"</x:f>
        <x:v>35)9 9701-0461</x:v>
      </x:c>
      <x:c r="Z858" s="30" t="n">
        <x:v>46518</x:v>
      </x:c>
    </x:row>
    <x:row r="859" ht="18" customHeight="1">
      <x:c r="A859" s="22" t="str">
        <x:f>"a7f96015-ebb7-4544-932a-0da108b86d10"</x:f>
        <x:v>a7f96015-ebb7-4544-932a-0da108b86d10</x:v>
      </x:c>
      <x:c r="B859" s="23" t="str">
        <x:v>DIONISIO FERREIRA DE OLIVEIRA</x:v>
      </x:c>
      <x:c r="C859" s="23" t="str">
        <x:v>dionisio ferreira de oliveira</x:v>
      </x:c>
      <x:c r="D859" s="22" t="str">
        <x:f>"63.229.276/0001-66"</x:f>
        <x:v>63.229.276/0001-66</x:v>
      </x:c>
      <x:c r="E859" s="22" t="str">
        <x:f>"63229276000166"</x:f>
        <x:v>63229276000166</x:v>
      </x:c>
      <x:c r="F859" s="22" t="str">
        <x:f>"102.294.276-00"</x:f>
        <x:v>102.294.276-00</x:v>
      </x:c>
      <x:c r="G859" s="22" t="str">
        <x:f>"10229427600"</x:f>
        <x:v>10229427600</x:v>
      </x:c>
      <x:c r="H859" s="23" t="str">
        <x:v>dionisio.udi2018@gmail.com</x:v>
      </x:c>
      <x:c r="I859" s="22" t="str">
        <x:f>"34 9768-4191"</x:f>
        <x:v>34 9768-4191</x:v>
      </x:c>
      <x:c r="J859" s="23" t="str">
        <x:v>RENTAL</x:v>
      </x:c>
      <x:c r="K859" s="23" t="str">
        <x:v>rental_company</x:v>
      </x:c>
      <x:c r="L859" s="24" t="b">
        <x:v>1</x:v>
      </x:c>
      <x:c r="M859" s="23" t="n">
        <x:v>1</x:v>
      </x:c>
      <x:c r="N859" s="28" t="n">
        <x:v>46203.9218771875</x:v>
      </x:c>
      <x:c r="O859" s="28" t="n">
        <x:v>46219.812988715275</x:v>
      </x:c>
      <x:c r="P859" s="23" t="str">
        <x:v>UBERLANDIA</x:v>
      </x:c>
      <x:c r="Q859" s="30" t="n">
        <x:v>32664</x:v>
      </x:c>
      <x:c r="R859" s="22" t="str">
        <x:f>"MG16074221"</x:f>
        <x:v>MG16074221</x:v>
      </x:c>
      <x:c r="S859" s="23" t="str">
        <x:v>masculino</x:v>
      </x:c>
      <x:c r="T859" s="22" t="str"/>
      <x:c r="U859" s="23" t="str">
        <x:v>DIONISIO FERREIRA DE OLIVEIRA</x:v>
      </x:c>
      <x:c r="V859" s="22" t="str">
        <x:f>"102.294.276-00"</x:f>
        <x:v>102.294.276-00</x:v>
      </x:c>
      <x:c r="W859" s="22" t="str">
        <x:f>"10229427600"</x:f>
        <x:v>10229427600</x:v>
      </x:c>
      <x:c r="X859" s="23" t="str">
        <x:v>dionisio.udi2018@gmail.com</x:v>
      </x:c>
      <x:c r="Y859" s="22" t="str">
        <x:f>"34 9768-4191"</x:f>
        <x:v>34 9768-4191</x:v>
      </x:c>
      <x:c r="Z859" s="30" t="n">
        <x:v>46312</x:v>
      </x:c>
    </x:row>
    <x:row r="860" ht="18" customHeight="1">
      <x:c r="A860" s="22" t="str">
        <x:f>"22d976fa-af07-48a1-be68-0bd85bd5a087"</x:f>
        <x:v>22d976fa-af07-48a1-be68-0bd85bd5a087</x:v>
      </x:c>
      <x:c r="B860" s="23" t="str">
        <x:v>DIOVANIO DE LIMA ALVES</x:v>
      </x:c>
      <x:c r="C860" s="23" t="str">
        <x:v>diovanio de lima alves</x:v>
      </x:c>
      <x:c r="D860" s="22" t="str">
        <x:f>"48.742.967/0001-75"</x:f>
        <x:v>48.742.967/0001-75</x:v>
      </x:c>
      <x:c r="E860" s="22" t="str">
        <x:f>"48742967000175"</x:f>
        <x:v>48742967000175</x:v>
      </x:c>
      <x:c r="F860" s="22" t="str">
        <x:f>"055.271.966-86"</x:f>
        <x:v>055.271.966-86</x:v>
      </x:c>
      <x:c r="G860" s="22" t="str">
        <x:f>"05527196686"</x:f>
        <x:v>05527196686</x:v>
      </x:c>
      <x:c r="H860" s="23" t="str">
        <x:v>diovanioalves@gmail.com</x:v>
      </x:c>
      <x:c r="I860" s="22" t="str">
        <x:f>"(35)99811-8308"</x:f>
        <x:v>(35)99811-8308</x:v>
      </x:c>
      <x:c r="J860" s="23" t="str">
        <x:v>SPOT</x:v>
      </x:c>
      <x:c r="K860" s="23" t="str">
        <x:v>favored_only</x:v>
      </x:c>
      <x:c r="L860" s="24" t="b">
        <x:v>1</x:v>
      </x:c>
      <x:c r="M860" s="23" t="n">
        <x:v>1</x:v>
      </x:c>
      <x:c r="N860" s="28" t="n">
        <x:v>46219.812988715275</x:v>
      </x:c>
      <x:c r="O860" s="28" t="n">
        <x:v>46219.812988715275</x:v>
      </x:c>
      <x:c r="P860" s="23" t="str">
        <x:v>POUSO ALEGRE</x:v>
      </x:c>
      <x:c r="Q860" s="30" t="n">
        <x:v>30698</x:v>
      </x:c>
      <x:c r="R860" s="22" t="str">
        <x:f>"M8655169 SSP MG"</x:f>
        <x:v>M8655169 SSP MG</x:v>
      </x:c>
      <x:c r="S860" s="23" t="str">
        <x:v>masculino</x:v>
      </x:c>
      <x:c r="T860" s="22" t="str">
        <x:f>"GKA3E27"</x:f>
        <x:v>GKA3E27</x:v>
      </x:c>
      <x:c r="U860" s="23" t="str">
        <x:v>DIOVANIO DE LIMA ALVES</x:v>
      </x:c>
      <x:c r="V860" s="22" t="str">
        <x:f>"055.271.966-86"</x:f>
        <x:v>055.271.966-86</x:v>
      </x:c>
      <x:c r="W860" s="22" t="str">
        <x:f>"05527196686"</x:f>
        <x:v>05527196686</x:v>
      </x:c>
      <x:c r="X860" s="23" t="str">
        <x:v>diovanioalves@gmail.com</x:v>
      </x:c>
      <x:c r="Y860" s="22" t="str">
        <x:f>"(35)99811-8308"</x:f>
        <x:v>(35)99811-8308</x:v>
      </x:c>
      <x:c r="Z860" s="30" t="n">
        <x:v>46507</x:v>
      </x:c>
    </x:row>
    <x:row r="861" ht="18" customHeight="1">
      <x:c r="A861" s="22" t="str">
        <x:f>"43c803a6-52b1-4638-b5a7-9ecc873ee725"</x:f>
        <x:v>43c803a6-52b1-4638-b5a7-9ecc873ee725</x:v>
      </x:c>
      <x:c r="B861" s="23" t="str">
        <x:v>DIRCEU FRANCISCO DA SILVA</x:v>
      </x:c>
      <x:c r="C861" s="23" t="str">
        <x:v>dirceu francisco da silva</x:v>
      </x:c>
      <x:c r="D861" s="22" t="str">
        <x:f>"63.124.368/0001-81"</x:f>
        <x:v>63.124.368/0001-81</x:v>
      </x:c>
      <x:c r="E861" s="22" t="str">
        <x:f>"63124368000181"</x:f>
        <x:v>63124368000181</x:v>
      </x:c>
      <x:c r="F861" s="22" t="str">
        <x:f>"145.641.428-36"</x:f>
        <x:v>145.641.428-36</x:v>
      </x:c>
      <x:c r="G861" s="22" t="str">
        <x:f>"14564142836"</x:f>
        <x:v>14564142836</x:v>
      </x:c>
      <x:c r="H861" s="23" t="str">
        <x:v>derci.top@gmail.com</x:v>
      </x:c>
      <x:c r="I861" s="22" t="str">
        <x:f>"(34) 9 9667 7296"</x:f>
        <x:v>(34) 9 9667 7296</x:v>
      </x:c>
      <x:c r="J861" s="23" t="str">
        <x:v>SPOT</x:v>
      </x:c>
      <x:c r="K861" s="23" t="str">
        <x:v>favored_only</x:v>
      </x:c>
      <x:c r="L861" s="24" t="b">
        <x:v>1</x:v>
      </x:c>
      <x:c r="M861" s="23" t="n">
        <x:v>1</x:v>
      </x:c>
      <x:c r="N861" s="28" t="n">
        <x:v>46203.9218771875</x:v>
      </x:c>
      <x:c r="O861" s="28" t="n">
        <x:v>46219.812988715275</x:v>
      </x:c>
      <x:c r="P861" s="23" t="str">
        <x:v>UBERABA</x:v>
      </x:c>
      <x:c r="Q861" s="30" t="n">
        <x:v>26215</x:v>
      </x:c>
      <x:c r="R861" s="22" t="str">
        <x:f>"261766806"</x:f>
        <x:v>261766806</x:v>
      </x:c>
      <x:c r="S861" s="23" t="str">
        <x:v>masculino</x:v>
      </x:c>
      <x:c r="T861" s="22" t="str">
        <x:f>"RNU5C57"</x:f>
        <x:v>RNU5C57</x:v>
      </x:c>
      <x:c r="U861" s="23" t="str">
        <x:v>DIRCEU FRANCISCO DA SILVA</x:v>
      </x:c>
      <x:c r="V861" s="22" t="str">
        <x:f>"145.641.428-36"</x:f>
        <x:v>145.641.428-36</x:v>
      </x:c>
      <x:c r="W861" s="22" t="str">
        <x:f>"14564142836"</x:f>
        <x:v>14564142836</x:v>
      </x:c>
      <x:c r="X861" s="23" t="str">
        <x:v>derci.top@gmail.com</x:v>
      </x:c>
      <x:c r="Y861" s="22" t="str">
        <x:f>"(34) 9 9667 7296"</x:f>
        <x:v>(34) 9 9667 7296</x:v>
      </x:c>
      <x:c r="Z861" s="30" t="n">
        <x:v>46305</x:v>
      </x:c>
    </x:row>
    <x:row r="862" ht="18" customHeight="1">
      <x:c r="A862" s="22" t="str">
        <x:f>"e3e51349-bf0f-4f10-87f0-4b11693fef96"</x:f>
        <x:v>e3e51349-bf0f-4f10-87f0-4b11693fef96</x:v>
      </x:c>
      <x:c r="B862" s="23" t="str">
        <x:v>DIRLEY ALVES DOS SANTOS</x:v>
      </x:c>
      <x:c r="C862" s="23" t="str">
        <x:v>dirley alves dos santos</x:v>
      </x:c>
      <x:c r="D862" s="22" t="str">
        <x:f>"62.048.706/0001-80"</x:f>
        <x:v>62.048.706/0001-80</x:v>
      </x:c>
      <x:c r="E862" s="22" t="str">
        <x:f>"62048706000180"</x:f>
        <x:v>62048706000180</x:v>
      </x:c>
      <x:c r="F862" s="22" t="str">
        <x:f>"335.556.788-41"</x:f>
        <x:v>335.556.788-41</x:v>
      </x:c>
      <x:c r="G862" s="22" t="str">
        <x:f>"33555678841"</x:f>
        <x:v>33555678841</x:v>
      </x:c>
      <x:c r="H862" s="23" t="str">
        <x:v>suditheo03@gmail.com</x:v>
      </x:c>
      <x:c r="I862" s="22" t="str">
        <x:f>"11988290846"</x:f>
        <x:v>11988290846</x:v>
      </x:c>
      <x:c r="J862" s="23" t="str">
        <x:v>SPOT</x:v>
      </x:c>
      <x:c r="K862" s="23" t="str">
        <x:v>favored_only</x:v>
      </x:c>
      <x:c r="L862" s="24" t="b">
        <x:v>1</x:v>
      </x:c>
      <x:c r="M862" s="23" t="n">
        <x:v>1</x:v>
      </x:c>
      <x:c r="N862" s="28" t="n">
        <x:v>46205.60391699074</x:v>
      </x:c>
      <x:c r="O862" s="28" t="n">
        <x:v>46219.812988715275</x:v>
      </x:c>
      <x:c r="P862" s="23" t="str">
        <x:v>BARUERI</x:v>
      </x:c>
      <x:c r="Q862" s="30" t="n">
        <x:v>31342</x:v>
      </x:c>
      <x:c r="R862" s="22" t="str">
        <x:f>"42957012"</x:f>
        <x:v>42957012</x:v>
      </x:c>
      <x:c r="S862" s="23" t="str">
        <x:v>masculino</x:v>
      </x:c>
      <x:c r="T862" s="22" t="str">
        <x:f>"FXB8J68"</x:f>
        <x:v>FXB8J68</x:v>
      </x:c>
      <x:c r="U862" s="23" t="str">
        <x:v>FELIPE BRAGA PEREIRA</x:v>
      </x:c>
      <x:c r="V862" s="22" t="str">
        <x:f>"350.731.358-81"</x:f>
        <x:v>350.731.358-81</x:v>
      </x:c>
      <x:c r="W862" s="22" t="str">
        <x:f>"35073135881"</x:f>
        <x:v>35073135881</x:v>
      </x:c>
      <x:c r="X862" s="23" t="str">
        <x:v>bragafelipepereira@gmail.com</x:v>
      </x:c>
      <x:c r="Y862" s="22" t="str">
        <x:f>"(11)951963901"</x:f>
        <x:v>(11)951963901</x:v>
      </x:c>
      <x:c r="Z862" s="30" t="n">
        <x:v>46248</x:v>
      </x:c>
    </x:row>
    <x:row r="863" ht="18" customHeight="1">
      <x:c r="A863" s="22" t="str">
        <x:f>"efa0c04a-cad2-4ccc-b50d-e6593fc69f65"</x:f>
        <x:v>efa0c04a-cad2-4ccc-b50d-e6593fc69f65</x:v>
      </x:c>
      <x:c r="B863" s="23" t="str">
        <x:v>DIVINO CAMPOS SIMOES ROSA</x:v>
      </x:c>
      <x:c r="C863" s="23" t="str">
        <x:v>divino campos simoes rosa</x:v>
      </x:c>
      <x:c r="D863" s="22" t="str">
        <x:f>"62.026.611/0001-66"</x:f>
        <x:v>62.026.611/0001-66</x:v>
      </x:c>
      <x:c r="E863" s="22" t="str">
        <x:f>"62026611000166"</x:f>
        <x:v>62026611000166</x:v>
      </x:c>
      <x:c r="F863" s="22" t="str">
        <x:f>"105.992.736-58"</x:f>
        <x:v>105.992.736-58</x:v>
      </x:c>
      <x:c r="G863" s="22" t="str">
        <x:f>"10599273658"</x:f>
        <x:v>10599273658</x:v>
      </x:c>
      <x:c r="H863" s="23" t="str">
        <x:v>divinodito@hotmail.com</x:v>
      </x:c>
      <x:c r="I863" s="22" t="str">
        <x:f>"33999299990"</x:f>
        <x:v>33999299990</x:v>
      </x:c>
      <x:c r="J863" s="23" t="str">
        <x:v>SPOT</x:v>
      </x:c>
      <x:c r="K863" s="23" t="str">
        <x:v>favored_only</x:v>
      </x:c>
      <x:c r="L863" s="24" t="b">
        <x:v>1</x:v>
      </x:c>
      <x:c r="M863" s="23" t="n">
        <x:v>1</x:v>
      </x:c>
      <x:c r="N863" s="28" t="n">
        <x:v>46205.604118414354</x:v>
      </x:c>
      <x:c r="O863" s="28" t="n">
        <x:v>46219.812988715275</x:v>
      </x:c>
      <x:c r="P863" s="23" t="str">
        <x:v>GUANHAES</x:v>
      </x:c>
      <x:c r="Q863" s="30" t="n">
        <x:v>33005</x:v>
      </x:c>
      <x:c r="R863" s="22" t="str">
        <x:f>"16969986"</x:f>
        <x:v>16969986</x:v>
      </x:c>
      <x:c r="S863" s="23" t="str">
        <x:v>masculino</x:v>
      </x:c>
      <x:c r="T863" s="22" t="str">
        <x:f>"OWR8E97"</x:f>
        <x:v>OWR8E97</x:v>
      </x:c>
      <x:c r="U863" s="23" t="str">
        <x:v>ADILSON DIAS DA SILVA</x:v>
      </x:c>
      <x:c r="V863" s="22" t="str">
        <x:f>"052.831.076-39"</x:f>
        <x:v>052.831.076-39</x:v>
      </x:c>
      <x:c r="W863" s="22" t="str">
        <x:f>"05283107639"</x:f>
        <x:v>05283107639</x:v>
      </x:c>
      <x:c r="X863" s="23" t="str">
        <x:v>divinodito@hotmail.com</x:v>
      </x:c>
      <x:c r="Y863" s="22" t="str">
        <x:f>"33999299990"</x:f>
        <x:v>33999299990</x:v>
      </x:c>
      <x:c r="Z863" s="30" t="n">
        <x:v>46259</x:v>
      </x:c>
    </x:row>
    <x:row r="864" ht="18" customHeight="1">
      <x:c r="A864" s="22" t="str">
        <x:f>"d3fe148f-e67f-40f2-b200-c7a0b97a27f0"</x:f>
        <x:v>d3fe148f-e67f-40f2-b200-c7a0b97a27f0</x:v>
      </x:c>
      <x:c r="B864" s="23" t="str">
        <x:v>DIVINO LUCIANO NUNES</x:v>
      </x:c>
      <x:c r="C864" s="23" t="str">
        <x:v>divino luciano nunes</x:v>
      </x:c>
      <x:c r="D864" s="22" t="str">
        <x:f>"50.943.553/0001-56"</x:f>
        <x:v>50.943.553/0001-56</x:v>
      </x:c>
      <x:c r="E864" s="22" t="str">
        <x:f>"50943553000156"</x:f>
        <x:v>50943553000156</x:v>
      </x:c>
      <x:c r="F864" s="22" t="str">
        <x:f>"032.779.626-01"</x:f>
        <x:v>032.779.626-01</x:v>
      </x:c>
      <x:c r="G864" s="22" t="str">
        <x:f>"03277962601"</x:f>
        <x:v>03277962601</x:v>
      </x:c>
      <x:c r="H864" s="23" t="str">
        <x:v>mayconkz18@hotmail.com</x:v>
      </x:c>
      <x:c r="I864" s="22" t="str">
        <x:f>"37999247347"</x:f>
        <x:v>37999247347</x:v>
      </x:c>
      <x:c r="J864" s="23" t="str">
        <x:v>SPOT</x:v>
      </x:c>
      <x:c r="K864" s="23" t="str">
        <x:v>favored_only</x:v>
      </x:c>
      <x:c r="L864" s="24" t="b">
        <x:v>1</x:v>
      </x:c>
      <x:c r="M864" s="23" t="n">
        <x:v>1</x:v>
      </x:c>
      <x:c r="N864" s="28" t="n">
        <x:v>46219.812988715275</x:v>
      </x:c>
      <x:c r="O864" s="28" t="n">
        <x:v>46219.812988715275</x:v>
      </x:c>
      <x:c r="P864" s="23" t="str">
        <x:v>ARAXÁ</x:v>
      </x:c>
      <x:c r="Q864" s="30" t="n">
        <x:v>28423</x:v>
      </x:c>
      <x:c r="R864" s="22" t="str">
        <x:f>"MG10289596"</x:f>
        <x:v>MG10289596</x:v>
      </x:c>
      <x:c r="S864" s="23" t="str">
        <x:v>masculino</x:v>
      </x:c>
      <x:c r="T864" s="22" t="str">
        <x:f>"PEX6G27"</x:f>
        <x:v>PEX6G27</x:v>
      </x:c>
      <x:c r="U864" s="23" t="str">
        <x:v>DIVINO LUCIANO NUNES</x:v>
      </x:c>
      <x:c r="V864" s="22" t="str">
        <x:f>"032.779.626-01"</x:f>
        <x:v>032.779.626-01</x:v>
      </x:c>
      <x:c r="W864" s="22" t="str">
        <x:f>"03277962601"</x:f>
        <x:v>03277962601</x:v>
      </x:c>
      <x:c r="X864" s="23" t="str">
        <x:v>maycaokz18@hotmail.com</x:v>
      </x:c>
      <x:c r="Y864" s="22" t="str">
        <x:f>"37999247347"</x:f>
        <x:v>37999247347</x:v>
      </x:c>
      <x:c r="Z864" s="30" t="n">
        <x:v>46547</x:v>
      </x:c>
    </x:row>
    <x:row r="865" ht="18" customHeight="1">
      <x:c r="A865" s="22" t="str">
        <x:f>"56c9b5fa-700f-4211-b241-08f0660f5c62"</x:f>
        <x:v>56c9b5fa-700f-4211-b241-08f0660f5c62</x:v>
      </x:c>
      <x:c r="B865" s="23" t="str">
        <x:v>DJALMA JOSE ALVES</x:v>
      </x:c>
      <x:c r="C865" s="23" t="str">
        <x:v>djalma jose alves</x:v>
      </x:c>
      <x:c r="D865" s="22" t="str">
        <x:f>"37.823.997/0001-90"</x:f>
        <x:v>37.823.997/0001-90</x:v>
      </x:c>
      <x:c r="E865" s="22" t="str">
        <x:f>"37823997000190"</x:f>
        <x:v>37823997000190</x:v>
      </x:c>
      <x:c r="F865" s="22" t="str">
        <x:f>"492.516.431-72"</x:f>
        <x:v>492.516.431-72</x:v>
      </x:c>
      <x:c r="G865" s="22" t="str">
        <x:f>"49251643172"</x:f>
        <x:v>49251643172</x:v>
      </x:c>
      <x:c r="H865" s="23" t="str">
        <x:v>alvesdjalmajose@gmail.com</x:v>
      </x:c>
      <x:c r="I865" s="22" t="str">
        <x:f>"62 981586278"</x:f>
        <x:v>62 981586278</x:v>
      </x:c>
      <x:c r="J865" s="23" t="str">
        <x:v>SPOT</x:v>
      </x:c>
      <x:c r="K865" s="23" t="str">
        <x:v>favored_only</x:v>
      </x:c>
      <x:c r="L865" s="24" t="b">
        <x:v>1</x:v>
      </x:c>
      <x:c r="M865" s="23" t="n">
        <x:v>1</x:v>
      </x:c>
      <x:c r="N865" s="28" t="n">
        <x:v>46205.60429908565</x:v>
      </x:c>
      <x:c r="O865" s="28" t="n">
        <x:v>46219.812988715275</x:v>
      </x:c>
      <x:c r="P865" s="23" t="str">
        <x:v>GOIANIA</x:v>
      </x:c>
      <x:c r="Q865" s="30" t="n">
        <x:v>25117</x:v>
      </x:c>
      <x:c r="R865" s="22" t="str">
        <x:f>"2454577"</x:f>
        <x:v>2454577</x:v>
      </x:c>
      <x:c r="S865" s="23" t="str">
        <x:v>masculino</x:v>
      </x:c>
      <x:c r="T865" s="22" t="str">
        <x:f>"FAE4J74"</x:f>
        <x:v>FAE4J74</x:v>
      </x:c>
      <x:c r="U865" s="23" t="str">
        <x:v>DANILLO BACCIEL ALMEIDA</x:v>
      </x:c>
      <x:c r="V865" s="22" t="str">
        <x:f>"019.928.911-50"</x:f>
        <x:v>019.928.911-50</x:v>
      </x:c>
      <x:c r="W865" s="22" t="str">
        <x:f>"01992891150"</x:f>
        <x:v>01992891150</x:v>
      </x:c>
      <x:c r="X865" s="23" t="str">
        <x:v>rtp.cargas@gmail.com</x:v>
      </x:c>
      <x:c r="Y865" s="22" t="str">
        <x:f>"62 9661-0607"</x:f>
        <x:v>62 9661-0607</x:v>
      </x:c>
      <x:c r="Z865" s="30" t="n">
        <x:v>46267</x:v>
      </x:c>
    </x:row>
    <x:row r="866" ht="18" customHeight="1">
      <x:c r="A866" s="22" t="str">
        <x:f>"5a130968-e1ae-49b2-90e7-750f57bcd3ca"</x:f>
        <x:v>5a130968-e1ae-49b2-90e7-750f57bcd3ca</x:v>
      </x:c>
      <x:c r="B866" s="23" t="str">
        <x:v>DOGLAIR ROGERIO MOTA</x:v>
      </x:c>
      <x:c r="C866" s="23" t="str">
        <x:v>doglair rogerio mota</x:v>
      </x:c>
      <x:c r="D866" s="22" t="str">
        <x:f>"65.413.121/0001-00"</x:f>
        <x:v>65.413.121/0001-00</x:v>
      </x:c>
      <x:c r="E866" s="22" t="str">
        <x:f>"65413121000100"</x:f>
        <x:v>65413121000100</x:v>
      </x:c>
      <x:c r="F866" s="22" t="str">
        <x:f>"266.185.228-03"</x:f>
        <x:v>266.185.228-03</x:v>
      </x:c>
      <x:c r="G866" s="22" t="str">
        <x:f>"26618522803"</x:f>
        <x:v>26618522803</x:v>
      </x:c>
      <x:c r="H866" s="23" t="str">
        <x:v>doglairmota@gmail.com</x:v>
      </x:c>
      <x:c r="I866" s="22" t="str">
        <x:f>"19 99584-2848"</x:f>
        <x:v>19 99584-2848</x:v>
      </x:c>
      <x:c r="J866" s="23" t="str">
        <x:v>RENTAL</x:v>
      </x:c>
      <x:c r="K866" s="23" t="str">
        <x:v>rental_company</x:v>
      </x:c>
      <x:c r="L866" s="24" t="b">
        <x:v>1</x:v>
      </x:c>
      <x:c r="M866" s="23" t="n">
        <x:v>1</x:v>
      </x:c>
      <x:c r="N866" s="28" t="n">
        <x:v>46219.812988715275</x:v>
      </x:c>
      <x:c r="O866" s="28" t="n">
        <x:v>46219.812988715275</x:v>
      </x:c>
      <x:c r="P866" s="23" t="str">
        <x:v>SÃO JOSE DO RIO PRETO</x:v>
      </x:c>
      <x:c r="Q866" s="30" t="n">
        <x:v>29018</x:v>
      </x:c>
      <x:c r="R866" s="22" t="str">
        <x:f>"27629103"</x:f>
        <x:v>27629103</x:v>
      </x:c>
      <x:c r="S866" s="23" t="str">
        <x:v>masculino</x:v>
      </x:c>
      <x:c r="T866" s="22" t="str"/>
      <x:c r="U866" s="23" t="str">
        <x:v>DOGLAIR ROGERIO MOTA</x:v>
      </x:c>
      <x:c r="V866" s="22" t="str">
        <x:f>"266.185.228-03"</x:f>
        <x:v>266.185.228-03</x:v>
      </x:c>
      <x:c r="W866" s="22" t="str">
        <x:f>"26618522803"</x:f>
        <x:v>26618522803</x:v>
      </x:c>
      <x:c r="X866" s="23" t="str">
        <x:v>doglairmota@gmail.com</x:v>
      </x:c>
      <x:c r="Y866" s="22" t="str">
        <x:f>"19 99584-2848"</x:f>
        <x:v>19 99584-2848</x:v>
      </x:c>
      <x:c r="Z866" s="30" t="n">
        <x:v>46451</x:v>
      </x:c>
    </x:row>
    <x:row r="867" ht="18" customHeight="1">
      <x:c r="A867" s="22" t="str">
        <x:f>"090f13b9-e2b0-4363-8b38-4936ceb9706a"</x:f>
        <x:v>090f13b9-e2b0-4363-8b38-4936ceb9706a</x:v>
      </x:c>
      <x:c r="B867" s="23" t="str">
        <x:v>DONIZETE LEITE DE OLIVEIRA</x:v>
      </x:c>
      <x:c r="C867" s="23" t="str">
        <x:v>donizete leite de oliveira</x:v>
      </x:c>
      <x:c r="D867" s="22" t="str">
        <x:f>"52.584.153/0001-27"</x:f>
        <x:v>52.584.153/0001-27</x:v>
      </x:c>
      <x:c r="E867" s="22" t="str">
        <x:f>"52584153000127"</x:f>
        <x:v>52584153000127</x:v>
      </x:c>
      <x:c r="F867" s="22" t="str">
        <x:f>"956.610.771-49"</x:f>
        <x:v>956.610.771-49</x:v>
      </x:c>
      <x:c r="G867" s="22" t="str">
        <x:f>"95661077149"</x:f>
        <x:v>95661077149</x:v>
      </x:c>
      <x:c r="H867" s="23" t="str">
        <x:v>oliveiratransportes82@gmail.com</x:v>
      </x:c>
      <x:c r="I867" s="22" t="str">
        <x:f>"66992069990"</x:f>
        <x:v>66992069990</x:v>
      </x:c>
      <x:c r="J867" s="23" t="str">
        <x:v>SPOT</x:v>
      </x:c>
      <x:c r="K867" s="23" t="str">
        <x:v>favored_only</x:v>
      </x:c>
      <x:c r="L867" s="24" t="b">
        <x:v>1</x:v>
      </x:c>
      <x:c r="M867" s="23" t="n">
        <x:v>1</x:v>
      </x:c>
      <x:c r="N867" s="28" t="n">
        <x:v>46203.921887453704</x:v>
      </x:c>
      <x:c r="O867" s="28" t="n">
        <x:v>46219.812988715275</x:v>
      </x:c>
      <x:c r="P867" s="23" t="str">
        <x:v>SINOP</x:v>
      </x:c>
      <x:c r="Q867" s="30" t="n">
        <x:v>30254</x:v>
      </x:c>
      <x:c r="R867" s="22" t="str">
        <x:f>"14444712"</x:f>
        <x:v>14444712</x:v>
      </x:c>
      <x:c r="S867" s="23" t="str">
        <x:v>masculino</x:v>
      </x:c>
      <x:c r="T867" s="22" t="str">
        <x:f>"QBI6F46"</x:f>
        <x:v>QBI6F46</x:v>
      </x:c>
      <x:c r="U867" s="23" t="str">
        <x:v>DONIZETE LEITE DE OLIVEIRA</x:v>
      </x:c>
      <x:c r="V867" s="22" t="str">
        <x:f>"956.610.771-49"</x:f>
        <x:v>956.610.771-49</x:v>
      </x:c>
      <x:c r="W867" s="22" t="str">
        <x:f>"95661077149"</x:f>
        <x:v>95661077149</x:v>
      </x:c>
      <x:c r="X867" s="23" t="str">
        <x:v>oliveiratransportes82@gmail.com</x:v>
      </x:c>
      <x:c r="Y867" s="22" t="str">
        <x:f>"66992069990"</x:f>
        <x:v>66992069990</x:v>
      </x:c>
      <x:c r="Z867" s="30" t="n">
        <x:v>46331</x:v>
      </x:c>
    </x:row>
    <x:row r="868" ht="18" customHeight="1">
      <x:c r="A868" s="22" t="str">
        <x:f>"103146ff-d40e-435a-83ba-071a622ab56e"</x:f>
        <x:v>103146ff-d40e-435a-83ba-071a622ab56e</x:v>
      </x:c>
      <x:c r="B868" s="23" t="str">
        <x:v>DONNER CARLOS ROCHA DA SILVEIRA</x:v>
      </x:c>
      <x:c r="C868" s="23" t="str">
        <x:v>donner carlos rocha da silveira</x:v>
      </x:c>
      <x:c r="D868" s="22" t="str">
        <x:f>"40.392.427/0001-05"</x:f>
        <x:v>40.392.427/0001-05</x:v>
      </x:c>
      <x:c r="E868" s="22" t="str">
        <x:f>"40392427000105"</x:f>
        <x:v>40392427000105</x:v>
      </x:c>
      <x:c r="F868" s="22" t="str">
        <x:f>"125.162.166-02"</x:f>
        <x:v>125.162.166-02</x:v>
      </x:c>
      <x:c r="G868" s="22" t="str">
        <x:f>"12516216602"</x:f>
        <x:v>12516216602</x:v>
      </x:c>
      <x:c r="H868" s="23" t="str">
        <x:v>donnercarlos95@gmail.com</x:v>
      </x:c>
      <x:c r="I868" s="22" t="str">
        <x:f>"31973090104"</x:f>
        <x:v>31973090104</x:v>
      </x:c>
      <x:c r="J868" s="23" t="str">
        <x:v>RENTAL</x:v>
      </x:c>
      <x:c r="K868" s="23" t="str">
        <x:v>rental_company</x:v>
      </x:c>
      <x:c r="L868" s="24" t="b">
        <x:v>1</x:v>
      </x:c>
      <x:c r="M868" s="23" t="n">
        <x:v>1</x:v>
      </x:c>
      <x:c r="N868" s="28" t="n">
        <x:v>46203.92183332176</x:v>
      </x:c>
      <x:c r="O868" s="28" t="n">
        <x:v>46219.812988715275</x:v>
      </x:c>
      <x:c r="P868" s="23" t="str">
        <x:v>VESPASIANO</x:v>
      </x:c>
      <x:c r="Q868" s="30" t="n">
        <x:v>34726</x:v>
      </x:c>
      <x:c r="R868" s="22" t="str">
        <x:f>"MG17583474"</x:f>
        <x:v>MG17583474</x:v>
      </x:c>
      <x:c r="S868" s="23" t="str">
        <x:v>masculino</x:v>
      </x:c>
      <x:c r="T868" s="22" t="str"/>
      <x:c r="U868" s="23" t="str">
        <x:v>DONNER CARLOS ROCHA DA SILVEIRA</x:v>
      </x:c>
      <x:c r="V868" s="22" t="str">
        <x:f>"125.162.166-02"</x:f>
        <x:v>125.162.166-02</x:v>
      </x:c>
      <x:c r="W868" s="22" t="str">
        <x:f>"12516216602"</x:f>
        <x:v>12516216602</x:v>
      </x:c>
      <x:c r="X868" s="23" t="str">
        <x:v>donnercarlos95@gmail.com</x:v>
      </x:c>
      <x:c r="Y868" s="22" t="str">
        <x:f>"31973090104"</x:f>
        <x:v>31973090104</x:v>
      </x:c>
      <x:c r="Z868" s="30" t="n">
        <x:v>46263</x:v>
      </x:c>
    </x:row>
    <x:row r="869" ht="18" customHeight="1">
      <x:c r="A869" s="22" t="str">
        <x:f>"13550076-6edd-4ef0-b780-692bf6edf8a7"</x:f>
        <x:v>13550076-6edd-4ef0-b780-692bf6edf8a7</x:v>
      </x:c>
      <x:c r="B869" s="23" t="str">
        <x:v>DOUGLAS ALVES DA SILVA SOUZA</x:v>
      </x:c>
      <x:c r="C869" s="23" t="str">
        <x:v>douglas alves da silva souza</x:v>
      </x:c>
      <x:c r="D869" s="22" t="str">
        <x:f>"55.865.609/0001-15"</x:f>
        <x:v>55.865.609/0001-15</x:v>
      </x:c>
      <x:c r="E869" s="22" t="str">
        <x:f>"55865609000115"</x:f>
        <x:v>55865609000115</x:v>
      </x:c>
      <x:c r="F869" s="22" t="str">
        <x:f>"438.426.338-40"</x:f>
        <x:v>438.426.338-40</x:v>
      </x:c>
      <x:c r="G869" s="22" t="str">
        <x:f>"43842633840"</x:f>
        <x:v>43842633840</x:v>
      </x:c>
      <x:c r="H869" s="23" t="str">
        <x:v>douglas9.1997@hotmail.com</x:v>
      </x:c>
      <x:c r="I869" s="22" t="str">
        <x:f>"11 96648-8392"</x:f>
        <x:v>11 96648-8392</x:v>
      </x:c>
      <x:c r="J869" s="23" t="str">
        <x:v>RENTAL</x:v>
      </x:c>
      <x:c r="K869" s="23" t="str">
        <x:v>rental_company</x:v>
      </x:c>
      <x:c r="L869" s="24" t="b">
        <x:v>1</x:v>
      </x:c>
      <x:c r="M869" s="23" t="n">
        <x:v>1</x:v>
      </x:c>
      <x:c r="N869" s="28" t="n">
        <x:v>46219.812988715275</x:v>
      </x:c>
      <x:c r="O869" s="28" t="n">
        <x:v>46219.812988715275</x:v>
      </x:c>
      <x:c r="P869" s="23" t="str">
        <x:v>BARUERI</x:v>
      </x:c>
      <x:c r="Q869" s="30" t="n">
        <x:v>35496</x:v>
      </x:c>
      <x:c r="R869" s="22" t="str">
        <x:f>"52441318"</x:f>
        <x:v>52441318</x:v>
      </x:c>
      <x:c r="S869" s="23" t="str">
        <x:v>masculino</x:v>
      </x:c>
      <x:c r="T869" s="22" t="str"/>
      <x:c r="U869" s="23" t="str">
        <x:v>DOUGLAS ALVES DA SILVA SOUZA</x:v>
      </x:c>
      <x:c r="V869" s="22" t="str">
        <x:f>"438.426.338-40"</x:f>
        <x:v>438.426.338-40</x:v>
      </x:c>
      <x:c r="W869" s="22" t="str">
        <x:f>"43842633840"</x:f>
        <x:v>43842633840</x:v>
      </x:c>
      <x:c r="X869" s="23" t="str">
        <x:v>douglas9.1997@hotmail.com</x:v>
      </x:c>
      <x:c r="Y869" s="22" t="str">
        <x:f>"11 96648-8392"</x:f>
        <x:v>11 96648-8392</x:v>
      </x:c>
      <x:c r="Z869" s="30" t="n">
        <x:v>46519</x:v>
      </x:c>
    </x:row>
    <x:row r="870" ht="18" customHeight="1">
      <x:c r="A870" s="22" t="str">
        <x:f>"b52141f0-365b-4050-a033-18f67a9e5a31"</x:f>
        <x:v>b52141f0-365b-4050-a033-18f67a9e5a31</x:v>
      </x:c>
      <x:c r="B870" s="23" t="str">
        <x:v>DOUGLAS ALVES SOARES</x:v>
      </x:c>
      <x:c r="C870" s="23" t="str">
        <x:v>douglas alves soares</x:v>
      </x:c>
      <x:c r="D870" s="22" t="str">
        <x:f>"60.115.860/0001-00"</x:f>
        <x:v>60.115.860/0001-00</x:v>
      </x:c>
      <x:c r="E870" s="22" t="str">
        <x:f>"60115860000100"</x:f>
        <x:v>60115860000100</x:v>
      </x:c>
      <x:c r="F870" s="22" t="str">
        <x:f>"116.665.327-70"</x:f>
        <x:v>116.665.327-70</x:v>
      </x:c>
      <x:c r="G870" s="22" t="str">
        <x:f>"11666532770"</x:f>
        <x:v>11666532770</x:v>
      </x:c>
      <x:c r="H870" s="23" t="str">
        <x:v>alves.soaresinformatica@gmail.com</x:v>
      </x:c>
      <x:c r="I870" s="22" t="str">
        <x:f>"21964658857"</x:f>
        <x:v>21964658857</x:v>
      </x:c>
      <x:c r="J870" s="23" t="str">
        <x:v>SPOT</x:v>
      </x:c>
      <x:c r="K870" s="23" t="str">
        <x:v>favored_only</x:v>
      </x:c>
      <x:c r="L870" s="24" t="b">
        <x:v>1</x:v>
      </x:c>
      <x:c r="M870" s="23" t="n">
        <x:v>1</x:v>
      </x:c>
      <x:c r="N870" s="28" t="n">
        <x:v>46219.79396105324</x:v>
      </x:c>
      <x:c r="O870" s="28" t="n">
        <x:v>46219.812988715275</x:v>
      </x:c>
      <x:c r="P870" s="23" t="str">
        <x:v>QUEIMADOS</x:v>
      </x:c>
      <x:c r="Q870" s="30" t="n">
        <x:v>32133</x:v>
      </x:c>
      <x:c r="R870" s="22" t="str">
        <x:f>"216155192"</x:f>
        <x:v>216155192</x:v>
      </x:c>
      <x:c r="S870" s="23" t="str">
        <x:v>masculino</x:v>
      </x:c>
      <x:c r="T870" s="22" t="str">
        <x:f>"EMU3F61"</x:f>
        <x:v>EMU3F61</x:v>
      </x:c>
      <x:c r="U870" s="23" t="str">
        <x:v>DOUGLAS ALVES SOARES</x:v>
      </x:c>
      <x:c r="V870" s="22" t="str">
        <x:f>"116.665.327-70"</x:f>
        <x:v>116.665.327-70</x:v>
      </x:c>
      <x:c r="W870" s="22" t="str">
        <x:f>"11666532770"</x:f>
        <x:v>11666532770</x:v>
      </x:c>
      <x:c r="X870" s="23" t="str">
        <x:v>alves.soaresinformatica@gmail.com</x:v>
      </x:c>
      <x:c r="Y870" s="22" t="str">
        <x:f>"21964658857"</x:f>
        <x:v>21964658857</x:v>
      </x:c>
      <x:c r="Z870" s="30" t="n">
        <x:v>46253</x:v>
      </x:c>
    </x:row>
    <x:row r="871" ht="18" customHeight="1">
      <x:c r="A871" s="22" t="str">
        <x:f>"1f9d4da0-7fe2-49ed-bb16-8243f21007ab"</x:f>
        <x:v>1f9d4da0-7fe2-49ed-bb16-8243f21007ab</x:v>
      </x:c>
      <x:c r="B871" s="23" t="str">
        <x:v>DOUGLAS ARAUJO GOMES</x:v>
      </x:c>
      <x:c r="C871" s="23" t="str">
        <x:v>douglas araujo gomes</x:v>
      </x:c>
      <x:c r="D871" s="22" t="str">
        <x:f>"36.481.676/0001-91"</x:f>
        <x:v>36.481.676/0001-91</x:v>
      </x:c>
      <x:c r="E871" s="22" t="str">
        <x:f>"36481676000191"</x:f>
        <x:v>36481676000191</x:v>
      </x:c>
      <x:c r="F871" s="22" t="str">
        <x:f>"022.540.206-84"</x:f>
        <x:v>022.540.206-84</x:v>
      </x:c>
      <x:c r="G871" s="22" t="str">
        <x:f>"02254020684"</x:f>
        <x:v>02254020684</x:v>
      </x:c>
      <x:c r="H871" s="23" t="str">
        <x:v>douglasarg78@hotmail.com</x:v>
      </x:c>
      <x:c r="I871" s="22" t="str">
        <x:f>"31984424965"</x:f>
        <x:v>31984424965</x:v>
      </x:c>
      <x:c r="J871" s="23" t="str">
        <x:v>SPOT</x:v>
      </x:c>
      <x:c r="K871" s="23" t="str">
        <x:v>favored_only</x:v>
      </x:c>
      <x:c r="L871" s="24" t="b">
        <x:v>1</x:v>
      </x:c>
      <x:c r="M871" s="23" t="n">
        <x:v>1</x:v>
      </x:c>
      <x:c r="N871" s="28" t="n">
        <x:v>46203.921852962965</x:v>
      </x:c>
      <x:c r="O871" s="28" t="n">
        <x:v>46219.812988715275</x:v>
      </x:c>
      <x:c r="P871" s="23" t="str">
        <x:v>CONTAGEM</x:v>
      </x:c>
      <x:c r="Q871" s="30" t="n">
        <x:v>36276</x:v>
      </x:c>
      <x:c r="R871" s="22" t="str">
        <x:f>"MG16980774"</x:f>
        <x:v>MG16980774</x:v>
      </x:c>
      <x:c r="S871" s="23" t="str">
        <x:v>masculino</x:v>
      </x:c>
      <x:c r="T871" s="22" t="str">
        <x:f>"EIG8A72"</x:f>
        <x:v>EIG8A72</x:v>
      </x:c>
      <x:c r="U871" s="23" t="str">
        <x:v>DOUGLAS ARAUJO GOMES</x:v>
      </x:c>
      <x:c r="V871" s="22" t="str">
        <x:f>"022.540.206-84"</x:f>
        <x:v>022.540.206-84</x:v>
      </x:c>
      <x:c r="W871" s="22" t="str">
        <x:f>"02254020684"</x:f>
        <x:v>02254020684</x:v>
      </x:c>
      <x:c r="X871" s="23" t="str">
        <x:v>douglasarg78@hotmail.com</x:v>
      </x:c>
      <x:c r="Y871" s="22" t="str">
        <x:f>"31984424965"</x:f>
        <x:v>31984424965</x:v>
      </x:c>
      <x:c r="Z871" s="30" t="n">
        <x:v>46249</x:v>
      </x:c>
    </x:row>
    <x:row r="872" ht="18" customHeight="1">
      <x:c r="A872" s="22" t="str">
        <x:f>"9609e426-8cf3-4405-98a6-b22a63e84f04"</x:f>
        <x:v>9609e426-8cf3-4405-98a6-b22a63e84f04</x:v>
      </x:c>
      <x:c r="B872" s="23" t="str">
        <x:v>DOUGLAS CASSIANO COSTA DE FREITAS</x:v>
      </x:c>
      <x:c r="C872" s="23" t="str">
        <x:v>douglas cassiano costa de freitas</x:v>
      </x:c>
      <x:c r="D872" s="22" t="str">
        <x:f>"63.277.401/0001-03"</x:f>
        <x:v>63.277.401/0001-03</x:v>
      </x:c>
      <x:c r="E872" s="22" t="str">
        <x:f>"63277401000103"</x:f>
        <x:v>63277401000103</x:v>
      </x:c>
      <x:c r="F872" s="22" t="str">
        <x:f>"756.760.791-34"</x:f>
        <x:v>756.760.791-34</x:v>
      </x:c>
      <x:c r="G872" s="22" t="str">
        <x:f>"75676079134"</x:f>
        <x:v>75676079134</x:v>
      </x:c>
      <x:c r="H872" s="23" t="str">
        <x:v>douglasfreitas25@hotmail.com</x:v>
      </x:c>
      <x:c r="I872" s="22" t="str">
        <x:f>"62982226018"</x:f>
        <x:v>62982226018</x:v>
      </x:c>
      <x:c r="J872" s="23" t="str">
        <x:v>RENTAL</x:v>
      </x:c>
      <x:c r="K872" s="23" t="str">
        <x:v>rental_company</x:v>
      </x:c>
      <x:c r="L872" s="24" t="b">
        <x:v>1</x:v>
      </x:c>
      <x:c r="M872" s="23" t="n">
        <x:v>2</x:v>
      </x:c>
      <x:c r="N872" s="28" t="n">
        <x:v>46203.92188238426</x:v>
      </x:c>
      <x:c r="O872" s="28" t="n">
        <x:v>46219.812988715275</x:v>
      </x:c>
      <x:c r="P872" s="23" t="str">
        <x:v>GOIANIA</x:v>
      </x:c>
      <x:c r="Q872" s="30" t="n">
        <x:v>34746</x:v>
      </x:c>
      <x:c r="R872" s="22" t="str">
        <x:f>"5803647"</x:f>
        <x:v>5803647</x:v>
      </x:c>
      <x:c r="S872" s="23" t="str">
        <x:v>masculino</x:v>
      </x:c>
      <x:c r="T872" s="22" t="str"/>
      <x:c r="U872" s="23" t="str">
        <x:v>DOUGLAS CASSIANO COSTA DE FREITAS</x:v>
      </x:c>
      <x:c r="V872" s="22" t="str">
        <x:f>"756.760.791-34"</x:f>
        <x:v>756.760.791-34</x:v>
      </x:c>
      <x:c r="W872" s="22" t="str">
        <x:f>"75676079134"</x:f>
        <x:v>75676079134</x:v>
      </x:c>
      <x:c r="X872" s="23" t="str">
        <x:v>douglasfreitas25@hotmail.com</x:v>
      </x:c>
      <x:c r="Y872" s="22" t="str">
        <x:f>"62982226018"</x:f>
        <x:v>62982226018</x:v>
      </x:c>
      <x:c r="Z872" s="30" t="n">
        <x:v>46316</x:v>
      </x:c>
    </x:row>
    <x:row r="873" ht="18" customHeight="1">
      <x:c r="A873" s="22" t="str">
        <x:f>"644d9a5a-56b8-4117-8952-338638e21ede"</x:f>
        <x:v>644d9a5a-56b8-4117-8952-338638e21ede</x:v>
      </x:c>
      <x:c r="B873" s="23" t="str">
        <x:v>DOUGLAS CORDEIRO DA SILVA</x:v>
      </x:c>
      <x:c r="C873" s="23" t="str">
        <x:v>douglas cordeiro da silva</x:v>
      </x:c>
      <x:c r="D873" s="22" t="str">
        <x:f>"63.780.474/0001-13"</x:f>
        <x:v>63.780.474/0001-13</x:v>
      </x:c>
      <x:c r="E873" s="22" t="str">
        <x:f>"63780474000113"</x:f>
        <x:v>63780474000113</x:v>
      </x:c>
      <x:c r="F873" s="22" t="str">
        <x:f>"051.845.041-41"</x:f>
        <x:v>051.845.041-41</x:v>
      </x:c>
      <x:c r="G873" s="22" t="str">
        <x:f>"05184504141"</x:f>
        <x:v>05184504141</x:v>
      </x:c>
      <x:c r="H873" s="23" t="str">
        <x:v>cordeirodouglas20@gmail.com</x:v>
      </x:c>
      <x:c r="I873" s="22" t="str">
        <x:f>"66999947005"</x:f>
        <x:v>66999947005</x:v>
      </x:c>
      <x:c r="J873" s="23" t="str">
        <x:v>SPOT</x:v>
      </x:c>
      <x:c r="K873" s="23" t="str">
        <x:v>favored_only</x:v>
      </x:c>
      <x:c r="L873" s="24" t="b">
        <x:v>1</x:v>
      </x:c>
      <x:c r="M873" s="23" t="n">
        <x:v>1</x:v>
      </x:c>
      <x:c r="N873" s="28" t="n">
        <x:v>46203.921904421295</x:v>
      </x:c>
      <x:c r="O873" s="28" t="n">
        <x:v>46219.812988715275</x:v>
      </x:c>
      <x:c r="P873" s="23" t="str">
        <x:v>SINOP</x:v>
      </x:c>
      <x:c r="Q873" s="30" t="n">
        <x:v>34684</x:v>
      </x:c>
      <x:c r="R873" s="22" t="str">
        <x:f>"23985461"</x:f>
        <x:v>23985461</x:v>
      </x:c>
      <x:c r="S873" s="23" t="str">
        <x:v>masculino</x:v>
      </x:c>
      <x:c r="T873" s="22" t="str">
        <x:f>"QQB7E31"</x:f>
        <x:v>QQB7E31</x:v>
      </x:c>
      <x:c r="U873" s="23" t="str">
        <x:v>DOUGLAS CORDEIRO DA SILVA</x:v>
      </x:c>
      <x:c r="V873" s="22" t="str">
        <x:f>"051.845.041-41"</x:f>
        <x:v>051.845.041-41</x:v>
      </x:c>
      <x:c r="W873" s="22" t="str">
        <x:f>"05184504141"</x:f>
        <x:v>05184504141</x:v>
      </x:c>
      <x:c r="X873" s="23" t="str">
        <x:v>cordeirodouglas20@gmail.com</x:v>
      </x:c>
      <x:c r="Y873" s="22" t="str">
        <x:f>"66999947005"</x:f>
        <x:v>66999947005</x:v>
      </x:c>
      <x:c r="Z873" s="30" t="n">
        <x:v>46367</x:v>
      </x:c>
    </x:row>
    <x:row r="874" ht="18" customHeight="1">
      <x:c r="A874" s="22" t="str">
        <x:f>"aa803ac8-c312-4306-9a63-cc0e0e481a9b"</x:f>
        <x:v>aa803ac8-c312-4306-9a63-cc0e0e481a9b</x:v>
      </x:c>
      <x:c r="B874" s="23" t="str">
        <x:v>DOUGLAS DE PAULA ROSA</x:v>
      </x:c>
      <x:c r="C874" s="23" t="str">
        <x:v>douglas de paula rosa</x:v>
      </x:c>
      <x:c r="D874" s="22" t="str">
        <x:f>"33.126.785/0001-00"</x:f>
        <x:v>33.126.785/0001-00</x:v>
      </x:c>
      <x:c r="E874" s="22" t="str">
        <x:f>"33126785000100"</x:f>
        <x:v>33126785000100</x:v>
      </x:c>
      <x:c r="F874" s="22" t="str">
        <x:f>"174.910.448-24"</x:f>
        <x:v>174.910.448-24</x:v>
      </x:c>
      <x:c r="G874" s="22" t="str">
        <x:f>"17491044824"</x:f>
        <x:v>17491044824</x:v>
      </x:c>
      <x:c r="H874" s="23" t="str">
        <x:v>depaularosadouglas6@gmail.com</x:v>
      </x:c>
      <x:c r="I874" s="22" t="str">
        <x:f>"(11)98200-3523"</x:f>
        <x:v>(11)98200-3523</x:v>
      </x:c>
      <x:c r="J874" s="23" t="str">
        <x:v>RENTAL</x:v>
      </x:c>
      <x:c r="K874" s="23" t="str">
        <x:v>rental_company</x:v>
      </x:c>
      <x:c r="L874" s="24" t="b">
        <x:v>1</x:v>
      </x:c>
      <x:c r="M874" s="23" t="n">
        <x:v>1</x:v>
      </x:c>
      <x:c r="N874" s="28" t="n">
        <x:v>46203.92191240741</x:v>
      </x:c>
      <x:c r="O874" s="28" t="n">
        <x:v>46219.812988715275</x:v>
      </x:c>
      <x:c r="P874" s="23" t="str">
        <x:v>BARUERI</x:v>
      </x:c>
      <x:c r="Q874" s="30" t="n">
        <x:v>28376</x:v>
      </x:c>
      <x:c r="R874" s="22" t="str">
        <x:f>"26624321"</x:f>
        <x:v>26624321</x:v>
      </x:c>
      <x:c r="S874" s="23" t="str">
        <x:v>masculino</x:v>
      </x:c>
      <x:c r="T874" s="22" t="str"/>
      <x:c r="U874" s="23" t="str">
        <x:v>DOUGLAS DE PAULA ROSA</x:v>
      </x:c>
      <x:c r="V874" s="22" t="str">
        <x:f>"174.910.448-24"</x:f>
        <x:v>174.910.448-24</x:v>
      </x:c>
      <x:c r="W874" s="22" t="str">
        <x:f>"17491044824"</x:f>
        <x:v>17491044824</x:v>
      </x:c>
      <x:c r="X874" s="23" t="str">
        <x:v>depaularosadouglas6@gmail.com</x:v>
      </x:c>
      <x:c r="Y874" s="22" t="str">
        <x:f>"(11)98200-3523"</x:f>
        <x:v>(11)98200-3523</x:v>
      </x:c>
      <x:c r="Z874" s="30" t="n">
        <x:v>46400</x:v>
      </x:c>
    </x:row>
    <x:row r="875" ht="18" customHeight="1">
      <x:c r="A875" s="22" t="str">
        <x:f>"8cd988dc-e584-4213-abfa-d4b971e28758"</x:f>
        <x:v>8cd988dc-e584-4213-abfa-d4b971e28758</x:v>
      </x:c>
      <x:c r="B875" s="23" t="str">
        <x:v>DOUGLAS DE SOUZA LIMA</x:v>
      </x:c>
      <x:c r="C875" s="23" t="str">
        <x:v>douglas de souza lima</x:v>
      </x:c>
      <x:c r="D875" s="22" t="str">
        <x:f>"62.621.952/0001-80"</x:f>
        <x:v>62.621.952/0001-80</x:v>
      </x:c>
      <x:c r="E875" s="22" t="str">
        <x:f>"62621952000180"</x:f>
        <x:v>62621952000180</x:v>
      </x:c>
      <x:c r="F875" s="22" t="str">
        <x:f>"068.158.451-33"</x:f>
        <x:v>068.158.451-33</x:v>
      </x:c>
      <x:c r="G875" s="22" t="str">
        <x:f>"06815845133"</x:f>
        <x:v>06815845133</x:v>
      </x:c>
      <x:c r="H875" s="23" t="str">
        <x:v>douglaslimatt@gmail.com</x:v>
      </x:c>
      <x:c r="I875" s="22" t="str">
        <x:f>"66999241850"</x:f>
        <x:v>66999241850</x:v>
      </x:c>
      <x:c r="J875" s="23" t="str">
        <x:v>SPOT</x:v>
      </x:c>
      <x:c r="K875" s="23" t="str">
        <x:v>favored_only</x:v>
      </x:c>
      <x:c r="L875" s="24" t="b">
        <x:v>1</x:v>
      </x:c>
      <x:c r="M875" s="23" t="n">
        <x:v>1</x:v>
      </x:c>
      <x:c r="N875" s="28" t="n">
        <x:v>46203.92188238426</x:v>
      </x:c>
      <x:c r="O875" s="28" t="n">
        <x:v>46219.812988715275</x:v>
      </x:c>
      <x:c r="P875" s="23" t="str">
        <x:v>CUIABA</x:v>
      </x:c>
      <x:c r="Q875" s="30" t="n">
        <x:v>36933</x:v>
      </x:c>
      <x:c r="R875" s="22" t="str">
        <x:f>"28908112"</x:f>
        <x:v>28908112</x:v>
      </x:c>
      <x:c r="S875" s="23" t="str">
        <x:v>masculino</x:v>
      </x:c>
      <x:c r="T875" s="22" t="str">
        <x:f>"PWY9A04"</x:f>
        <x:v>PWY9A04</x:v>
      </x:c>
      <x:c r="U875" s="23" t="str">
        <x:v>DOUGLAS DE SOUZA LIMA</x:v>
      </x:c>
      <x:c r="V875" s="22" t="str">
        <x:f>"068.158.451-33"</x:f>
        <x:v>068.158.451-33</x:v>
      </x:c>
      <x:c r="W875" s="22" t="str">
        <x:f>"06815845133"</x:f>
        <x:v>06815845133</x:v>
      </x:c>
      <x:c r="X875" s="23" t="str">
        <x:v>douglaslimatt@gmail.com</x:v>
      </x:c>
      <x:c r="Y875" s="22" t="str">
        <x:f>"62.621.952/0001-80"</x:f>
        <x:v>62.621.952/0001-80</x:v>
      </x:c>
      <x:c r="Z875" s="30" t="n">
        <x:v>46318</x:v>
      </x:c>
    </x:row>
    <x:row r="876" ht="18" customHeight="1">
      <x:c r="A876" s="22" t="str">
        <x:f>"78051e2b-7cf5-4b55-930d-a9a342f40959"</x:f>
        <x:v>78051e2b-7cf5-4b55-930d-a9a342f40959</x:v>
      </x:c>
      <x:c r="B876" s="23" t="str">
        <x:v>DOUGLAS DIEGO FAGUNDES DE SOUZA</x:v>
      </x:c>
      <x:c r="C876" s="23" t="str">
        <x:v>douglas diego fagundes de souza</x:v>
      </x:c>
      <x:c r="D876" s="22" t="str">
        <x:f>"61.260.921/0001-88"</x:f>
        <x:v>61.260.921/0001-88</x:v>
      </x:c>
      <x:c r="E876" s="22" t="str">
        <x:f>"61260921000188"</x:f>
        <x:v>61260921000188</x:v>
      </x:c>
      <x:c r="F876" s="22" t="str">
        <x:f>"352.012.538-22"</x:f>
        <x:v>352.012.538-22</x:v>
      </x:c>
      <x:c r="G876" s="22" t="str">
        <x:f>"35201253822"</x:f>
        <x:v>35201253822</x:v>
      </x:c>
      <x:c r="H876" s="23" t="str">
        <x:v>douglasdds9@gmail.com</x:v>
      </x:c>
      <x:c r="I876" s="22" t="str">
        <x:f>"17981527700"</x:f>
        <x:v>17981527700</x:v>
      </x:c>
      <x:c r="J876" s="23" t="str">
        <x:v>RENTAL</x:v>
      </x:c>
      <x:c r="K876" s="23" t="str">
        <x:v>rental_company</x:v>
      </x:c>
      <x:c r="L876" s="24" t="b">
        <x:v>1</x:v>
      </x:c>
      <x:c r="M876" s="23" t="n">
        <x:v>1</x:v>
      </x:c>
      <x:c r="N876" s="28" t="n">
        <x:v>46203.92188238426</x:v>
      </x:c>
      <x:c r="O876" s="28" t="n">
        <x:v>46219.812988715275</x:v>
      </x:c>
      <x:c r="P876" s="23" t="str">
        <x:v>BARRETOS</x:v>
      </x:c>
      <x:c r="Q876" s="30" t="n">
        <x:v>31757</x:v>
      </x:c>
      <x:c r="R876" s="22" t="str">
        <x:f>"40747003"</x:f>
        <x:v>40747003</x:v>
      </x:c>
      <x:c r="S876" s="23" t="str">
        <x:v>masculino</x:v>
      </x:c>
      <x:c r="T876" s="22" t="str"/>
      <x:c r="U876" s="23" t="str">
        <x:v>DOUGLAS DIEGO FAGUNDES DE SOUZA</x:v>
      </x:c>
      <x:c r="V876" s="22" t="str">
        <x:f>"352.012.538-22"</x:f>
        <x:v>352.012.538-22</x:v>
      </x:c>
      <x:c r="W876" s="22" t="str">
        <x:f>"35201253822"</x:f>
        <x:v>35201253822</x:v>
      </x:c>
      <x:c r="X876" s="23" t="str">
        <x:v>douglasdds9@gmail.com</x:v>
      </x:c>
      <x:c r="Y876" s="22" t="str">
        <x:f>"17981527700"</x:f>
        <x:v>17981527700</x:v>
      </x:c>
      <x:c r="Z876" s="30" t="n">
        <x:v>46320</x:v>
      </x:c>
    </x:row>
    <x:row r="877" ht="18" customHeight="1">
      <x:c r="A877" s="22" t="str">
        <x:f>"9e4e119c-d61b-442f-a143-afd14c40ac5f"</x:f>
        <x:v>9e4e119c-d61b-442f-a143-afd14c40ac5f</x:v>
      </x:c>
      <x:c r="B877" s="23" t="str">
        <x:v>DOUGLAS EDUARDO GARCIA</x:v>
      </x:c>
      <x:c r="C877" s="23" t="str">
        <x:v>douglas eduardo garcia</x:v>
      </x:c>
      <x:c r="D877" s="22" t="str">
        <x:f>"51.296.279/0001-33"</x:f>
        <x:v>51.296.279/0001-33</x:v>
      </x:c>
      <x:c r="E877" s="22" t="str">
        <x:f>"51296279000133"</x:f>
        <x:v>51296279000133</x:v>
      </x:c>
      <x:c r="F877" s="22" t="str">
        <x:f>"391.051.188-08"</x:f>
        <x:v>391.051.188-08</x:v>
      </x:c>
      <x:c r="G877" s="22" t="str">
        <x:f>"39105118808"</x:f>
        <x:v>39105118808</x:v>
      </x:c>
      <x:c r="H877" s="23" t="str">
        <x:v>dodo.garcia1990@gmail.com</x:v>
      </x:c>
      <x:c r="I877" s="22" t="str">
        <x:f>"11974553328"</x:f>
        <x:v>11974553328</x:v>
      </x:c>
      <x:c r="J877" s="23" t="str">
        <x:v>SPOT</x:v>
      </x:c>
      <x:c r="K877" s="23" t="str">
        <x:v>favored_only</x:v>
      </x:c>
      <x:c r="L877" s="24" t="b">
        <x:v>1</x:v>
      </x:c>
      <x:c r="M877" s="23" t="n">
        <x:v>1</x:v>
      </x:c>
      <x:c r="N877" s="28" t="n">
        <x:v>46203.92184908565</x:v>
      </x:c>
      <x:c r="O877" s="28" t="n">
        <x:v>46219.812988715275</x:v>
      </x:c>
      <x:c r="P877" s="23" t="str">
        <x:v>BARUERI</x:v>
      </x:c>
      <x:c r="Q877" s="30" t="n">
        <x:v>33227</x:v>
      </x:c>
      <x:c r="R877" s="22" t="str">
        <x:f>"30622503"</x:f>
        <x:v>30622503</x:v>
      </x:c>
      <x:c r="S877" s="23" t="str">
        <x:v>masculino</x:v>
      </x:c>
      <x:c r="T877" s="22" t="str">
        <x:f>"FUF1F03"</x:f>
        <x:v>FUF1F03</x:v>
      </x:c>
      <x:c r="U877" s="23" t="str">
        <x:v>DOUGLAS EDUARDO GARCIA</x:v>
      </x:c>
      <x:c r="V877" s="22" t="str">
        <x:f>"391.051.188-08"</x:f>
        <x:v>391.051.188-08</x:v>
      </x:c>
      <x:c r="W877" s="22" t="str">
        <x:f>"39105118808"</x:f>
        <x:v>39105118808</x:v>
      </x:c>
      <x:c r="X877" s="23" t="str">
        <x:v>dodo.garcia1990@gmail.com</x:v>
      </x:c>
      <x:c r="Y877" s="22" t="str">
        <x:f>"11974553328"</x:f>
        <x:v>11974553328</x:v>
      </x:c>
      <x:c r="Z877" s="30" t="n">
        <x:v>46238</x:v>
      </x:c>
    </x:row>
    <x:row r="878" ht="18" customHeight="1">
      <x:c r="A878" s="22" t="str">
        <x:f>"ab6dd7cf-74a0-4e76-9a74-4aa01de3a1fd"</x:f>
        <x:v>ab6dd7cf-74a0-4e76-9a74-4aa01de3a1fd</x:v>
      </x:c>
      <x:c r="B878" s="23" t="str">
        <x:v>DOUGLAS FRANCISCO PINHEIRO</x:v>
      </x:c>
      <x:c r="C878" s="23" t="str">
        <x:v>douglas francisco pinheiro</x:v>
      </x:c>
      <x:c r="D878" s="22" t="str">
        <x:f>"63.924.044/0001-28"</x:f>
        <x:v>63.924.044/0001-28</x:v>
      </x:c>
      <x:c r="E878" s="22" t="str">
        <x:f>"63924044000128"</x:f>
        <x:v>63924044000128</x:v>
      </x:c>
      <x:c r="F878" s="22" t="str">
        <x:f>"409.374.988-40"</x:f>
        <x:v>409.374.988-40</x:v>
      </x:c>
      <x:c r="G878" s="22" t="str">
        <x:f>"40937498840"</x:f>
        <x:v>40937498840</x:v>
      </x:c>
      <x:c r="H878" s="23" t="str">
        <x:v>douglasfranciscopinheiro2@gmail.com</x:v>
      </x:c>
      <x:c r="I878" s="22" t="str">
        <x:f>"18996702631"</x:f>
        <x:v>18996702631</x:v>
      </x:c>
      <x:c r="J878" s="23" t="str">
        <x:v>RENTAL</x:v>
      </x:c>
      <x:c r="K878" s="23" t="str">
        <x:v>rental_company</x:v>
      </x:c>
      <x:c r="L878" s="24" t="b">
        <x:v>1</x:v>
      </x:c>
      <x:c r="M878" s="23" t="n">
        <x:v>1</x:v>
      </x:c>
      <x:c r="N878" s="28" t="n">
        <x:v>46219.812988715275</x:v>
      </x:c>
      <x:c r="O878" s="28" t="n">
        <x:v>46219.812988715275</x:v>
      </x:c>
      <x:c r="P878" s="23" t="str">
        <x:v>PRESIDENTE PRUDENTE</x:v>
      </x:c>
      <x:c r="Q878" s="30" t="n">
        <x:v>33856</x:v>
      </x:c>
      <x:c r="R878" s="22" t="str">
        <x:f>"482813726"</x:f>
        <x:v>482813726</x:v>
      </x:c>
      <x:c r="S878" s="23" t="str">
        <x:v>masculino</x:v>
      </x:c>
      <x:c r="T878" s="22" t="str"/>
      <x:c r="U878" s="23" t="str">
        <x:v>DOUGLAS FRANCISCO PINHEIRO</x:v>
      </x:c>
      <x:c r="V878" s="22" t="str">
        <x:f>"409.374.988-40"</x:f>
        <x:v>409.374.988-40</x:v>
      </x:c>
      <x:c r="W878" s="22" t="str">
        <x:f>"40937498840"</x:f>
        <x:v>40937498840</x:v>
      </x:c>
      <x:c r="X878" s="23" t="str">
        <x:v>douglasfranciscopinheiro2@gmail.com</x:v>
      </x:c>
      <x:c r="Y878" s="22" t="str">
        <x:f>"18996702631"</x:f>
        <x:v>18996702631</x:v>
      </x:c>
      <x:c r="Z878" s="30" t="n">
        <x:v>46465</x:v>
      </x:c>
    </x:row>
    <x:row r="879" ht="18" customHeight="1">
      <x:c r="A879" s="22" t="str">
        <x:f>"32d5ebb4-d102-41a3-bdac-e9585474ba30"</x:f>
        <x:v>32d5ebb4-d102-41a3-bdac-e9585474ba30</x:v>
      </x:c>
      <x:c r="B879" s="23" t="str">
        <x:v>DOUGLAS GENERA RIBEIRO</x:v>
      </x:c>
      <x:c r="C879" s="23" t="str">
        <x:v>douglas genera ribeiro</x:v>
      </x:c>
      <x:c r="D879" s="22" t="str">
        <x:f>"57.339.900/0001-85"</x:f>
        <x:v>57.339.900/0001-85</x:v>
      </x:c>
      <x:c r="E879" s="22" t="str">
        <x:f>"57339900000185"</x:f>
        <x:v>57339900000185</x:v>
      </x:c>
      <x:c r="F879" s="22" t="str">
        <x:f>"361.849.598-67"</x:f>
        <x:v>361.849.598-67</x:v>
      </x:c>
      <x:c r="G879" s="22" t="str">
        <x:f>"36184959867"</x:f>
        <x:v>36184959867</x:v>
      </x:c>
      <x:c r="H879" s="23" t="str">
        <x:v>douglas.gerena@hotmail.com</x:v>
      </x:c>
      <x:c r="I879" s="22" t="str">
        <x:f>"16994649390"</x:f>
        <x:v>16994649390</x:v>
      </x:c>
      <x:c r="J879" s="23" t="str">
        <x:v>SPOT</x:v>
      </x:c>
      <x:c r="K879" s="23" t="str">
        <x:v>favored_only</x:v>
      </x:c>
      <x:c r="L879" s="24" t="b">
        <x:v>1</x:v>
      </x:c>
      <x:c r="M879" s="23" t="n">
        <x:v>1</x:v>
      </x:c>
      <x:c r="N879" s="28" t="n">
        <x:v>46219.812988715275</x:v>
      </x:c>
      <x:c r="O879" s="28" t="n">
        <x:v>46219.812988715275</x:v>
      </x:c>
      <x:c r="P879" s="23" t="str">
        <x:v>RIBEIRAO PRETO</x:v>
      </x:c>
      <x:c r="Q879" s="30" t="n">
        <x:v>32123</x:v>
      </x:c>
      <x:c r="R879" s="22" t="str">
        <x:f>"338217691"</x:f>
        <x:v>338217691</x:v>
      </x:c>
      <x:c r="S879" s="23" t="str">
        <x:v>masculino</x:v>
      </x:c>
      <x:c r="T879" s="22" t="str">
        <x:f>"FNG8A19"</x:f>
        <x:v>FNG8A19</x:v>
      </x:c>
      <x:c r="U879" s="23" t="str">
        <x:v>DOUGLAS GENERA RIBEIRO</x:v>
      </x:c>
      <x:c r="V879" s="22" t="str">
        <x:f>"361.849.598-67"</x:f>
        <x:v>361.849.598-67</x:v>
      </x:c>
      <x:c r="W879" s="22" t="str">
        <x:f>"36184959867"</x:f>
        <x:v>36184959867</x:v>
      </x:c>
      <x:c r="X879" s="23" t="str">
        <x:v>douglas.gerena@hotmail.com</x:v>
      </x:c>
      <x:c r="Y879" s="22" t="str">
        <x:f>"16994649390"</x:f>
        <x:v>16994649390</x:v>
      </x:c>
      <x:c r="Z879" s="30" t="n">
        <x:v>46572</x:v>
      </x:c>
    </x:row>
    <x:row r="880" ht="18" customHeight="1">
      <x:c r="A880" s="22" t="str">
        <x:f>"0e843694-4403-4545-8e69-896ab937e728"</x:f>
        <x:v>0e843694-4403-4545-8e69-896ab937e728</x:v>
      </x:c>
      <x:c r="B880" s="23" t="str">
        <x:v>DOUGLAS MAURICIO SALUSTIANO</x:v>
      </x:c>
      <x:c r="C880" s="23" t="str">
        <x:v>douglas mauricio salustiano</x:v>
      </x:c>
      <x:c r="D880" s="22" t="str">
        <x:f>"47.814.708/0001-40"</x:f>
        <x:v>47.814.708/0001-40</x:v>
      </x:c>
      <x:c r="E880" s="22" t="str">
        <x:f>"47814708000140"</x:f>
        <x:v>47814708000140</x:v>
      </x:c>
      <x:c r="F880" s="22" t="str">
        <x:f>"165.586.467-06"</x:f>
        <x:v>165.586.467-06</x:v>
      </x:c>
      <x:c r="G880" s="22" t="str">
        <x:f>"16558646706"</x:f>
        <x:v>16558646706</x:v>
      </x:c>
      <x:c r="H880" s="23" t="str">
        <x:v>douglas_salustiano@hotmail.com</x:v>
      </x:c>
      <x:c r="I880" s="22" t="str">
        <x:f>"21964280445"</x:f>
        <x:v>21964280445</x:v>
      </x:c>
      <x:c r="J880" s="23" t="str">
        <x:v>SPOT</x:v>
      </x:c>
      <x:c r="K880" s="23" t="str">
        <x:v>favored_only</x:v>
      </x:c>
      <x:c r="L880" s="24" t="b">
        <x:v>1</x:v>
      </x:c>
      <x:c r="M880" s="23" t="n">
        <x:v>1</x:v>
      </x:c>
      <x:c r="N880" s="28" t="n">
        <x:v>46219.812988715275</x:v>
      </x:c>
      <x:c r="O880" s="28" t="n">
        <x:v>46219.812988715275</x:v>
      </x:c>
      <x:c r="P880" s="23" t="str">
        <x:v>ITABORAI</x:v>
      </x:c>
      <x:c r="Q880" s="30" t="n">
        <x:v>35333</x:v>
      </x:c>
      <x:c r="R880" s="22" t="str">
        <x:f>"303239842"</x:f>
        <x:v>303239842</x:v>
      </x:c>
      <x:c r="S880" s="23" t="str">
        <x:v>masculino</x:v>
      </x:c>
      <x:c r="T880" s="22" t="str">
        <x:f>"FIZ5G48"</x:f>
        <x:v>FIZ5G48</x:v>
      </x:c>
      <x:c r="U880" s="23" t="str">
        <x:v>DOUGLAS MAURICIO SALUSTIANO</x:v>
      </x:c>
      <x:c r="V880" s="22" t="str">
        <x:f>"165.586.467-06"</x:f>
        <x:v>165.586.467-06</x:v>
      </x:c>
      <x:c r="W880" s="22" t="str">
        <x:f>"16558646706"</x:f>
        <x:v>16558646706</x:v>
      </x:c>
      <x:c r="X880" s="23" t="str">
        <x:v>douglas_salustiano@hotmail.com</x:v>
      </x:c>
      <x:c r="Y880" s="22" t="str">
        <x:f>"21964280445"</x:f>
        <x:v>21964280445</x:v>
      </x:c>
      <x:c r="Z880" s="30" t="n">
        <x:v>46500</x:v>
      </x:c>
    </x:row>
    <x:row r="881" ht="18" customHeight="1">
      <x:c r="A881" s="22" t="str">
        <x:f>"a060e768-c0f5-4ccc-86d1-eb271249cfc8"</x:f>
        <x:v>a060e768-c0f5-4ccc-86d1-eb271249cfc8</x:v>
      </x:c>
      <x:c r="B881" s="23" t="str">
        <x:v>DOUGLAS NATAN SILVA</x:v>
      </x:c>
      <x:c r="C881" s="23" t="str">
        <x:v>douglas natan silva</x:v>
      </x:c>
      <x:c r="D881" s="22" t="str">
        <x:f>"63.534.916/0001-41"</x:f>
        <x:v>63.534.916/0001-41</x:v>
      </x:c>
      <x:c r="E881" s="22" t="str">
        <x:f>"63534916000141"</x:f>
        <x:v>63534916000141</x:v>
      </x:c>
      <x:c r="F881" s="22" t="str">
        <x:f>"031.125.486-12"</x:f>
        <x:v>031.125.486-12</x:v>
      </x:c>
      <x:c r="G881" s="22" t="str">
        <x:f>"03112548612"</x:f>
        <x:v>03112548612</x:v>
      </x:c>
      <x:c r="H881" s="23" t="str">
        <x:v>dougnocaute@hotmail.com</x:v>
      </x:c>
      <x:c r="I881" s="22" t="str">
        <x:f>"(31)99200-6003"</x:f>
        <x:v>(31)99200-6003</x:v>
      </x:c>
      <x:c r="J881" s="23" t="str">
        <x:v>RENTAL</x:v>
      </x:c>
      <x:c r="K881" s="23" t="str">
        <x:v>rental_company</x:v>
      </x:c>
      <x:c r="L881" s="24" t="b">
        <x:v>1</x:v>
      </x:c>
      <x:c r="M881" s="23" t="n">
        <x:v>1</x:v>
      </x:c>
      <x:c r="N881" s="28" t="n">
        <x:v>46203.921887453704</x:v>
      </x:c>
      <x:c r="O881" s="28" t="n">
        <x:v>46219.812988715275</x:v>
      </x:c>
      <x:c r="P881" s="23" t="str">
        <x:v>NOVA LIMA</x:v>
      </x:c>
      <x:c r="Q881" s="30" t="n">
        <x:v>27609</x:v>
      </x:c>
      <x:c r="R881" s="22" t="str">
        <x:f>"6972314"</x:f>
        <x:v>6972314</x:v>
      </x:c>
      <x:c r="S881" s="23" t="str">
        <x:v>masculino</x:v>
      </x:c>
      <x:c r="T881" s="22" t="str"/>
      <x:c r="U881" s="23" t="str">
        <x:v>DOUGLAS NATAN SILVA</x:v>
      </x:c>
      <x:c r="V881" s="22" t="str">
        <x:f>"031.125.486-12"</x:f>
        <x:v>031.125.486-12</x:v>
      </x:c>
      <x:c r="W881" s="22" t="str">
        <x:f>"03112548612"</x:f>
        <x:v>03112548612</x:v>
      </x:c>
      <x:c r="X881" s="23" t="str">
        <x:v>dougnocaute@hotmail.com</x:v>
      </x:c>
      <x:c r="Y881" s="22" t="str">
        <x:f>"(31)99200-6003"</x:f>
        <x:v>(31)99200-6003</x:v>
      </x:c>
      <x:c r="Z881" s="30" t="n">
        <x:v>46332</x:v>
      </x:c>
    </x:row>
    <x:row r="882" ht="18" customHeight="1">
      <x:c r="A882" s="22" t="str">
        <x:f>"f63bf7c2-8d2e-474f-98b7-2ed479e6b04b"</x:f>
        <x:v>f63bf7c2-8d2e-474f-98b7-2ed479e6b04b</x:v>
      </x:c>
      <x:c r="B882" s="23" t="str">
        <x:v>DOUGLAS QUEIROZ GUILHERME</x:v>
      </x:c>
      <x:c r="C882" s="23" t="str">
        <x:v>douglas queiroz guilherme</x:v>
      </x:c>
      <x:c r="D882" s="22" t="str">
        <x:f>"58.463.582/0001-22"</x:f>
        <x:v>58.463.582/0001-22</x:v>
      </x:c>
      <x:c r="E882" s="22" t="str">
        <x:f>"58463582000122"</x:f>
        <x:v>58463582000122</x:v>
      </x:c>
      <x:c r="F882" s="22" t="str">
        <x:f>"129.907.027-25"</x:f>
        <x:v>129.907.027-25</x:v>
      </x:c>
      <x:c r="G882" s="22" t="str">
        <x:f>"12990702725"</x:f>
        <x:v>12990702725</x:v>
      </x:c>
      <x:c r="H882" s="23" t="str">
        <x:v>douglasqgdjc@gmail.com</x:v>
      </x:c>
      <x:c r="I882" s="22" t="str">
        <x:f>"21995055723"</x:f>
        <x:v>21995055723</x:v>
      </x:c>
      <x:c r="J882" s="23" t="str">
        <x:v>SPOT</x:v>
      </x:c>
      <x:c r="K882" s="23" t="str">
        <x:v>favored_only</x:v>
      </x:c>
      <x:c r="L882" s="24" t="b">
        <x:v>1</x:v>
      </x:c>
      <x:c r="M882" s="23" t="n">
        <x:v>1</x:v>
      </x:c>
      <x:c r="N882" s="28" t="n">
        <x:v>46219.812988715275</x:v>
      </x:c>
      <x:c r="O882" s="28" t="n">
        <x:v>46219.812988715275</x:v>
      </x:c>
      <x:c r="P882" s="23" t="str">
        <x:v>SÃO JOAO DE MERITI</x:v>
      </x:c>
      <x:c r="Q882" s="30" t="n">
        <x:v>33626</x:v>
      </x:c>
      <x:c r="R882" s="22" t="str">
        <x:f>"21743223-6"</x:f>
        <x:v>21743223-6</x:v>
      </x:c>
      <x:c r="S882" s="23" t="str">
        <x:v>masculino</x:v>
      </x:c>
      <x:c r="T882" s="22" t="str">
        <x:f>"QUT2C24"</x:f>
        <x:v>QUT2C24</x:v>
      </x:c>
      <x:c r="U882" s="23" t="str">
        <x:v>DOUGLAS QUEIROZ GUILHERME</x:v>
      </x:c>
      <x:c r="V882" s="22" t="str">
        <x:f>"129.907.027-25"</x:f>
        <x:v>129.907.027-25</x:v>
      </x:c>
      <x:c r="W882" s="22" t="str">
        <x:f>"12990702725"</x:f>
        <x:v>12990702725</x:v>
      </x:c>
      <x:c r="X882" s="23" t="str">
        <x:v>douglasqgdjc@gmail.com</x:v>
      </x:c>
      <x:c r="Y882" s="22" t="str">
        <x:f>"21995055723"</x:f>
        <x:v>21995055723</x:v>
      </x:c>
      <x:c r="Z882" s="30" t="n">
        <x:v>46533</x:v>
      </x:c>
    </x:row>
    <x:row r="883" ht="18" customHeight="1">
      <x:c r="A883" s="22" t="str">
        <x:f>"671b0a13-d00b-4709-bb3f-553b73a2781c"</x:f>
        <x:v>671b0a13-d00b-4709-bb3f-553b73a2781c</x:v>
      </x:c>
      <x:c r="B883" s="23" t="str">
        <x:v>DOUGLAS RANGEL DA CRUZ</x:v>
      </x:c>
      <x:c r="C883" s="23" t="str">
        <x:v>douglas rangel da cruz</x:v>
      </x:c>
      <x:c r="D883" s="22" t="str">
        <x:f>"61.997.167/0001-63"</x:f>
        <x:v>61.997.167/0001-63</x:v>
      </x:c>
      <x:c r="E883" s="22" t="str">
        <x:f>"61997167000163"</x:f>
        <x:v>61997167000163</x:v>
      </x:c>
      <x:c r="F883" s="22" t="str">
        <x:f>"154.457.867-90"</x:f>
        <x:v>154.457.867-90</x:v>
      </x:c>
      <x:c r="G883" s="22" t="str">
        <x:f>"15445786790"</x:f>
        <x:v>15445786790</x:v>
      </x:c>
      <x:c r="H883" s="23" t="str">
        <x:v>douglas_apolo12@hotmail.com</x:v>
      </x:c>
      <x:c r="I883" s="22" t="str">
        <x:f>"21981464133"</x:f>
        <x:v>21981464133</x:v>
      </x:c>
      <x:c r="J883" s="23" t="str">
        <x:v>SPOT</x:v>
      </x:c>
      <x:c r="K883" s="23" t="str">
        <x:v>favored_only</x:v>
      </x:c>
      <x:c r="L883" s="24" t="b">
        <x:v>1</x:v>
      </x:c>
      <x:c r="M883" s="23" t="n">
        <x:v>1</x:v>
      </x:c>
      <x:c r="N883" s="28" t="n">
        <x:v>46219.812988715275</x:v>
      </x:c>
      <x:c r="O883" s="28" t="n">
        <x:v>46219.812988715275</x:v>
      </x:c>
      <x:c r="P883" s="23" t="str">
        <x:v>QUEIMADOS</x:v>
      </x:c>
      <x:c r="Q883" s="30" t="n">
        <x:v>33687</x:v>
      </x:c>
      <x:c r="R883" s="22" t="str">
        <x:f>"247192602"</x:f>
        <x:v>247192602</x:v>
      </x:c>
      <x:c r="S883" s="23" t="str">
        <x:v>masculino</x:v>
      </x:c>
      <x:c r="T883" s="22" t="str">
        <x:f>"KZA9J74"</x:f>
        <x:v>KZA9J74</x:v>
      </x:c>
      <x:c r="U883" s="23" t="str">
        <x:v>DOUGLAS RANGEL DA CRUZ</x:v>
      </x:c>
      <x:c r="V883" s="22" t="str">
        <x:f>"154.457.867-90"</x:f>
        <x:v>154.457.867-90</x:v>
      </x:c>
      <x:c r="W883" s="22" t="str">
        <x:f>"15445786790"</x:f>
        <x:v>15445786790</x:v>
      </x:c>
      <x:c r="X883" s="23" t="str">
        <x:v>douglas_apolo12@hotmail.com</x:v>
      </x:c>
      <x:c r="Y883" s="22" t="str">
        <x:f>"21981464133"</x:f>
        <x:v>21981464133</x:v>
      </x:c>
      <x:c r="Z883" s="30" t="n">
        <x:v>46457</x:v>
      </x:c>
    </x:row>
    <x:row r="884" ht="18" customHeight="1">
      <x:c r="A884" s="22" t="str">
        <x:f>"c8948c78-4687-4198-90f6-29d2011ddd59"</x:f>
        <x:v>c8948c78-4687-4198-90f6-29d2011ddd59</x:v>
      </x:c>
      <x:c r="B884" s="23" t="str">
        <x:v>DOUGLAS SOUZA COSTA</x:v>
      </x:c>
      <x:c r="C884" s="23" t="str">
        <x:v>douglas souza costa</x:v>
      </x:c>
      <x:c r="D884" s="22" t="str">
        <x:f>"54.032.338/0001-54"</x:f>
        <x:v>54.032.338/0001-54</x:v>
      </x:c>
      <x:c r="E884" s="22" t="str">
        <x:f>"54032338000154"</x:f>
        <x:v>54032338000154</x:v>
      </x:c>
      <x:c r="F884" s="22" t="str">
        <x:f>"101.661.246-05"</x:f>
        <x:v>101.661.246-05</x:v>
      </x:c>
      <x:c r="G884" s="22" t="str">
        <x:f>"10166124605"</x:f>
        <x:v>10166124605</x:v>
      </x:c>
      <x:c r="H884" s="23" t="str">
        <x:v>Douglassc0611@hotmail.com</x:v>
      </x:c>
      <x:c r="I884" s="22" t="str">
        <x:f>"33987506311"</x:f>
        <x:v>33987506311</x:v>
      </x:c>
      <x:c r="J884" s="23" t="str">
        <x:v>SPOT</x:v>
      </x:c>
      <x:c r="K884" s="23" t="str">
        <x:v>favored_only</x:v>
      </x:c>
      <x:c r="L884" s="24" t="b">
        <x:v>1</x:v>
      </x:c>
      <x:c r="M884" s="23" t="n">
        <x:v>1</x:v>
      </x:c>
      <x:c r="N884" s="28" t="n">
        <x:v>46219.812988715275</x:v>
      </x:c>
      <x:c r="O884" s="28" t="n">
        <x:v>46219.812988715275</x:v>
      </x:c>
      <x:c r="P884" s="23" t="str">
        <x:v>TEOFILO OTONI</x:v>
      </x:c>
      <x:c r="Q884" s="30" t="n">
        <x:v>33184</x:v>
      </x:c>
      <x:c r="R884" s="22" t="str">
        <x:f>"16321403"</x:f>
        <x:v>16321403</x:v>
      </x:c>
      <x:c r="S884" s="23" t="str">
        <x:v>masculino</x:v>
      </x:c>
      <x:c r="T884" s="22" t="str">
        <x:f>"SID2D39"</x:f>
        <x:v>SID2D39</x:v>
      </x:c>
      <x:c r="U884" s="23" t="str">
        <x:v>LUCAS APARECIDO RAMOS BARROSO</x:v>
      </x:c>
      <x:c r="V884" s="22" t="str">
        <x:f>"096.913.816-48"</x:f>
        <x:v>096.913.816-48</x:v>
      </x:c>
      <x:c r="W884" s="22" t="str">
        <x:f>"09691381648"</x:f>
        <x:v>09691381648</x:v>
      </x:c>
      <x:c r="X884" s="23" t="str">
        <x:v>LUCASRAMOSSAMU@GMAIL.COM</x:v>
      </x:c>
      <x:c r="Y884" s="22" t="str">
        <x:f>"33 9119-7443"</x:f>
        <x:v>33 9119-7443</x:v>
      </x:c>
      <x:c r="Z884" s="30" t="n">
        <x:v>46578</x:v>
      </x:c>
    </x:row>
    <x:row r="885" ht="18" customHeight="1">
      <x:c r="A885" s="22" t="str">
        <x:f>"e09c0bf3-d69e-458e-82ed-70a4538716dd"</x:f>
        <x:v>e09c0bf3-d69e-458e-82ed-70a4538716dd</x:v>
      </x:c>
      <x:c r="B885" s="23" t="str">
        <x:v>DOUGLAS WILSON BRUNO</x:v>
      </x:c>
      <x:c r="C885" s="23" t="str">
        <x:v>douglas wilson bruno</x:v>
      </x:c>
      <x:c r="D885" s="22" t="str">
        <x:f>"51.257.861/0001-90"</x:f>
        <x:v>51.257.861/0001-90</x:v>
      </x:c>
      <x:c r="E885" s="22" t="str">
        <x:f>"51257861000190"</x:f>
        <x:v>51257861000190</x:v>
      </x:c>
      <x:c r="F885" s="22" t="str">
        <x:f>"362.595.738-80"</x:f>
        <x:v>362.595.738-80</x:v>
      </x:c>
      <x:c r="G885" s="22" t="str">
        <x:f>"36259573880"</x:f>
        <x:v>36259573880</x:v>
      </x:c>
      <x:c r="H885" s="23" t="str">
        <x:v>DOUGLAS.WBRUNO88@GMAIL.COM</x:v>
      </x:c>
      <x:c r="I885" s="22" t="str">
        <x:f>"35 988449972"</x:f>
        <x:v>35 988449972</x:v>
      </x:c>
      <x:c r="J885" s="23" t="str">
        <x:v>SPOT</x:v>
      </x:c>
      <x:c r="K885" s="23" t="str">
        <x:v>favored_only</x:v>
      </x:c>
      <x:c r="L885" s="24" t="b">
        <x:v>1</x:v>
      </x:c>
      <x:c r="M885" s="23" t="n">
        <x:v>1</x:v>
      </x:c>
      <x:c r="N885" s="28" t="n">
        <x:v>46205.60105651621</x:v>
      </x:c>
      <x:c r="O885" s="28" t="n">
        <x:v>46219.812988715275</x:v>
      </x:c>
      <x:c r="P885" s="23" t="str">
        <x:v>GUAXUPE</x:v>
      </x:c>
      <x:c r="Q885" s="30" t="n">
        <x:v>32398</x:v>
      </x:c>
      <x:c r="R885" s="22" t="str">
        <x:f>"417300426"</x:f>
        <x:v>417300426</x:v>
      </x:c>
      <x:c r="S885" s="23" t="str">
        <x:v>masculino</x:v>
      </x:c>
      <x:c r="T885" s="22" t="str">
        <x:f>"EZJ1I27"</x:f>
        <x:v>EZJ1I27</x:v>
      </x:c>
      <x:c r="U885" s="23" t="str">
        <x:v>CAMILLA DAMIANI DA ROCHA</x:v>
      </x:c>
      <x:c r="V885" s="22" t="str">
        <x:f>"347.387.418-37"</x:f>
        <x:v>347.387.418-37</x:v>
      </x:c>
      <x:c r="W885" s="22" t="str">
        <x:f>"34738741837"</x:f>
        <x:v>34738741837</x:v>
      </x:c>
      <x:c r="X885" s="23" t="str">
        <x:v>CAMILLA_CLOVER@HOTMAIL.COM</x:v>
      </x:c>
      <x:c r="Y885" s="22" t="str">
        <x:f>"35 998620452"</x:f>
        <x:v>35 998620452</x:v>
      </x:c>
      <x:c r="Z885" s="30" t="n">
        <x:v>46224</x:v>
      </x:c>
    </x:row>
    <x:row r="886" ht="18" customHeight="1">
      <x:c r="A886" s="22" t="str">
        <x:f>"e688a73b-cbba-4109-9e8c-4ab98b325505"</x:f>
        <x:v>e688a73b-cbba-4109-9e8c-4ab98b325505</x:v>
      </x:c>
      <x:c r="B886" s="23" t="str">
        <x:v>DUILIO CARRANO ALVES SERAFIM</x:v>
      </x:c>
      <x:c r="C886" s="23" t="str">
        <x:v>duilio carrano alves serafim</x:v>
      </x:c>
      <x:c r="D886" s="22" t="str">
        <x:f>"51.347.324/0001-31"</x:f>
        <x:v>51.347.324/0001-31</x:v>
      </x:c>
      <x:c r="E886" s="22" t="str">
        <x:f>"51347324000131"</x:f>
        <x:v>51347324000131</x:v>
      </x:c>
      <x:c r="F886" s="22" t="str">
        <x:f>"102.057.276-03"</x:f>
        <x:v>102.057.276-03</x:v>
      </x:c>
      <x:c r="G886" s="22" t="str">
        <x:f>"10205727603"</x:f>
        <x:v>10205727603</x:v>
      </x:c>
      <x:c r="H886" s="23" t="str">
        <x:v>carranoduilio@gmail.com</x:v>
      </x:c>
      <x:c r="I886" s="22" t="str">
        <x:f>"31 971542713"</x:f>
        <x:v>31 971542713</x:v>
      </x:c>
      <x:c r="J886" s="23" t="str">
        <x:v>RENTAL</x:v>
      </x:c>
      <x:c r="K886" s="23" t="str">
        <x:v>rental_company</x:v>
      </x:c>
      <x:c r="L886" s="24" t="b">
        <x:v>1</x:v>
      </x:c>
      <x:c r="M886" s="23" t="n">
        <x:v>1</x:v>
      </x:c>
      <x:c r="N886" s="28" t="n">
        <x:v>46219.812988715275</x:v>
      </x:c>
      <x:c r="O886" s="28" t="n">
        <x:v>46219.812988715275</x:v>
      </x:c>
      <x:c r="P886" s="23" t="str">
        <x:v>CONTAGEM</x:v>
      </x:c>
      <x:c r="Q886" s="30" t="n">
        <x:v>33584</x:v>
      </x:c>
      <x:c r="R886" s="22" t="str">
        <x:f>"14316674"</x:f>
        <x:v>14316674</x:v>
      </x:c>
      <x:c r="S886" s="23" t="str">
        <x:v>masculino</x:v>
      </x:c>
      <x:c r="T886" s="22" t="str"/>
      <x:c r="U886" s="23" t="str">
        <x:v>DUILIO CARRANO ALVES SERAFIM</x:v>
      </x:c>
      <x:c r="V886" s="22" t="str">
        <x:f>"102.057.276-03"</x:f>
        <x:v>102.057.276-03</x:v>
      </x:c>
      <x:c r="W886" s="22" t="str">
        <x:f>"10205727603"</x:f>
        <x:v>10205727603</x:v>
      </x:c>
      <x:c r="X886" s="23" t="str">
        <x:v>carranoduilio@gmail.com</x:v>
      </x:c>
      <x:c r="Y886" s="22" t="str">
        <x:f>"31 97154-2713"</x:f>
        <x:v>31 97154-2713</x:v>
      </x:c>
      <x:c r="Z886" s="30" t="n">
        <x:v>46542</x:v>
      </x:c>
    </x:row>
    <x:row r="887" ht="18" customHeight="1">
      <x:c r="A887" s="22" t="str">
        <x:f>"09bc17aa-4de9-416a-b220-5780f83e6ecf"</x:f>
        <x:v>09bc17aa-4de9-416a-b220-5780f83e6ecf</x:v>
      </x:c>
      <x:c r="B887" s="23" t="str">
        <x:v>DUILIO DA CONCEICAO SOUSA</x:v>
      </x:c>
      <x:c r="C887" s="23" t="str">
        <x:v>duilio da conceicao sousa</x:v>
      </x:c>
      <x:c r="D887" s="22" t="str">
        <x:f>"36.003.778/0001-00"</x:f>
        <x:v>36.003.778/0001-00</x:v>
      </x:c>
      <x:c r="E887" s="22" t="str">
        <x:f>"36003778000100"</x:f>
        <x:v>36003778000100</x:v>
      </x:c>
      <x:c r="F887" s="22" t="str">
        <x:f>"025.306.093-14"</x:f>
        <x:v>025.306.093-14</x:v>
      </x:c>
      <x:c r="G887" s="22" t="str">
        <x:f>"02530609314"</x:f>
        <x:v>02530609314</x:v>
      </x:c>
      <x:c r="H887" s="23" t="str">
        <x:v>duiliodaconceicaosousasousa@gmail.com</x:v>
      </x:c>
      <x:c r="I887" s="22" t="str">
        <x:f>"65 8139-5850"</x:f>
        <x:v>65 8139-5850</x:v>
      </x:c>
      <x:c r="J887" s="23" t="str">
        <x:v>SPOT</x:v>
      </x:c>
      <x:c r="K887" s="23" t="str">
        <x:v>favored_only</x:v>
      </x:c>
      <x:c r="L887" s="24" t="b">
        <x:v>1</x:v>
      </x:c>
      <x:c r="M887" s="23" t="n">
        <x:v>1</x:v>
      </x:c>
      <x:c r="N887" s="28" t="n">
        <x:v>46203.921852962965</x:v>
      </x:c>
      <x:c r="O887" s="28" t="n">
        <x:v>46219.812988715275</x:v>
      </x:c>
      <x:c r="P887" s="23" t="str">
        <x:v>CHAPADÃO DO SUL</x:v>
      </x:c>
      <x:c r="Q887" s="30" t="n">
        <x:v>31036</x:v>
      </x:c>
      <x:c r="R887" s="22" t="str">
        <x:f>"4826999469"</x:f>
        <x:v>4826999469</x:v>
      </x:c>
      <x:c r="S887" s="23" t="str">
        <x:v>masculino</x:v>
      </x:c>
      <x:c r="T887" s="22" t="str">
        <x:f>"EZI3G71"</x:f>
        <x:v>EZI3G71</x:v>
      </x:c>
      <x:c r="U887" s="23" t="str">
        <x:v>DUILIO DA CONCEICAO SOUSA</x:v>
      </x:c>
      <x:c r="V887" s="22" t="str">
        <x:f>"025.306.093-14"</x:f>
        <x:v>025.306.093-14</x:v>
      </x:c>
      <x:c r="W887" s="22" t="str">
        <x:f>"02530609314"</x:f>
        <x:v>02530609314</x:v>
      </x:c>
      <x:c r="X887" s="23" t="str">
        <x:v>duiliodaconceicaosousasousa@gmail.com</x:v>
      </x:c>
      <x:c r="Y887" s="22" t="str">
        <x:f>"65 8139-5850"</x:f>
        <x:v>65 8139-5850</x:v>
      </x:c>
      <x:c r="Z887" s="30" t="n">
        <x:v>46255</x:v>
      </x:c>
    </x:row>
    <x:row r="888" ht="18" customHeight="1">
      <x:c r="A888" s="22" t="str">
        <x:f>"d3522a92-1f7b-40d1-a53d-2985779c82f8"</x:f>
        <x:v>d3522a92-1f7b-40d1-a53d-2985779c82f8</x:v>
      </x:c>
      <x:c r="B888" s="23" t="str">
        <x:v>EBEL SILVA SOUZA</x:v>
      </x:c>
      <x:c r="C888" s="23" t="str">
        <x:v>ebel silva souza</x:v>
      </x:c>
      <x:c r="D888" s="22" t="str">
        <x:f>"47.352.784/0001-80"</x:f>
        <x:v>47.352.784/0001-80</x:v>
      </x:c>
      <x:c r="E888" s="22" t="str">
        <x:f>"47352784000180"</x:f>
        <x:v>47352784000180</x:v>
      </x:c>
      <x:c r="F888" s="22" t="str">
        <x:f>"051.464.791-43"</x:f>
        <x:v>051.464.791-43</x:v>
      </x:c>
      <x:c r="G888" s="22" t="str">
        <x:f>"05146479143"</x:f>
        <x:v>05146479143</x:v>
      </x:c>
      <x:c r="H888" s="23" t="str">
        <x:v>ebel_sv1994@hotmail.com</x:v>
      </x:c>
      <x:c r="I888" s="22" t="str">
        <x:f>"65 99296-8048"</x:f>
        <x:v>65 99296-8048</x:v>
      </x:c>
      <x:c r="J888" s="23" t="str">
        <x:v>SPOT</x:v>
      </x:c>
      <x:c r="K888" s="23" t="str">
        <x:v>favored_only</x:v>
      </x:c>
      <x:c r="L888" s="24" t="b">
        <x:v>1</x:v>
      </x:c>
      <x:c r="M888" s="23" t="n">
        <x:v>1</x:v>
      </x:c>
      <x:c r="N888" s="28" t="n">
        <x:v>46205.60392383102</x:v>
      </x:c>
      <x:c r="O888" s="28" t="n">
        <x:v>46219.812988715275</x:v>
      </x:c>
      <x:c r="P888" s="23" t="str">
        <x:v>PONTES E LACERDA</x:v>
      </x:c>
      <x:c r="Q888" s="30" t="n">
        <x:v>34535</x:v>
      </x:c>
      <x:c r="R888" s="22" t="str">
        <x:f>"2000639-0"</x:f>
        <x:v>2000639-0</x:v>
      </x:c>
      <x:c r="S888" s="23" t="str">
        <x:v>masculino</x:v>
      </x:c>
      <x:c r="T888" s="22" t="str">
        <x:f>"RFO4J42"</x:f>
        <x:v>RFO4J42</x:v>
      </x:c>
      <x:c r="U888" s="23" t="str">
        <x:v>WESLEY SANTOS ABREU</x:v>
      </x:c>
      <x:c r="V888" s="22" t="str">
        <x:f>"062.631.491-75"</x:f>
        <x:v>062.631.491-75</x:v>
      </x:c>
      <x:c r="W888" s="22" t="str">
        <x:f>"06263149175"</x:f>
        <x:v>06263149175</x:v>
      </x:c>
      <x:c r="X888" s="23" t="str">
        <x:v>wesleysantosabreu13@gmail.com</x:v>
      </x:c>
      <x:c r="Y888" s="22" t="str">
        <x:f>"65993081162"</x:f>
        <x:v>65993081162</x:v>
      </x:c>
      <x:c r="Z888" s="30" t="n">
        <x:v>46248</x:v>
      </x:c>
    </x:row>
    <x:row r="889" ht="18" customHeight="1">
      <x:c r="A889" s="22" t="str">
        <x:f>"794ac51d-25db-434d-8bde-5161a1955a8b"</x:f>
        <x:v>794ac51d-25db-434d-8bde-5161a1955a8b</x:v>
      </x:c>
      <x:c r="B889" s="23" t="str">
        <x:v>ED CARLOS ALMEIDA DA SILVA</x:v>
      </x:c>
      <x:c r="C889" s="23" t="str">
        <x:v>ed carlos almeida da silva</x:v>
      </x:c>
      <x:c r="D889" s="22" t="str">
        <x:f>"50.073.217/0001-08"</x:f>
        <x:v>50.073.217/0001-08</x:v>
      </x:c>
      <x:c r="E889" s="22" t="str">
        <x:f>"50073217000108"</x:f>
        <x:v>50073217000108</x:v>
      </x:c>
      <x:c r="F889" s="22" t="str">
        <x:f>"027.073.711-14"</x:f>
        <x:v>027.073.711-14</x:v>
      </x:c>
      <x:c r="G889" s="22" t="str">
        <x:f>"02707371114"</x:f>
        <x:v>02707371114</x:v>
      </x:c>
      <x:c r="H889" s="23" t="str">
        <x:v>ed.carlos.ravi123@gmail.com</x:v>
      </x:c>
      <x:c r="I889" s="22" t="str">
        <x:f>"65999588307"</x:f>
        <x:v>65999588307</x:v>
      </x:c>
      <x:c r="J889" s="23" t="str">
        <x:v>SPOT</x:v>
      </x:c>
      <x:c r="K889" s="23" t="str">
        <x:v>favored_only</x:v>
      </x:c>
      <x:c r="L889" s="24" t="b">
        <x:v>1</x:v>
      </x:c>
      <x:c r="M889" s="23" t="n">
        <x:v>1</x:v>
      </x:c>
      <x:c r="N889" s="28" t="n">
        <x:v>46205.60403167824</x:v>
      </x:c>
      <x:c r="O889" s="28" t="n">
        <x:v>46219.812988715275</x:v>
      </x:c>
      <x:c r="P889" s="23" t="str">
        <x:v>CÁCERES</x:v>
      </x:c>
      <x:c r="Q889" s="30" t="n">
        <x:v>32522</x:v>
      </x:c>
      <x:c r="R889" s="22" t="str">
        <x:f>"18589871"</x:f>
        <x:v>18589871</x:v>
      </x:c>
      <x:c r="S889" s="23" t="str">
        <x:v>masculino</x:v>
      </x:c>
      <x:c r="T889" s="22" t="str">
        <x:f>"RAL3G42"</x:f>
        <x:v>RAL3G42</x:v>
      </x:c>
      <x:c r="U889" s="23" t="str">
        <x:v>EVANDRO DE OLIVEIRA LOURENCO</x:v>
      </x:c>
      <x:c r="V889" s="22" t="str">
        <x:f>"012.957.851-70"</x:f>
        <x:v>012.957.851-70</x:v>
      </x:c>
      <x:c r="W889" s="22" t="str">
        <x:f>"01295785170"</x:f>
        <x:v>01295785170</x:v>
      </x:c>
      <x:c r="X889" s="23" t="str">
        <x:v>evandromsoliveira@gmail.com</x:v>
      </x:c>
      <x:c r="Y889" s="22" t="str">
        <x:f>"65-992188094"</x:f>
        <x:v>65-992188094</x:v>
      </x:c>
      <x:c r="Z889" s="30" t="n">
        <x:v>46254</x:v>
      </x:c>
    </x:row>
    <x:row r="890" ht="18" customHeight="1">
      <x:c r="A890" s="22" t="str">
        <x:f>"f644e088-1819-4844-9f96-0843972fa7e8"</x:f>
        <x:v>f644e088-1819-4844-9f96-0843972fa7e8</x:v>
      </x:c>
      <x:c r="B890" s="23" t="str">
        <x:v>EDCARLOS OLIVEIRA DOS SANTOS</x:v>
      </x:c>
      <x:c r="C890" s="23" t="str">
        <x:v>edcarlos oliveira dos santos</x:v>
      </x:c>
      <x:c r="D890" s="22" t="str">
        <x:f>"61.900.003/0001-76"</x:f>
        <x:v>61.900.003/0001-76</x:v>
      </x:c>
      <x:c r="E890" s="22" t="str">
        <x:f>"61900003000176"</x:f>
        <x:v>61900003000176</x:v>
      </x:c>
      <x:c r="F890" s="22" t="str">
        <x:f>"019.646.761-69"</x:f>
        <x:v>019.646.761-69</x:v>
      </x:c>
      <x:c r="G890" s="22" t="str">
        <x:f>"01964676169"</x:f>
        <x:v>01964676169</x:v>
      </x:c>
      <x:c r="H890" s="23" t="str">
        <x:v>edcarlos_oliveir@hotmail.com</x:v>
      </x:c>
      <x:c r="I890" s="22" t="str">
        <x:f>"6599908-8369"</x:f>
        <x:v>6599908-8369</x:v>
      </x:c>
      <x:c r="J890" s="23" t="str">
        <x:v>SPOT</x:v>
      </x:c>
      <x:c r="K890" s="23" t="str">
        <x:v>favored_only</x:v>
      </x:c>
      <x:c r="L890" s="24" t="b">
        <x:v>1</x:v>
      </x:c>
      <x:c r="M890" s="23" t="n">
        <x:v>1</x:v>
      </x:c>
      <x:c r="N890" s="28" t="n">
        <x:v>46205.60405902778</x:v>
      </x:c>
      <x:c r="O890" s="28" t="n">
        <x:v>46219.812988715275</x:v>
      </x:c>
      <x:c r="P890" s="23" t="str">
        <x:v>ARAPUTANGA</x:v>
      </x:c>
      <x:c r="Q890" s="30" t="n">
        <x:v>31707</x:v>
      </x:c>
      <x:c r="R890" s="22" t="str">
        <x:f>"16124936 SSP MT"</x:f>
        <x:v>16124936 SSP MT</x:v>
      </x:c>
      <x:c r="S890" s="23" t="str">
        <x:v>masculino</x:v>
      </x:c>
      <x:c r="T890" s="22" t="str">
        <x:f>"RAP2G12"</x:f>
        <x:v>RAP2G12</x:v>
      </x:c>
      <x:c r="U890" s="23" t="str">
        <x:v>CARLOS EDUARDO FREIRE DOS SANTOS</x:v>
      </x:c>
      <x:c r="V890" s="22" t="str">
        <x:f>"061.527.971-60"</x:f>
        <x:v>061.527.971-60</x:v>
      </x:c>
      <x:c r="W890" s="22" t="str">
        <x:f>"06152797160"</x:f>
        <x:v>06152797160</x:v>
      </x:c>
      <x:c r="X890" s="23" t="str">
        <x:v>carlosfreiresantos16@gmail.com</x:v>
      </x:c>
      <x:c r="Y890" s="22" t="str">
        <x:f>"6599908-8369"</x:f>
        <x:v>6599908-8369</x:v>
      </x:c>
      <x:c r="Z890" s="30" t="n">
        <x:v>46255</x:v>
      </x:c>
    </x:row>
    <x:row r="891" ht="18" customHeight="1">
      <x:c r="A891" s="22" t="str">
        <x:f>"7279afaf-6fbc-4903-8e45-6d507be65e95"</x:f>
        <x:v>7279afaf-6fbc-4903-8e45-6d507be65e95</x:v>
      </x:c>
      <x:c r="B891" s="23" t="str">
        <x:v>EDEMILSO FERREIRA PESCADA JUNIOR</x:v>
      </x:c>
      <x:c r="C891" s="23" t="str">
        <x:v>edemilso ferreira pescada junior</x:v>
      </x:c>
      <x:c r="D891" s="22" t="str">
        <x:f>"63.516.386/0001-09"</x:f>
        <x:v>63.516.386/0001-09</x:v>
      </x:c>
      <x:c r="E891" s="22" t="str">
        <x:f>"63516386000109"</x:f>
        <x:v>63516386000109</x:v>
      </x:c>
      <x:c r="F891" s="22" t="str">
        <x:f>"955.289.032-20"</x:f>
        <x:v>955.289.032-20</x:v>
      </x:c>
      <x:c r="G891" s="22" t="str">
        <x:f>"95528903220"</x:f>
        <x:v>95528903220</x:v>
      </x:c>
      <x:c r="H891" s="23" t="str">
        <x:v>vendas.jr93@gmail.com</x:v>
      </x:c>
      <x:c r="I891" s="22" t="str">
        <x:f>"65992702979"</x:f>
        <x:v>65992702979</x:v>
      </x:c>
      <x:c r="J891" s="23" t="str">
        <x:v>SPOT</x:v>
      </x:c>
      <x:c r="K891" s="23" t="str">
        <x:v>favored_only</x:v>
      </x:c>
      <x:c r="L891" s="24" t="b">
        <x:v>1</x:v>
      </x:c>
      <x:c r="M891" s="23" t="n">
        <x:v>1</x:v>
      </x:c>
      <x:c r="N891" s="28" t="n">
        <x:v>46219.812988715275</x:v>
      </x:c>
      <x:c r="O891" s="28" t="n">
        <x:v>46219.812988715275</x:v>
      </x:c>
      <x:c r="P891" s="23" t="str">
        <x:v>CUIABA</x:v>
      </x:c>
      <x:c r="Q891" s="30" t="n">
        <x:v>34073</x:v>
      </x:c>
      <x:c r="R891" s="22" t="str">
        <x:f>"61404"</x:f>
        <x:v>61404</x:v>
      </x:c>
      <x:c r="S891" s="23" t="str">
        <x:v>masculino</x:v>
      </x:c>
      <x:c r="T891" s="22" t="str">
        <x:f>"QDK7G75"</x:f>
        <x:v>QDK7G75</x:v>
      </x:c>
      <x:c r="U891" s="23" t="str">
        <x:v>EDEMILSO FERREIRA PESCADA JUNIOR</x:v>
      </x:c>
      <x:c r="V891" s="22" t="str">
        <x:f>"955.289.032-20"</x:f>
        <x:v>955.289.032-20</x:v>
      </x:c>
      <x:c r="W891" s="22" t="str">
        <x:f>"95528903220"</x:f>
        <x:v>95528903220</x:v>
      </x:c>
      <x:c r="X891" s="23" t="str">
        <x:v>vendas.jr93@gmail.com</x:v>
      </x:c>
      <x:c r="Y891" s="22" t="str">
        <x:f>"65992702979"</x:f>
        <x:v>65992702979</x:v>
      </x:c>
      <x:c r="Z891" s="30" t="n">
        <x:v>46463</x:v>
      </x:c>
    </x:row>
    <x:row r="892" ht="18" customHeight="1">
      <x:c r="A892" s="22" t="str">
        <x:f>"6b2ae7c8-8c5a-4eef-b2ce-77ac557569fd"</x:f>
        <x:v>6b2ae7c8-8c5a-4eef-b2ce-77ac557569fd</x:v>
      </x:c>
      <x:c r="B892" s="23" t="str">
        <x:v>EDEN ANTONIO PEDROSO</x:v>
      </x:c>
      <x:c r="C892" s="23" t="str">
        <x:v>eden antonio pedroso</x:v>
      </x:c>
      <x:c r="D892" s="22" t="str">
        <x:f>"44.350.905/0001-67"</x:f>
        <x:v>44.350.905/0001-67</x:v>
      </x:c>
      <x:c r="E892" s="22" t="str">
        <x:f>"44350905000167"</x:f>
        <x:v>44350905000167</x:v>
      </x:c>
      <x:c r="F892" s="22" t="str">
        <x:f>"350.382.948-20"</x:f>
        <x:v>350.382.948-20</x:v>
      </x:c>
      <x:c r="G892" s="22" t="str">
        <x:f>"35038294820"</x:f>
        <x:v>35038294820</x:v>
      </x:c>
      <x:c r="H892" s="23" t="str">
        <x:v>edens2pedroso@gmail.com</x:v>
      </x:c>
      <x:c r="I892" s="22" t="str">
        <x:f>"11914276085"</x:f>
        <x:v>11914276085</x:v>
      </x:c>
      <x:c r="J892" s="23" t="str">
        <x:v>RENTAL</x:v>
      </x:c>
      <x:c r="K892" s="23" t="str">
        <x:v>rental_company</x:v>
      </x:c>
      <x:c r="L892" s="24" t="b">
        <x:v>1</x:v>
      </x:c>
      <x:c r="M892" s="23" t="n">
        <x:v>1</x:v>
      </x:c>
      <x:c r="N892" s="28" t="n">
        <x:v>46203.92186888889</x:v>
      </x:c>
      <x:c r="O892" s="28" t="n">
        <x:v>46219.812988715275</x:v>
      </x:c>
      <x:c r="P892" s="23" t="str">
        <x:v>MADEIRA MADEIRA</x:v>
      </x:c>
      <x:c r="Q892" s="30" t="n">
        <x:v>32048</x:v>
      </x:c>
      <x:c r="R892" s="22" t="str">
        <x:f>"412668944"</x:f>
        <x:v>412668944</x:v>
      </x:c>
      <x:c r="S892" s="23" t="str">
        <x:v>masculino</x:v>
      </x:c>
      <x:c r="T892" s="22" t="str"/>
      <x:c r="U892" s="23" t="str">
        <x:v>EDEN ANTONIO PEDROSO</x:v>
      </x:c>
      <x:c r="V892" s="22" t="str">
        <x:f>"350.382.948-20"</x:f>
        <x:v>350.382.948-20</x:v>
      </x:c>
      <x:c r="W892" s="22" t="str">
        <x:f>"35038294820"</x:f>
        <x:v>35038294820</x:v>
      </x:c>
      <x:c r="X892" s="23" t="str">
        <x:v>edens2pedroso@gmail.com</x:v>
      </x:c>
      <x:c r="Y892" s="22" t="str">
        <x:f>"11914276085"</x:f>
        <x:v>11914276085</x:v>
      </x:c>
      <x:c r="Z892" s="30" t="n">
        <x:v>46301</x:v>
      </x:c>
    </x:row>
    <x:row r="893" ht="18" customHeight="1">
      <x:c r="A893" s="22" t="str">
        <x:f>"b859a7ee-9a57-49b8-b234-03f0f8016efd"</x:f>
        <x:v>b859a7ee-9a57-49b8-b234-03f0f8016efd</x:v>
      </x:c>
      <x:c r="B893" s="23" t="str">
        <x:v>EDENILSON ANTONIO FERREIRA FERNANDES</x:v>
      </x:c>
      <x:c r="C893" s="23" t="str">
        <x:v>edenilson antonio ferreira fernandes</x:v>
      </x:c>
      <x:c r="D893" s="22" t="str">
        <x:f>"60.638.361/0001-90"</x:f>
        <x:v>60.638.361/0001-90</x:v>
      </x:c>
      <x:c r="E893" s="22" t="str">
        <x:f>"60638361000190"</x:f>
        <x:v>60638361000190</x:v>
      </x:c>
      <x:c r="F893" s="22" t="str">
        <x:f>"286.098.608-17"</x:f>
        <x:v>286.098.608-17</x:v>
      </x:c>
      <x:c r="G893" s="22" t="str">
        <x:f>"28609860817"</x:f>
        <x:v>28609860817</x:v>
      </x:c>
      <x:c r="H893" s="23" t="str">
        <x:v>eaffernandes80@gmail.com</x:v>
      </x:c>
      <x:c r="I893" s="22" t="str">
        <x:f>"17 98163-9840"</x:f>
        <x:v>17 98163-9840</x:v>
      </x:c>
      <x:c r="J893" s="23" t="str">
        <x:v>SPOT</x:v>
      </x:c>
      <x:c r="K893" s="23" t="str">
        <x:v>favored_only</x:v>
      </x:c>
      <x:c r="L893" s="24" t="b">
        <x:v>1</x:v>
      </x:c>
      <x:c r="M893" s="23" t="n">
        <x:v>1</x:v>
      </x:c>
      <x:c r="N893" s="28" t="n">
        <x:v>46203.92186462963</x:v>
      </x:c>
      <x:c r="O893" s="28" t="n">
        <x:v>46219.812988715275</x:v>
      </x:c>
      <x:c r="P893" s="23" t="str">
        <x:v>BARRETOS</x:v>
      </x:c>
      <x:c r="Q893" s="30" t="n">
        <x:v>29509</x:v>
      </x:c>
      <x:c r="R893" s="22" t="str">
        <x:f>"32577537"</x:f>
        <x:v>32577537</x:v>
      </x:c>
      <x:c r="S893" s="23" t="str">
        <x:v>masculino</x:v>
      </x:c>
      <x:c r="T893" s="22" t="str">
        <x:f>"OPL3147"</x:f>
        <x:v>OPL3147</x:v>
      </x:c>
      <x:c r="U893" s="23" t="str">
        <x:v>EDENILSON ANTONIO FERREIRA FERNANDES</x:v>
      </x:c>
      <x:c r="V893" s="22" t="str">
        <x:f>"286.098.608-17"</x:f>
        <x:v>286.098.608-17</x:v>
      </x:c>
      <x:c r="W893" s="22" t="str">
        <x:f>"28609860817"</x:f>
        <x:v>28609860817</x:v>
      </x:c>
      <x:c r="X893" s="23" t="str">
        <x:v>eaffernandes80@gmail.com</x:v>
      </x:c>
      <x:c r="Y893" s="22" t="str">
        <x:f>"17 98163-9840"</x:f>
        <x:v>17 98163-9840</x:v>
      </x:c>
      <x:c r="Z893" s="30" t="n">
        <x:v>46288</x:v>
      </x:c>
    </x:row>
    <x:row r="894" ht="18" customHeight="1">
      <x:c r="A894" s="22" t="str">
        <x:f>"34300a53-013f-43a2-9a95-fbaf2d64a441"</x:f>
        <x:v>34300a53-013f-43a2-9a95-fbaf2d64a441</x:v>
      </x:c>
      <x:c r="B894" s="23" t="str">
        <x:v>Edenir da Silva Pontes</x:v>
      </x:c>
      <x:c r="C894" s="23" t="str">
        <x:v>edenir da silva pontes</x:v>
      </x:c>
      <x:c r="D894" s="22" t="str">
        <x:f>"61301003000150"</x:f>
        <x:v>61301003000150</x:v>
      </x:c>
      <x:c r="E894" s="22" t="str">
        <x:f>"61301003000150"</x:f>
        <x:v>61301003000150</x:v>
      </x:c>
      <x:c r="F894" s="22" t="str">
        <x:f>"17384945860"</x:f>
        <x:v>17384945860</x:v>
      </x:c>
      <x:c r="G894" s="22" t="str">
        <x:f>"17384945860"</x:f>
        <x:v>17384945860</x:v>
      </x:c>
      <x:c r="H894" s="23" t="str">
        <x:v>edilsonappontes@gmail.com</x:v>
      </x:c>
      <x:c r="I894" s="22" t="str">
        <x:f>"17996727447"</x:f>
        <x:v>17996727447</x:v>
      </x:c>
      <x:c r="J894" s="23" t="str">
        <x:v>SPOT</x:v>
      </x:c>
      <x:c r="K894" s="23" t="str">
        <x:v>favored_only</x:v>
      </x:c>
      <x:c r="L894" s="24" t="b">
        <x:v>1</x:v>
      </x:c>
      <x:c r="M894" s="23" t="n">
        <x:v>1</x:v>
      </x:c>
      <x:c r="N894" s="28" t="n">
        <x:v>46203.92186888889</x:v>
      </x:c>
      <x:c r="O894" s="28" t="n">
        <x:v>46220.503973576386</x:v>
      </x:c>
      <x:c r="P894" s="23" t="str">
        <x:v>SAO JOSE DO RIO PRETO</x:v>
      </x:c>
      <x:c r="Q894" s="30" t="str"/>
      <x:c r="R894" s="22" t="str"/>
      <x:c r="S894" s="23" t="str"/>
      <x:c r="T894" s="22" t="str"/>
      <x:c r="U894" s="23" t="str">
        <x:v>Edenir da Silva Pontes</x:v>
      </x:c>
      <x:c r="V894" s="22" t="str">
        <x:f>"17384945860"</x:f>
        <x:v>17384945860</x:v>
      </x:c>
      <x:c r="W894" s="22" t="str">
        <x:f>"17384945860"</x:f>
        <x:v>17384945860</x:v>
      </x:c>
      <x:c r="X894" s="23" t="str">
        <x:v>edilsonappontes@gmail.com</x:v>
      </x:c>
      <x:c r="Y894" s="22" t="str">
        <x:f>"17996727447"</x:f>
        <x:v>17996727447</x:v>
      </x:c>
      <x:c r="Z894" s="30" t="str"/>
    </x:row>
    <x:row r="895" ht="18" customHeight="1">
      <x:c r="A895" s="22" t="str">
        <x:f>"497636b3-5b26-4f8c-929b-7bf6c3397e2e"</x:f>
        <x:v>497636b3-5b26-4f8c-929b-7bf6c3397e2e</x:v>
      </x:c>
      <x:c r="B895" s="23" t="str">
        <x:v>EDENIR DA SILVA PONTES</x:v>
      </x:c>
      <x:c r="C895" s="23" t="str">
        <x:v>edenir da silva pontes</x:v>
      </x:c>
      <x:c r="D895" s="22" t="str">
        <x:f>"06.130.100/3001-50"</x:f>
        <x:v>06.130.100/3001-50</x:v>
      </x:c>
      <x:c r="E895" s="22" t="str">
        <x:f>"06130100300150"</x:f>
        <x:v>06130100300150</x:v>
      </x:c>
      <x:c r="F895" s="22" t="str">
        <x:f>"173.849.458-60"</x:f>
        <x:v>173.849.458-60</x:v>
      </x:c>
      <x:c r="G895" s="22" t="str">
        <x:f>"17384945860"</x:f>
        <x:v>17384945860</x:v>
      </x:c>
      <x:c r="H895" s="23" t="str">
        <x:v>edenirdasilvapontes@gmail.com</x:v>
      </x:c>
      <x:c r="I895" s="22" t="str">
        <x:f>"17996727447"</x:f>
        <x:v>17996727447</x:v>
      </x:c>
      <x:c r="J895" s="23" t="str">
        <x:v>SPOT</x:v>
      </x:c>
      <x:c r="K895" s="23" t="str">
        <x:v>favored_only</x:v>
      </x:c>
      <x:c r="L895" s="24" t="b">
        <x:v>1</x:v>
      </x:c>
      <x:c r="M895" s="23" t="n">
        <x:v>1</x:v>
      </x:c>
      <x:c r="N895" s="28" t="n">
        <x:v>46203.92186888889</x:v>
      </x:c>
      <x:c r="O895" s="28" t="n">
        <x:v>46219.812988715275</x:v>
      </x:c>
      <x:c r="P895" s="23" t="str">
        <x:v>SÃO JOSE DO RIO PRETO</x:v>
      </x:c>
      <x:c r="Q895" s="30" t="n">
        <x:v>27089</x:v>
      </x:c>
      <x:c r="R895" s="22" t="str">
        <x:f>"335310990"</x:f>
        <x:v>335310990</x:v>
      </x:c>
      <x:c r="S895" s="23" t="str">
        <x:v>feminino</x:v>
      </x:c>
      <x:c r="T895" s="22" t="str">
        <x:f>"GGH4G02"</x:f>
        <x:v>GGH4G02</x:v>
      </x:c>
      <x:c r="U895" s="23" t="str">
        <x:v>EDENIR DA SILVA PONTES</x:v>
      </x:c>
      <x:c r="V895" s="22" t="str">
        <x:f>"173.849.458-60"</x:f>
        <x:v>173.849.458-60</x:v>
      </x:c>
      <x:c r="W895" s="22" t="str">
        <x:f>"17384945860"</x:f>
        <x:v>17384945860</x:v>
      </x:c>
      <x:c r="X895" s="23" t="str">
        <x:v>edenirdasilvapontes@gmail.com</x:v>
      </x:c>
      <x:c r="Y895" s="22" t="str">
        <x:f>"17996727447"</x:f>
        <x:v>17996727447</x:v>
      </x:c>
      <x:c r="Z895" s="30" t="n">
        <x:v>46290</x:v>
      </x:c>
    </x:row>
    <x:row r="896" ht="18" customHeight="1">
      <x:c r="A896" s="22" t="str">
        <x:f>"8e1ddf21-baff-44f3-8aaa-8df025d0b40f"</x:f>
        <x:v>8e1ddf21-baff-44f3-8aaa-8df025d0b40f</x:v>
      </x:c>
      <x:c r="B896" s="23" t="str">
        <x:v>EDENIR FREITAS DA SILVA NETO</x:v>
      </x:c>
      <x:c r="C896" s="23" t="str">
        <x:v>edenir freitas da silva neto</x:v>
      </x:c>
      <x:c r="D896" s="22" t="str">
        <x:f>"52.769.987/0001-07"</x:f>
        <x:v>52.769.987/0001-07</x:v>
      </x:c>
      <x:c r="E896" s="22" t="str">
        <x:f>"52769987000107"</x:f>
        <x:v>52769987000107</x:v>
      </x:c>
      <x:c r="F896" s="22" t="str">
        <x:f>"146.406.796-10"</x:f>
        <x:v>146.406.796-10</x:v>
      </x:c>
      <x:c r="G896" s="22" t="str">
        <x:f>"14640679610"</x:f>
        <x:v>14640679610</x:v>
      </x:c>
      <x:c r="H896" s="23" t="str">
        <x:v>edenirneto129@gmail.com</x:v>
      </x:c>
      <x:c r="I896" s="22" t="str">
        <x:f>"(55)99133-0414"</x:f>
        <x:v>(55)99133-0414</x:v>
      </x:c>
      <x:c r="J896" s="23" t="str">
        <x:v>SPOT</x:v>
      </x:c>
      <x:c r="K896" s="23" t="str">
        <x:v>favored_only</x:v>
      </x:c>
      <x:c r="L896" s="24" t="b">
        <x:v>1</x:v>
      </x:c>
      <x:c r="M896" s="23" t="n">
        <x:v>1</x:v>
      </x:c>
      <x:c r="N896" s="28" t="n">
        <x:v>46205.60665489583</x:v>
      </x:c>
      <x:c r="O896" s="28" t="n">
        <x:v>46219.812988715275</x:v>
      </x:c>
      <x:c r="P896" s="23" t="str">
        <x:v>GUAXUPE</x:v>
      </x:c>
      <x:c r="Q896" s="30" t="n">
        <x:v>37490</x:v>
      </x:c>
      <x:c r="R896" s="22" t="str">
        <x:f>"21604906"</x:f>
        <x:v>21604906</x:v>
      </x:c>
      <x:c r="S896" s="23" t="str">
        <x:v>masculino</x:v>
      </x:c>
      <x:c r="T896" s="22" t="str">
        <x:f>"HHK2H02"</x:f>
        <x:v>HHK2H02</x:v>
      </x:c>
      <x:c r="U896" s="23" t="str">
        <x:v>REINALDO CORSI LEITE</x:v>
      </x:c>
      <x:c r="V896" s="22" t="str">
        <x:f>"015.364.116-98"</x:f>
        <x:v>015.364.116-98</x:v>
      </x:c>
      <x:c r="W896" s="22" t="str">
        <x:f>"01536411698"</x:f>
        <x:v>01536411698</x:v>
      </x:c>
      <x:c r="X896" s="23" t="str">
        <x:v>reinaldocorsi@hotmail.com</x:v>
      </x:c>
      <x:c r="Y896" s="22" t="str">
        <x:f>"35991579570"</x:f>
        <x:v>35991579570</x:v>
      </x:c>
      <x:c r="Z896" s="30" t="n">
        <x:v>46368</x:v>
      </x:c>
    </x:row>
    <x:row r="897" ht="18" customHeight="1">
      <x:c r="A897" s="22" t="str">
        <x:f>"6d8e0392-1330-4765-bdbc-6d6cdf268663"</x:f>
        <x:v>6d8e0392-1330-4765-bdbc-6d6cdf268663</x:v>
      </x:c>
      <x:c r="B897" s="23" t="str">
        <x:v>EDER CAMARA</x:v>
      </x:c>
      <x:c r="C897" s="23" t="str">
        <x:v>eder camara</x:v>
      </x:c>
      <x:c r="D897" s="22" t="str">
        <x:f>"63.379.438/0001-42"</x:f>
        <x:v>63.379.438/0001-42</x:v>
      </x:c>
      <x:c r="E897" s="22" t="str">
        <x:f>"63379438000142"</x:f>
        <x:v>63379438000142</x:v>
      </x:c>
      <x:c r="F897" s="22" t="str">
        <x:f>"313.137.988-00"</x:f>
        <x:v>313.137.988-00</x:v>
      </x:c>
      <x:c r="G897" s="22" t="str">
        <x:f>"31313798800"</x:f>
        <x:v>31313798800</x:v>
      </x:c>
      <x:c r="H897" s="23" t="str">
        <x:v>edercamara2010@hotmail.com</x:v>
      </x:c>
      <x:c r="I897" s="22" t="str">
        <x:f>"14 996841541"</x:f>
        <x:v>14 996841541</x:v>
      </x:c>
      <x:c r="J897" s="23" t="str">
        <x:v>SPOT</x:v>
      </x:c>
      <x:c r="K897" s="23" t="str">
        <x:v>favored_only</x:v>
      </x:c>
      <x:c r="L897" s="24" t="b">
        <x:v>1</x:v>
      </x:c>
      <x:c r="M897" s="23" t="n">
        <x:v>1</x:v>
      </x:c>
      <x:c r="N897" s="28" t="n">
        <x:v>46203.92189349537</x:v>
      </x:c>
      <x:c r="O897" s="28" t="n">
        <x:v>46219.812988715275</x:v>
      </x:c>
      <x:c r="P897" s="23" t="str">
        <x:v>BAURU</x:v>
      </x:c>
      <x:c r="Q897" s="30" t="n">
        <x:v>30937</x:v>
      </x:c>
      <x:c r="R897" s="22" t="str">
        <x:f>"41787164-8"</x:f>
        <x:v>41787164-8</x:v>
      </x:c>
      <x:c r="S897" s="23" t="str">
        <x:v>masculino</x:v>
      </x:c>
      <x:c r="T897" s="22" t="str">
        <x:f>"QQS2G81"</x:f>
        <x:v>QQS2G81</x:v>
      </x:c>
      <x:c r="U897" s="23" t="str">
        <x:v>EDER CAMARA</x:v>
      </x:c>
      <x:c r="V897" s="22" t="str">
        <x:f>"313.137.988-00"</x:f>
        <x:v>313.137.988-00</x:v>
      </x:c>
      <x:c r="W897" s="22" t="str">
        <x:f>"31313798800"</x:f>
        <x:v>31313798800</x:v>
      </x:c>
      <x:c r="X897" s="23" t="str">
        <x:v>edercamara2010@hotmail.com</x:v>
      </x:c>
      <x:c r="Y897" s="22" t="str">
        <x:f>"14 996841541"</x:f>
        <x:v>14 996841541</x:v>
      </x:c>
      <x:c r="Z897" s="30" t="n">
        <x:v>46336</x:v>
      </x:c>
    </x:row>
    <x:row r="898" ht="18" customHeight="1">
      <x:c r="A898" s="22" t="str">
        <x:f>"db7804b3-e203-4fef-baf8-173bee5b4be4"</x:f>
        <x:v>db7804b3-e203-4fef-baf8-173bee5b4be4</x:v>
      </x:c>
      <x:c r="B898" s="23" t="str">
        <x:v>EDER CONRADO DE SOUZA</x:v>
      </x:c>
      <x:c r="C898" s="23" t="str">
        <x:v>eder conrado de souza</x:v>
      </x:c>
      <x:c r="D898" s="22" t="str">
        <x:f>"63.083.576/0001-80"</x:f>
        <x:v>63.083.576/0001-80</x:v>
      </x:c>
      <x:c r="E898" s="22" t="str">
        <x:f>"63083576000180"</x:f>
        <x:v>63083576000180</x:v>
      </x:c>
      <x:c r="F898" s="22" t="str">
        <x:f>"039.449.459-80"</x:f>
        <x:v>039.449.459-80</x:v>
      </x:c>
      <x:c r="G898" s="22" t="str">
        <x:f>"03944945980"</x:f>
        <x:v>03944945980</x:v>
      </x:c>
      <x:c r="H898" s="23" t="str">
        <x:v>edersouza7@yahoo.com.br</x:v>
      </x:c>
      <x:c r="I898" s="22" t="str">
        <x:f>"35 9958-7218"</x:f>
        <x:v>35 9958-7218</x:v>
      </x:c>
      <x:c r="J898" s="23" t="str">
        <x:v>SPOT</x:v>
      </x:c>
      <x:c r="K898" s="23" t="str">
        <x:v>favored_only</x:v>
      </x:c>
      <x:c r="L898" s="24" t="b">
        <x:v>1</x:v>
      </x:c>
      <x:c r="M898" s="23" t="n">
        <x:v>1</x:v>
      </x:c>
      <x:c r="N898" s="28" t="n">
        <x:v>46219.812988715275</x:v>
      </x:c>
      <x:c r="O898" s="28" t="n">
        <x:v>46219.812988715275</x:v>
      </x:c>
      <x:c r="P898" s="23" t="str">
        <x:v>POCOS DE CALDAS</x:v>
      </x:c>
      <x:c r="Q898" s="30" t="n">
        <x:v>29979</x:v>
      </x:c>
      <x:c r="R898" s="22" t="str">
        <x:f>"38.978.366-3"</x:f>
        <x:v>38.978.366-3</x:v>
      </x:c>
      <x:c r="S898" s="23" t="str">
        <x:v>masculino</x:v>
      </x:c>
      <x:c r="T898" s="22" t="str">
        <x:f>"DGM5F61"</x:f>
        <x:v>DGM5F61</x:v>
      </x:c>
      <x:c r="U898" s="23" t="str">
        <x:v>EDER CONRADO DE SOUZA</x:v>
      </x:c>
      <x:c r="V898" s="22" t="str">
        <x:f>"039.449.459-80"</x:f>
        <x:v>039.449.459-80</x:v>
      </x:c>
      <x:c r="W898" s="22" t="str">
        <x:f>"03944945980"</x:f>
        <x:v>03944945980</x:v>
      </x:c>
      <x:c r="X898" s="23" t="str">
        <x:v>edersouza7@yahoo.com.br</x:v>
      </x:c>
      <x:c r="Y898" s="22" t="str">
        <x:f>"35 9958-7218"</x:f>
        <x:v>35 9958-7218</x:v>
      </x:c>
      <x:c r="Z898" s="30" t="n">
        <x:v>46411</x:v>
      </x:c>
    </x:row>
    <x:row r="899" ht="18" customHeight="1">
      <x:c r="A899" s="22" t="str">
        <x:f>"01132ade-a526-403c-9f49-3f5cea5acf06"</x:f>
        <x:v>01132ade-a526-403c-9f49-3f5cea5acf06</x:v>
      </x:c>
      <x:c r="B899" s="23" t="str">
        <x:v>EDER HENRIQUE GARCIA FERRAZ</x:v>
      </x:c>
      <x:c r="C899" s="23" t="str">
        <x:v>eder henrique garcia ferraz</x:v>
      </x:c>
      <x:c r="D899" s="22" t="str">
        <x:f>"67.686.557/0001-07"</x:f>
        <x:v>67.686.557/0001-07</x:v>
      </x:c>
      <x:c r="E899" s="22" t="str">
        <x:f>"67686557000107"</x:f>
        <x:v>67686557000107</x:v>
      </x:c>
      <x:c r="F899" s="22" t="str">
        <x:f>"167.156.848-63"</x:f>
        <x:v>167.156.848-63</x:v>
      </x:c>
      <x:c r="G899" s="22" t="str">
        <x:f>"16715684863"</x:f>
        <x:v>16715684863</x:v>
      </x:c>
      <x:c r="H899" s="23" t="str">
        <x:v>ederhenriqueferraz@gmail.com</x:v>
      </x:c>
      <x:c r="I899" s="22" t="str">
        <x:f>"64 9959-1367"</x:f>
        <x:v>64 9959-1367</x:v>
      </x:c>
      <x:c r="J899" s="23" t="str">
        <x:v>RENTAL</x:v>
      </x:c>
      <x:c r="K899" s="23" t="str">
        <x:v>rental_company</x:v>
      </x:c>
      <x:c r="L899" s="24" t="b">
        <x:v>1</x:v>
      </x:c>
      <x:c r="M899" s="23" t="n">
        <x:v>1</x:v>
      </x:c>
      <x:c r="N899" s="28" t="n">
        <x:v>46219.812988715275</x:v>
      </x:c>
      <x:c r="O899" s="28" t="n">
        <x:v>46219.812988715275</x:v>
      </x:c>
      <x:c r="P899" s="23" t="str">
        <x:v>BARRETOS</x:v>
      </x:c>
      <x:c r="Q899" s="30" t="n">
        <x:v>26946</x:v>
      </x:c>
      <x:c r="R899" s="22" t="str">
        <x:f>"27010844"</x:f>
        <x:v>27010844</x:v>
      </x:c>
      <x:c r="S899" s="23" t="str">
        <x:v>masculino</x:v>
      </x:c>
      <x:c r="T899" s="22" t="str"/>
      <x:c r="U899" s="23" t="str">
        <x:v>EDER HENRIQUE GARCIA FERRAZ</x:v>
      </x:c>
      <x:c r="V899" s="22" t="str">
        <x:f>"167.156.848-63"</x:f>
        <x:v>167.156.848-63</x:v>
      </x:c>
      <x:c r="W899" s="22" t="str">
        <x:f>"16715684863"</x:f>
        <x:v>16715684863</x:v>
      </x:c>
      <x:c r="X899" s="23" t="str">
        <x:v>ederhenriqueferraz@gmail.com</x:v>
      </x:c>
      <x:c r="Y899" s="22" t="str">
        <x:f>"64 9959-1367"</x:f>
        <x:v>64 9959-1367</x:v>
      </x:c>
      <x:c r="Z899" s="30" t="n">
        <x:v>46565</x:v>
      </x:c>
    </x:row>
    <x:row r="900" ht="18" customHeight="1">
      <x:c r="A900" s="22" t="str">
        <x:f>"3b2f3655-4d58-46d8-a613-c44d398060c1"</x:f>
        <x:v>3b2f3655-4d58-46d8-a613-c44d398060c1</x:v>
      </x:c>
      <x:c r="B900" s="23" t="str">
        <x:v>EDER JOSE DE OLIVEIRA</x:v>
      </x:c>
      <x:c r="C900" s="23" t="str">
        <x:v>eder jose de oliveira</x:v>
      </x:c>
      <x:c r="D900" s="22" t="str">
        <x:f>"42.792.335/0001-30"</x:f>
        <x:v>42.792.335/0001-30</x:v>
      </x:c>
      <x:c r="E900" s="22" t="str">
        <x:f>"42792335000130"</x:f>
        <x:v>42792335000130</x:v>
      </x:c>
      <x:c r="F900" s="22" t="str">
        <x:f>"059.040.476-81"</x:f>
        <x:v>059.040.476-81</x:v>
      </x:c>
      <x:c r="G900" s="22" t="str">
        <x:f>"05904047681"</x:f>
        <x:v>05904047681</x:v>
      </x:c>
      <x:c r="H900" s="23" t="str">
        <x:v>ederpecanha@hotmail.com</x:v>
      </x:c>
      <x:c r="I900" s="22" t="str">
        <x:f>"33991598430"</x:f>
        <x:v>33991598430</x:v>
      </x:c>
      <x:c r="J900" s="23" t="str">
        <x:v>SPOT</x:v>
      </x:c>
      <x:c r="K900" s="23" t="str">
        <x:v>favored_only</x:v>
      </x:c>
      <x:c r="L900" s="24" t="b">
        <x:v>1</x:v>
      </x:c>
      <x:c r="M900" s="23" t="n">
        <x:v>2</x:v>
      </x:c>
      <x:c r="N900" s="28" t="n">
        <x:v>46203.92184908565</x:v>
      </x:c>
      <x:c r="O900" s="28" t="n">
        <x:v>46219.812988715275</x:v>
      </x:c>
      <x:c r="P900" s="23" t="str">
        <x:v>GUANHAES</x:v>
      </x:c>
      <x:c r="Q900" s="30" t="n">
        <x:v>30168</x:v>
      </x:c>
      <x:c r="R900" s="22" t="str">
        <x:f>"11557642"</x:f>
        <x:v>11557642</x:v>
      </x:c>
      <x:c r="S900" s="23" t="str">
        <x:v>masculino</x:v>
      </x:c>
      <x:c r="T900" s="22" t="str">
        <x:f>"Qxi5f51"</x:f>
        <x:v>Qxi5f51</x:v>
      </x:c>
      <x:c r="U900" s="23" t="str">
        <x:v>EDER JOSE DE OLIVEIRA</x:v>
      </x:c>
      <x:c r="V900" s="22" t="str">
        <x:f>"059.040.476-81"</x:f>
        <x:v>059.040.476-81</x:v>
      </x:c>
      <x:c r="W900" s="22" t="str">
        <x:f>"05904047681"</x:f>
        <x:v>05904047681</x:v>
      </x:c>
      <x:c r="X900" s="23" t="str">
        <x:v>ederpecanha@hotmail.com</x:v>
      </x:c>
      <x:c r="Y900" s="22" t="str">
        <x:f>"33991598430"</x:f>
        <x:v>33991598430</x:v>
      </x:c>
      <x:c r="Z900" s="30" t="n">
        <x:v>46235</x:v>
      </x:c>
    </x:row>
    <x:row r="901" ht="18" customHeight="1">
      <x:c r="A901" s="22" t="str">
        <x:f>"dd6bc7df-828d-4968-a5cb-fdd40688e20b"</x:f>
        <x:v>dd6bc7df-828d-4968-a5cb-fdd40688e20b</x:v>
      </x:c>
      <x:c r="B901" s="23" t="str">
        <x:v>EDER JUNIOR VALADARES RIBEIRO</x:v>
      </x:c>
      <x:c r="C901" s="23" t="str">
        <x:v>eder junior valadares ribeiro</x:v>
      </x:c>
      <x:c r="D901" s="22" t="str">
        <x:f>"53.264.533/0001-47"</x:f>
        <x:v>53.264.533/0001-47</x:v>
      </x:c>
      <x:c r="E901" s="22" t="str">
        <x:f>"53264533000147"</x:f>
        <x:v>53264533000147</x:v>
      </x:c>
      <x:c r="F901" s="22" t="str">
        <x:f>"966.010.781-15"</x:f>
        <x:v>966.010.781-15</x:v>
      </x:c>
      <x:c r="G901" s="22" t="str">
        <x:f>"96601078115"</x:f>
        <x:v>96601078115</x:v>
      </x:c>
      <x:c r="H901" s="23" t="str">
        <x:v>ribeirodhiogo900@gmail.com</x:v>
      </x:c>
      <x:c r="I901" s="22" t="str">
        <x:f>"65 9362-3121"</x:f>
        <x:v>65 9362-3121</x:v>
      </x:c>
      <x:c r="J901" s="23" t="str">
        <x:v>SPOT</x:v>
      </x:c>
      <x:c r="K901" s="23" t="str">
        <x:v>favored_only</x:v>
      </x:c>
      <x:c r="L901" s="24" t="b">
        <x:v>1</x:v>
      </x:c>
      <x:c r="M901" s="23" t="n">
        <x:v>1</x:v>
      </x:c>
      <x:c r="N901" s="28" t="n">
        <x:v>46205.60466131944</x:v>
      </x:c>
      <x:c r="O901" s="28" t="n">
        <x:v>46219.812988715275</x:v>
      </x:c>
      <x:c r="P901" s="23" t="str">
        <x:v>CUIABA</x:v>
      </x:c>
      <x:c r="Q901" s="30" t="n">
        <x:v>30585</x:v>
      </x:c>
      <x:c r="R901" s="22" t="str">
        <x:f>"13385879"</x:f>
        <x:v>13385879</x:v>
      </x:c>
      <x:c r="S901" s="23" t="str">
        <x:v>masculino</x:v>
      </x:c>
      <x:c r="T901" s="22" t="str">
        <x:f>"SPT4C81"</x:f>
        <x:v>SPT4C81</x:v>
      </x:c>
      <x:c r="U901" s="23" t="str">
        <x:v>LEONIDAS DE PINHO E SILVA</x:v>
      </x:c>
      <x:c r="V901" s="22" t="str">
        <x:f>"692.451.851-68"</x:f>
        <x:v>692.451.851-68</x:v>
      </x:c>
      <x:c r="W901" s="22" t="str">
        <x:f>"69245185168"</x:f>
        <x:v>69245185168</x:v>
      </x:c>
      <x:c r="X901" s="23" t="str">
        <x:v>veloxlogisticamt@gmail.com</x:v>
      </x:c>
      <x:c r="Y901" s="22" t="str">
        <x:f>"(65) 99632-1030"</x:f>
        <x:v>(65) 99632-1030</x:v>
      </x:c>
      <x:c r="Z901" s="30" t="n">
        <x:v>46288</x:v>
      </x:c>
    </x:row>
    <x:row r="902" ht="18" customHeight="1">
      <x:c r="A902" s="22" t="str">
        <x:f>"ae8a0329-05a7-49da-a3b3-78e5a985ad64"</x:f>
        <x:v>ae8a0329-05a7-49da-a3b3-78e5a985ad64</x:v>
      </x:c>
      <x:c r="B902" s="23" t="str">
        <x:v>EDERSON DE SOUZA ALVES</x:v>
      </x:c>
      <x:c r="C902" s="23" t="str">
        <x:v>ederson de souza alves</x:v>
      </x:c>
      <x:c r="D902" s="22" t="str">
        <x:f>"67.856.516/0001-03"</x:f>
        <x:v>67.856.516/0001-03</x:v>
      </x:c>
      <x:c r="E902" s="22" t="str">
        <x:f>"67856516000103"</x:f>
        <x:v>67856516000103</x:v>
      </x:c>
      <x:c r="F902" s="22" t="str">
        <x:f>"323.517.268-80"</x:f>
        <x:v>323.517.268-80</x:v>
      </x:c>
      <x:c r="G902" s="22" t="str">
        <x:f>"32351726880"</x:f>
        <x:v>32351726880</x:v>
      </x:c>
      <x:c r="H902" s="23" t="str">
        <x:v>Edersonelu@gmail.com</x:v>
      </x:c>
      <x:c r="I902" s="22" t="str">
        <x:f>"13981069319"</x:f>
        <x:v>13981069319</x:v>
      </x:c>
      <x:c r="J902" s="23" t="str">
        <x:v>RENTAL</x:v>
      </x:c>
      <x:c r="K902" s="23" t="str">
        <x:v>rental_company</x:v>
      </x:c>
      <x:c r="L902" s="24" t="b">
        <x:v>1</x:v>
      </x:c>
      <x:c r="M902" s="23" t="n">
        <x:v>1</x:v>
      </x:c>
      <x:c r="N902" s="28" t="n">
        <x:v>46219.812988715275</x:v>
      </x:c>
      <x:c r="O902" s="28" t="n">
        <x:v>46219.812988715275</x:v>
      </x:c>
      <x:c r="P902" s="23" t="str">
        <x:v>BARUERI</x:v>
      </x:c>
      <x:c r="Q902" s="30" t="n">
        <x:v>30449</x:v>
      </x:c>
      <x:c r="R902" s="22" t="str">
        <x:f>"350618227"</x:f>
        <x:v>350618227</x:v>
      </x:c>
      <x:c r="S902" s="23" t="str">
        <x:v>masculino</x:v>
      </x:c>
      <x:c r="T902" s="22" t="str"/>
      <x:c r="U902" s="23" t="str">
        <x:v>EDERSON DE SOUZA ALVES</x:v>
      </x:c>
      <x:c r="V902" s="22" t="str">
        <x:f>"323.517.268-80"</x:f>
        <x:v>323.517.268-80</x:v>
      </x:c>
      <x:c r="W902" s="22" t="str">
        <x:f>"32351726880"</x:f>
        <x:v>32351726880</x:v>
      </x:c>
      <x:c r="X902" s="23" t="str">
        <x:v>Edersonelu@gmail.com</x:v>
      </x:c>
      <x:c r="Y902" s="22" t="str">
        <x:f>"13981069319"</x:f>
        <x:v>13981069319</x:v>
      </x:c>
      <x:c r="Z902" s="30" t="n">
        <x:v>46582</x:v>
      </x:c>
    </x:row>
    <x:row r="903" ht="18" customHeight="1">
      <x:c r="A903" s="22" t="str">
        <x:f>"cb4f6306-e2c8-4110-a32f-c839e1f3409a"</x:f>
        <x:v>cb4f6306-e2c8-4110-a32f-c839e1f3409a</x:v>
      </x:c>
      <x:c r="B903" s="23" t="str">
        <x:v>EDEZIO RODRIGUES PEREIRA JUNIOR</x:v>
      </x:c>
      <x:c r="C903" s="23" t="str">
        <x:v>edezio rodrigues pereira junior</x:v>
      </x:c>
      <x:c r="D903" s="22" t="str">
        <x:f>"64.652.802/0001-69"</x:f>
        <x:v>64.652.802/0001-69</x:v>
      </x:c>
      <x:c r="E903" s="22" t="str">
        <x:f>"64652802000169"</x:f>
        <x:v>64652802000169</x:v>
      </x:c>
      <x:c r="F903" s="22" t="str">
        <x:f>"918.103.021-53"</x:f>
        <x:v>918.103.021-53</x:v>
      </x:c>
      <x:c r="G903" s="22" t="str">
        <x:f>"91810302153"</x:f>
        <x:v>91810302153</x:v>
      </x:c>
      <x:c r="H903" s="23" t="str">
        <x:v>Edeziorodrigues41@gmail.com</x:v>
      </x:c>
      <x:c r="I903" s="22" t="str">
        <x:f>"65996395023"</x:f>
        <x:v>65996395023</x:v>
      </x:c>
      <x:c r="J903" s="23" t="str">
        <x:v>SPOT</x:v>
      </x:c>
      <x:c r="K903" s="23" t="str">
        <x:v>favored_only</x:v>
      </x:c>
      <x:c r="L903" s="24" t="b">
        <x:v>1</x:v>
      </x:c>
      <x:c r="M903" s="23" t="n">
        <x:v>1</x:v>
      </x:c>
      <x:c r="N903" s="28" t="n">
        <x:v>46219.812988715275</x:v>
      </x:c>
      <x:c r="O903" s="28" t="n">
        <x:v>46219.812988715275</x:v>
      </x:c>
      <x:c r="P903" s="23" t="str">
        <x:v>CUIABA</x:v>
      </x:c>
      <x:c r="Q903" s="30" t="n">
        <x:v>29779</x:v>
      </x:c>
      <x:c r="R903" s="22" t="str">
        <x:f>"13528556"</x:f>
        <x:v>13528556</x:v>
      </x:c>
      <x:c r="S903" s="23" t="str">
        <x:v>masculino</x:v>
      </x:c>
      <x:c r="T903" s="22" t="str">
        <x:f>"QCQ9B59"</x:f>
        <x:v>QCQ9B59</x:v>
      </x:c>
      <x:c r="U903" s="23" t="str">
        <x:v>SABRINA COSTA SILVA DE ASSIS</x:v>
      </x:c>
      <x:c r="V903" s="22" t="str">
        <x:f>"000.281.401-33"</x:f>
        <x:v>000.281.401-33</x:v>
      </x:c>
      <x:c r="W903" s="22" t="str">
        <x:f>"00028140133"</x:f>
        <x:v>00028140133</x:v>
      </x:c>
      <x:c r="X903" s="23" t="str">
        <x:v>sabrinacostasilvadeassis@gmail.com</x:v>
      </x:c>
      <x:c r="Y903" s="22" t="str">
        <x:f>"(65) 99639-5023"</x:f>
        <x:v>(65) 99639-5023</x:v>
      </x:c>
      <x:c r="Z903" s="30" t="n">
        <x:v>46466</x:v>
      </x:c>
    </x:row>
    <x:row r="904" ht="18" customHeight="1">
      <x:c r="A904" s="22" t="str">
        <x:f>"2600ff9e-ee04-410b-ae15-5df53144f3f3"</x:f>
        <x:v>2600ff9e-ee04-410b-ae15-5df53144f3f3</x:v>
      </x:c>
      <x:c r="B904" s="23" t="str">
        <x:v>EDGAR DOS SANTOS PEIXOTO</x:v>
      </x:c>
      <x:c r="C904" s="23" t="str">
        <x:v>edgar dos santos peixoto</x:v>
      </x:c>
      <x:c r="D904" s="22" t="str">
        <x:f>"53.049.794/0001-44"</x:f>
        <x:v>53.049.794/0001-44</x:v>
      </x:c>
      <x:c r="E904" s="22" t="str">
        <x:f>"53049794000144"</x:f>
        <x:v>53049794000144</x:v>
      </x:c>
      <x:c r="F904" s="22" t="str">
        <x:f>"137.427.647-21"</x:f>
        <x:v>137.427.647-21</x:v>
      </x:c>
      <x:c r="G904" s="22" t="str">
        <x:f>"13742764721"</x:f>
        <x:v>13742764721</x:v>
      </x:c>
      <x:c r="H904" s="23" t="str">
        <x:v>edgardelivery1990@gmail.com</x:v>
      </x:c>
      <x:c r="I904" s="22" t="str">
        <x:f>"22 999256435"</x:f>
        <x:v>22 999256435</x:v>
      </x:c>
      <x:c r="J904" s="23" t="str">
        <x:v>SPOT</x:v>
      </x:c>
      <x:c r="K904" s="23" t="str">
        <x:v>favored_only</x:v>
      </x:c>
      <x:c r="L904" s="24" t="b">
        <x:v>1</x:v>
      </x:c>
      <x:c r="M904" s="23" t="n">
        <x:v>1</x:v>
      </x:c>
      <x:c r="N904" s="28" t="n">
        <x:v>46203.92188238426</x:v>
      </x:c>
      <x:c r="O904" s="28" t="n">
        <x:v>46219.812988715275</x:v>
      </x:c>
      <x:c r="P904" s="23" t="str">
        <x:v>CAMPOS DOS GOYTACAZES</x:v>
      </x:c>
      <x:c r="Q904" s="30" t="n">
        <x:v>29495</x:v>
      </x:c>
      <x:c r="R904" s="22" t="str">
        <x:f>"24558841"</x:f>
        <x:v>24558841</x:v>
      </x:c>
      <x:c r="S904" s="23" t="str">
        <x:v>masculino</x:v>
      </x:c>
      <x:c r="T904" s="22" t="str">
        <x:f>"HLJ5C28"</x:f>
        <x:v>HLJ5C28</x:v>
      </x:c>
      <x:c r="U904" s="23" t="str">
        <x:v>EDGAR DOS SANTOS PEIXOTO</x:v>
      </x:c>
      <x:c r="V904" s="22" t="str">
        <x:f>"137.427.647-21"</x:f>
        <x:v>137.427.647-21</x:v>
      </x:c>
      <x:c r="W904" s="22" t="str">
        <x:f>"13742764721"</x:f>
        <x:v>13742764721</x:v>
      </x:c>
      <x:c r="X904" s="23" t="str">
        <x:v>edgardelivery1990@gmail.com</x:v>
      </x:c>
      <x:c r="Y904" s="22" t="str">
        <x:f>"22 999256435"</x:f>
        <x:v>22 999256435</x:v>
      </x:c>
      <x:c r="Z904" s="30" t="n">
        <x:v>46320</x:v>
      </x:c>
    </x:row>
    <x:row r="905" ht="18" customHeight="1">
      <x:c r="A905" s="22" t="str">
        <x:f>"b169e15e-045b-4d51-93c2-138f07a2cd26"</x:f>
        <x:v>b169e15e-045b-4d51-93c2-138f07a2cd26</x:v>
      </x:c>
      <x:c r="B905" s="23" t="str">
        <x:v>EDGAR DOS SANTOS PEIXOTO</x:v>
      </x:c>
      <x:c r="C905" s="23" t="str">
        <x:v>edgar dos santos peixoto</x:v>
      </x:c>
      <x:c r="D905" s="22" t="str">
        <x:f>"63.445.163/0001-06"</x:f>
        <x:v>63.445.163/0001-06</x:v>
      </x:c>
      <x:c r="E905" s="22" t="str">
        <x:f>"63445163000106"</x:f>
        <x:v>63445163000106</x:v>
      </x:c>
      <x:c r="F905" s="22" t="str">
        <x:f>"137.427.647-21"</x:f>
        <x:v>137.427.647-21</x:v>
      </x:c>
      <x:c r="G905" s="22" t="str">
        <x:f>"13742764721"</x:f>
        <x:v>13742764721</x:v>
      </x:c>
      <x:c r="H905" s="23" t="str">
        <x:v>edgardelivery1990@gmail.com</x:v>
      </x:c>
      <x:c r="I905" s="22" t="str">
        <x:f>"22 999256435"</x:f>
        <x:v>22 999256435</x:v>
      </x:c>
      <x:c r="J905" s="23" t="str">
        <x:v>SPOT</x:v>
      </x:c>
      <x:c r="K905" s="23" t="str">
        <x:v>favored_only</x:v>
      </x:c>
      <x:c r="L905" s="24" t="b">
        <x:v>1</x:v>
      </x:c>
      <x:c r="M905" s="23" t="n">
        <x:v>1</x:v>
      </x:c>
      <x:c r="N905" s="28" t="n">
        <x:v>46203.921887453704</x:v>
      </x:c>
      <x:c r="O905" s="28" t="n">
        <x:v>46219.812988715275</x:v>
      </x:c>
      <x:c r="P905" s="23" t="str">
        <x:v>CAMPOS DOS GOYTACAZES</x:v>
      </x:c>
      <x:c r="Q905" s="30" t="n">
        <x:v>33147</x:v>
      </x:c>
      <x:c r="R905" s="22" t="str">
        <x:f>"245588413"</x:f>
        <x:v>245588413</x:v>
      </x:c>
      <x:c r="S905" s="23" t="str">
        <x:v>masculino</x:v>
      </x:c>
      <x:c r="T905" s="22" t="str">
        <x:f>"HLJ5C28"</x:f>
        <x:v>HLJ5C28</x:v>
      </x:c>
      <x:c r="U905" s="23" t="str">
        <x:v>EDGAR DOS SANTOS PEIXOTO</x:v>
      </x:c>
      <x:c r="V905" s="22" t="str">
        <x:f>"137.427.647-21"</x:f>
        <x:v>137.427.647-21</x:v>
      </x:c>
      <x:c r="W905" s="22" t="str">
        <x:f>"13742764721"</x:f>
        <x:v>13742764721</x:v>
      </x:c>
      <x:c r="X905" s="23" t="str">
        <x:v>edgardelivery1990@gmail.com</x:v>
      </x:c>
      <x:c r="Y905" s="22" t="str">
        <x:f>"22 999256435"</x:f>
        <x:v>22 999256435</x:v>
      </x:c>
      <x:c r="Z905" s="30" t="n">
        <x:v>46326</x:v>
      </x:c>
    </x:row>
    <x:row r="906" ht="18" customHeight="1">
      <x:c r="A906" s="22" t="str">
        <x:f>"2610a089-1ca3-47e4-8872-a388f5647143"</x:f>
        <x:v>2610a089-1ca3-47e4-8872-a388f5647143</x:v>
      </x:c>
      <x:c r="B906" s="23" t="str">
        <x:v>EDGLADY PERES DE BRITO</x:v>
      </x:c>
      <x:c r="C906" s="23" t="str">
        <x:v>edglady peres de brito</x:v>
      </x:c>
      <x:c r="D906" s="22" t="str">
        <x:f>"60.614.438/0001-91"</x:f>
        <x:v>60.614.438/0001-91</x:v>
      </x:c>
      <x:c r="E906" s="22" t="str">
        <x:f>"60614438000191"</x:f>
        <x:v>60614438000191</x:v>
      </x:c>
      <x:c r="F906" s="22" t="str">
        <x:f>"791.594.431-20"</x:f>
        <x:v>791.594.431-20</x:v>
      </x:c>
      <x:c r="G906" s="22" t="str">
        <x:f>"79159443120"</x:f>
        <x:v>79159443120</x:v>
      </x:c>
      <x:c r="H906" s="23" t="str">
        <x:v>edglady@hotmail.com</x:v>
      </x:c>
      <x:c r="I906" s="22" t="str">
        <x:f>"(66) 9 9676-0359"</x:f>
        <x:v>(66) 9 9676-0359</x:v>
      </x:c>
      <x:c r="J906" s="23" t="str">
        <x:v>SPOT</x:v>
      </x:c>
      <x:c r="K906" s="23" t="str">
        <x:v>favored_only</x:v>
      </x:c>
      <x:c r="L906" s="24" t="b">
        <x:v>1</x:v>
      </x:c>
      <x:c r="M906" s="23" t="n">
        <x:v>1</x:v>
      </x:c>
      <x:c r="N906" s="28" t="n">
        <x:v>46203.92183017361</x:v>
      </x:c>
      <x:c r="O906" s="28" t="n">
        <x:v>46219.812988715275</x:v>
      </x:c>
      <x:c r="P906" s="23" t="str">
        <x:v>SINOP</x:v>
      </x:c>
      <x:c r="Q906" s="30" t="n">
        <x:v>27945</x:v>
      </x:c>
      <x:c r="R906" s="22" t="str">
        <x:f>"5296773"</x:f>
        <x:v>5296773</x:v>
      </x:c>
      <x:c r="S906" s="23" t="str">
        <x:v>masculino</x:v>
      </x:c>
      <x:c r="T906" s="22" t="str">
        <x:f>"PZU3H63"</x:f>
        <x:v>PZU3H63</x:v>
      </x:c>
      <x:c r="U906" s="23" t="str">
        <x:v>EDGLADY PERES DE BRITO</x:v>
      </x:c>
      <x:c r="V906" s="22" t="str">
        <x:f>"791.594.431-20"</x:f>
        <x:v>791.594.431-20</x:v>
      </x:c>
      <x:c r="W906" s="22" t="str">
        <x:f>"79159443120"</x:f>
        <x:v>79159443120</x:v>
      </x:c>
      <x:c r="X906" s="23" t="str">
        <x:v>edglady@hotmail.com</x:v>
      </x:c>
      <x:c r="Y906" s="22" t="str">
        <x:f>"(66) 9 9676-0359"</x:f>
        <x:v>(66) 9 9676-0359</x:v>
      </x:c>
      <x:c r="Z906" s="30" t="n">
        <x:v>46323</x:v>
      </x:c>
    </x:row>
    <x:row r="907" ht="18" customHeight="1">
      <x:c r="A907" s="22" t="str">
        <x:f>"a5c9a3db-f5f7-40cc-88af-f85149f2415f"</x:f>
        <x:v>a5c9a3db-f5f7-40cc-88af-f85149f2415f</x:v>
      </x:c>
      <x:c r="B907" s="23" t="str">
        <x:v>EDIANDRO DE MOURA LEITE</x:v>
      </x:c>
      <x:c r="C907" s="23" t="str">
        <x:v>ediandro de moura leite</x:v>
      </x:c>
      <x:c r="D907" s="22" t="str">
        <x:f>"57.684.950/0001-08"</x:f>
        <x:v>57.684.950/0001-08</x:v>
      </x:c>
      <x:c r="E907" s="22" t="str">
        <x:f>"57684950000108"</x:f>
        <x:v>57684950000108</x:v>
      </x:c>
      <x:c r="F907" s="22" t="str">
        <x:f>"040.199.781-23"</x:f>
        <x:v>040.199.781-23</x:v>
      </x:c>
      <x:c r="G907" s="22" t="str">
        <x:f>"04019978123"</x:f>
        <x:v>04019978123</x:v>
      </x:c>
      <x:c r="H907" s="23" t="str">
        <x:v>ediandroleite@gmail.com</x:v>
      </x:c>
      <x:c r="I907" s="22" t="str">
        <x:f>"65993422941"</x:f>
        <x:v>65993422941</x:v>
      </x:c>
      <x:c r="J907" s="23" t="str">
        <x:v>SPOT</x:v>
      </x:c>
      <x:c r="K907" s="23" t="str">
        <x:v>favored_only</x:v>
      </x:c>
      <x:c r="L907" s="24" t="b">
        <x:v>1</x:v>
      </x:c>
      <x:c r="M907" s="23" t="n">
        <x:v>1</x:v>
      </x:c>
      <x:c r="N907" s="28" t="n">
        <x:v>46219.812988715275</x:v>
      </x:c>
      <x:c r="O907" s="28" t="n">
        <x:v>46219.812988715275</x:v>
      </x:c>
      <x:c r="P907" s="23" t="str">
        <x:v>CUIABA</x:v>
      </x:c>
      <x:c r="Q907" s="30" t="n">
        <x:v>34278</x:v>
      </x:c>
      <x:c r="R907" s="22" t="str">
        <x:f>"19811020"</x:f>
        <x:v>19811020</x:v>
      </x:c>
      <x:c r="S907" s="23" t="str">
        <x:v>masculino</x:v>
      </x:c>
      <x:c r="T907" s="22" t="str">
        <x:f>"RTU6D04"</x:f>
        <x:v>RTU6D04</x:v>
      </x:c>
      <x:c r="U907" s="23" t="str">
        <x:v>THIAGO JUNIOR MEDEIROS RIBEIRO</x:v>
      </x:c>
      <x:c r="V907" s="22" t="str">
        <x:f>"081.891.721-07"</x:f>
        <x:v>081.891.721-07</x:v>
      </x:c>
      <x:c r="W907" s="22" t="str">
        <x:f>"08189172107"</x:f>
        <x:v>08189172107</x:v>
      </x:c>
      <x:c r="X907" s="23" t="str">
        <x:v>thiagocba1000@gmail.com</x:v>
      </x:c>
      <x:c r="Y907" s="22" t="str">
        <x:f>"65993005648"</x:f>
        <x:v>65993005648</x:v>
      </x:c>
      <x:c r="Z907" s="30" t="n">
        <x:v>46469</x:v>
      </x:c>
    </x:row>
    <x:row r="908" ht="18" customHeight="1">
      <x:c r="A908" s="22" t="str">
        <x:f>"5750e98c-20aa-4850-a1da-88e787309072"</x:f>
        <x:v>5750e98c-20aa-4850-a1da-88e787309072</x:v>
      </x:c>
      <x:c r="B908" s="23" t="str">
        <x:v>EDICLEVERSON DIAS DE OLIVEIRA</x:v>
      </x:c>
      <x:c r="C908" s="23" t="str">
        <x:v>edicleverson dias de oliveira</x:v>
      </x:c>
      <x:c r="D908" s="22" t="str">
        <x:f>"37.624.531/0001-65"</x:f>
        <x:v>37.624.531/0001-65</x:v>
      </x:c>
      <x:c r="E908" s="22" t="str">
        <x:f>"37624531000165"</x:f>
        <x:v>37624531000165</x:v>
      </x:c>
      <x:c r="F908" s="22" t="str">
        <x:f>"022.558.291-00"</x:f>
        <x:v>022.558.291-00</x:v>
      </x:c>
      <x:c r="G908" s="22" t="str">
        <x:f>"02255829100"</x:f>
        <x:v>02255829100</x:v>
      </x:c>
      <x:c r="H908" s="23" t="str">
        <x:v>diadicleverson@gmail.com</x:v>
      </x:c>
      <x:c r="I908" s="22" t="str">
        <x:f>"65996828598"</x:f>
        <x:v>65996828598</x:v>
      </x:c>
      <x:c r="J908" s="23" t="str">
        <x:v>SPOT</x:v>
      </x:c>
      <x:c r="K908" s="23" t="str">
        <x:v>favored_only</x:v>
      </x:c>
      <x:c r="L908" s="24" t="b">
        <x:v>1</x:v>
      </x:c>
      <x:c r="M908" s="23" t="n">
        <x:v>1</x:v>
      </x:c>
      <x:c r="N908" s="28" t="n">
        <x:v>46219.812988715275</x:v>
      </x:c>
      <x:c r="O908" s="28" t="n">
        <x:v>46219.812988715275</x:v>
      </x:c>
      <x:c r="P908" s="23" t="str">
        <x:v>CÁCERES</x:v>
      </x:c>
      <x:c r="Q908" s="30" t="n">
        <x:v>32833</x:v>
      </x:c>
      <x:c r="R908" s="22" t="str">
        <x:f>"2255829100"</x:f>
        <x:v>2255829100</x:v>
      </x:c>
      <x:c r="S908" s="23" t="str">
        <x:v>masculino</x:v>
      </x:c>
      <x:c r="T908" s="22" t="str">
        <x:f>"fqu2c01"</x:f>
        <x:v>fqu2c01</x:v>
      </x:c>
      <x:c r="U908" s="23" t="str">
        <x:v>OLDAIR JOSE RIBEIRO MATOS</x:v>
      </x:c>
      <x:c r="V908" s="22" t="str">
        <x:f>"901.012.430-49"</x:f>
        <x:v>901.012.430-49</x:v>
      </x:c>
      <x:c r="W908" s="22" t="str">
        <x:f>"90101243049"</x:f>
        <x:v>90101243049</x:v>
      </x:c>
      <x:c r="X908" s="23" t="str">
        <x:v>oldairmatos73@gmail.com</x:v>
      </x:c>
      <x:c r="Y908" s="22" t="str">
        <x:f>"+55 67 9622-4877"</x:f>
        <x:v>+55 67 9622-4877</x:v>
      </x:c>
      <x:c r="Z908" s="30" t="n">
        <x:v>46501</x:v>
      </x:c>
    </x:row>
    <x:row r="909" ht="18" customHeight="1">
      <x:c r="A909" s="22" t="str">
        <x:f>"f1cf1252-3577-4529-9f67-4b877049e4dd"</x:f>
        <x:v>f1cf1252-3577-4529-9f67-4b877049e4dd</x:v>
      </x:c>
      <x:c r="B909" s="23" t="str">
        <x:v>EDILAMAR MOREIRA AZEVEDO</x:v>
      </x:c>
      <x:c r="C909" s="23" t="str">
        <x:v>edilamar moreira azevedo</x:v>
      </x:c>
      <x:c r="D909" s="22" t="str">
        <x:f>"41.969.701/0001-10"</x:f>
        <x:v>41.969.701/0001-10</x:v>
      </x:c>
      <x:c r="E909" s="22" t="str">
        <x:f>"41969701000110"</x:f>
        <x:v>41969701000110</x:v>
      </x:c>
      <x:c r="F909" s="22" t="str">
        <x:f>"016.101.781-90"</x:f>
        <x:v>016.101.781-90</x:v>
      </x:c>
      <x:c r="G909" s="22" t="str">
        <x:f>"01610178190"</x:f>
        <x:v>01610178190</x:v>
      </x:c>
      <x:c r="H909" s="23" t="str">
        <x:v>edilamarazevedo.com@icloud.com</x:v>
      </x:c>
      <x:c r="I909" s="22" t="str">
        <x:f>"62993186993"</x:f>
        <x:v>62993186993</x:v>
      </x:c>
      <x:c r="J909" s="23" t="str">
        <x:v>SPOT</x:v>
      </x:c>
      <x:c r="K909" s="23" t="str">
        <x:v>favored_only</x:v>
      </x:c>
      <x:c r="L909" s="24" t="b">
        <x:v>1</x:v>
      </x:c>
      <x:c r="M909" s="23" t="n">
        <x:v>1</x:v>
      </x:c>
      <x:c r="N909" s="28" t="n">
        <x:v>46205.60477322917</x:v>
      </x:c>
      <x:c r="O909" s="28" t="n">
        <x:v>46219.812988715275</x:v>
      </x:c>
      <x:c r="P909" s="23" t="str">
        <x:v>MOZARLANDIA</x:v>
      </x:c>
      <x:c r="Q909" s="30" t="n">
        <x:v>30922</x:v>
      </x:c>
      <x:c r="R909" s="22" t="str">
        <x:f>"4993001"</x:f>
        <x:v>4993001</x:v>
      </x:c>
      <x:c r="S909" s="23" t="str">
        <x:v>feminino</x:v>
      </x:c>
      <x:c r="T909" s="22" t="str">
        <x:f>"QUP5D15"</x:f>
        <x:v>QUP5D15</x:v>
      </x:c>
      <x:c r="U909" s="23" t="str">
        <x:v>RODRIGO GOMES VARGAS</x:v>
      </x:c>
      <x:c r="V909" s="22" t="str">
        <x:f>"735.317.152-91"</x:f>
        <x:v>735.317.152-91</x:v>
      </x:c>
      <x:c r="W909" s="22" t="str">
        <x:f>"73531715291"</x:f>
        <x:v>73531715291</x:v>
      </x:c>
      <x:c r="X909" s="23" t="str">
        <x:v>rodrigovargasmecanivo@gmail.com</x:v>
      </x:c>
      <x:c r="Y909" s="22" t="str">
        <x:f>"6291803500"</x:f>
        <x:v>6291803500</x:v>
      </x:c>
      <x:c r="Z909" s="30" t="n">
        <x:v>46296</x:v>
      </x:c>
    </x:row>
    <x:row r="910" ht="18" customHeight="1">
      <x:c r="A910" s="22" t="str">
        <x:f>"57e05a6c-86ce-4c0d-8111-8519df7cce86"</x:f>
        <x:v>57e05a6c-86ce-4c0d-8111-8519df7cce86</x:v>
      </x:c>
      <x:c r="B910" s="23" t="str">
        <x:v>EDILEIDE RODRIGUES DE OLIVEIRA</x:v>
      </x:c>
      <x:c r="C910" s="23" t="str">
        <x:v>edileide rodrigues de oliveira</x:v>
      </x:c>
      <x:c r="D910" s="22" t="str">
        <x:f>"54.549.326/0001-00"</x:f>
        <x:v>54.549.326/0001-00</x:v>
      </x:c>
      <x:c r="E910" s="22" t="str">
        <x:f>"54549326000100"</x:f>
        <x:v>54549326000100</x:v>
      </x:c>
      <x:c r="F910" s="22" t="str">
        <x:f>"409.900.818-50"</x:f>
        <x:v>409.900.818-50</x:v>
      </x:c>
      <x:c r="G910" s="22" t="str">
        <x:f>"40990081850"</x:f>
        <x:v>40990081850</x:v>
      </x:c>
      <x:c r="H910" s="23" t="str">
        <x:v>edileideoliveiraa2025@gmail.com</x:v>
      </x:c>
      <x:c r="I910" s="22" t="str">
        <x:f>"11947764468"</x:f>
        <x:v>11947764468</x:v>
      </x:c>
      <x:c r="J910" s="23" t="str">
        <x:v>SPOT</x:v>
      </x:c>
      <x:c r="K910" s="23" t="str">
        <x:v>favored_only</x:v>
      </x:c>
      <x:c r="L910" s="24" t="b">
        <x:v>1</x:v>
      </x:c>
      <x:c r="M910" s="23" t="n">
        <x:v>1</x:v>
      </x:c>
      <x:c r="N910" s="28" t="n">
        <x:v>46203.92186888889</x:v>
      </x:c>
      <x:c r="O910" s="28" t="n">
        <x:v>46219.812988715275</x:v>
      </x:c>
      <x:c r="P910" s="23" t="str">
        <x:v>BARUERI</x:v>
      </x:c>
      <x:c r="Q910" s="30" t="n">
        <x:v>33407</x:v>
      </x:c>
      <x:c r="R910" s="22" t="str">
        <x:f>"485143562"</x:f>
        <x:v>485143562</x:v>
      </x:c>
      <x:c r="S910" s="23" t="str">
        <x:v>masculino</x:v>
      </x:c>
      <x:c r="T910" s="22" t="str"/>
      <x:c r="U910" s="23" t="str">
        <x:v>EDILEIDE RODRIGUES DE OLIVEIRA</x:v>
      </x:c>
      <x:c r="V910" s="22" t="str">
        <x:f>"409.900.818-50"</x:f>
        <x:v>409.900.818-50</x:v>
      </x:c>
      <x:c r="W910" s="22" t="str">
        <x:f>"40990081850"</x:f>
        <x:v>40990081850</x:v>
      </x:c>
      <x:c r="X910" s="23" t="str">
        <x:v>edileideoliveiraa2025@gmail.com</x:v>
      </x:c>
      <x:c r="Y910" s="22" t="str">
        <x:f>"11947764468"</x:f>
        <x:v>11947764468</x:v>
      </x:c>
      <x:c r="Z910" s="30" t="n">
        <x:v>46291</x:v>
      </x:c>
    </x:row>
    <x:row r="911" ht="18" customHeight="1">
      <x:c r="A911" s="22" t="str">
        <x:f>"96da4c0e-bc7c-4662-90a7-7c1ee531472f"</x:f>
        <x:v>96da4c0e-bc7c-4662-90a7-7c1ee531472f</x:v>
      </x:c>
      <x:c r="B911" s="23" t="str">
        <x:v>EDILSON APARECIDO PONTES</x:v>
      </x:c>
      <x:c r="C911" s="23" t="str">
        <x:v>edilson aparecido pontes</x:v>
      </x:c>
      <x:c r="D911" s="22" t="str">
        <x:f>"61.301.003/0001-50"</x:f>
        <x:v>61.301.003/0001-50</x:v>
      </x:c>
      <x:c r="E911" s="22" t="str">
        <x:f>"61301003000150"</x:f>
        <x:v>61301003000150</x:v>
      </x:c>
      <x:c r="F911" s="22" t="str">
        <x:f>"077.750.808-76"</x:f>
        <x:v>077.750.808-76</x:v>
      </x:c>
      <x:c r="G911" s="22" t="str">
        <x:f>"07775080876"</x:f>
        <x:v>07775080876</x:v>
      </x:c>
      <x:c r="H911" s="23" t="str">
        <x:v>edilsonappontes@gmail.com</x:v>
      </x:c>
      <x:c r="I911" s="22" t="str">
        <x:f>"17996727447"</x:f>
        <x:v>17996727447</x:v>
      </x:c>
      <x:c r="J911" s="23" t="str">
        <x:v>SPOT</x:v>
      </x:c>
      <x:c r="K911" s="23" t="str">
        <x:v>favored_only</x:v>
      </x:c>
      <x:c r="L911" s="24" t="b">
        <x:v>1</x:v>
      </x:c>
      <x:c r="M911" s="23" t="n">
        <x:v>1</x:v>
      </x:c>
      <x:c r="N911" s="28" t="n">
        <x:v>46205.60490136574</x:v>
      </x:c>
      <x:c r="O911" s="28" t="n">
        <x:v>46219.812988715275</x:v>
      </x:c>
      <x:c r="P911" s="23" t="str">
        <x:v>SÃO JOSE DO RIO PRETO</x:v>
      </x:c>
      <x:c r="Q911" s="30" t="n">
        <x:v>24322</x:v>
      </x:c>
      <x:c r="R911" s="22" t="str">
        <x:f>"19117965"</x:f>
        <x:v>19117965</x:v>
      </x:c>
      <x:c r="S911" s="23" t="str">
        <x:v>masculino</x:v>
      </x:c>
      <x:c r="T911" s="22" t="str">
        <x:f>"GGH4G02"</x:f>
        <x:v>GGH4G02</x:v>
      </x:c>
      <x:c r="U911" s="23" t="str">
        <x:v>EDENIR DA SILVA PONTES</x:v>
      </x:c>
      <x:c r="V911" s="22" t="str">
        <x:f>"173.849.458-60"</x:f>
        <x:v>173.849.458-60</x:v>
      </x:c>
      <x:c r="W911" s="22" t="str">
        <x:f>"17384945860"</x:f>
        <x:v>17384945860</x:v>
      </x:c>
      <x:c r="X911" s="23" t="str">
        <x:v>edilsonappontes@gmail.com</x:v>
      </x:c>
      <x:c r="Y911" s="22" t="str">
        <x:f>"17996727447"</x:f>
        <x:v>17996727447</x:v>
      </x:c>
      <x:c r="Z911" s="30" t="n">
        <x:v>46302</x:v>
      </x:c>
    </x:row>
    <x:row r="912" ht="18" customHeight="1">
      <x:c r="A912" s="22" t="str">
        <x:f>"e29be689-1ea3-4db7-9c64-9a880a15ce05"</x:f>
        <x:v>e29be689-1ea3-4db7-9c64-9a880a15ce05</x:v>
      </x:c>
      <x:c r="B912" s="23" t="str">
        <x:v>Edilson Borges dos Santos</x:v>
      </x:c>
      <x:c r="C912" s="23" t="str">
        <x:v>edilson borges dos santos</x:v>
      </x:c>
      <x:c r="D912" s="22" t="str">
        <x:f>"12.726.484/0001-30"</x:f>
        <x:v>12.726.484/0001-30</x:v>
      </x:c>
      <x:c r="E912" s="22" t="str">
        <x:f>"12726484000130"</x:f>
        <x:v>12726484000130</x:v>
      </x:c>
      <x:c r="F912" s="22" t="str">
        <x:f>"701.198.481-04"</x:f>
        <x:v>701.198.481-04</x:v>
      </x:c>
      <x:c r="G912" s="22" t="str">
        <x:f>"70119848104"</x:f>
        <x:v>70119848104</x:v>
      </x:c>
      <x:c r="H912" s="23" t="str">
        <x:v>edilsonvg1981@gmail.com</x:v>
      </x:c>
      <x:c r="I912" s="22" t="str">
        <x:f>"65999007001"</x:f>
        <x:v>65999007001</x:v>
      </x:c>
      <x:c r="J912" s="23" t="str">
        <x:v>SPOT</x:v>
      </x:c>
      <x:c r="K912" s="23" t="str">
        <x:v>favored_only</x:v>
      </x:c>
      <x:c r="L912" s="24" t="b">
        <x:v>1</x:v>
      </x:c>
      <x:c r="M912" s="23" t="n">
        <x:v>1</x:v>
      </x:c>
      <x:c r="N912" s="28" t="n">
        <x:v>46203.92183332176</x:v>
      </x:c>
      <x:c r="O912" s="28" t="n">
        <x:v>46205.604728715276</x:v>
      </x:c>
      <x:c r="P912" s="23" t="str">
        <x:v>CUIABA</x:v>
      </x:c>
      <x:c r="Q912" s="30" t="n">
        <x:v>29771</x:v>
      </x:c>
      <x:c r="R912" s="22" t="str">
        <x:f>"12415200"</x:f>
        <x:v>12415200</x:v>
      </x:c>
      <x:c r="S912" s="23" t="str">
        <x:v>Masculino</x:v>
      </x:c>
      <x:c r="T912" s="22" t="str">
        <x:f>"QBQ1A61"</x:f>
        <x:v>QBQ1A61</x:v>
      </x:c>
      <x:c r="U912" s="23" t="str">
        <x:v>Edilson Borges dos Santos</x:v>
      </x:c>
      <x:c r="V912" s="22" t="str">
        <x:f>"70119848104"</x:f>
        <x:v>70119848104</x:v>
      </x:c>
      <x:c r="W912" s="22" t="str">
        <x:f>"70119848104"</x:f>
        <x:v>70119848104</x:v>
      </x:c>
      <x:c r="X912" s="23" t="str">
        <x:v>edilsonvg1981@gmail.com</x:v>
      </x:c>
      <x:c r="Y912" s="22" t="str">
        <x:f>"65999007001"</x:f>
        <x:v>65999007001</x:v>
      </x:c>
      <x:c r="Z912" s="30" t="n">
        <x:v>46210</x:v>
      </x:c>
    </x:row>
    <x:row r="913" ht="18" customHeight="1">
      <x:c r="A913" s="22" t="str">
        <x:f>"0618203f-44e0-4dff-b2b3-f736737905d1"</x:f>
        <x:v>0618203f-44e0-4dff-b2b3-f736737905d1</x:v>
      </x:c>
      <x:c r="B913" s="23" t="str">
        <x:v>EDILSON HURTADO DOS SANTOS</x:v>
      </x:c>
      <x:c r="C913" s="23" t="str">
        <x:v>edilson hurtado dos santos</x:v>
      </x:c>
      <x:c r="D913" s="22" t="str">
        <x:f>"60.663.201/0001-09"</x:f>
        <x:v>60.663.201/0001-09</x:v>
      </x:c>
      <x:c r="E913" s="22" t="str">
        <x:f>"60663201000109"</x:f>
        <x:v>60663201000109</x:v>
      </x:c>
      <x:c r="F913" s="22" t="str">
        <x:f>"000.492.901-26"</x:f>
        <x:v>000.492.901-26</x:v>
      </x:c>
      <x:c r="G913" s="22" t="str">
        <x:f>"00049290126"</x:f>
        <x:v>00049290126</x:v>
      </x:c>
      <x:c r="H913" s="23" t="str">
        <x:v>edilsonhurtado.eh@gmail.com</x:v>
      </x:c>
      <x:c r="I913" s="22" t="str">
        <x:f>"+55 65 99240-9691"</x:f>
        <x:v>+55 65 99240-9691</x:v>
      </x:c>
      <x:c r="J913" s="23" t="str">
        <x:v>SPOT</x:v>
      </x:c>
      <x:c r="K913" s="23" t="str">
        <x:v>favored_only</x:v>
      </x:c>
      <x:c r="L913" s="24" t="b">
        <x:v>1</x:v>
      </x:c>
      <x:c r="M913" s="23" t="n">
        <x:v>1</x:v>
      </x:c>
      <x:c r="N913" s="28" t="n">
        <x:v>46219.812988715275</x:v>
      </x:c>
      <x:c r="O913" s="28" t="n">
        <x:v>46219.812988715275</x:v>
      </x:c>
      <x:c r="P913" s="23" t="str">
        <x:v>PONTES E LACERDA</x:v>
      </x:c>
      <x:c r="Q913" s="30" t="n">
        <x:v>30283</x:v>
      </x:c>
      <x:c r="R913" s="22" t="str">
        <x:f>"15137368"</x:f>
        <x:v>15137368</x:v>
      </x:c>
      <x:c r="S913" s="23" t="str">
        <x:v>masculino</x:v>
      </x:c>
      <x:c r="T913" s="22" t="str">
        <x:f>"RRP-1B16"</x:f>
        <x:v>RRP-1B16</x:v>
      </x:c>
      <x:c r="U913" s="23" t="str">
        <x:v>EDILSON HURTADO DOS SANTOS</x:v>
      </x:c>
      <x:c r="V913" s="22" t="str">
        <x:f>"000.492.901-26"</x:f>
        <x:v>000.492.901-26</x:v>
      </x:c>
      <x:c r="W913" s="22" t="str">
        <x:f>"00049290126"</x:f>
        <x:v>00049290126</x:v>
      </x:c>
      <x:c r="X913" s="23" t="str">
        <x:v>edilsonhurtado.eh@gmail.com</x:v>
      </x:c>
      <x:c r="Y913" s="22" t="str">
        <x:f>"+55 65 99240-9691"</x:f>
        <x:v>+55 65 99240-9691</x:v>
      </x:c>
      <x:c r="Z913" s="30" t="n">
        <x:v>46403</x:v>
      </x:c>
    </x:row>
    <x:row r="914" ht="18" customHeight="1">
      <x:c r="A914" s="22" t="str">
        <x:f>"0ebaf93a-c395-4034-8fdb-6f8975d239b7"</x:f>
        <x:v>0ebaf93a-c395-4034-8fdb-6f8975d239b7</x:v>
      </x:c>
      <x:c r="B914" s="23" t="str">
        <x:v>EDILSON HURTADO DOS SANTOS</x:v>
      </x:c>
      <x:c r="C914" s="23" t="str">
        <x:v>edilson hurtado dos santos</x:v>
      </x:c>
      <x:c r="D914" s="22" t="str">
        <x:f>"46.366.518/0001-44"</x:f>
        <x:v>46.366.518/0001-44</x:v>
      </x:c>
      <x:c r="E914" s="22" t="str">
        <x:f>"46366518000144"</x:f>
        <x:v>46366518000144</x:v>
      </x:c>
      <x:c r="F914" s="22" t="str">
        <x:f>"000.492.901-26"</x:f>
        <x:v>000.492.901-26</x:v>
      </x:c>
      <x:c r="G914" s="22" t="str">
        <x:f>"00049290126"</x:f>
        <x:v>00049290126</x:v>
      </x:c>
      <x:c r="H914" s="23" t="str">
        <x:v>edilsonhurtado.eh@gmail.com</x:v>
      </x:c>
      <x:c r="I914" s="22" t="str">
        <x:f>"+55 65 99240-9691"</x:f>
        <x:v>+55 65 99240-9691</x:v>
      </x:c>
      <x:c r="J914" s="23" t="str">
        <x:v>SPOT</x:v>
      </x:c>
      <x:c r="K914" s="23" t="str">
        <x:v>favored_only</x:v>
      </x:c>
      <x:c r="L914" s="24" t="b">
        <x:v>1</x:v>
      </x:c>
      <x:c r="M914" s="23" t="n">
        <x:v>1</x:v>
      </x:c>
      <x:c r="N914" s="28" t="n">
        <x:v>46219.812988715275</x:v>
      </x:c>
      <x:c r="O914" s="28" t="n">
        <x:v>46219.812988715275</x:v>
      </x:c>
      <x:c r="P914" s="23" t="str">
        <x:v>PONTES E LACERDA</x:v>
      </x:c>
      <x:c r="Q914" s="30" t="n">
        <x:v>30283</x:v>
      </x:c>
      <x:c r="R914" s="22" t="str">
        <x:f>"15137368"</x:f>
        <x:v>15137368</x:v>
      </x:c>
      <x:c r="S914" s="23" t="str">
        <x:v>masculino</x:v>
      </x:c>
      <x:c r="T914" s="22" t="str">
        <x:f>"RRP1B16"</x:f>
        <x:v>RRP1B16</x:v>
      </x:c>
      <x:c r="U914" s="23" t="str">
        <x:v>AMAURI DA SILVA CRUZ</x:v>
      </x:c>
      <x:c r="V914" s="22" t="str">
        <x:f>"000.584.581-58"</x:f>
        <x:v>000.584.581-58</x:v>
      </x:c>
      <x:c r="W914" s="22" t="str">
        <x:f>"00058458158"</x:f>
        <x:v>00058458158</x:v>
      </x:c>
      <x:c r="X914" s="23" t="str">
        <x:v>amauripl@hotmail.com</x:v>
      </x:c>
      <x:c r="Y914" s="22" t="str">
        <x:f>"65999396958"</x:f>
        <x:v>65999396958</x:v>
      </x:c>
      <x:c r="Z914" s="30" t="n">
        <x:v>46403</x:v>
      </x:c>
    </x:row>
    <x:row r="915" ht="18" customHeight="1">
      <x:c r="A915" s="22" t="str">
        <x:f>"d0c345ff-affb-4d06-b415-b7dd728902b3"</x:f>
        <x:v>d0c345ff-affb-4d06-b415-b7dd728902b3</x:v>
      </x:c>
      <x:c r="B915" s="23" t="str">
        <x:v>EDILSON LUIZ TEIXEIRA</x:v>
      </x:c>
      <x:c r="C915" s="23" t="str">
        <x:v>edilson luiz teixeira</x:v>
      </x:c>
      <x:c r="D915" s="22" t="str">
        <x:f>"54.319.545/0001-94"</x:f>
        <x:v>54.319.545/0001-94</x:v>
      </x:c>
      <x:c r="E915" s="22" t="str">
        <x:f>"54319545000194"</x:f>
        <x:v>54319545000194</x:v>
      </x:c>
      <x:c r="F915" s="22" t="str">
        <x:f>"903.967.821-91"</x:f>
        <x:v>903.967.821-91</x:v>
      </x:c>
      <x:c r="G915" s="22" t="str">
        <x:f>"90396782191"</x:f>
        <x:v>90396782191</x:v>
      </x:c>
      <x:c r="H915" s="23" t="str">
        <x:v>edilsonteixeira94@gmail.com</x:v>
      </x:c>
      <x:c r="I915" s="22" t="str">
        <x:f>"65996440467"</x:f>
        <x:v>65996440467</x:v>
      </x:c>
      <x:c r="J915" s="23" t="str">
        <x:v>SPOT</x:v>
      </x:c>
      <x:c r="K915" s="23" t="str">
        <x:v>favored_only</x:v>
      </x:c>
      <x:c r="L915" s="24" t="b">
        <x:v>1</x:v>
      </x:c>
      <x:c r="M915" s="23" t="n">
        <x:v>1</x:v>
      </x:c>
      <x:c r="N915" s="28" t="n">
        <x:v>46205.60600853009</x:v>
      </x:c>
      <x:c r="O915" s="28" t="n">
        <x:v>46219.812988715275</x:v>
      </x:c>
      <x:c r="P915" s="23" t="str">
        <x:v>CÁCERES</x:v>
      </x:c>
      <x:c r="Q915" s="30" t="n">
        <x:v>29850</x:v>
      </x:c>
      <x:c r="R915" s="22" t="str">
        <x:f>"13053060"</x:f>
        <x:v>13053060</x:v>
      </x:c>
      <x:c r="S915" s="23" t="str">
        <x:v>masculino</x:v>
      </x:c>
      <x:c r="T915" s="22" t="str">
        <x:f>"KAT1A15"</x:f>
        <x:v>KAT1A15</x:v>
      </x:c>
      <x:c r="U915" s="23" t="str">
        <x:v>JOAO VICTOR ALMENDROS</x:v>
      </x:c>
      <x:c r="V915" s="22" t="str">
        <x:f>"062.947.991-71"</x:f>
        <x:v>062.947.991-71</x:v>
      </x:c>
      <x:c r="W915" s="22" t="str">
        <x:f>"06294799171"</x:f>
        <x:v>06294799171</x:v>
      </x:c>
      <x:c r="X915" s="23" t="str">
        <x:v>jvcacerense@gmail.com</x:v>
      </x:c>
      <x:c r="Y915" s="22" t="str">
        <x:f>"65992243517"</x:f>
        <x:v>65992243517</x:v>
      </x:c>
      <x:c r="Z915" s="30" t="n">
        <x:v>46339</x:v>
      </x:c>
    </x:row>
    <x:row r="916" ht="18" customHeight="1">
      <x:c r="A916" s="22" t="str">
        <x:f>"361dcf22-1085-4da6-b6b9-b8be9b6bbd2d"</x:f>
        <x:v>361dcf22-1085-4da6-b6b9-b8be9b6bbd2d</x:v>
      </x:c>
      <x:c r="B916" s="23" t="str">
        <x:v>EDILSON PASSSARINI</x:v>
      </x:c>
      <x:c r="C916" s="23" t="str">
        <x:v>edilson passsarini</x:v>
      </x:c>
      <x:c r="D916" s="22" t="str">
        <x:f>"46.408.243/0001-64"</x:f>
        <x:v>46.408.243/0001-64</x:v>
      </x:c>
      <x:c r="E916" s="22" t="str">
        <x:f>"46408243000164"</x:f>
        <x:v>46408243000164</x:v>
      </x:c>
      <x:c r="F916" s="22" t="str">
        <x:f>"055.316.968-84"</x:f>
        <x:v>055.316.968-84</x:v>
      </x:c>
      <x:c r="G916" s="22" t="str">
        <x:f>"05531696884"</x:f>
        <x:v>05531696884</x:v>
      </x:c>
      <x:c r="H916" s="23" t="str">
        <x:v>edilsonpassarinipassarini@gmail.com</x:v>
      </x:c>
      <x:c r="I916" s="22" t="str">
        <x:f>"18996582213"</x:f>
        <x:v>18996582213</x:v>
      </x:c>
      <x:c r="J916" s="23" t="str">
        <x:v>SPOT</x:v>
      </x:c>
      <x:c r="K916" s="23" t="str">
        <x:v>favored_only</x:v>
      </x:c>
      <x:c r="L916" s="24" t="b">
        <x:v>1</x:v>
      </x:c>
      <x:c r="M916" s="23" t="n">
        <x:v>1</x:v>
      </x:c>
      <x:c r="N916" s="28" t="n">
        <x:v>46205.60410010417</x:v>
      </x:c>
      <x:c r="O916" s="28" t="n">
        <x:v>46219.812988715275</x:v>
      </x:c>
      <x:c r="P916" s="23" t="str">
        <x:v>ARAÇATUBA</x:v>
      </x:c>
      <x:c r="Q916" s="30" t="n">
        <x:v>23846</x:v>
      </x:c>
      <x:c r="R916" s="22" t="str">
        <x:f>"16676651"</x:f>
        <x:v>16676651</x:v>
      </x:c>
      <x:c r="S916" s="23" t="str">
        <x:v>masculino</x:v>
      </x:c>
      <x:c r="T916" s="22" t="str">
        <x:f>"FBA9G21"</x:f>
        <x:v>FBA9G21</x:v>
      </x:c>
      <x:c r="U916" s="23" t="str">
        <x:v>NEIVA MARIA MARQUES BRANDAO PASSARINI</x:v>
      </x:c>
      <x:c r="V916" s="22" t="str">
        <x:f>"309.464.968-89"</x:f>
        <x:v>309.464.968-89</x:v>
      </x:c>
      <x:c r="W916" s="22" t="str">
        <x:f>"30946496889"</x:f>
        <x:v>30946496889</x:v>
      </x:c>
      <x:c r="X916" s="23" t="str">
        <x:v>neivammbpassarini@gmail.com</x:v>
      </x:c>
      <x:c r="Y916" s="22" t="str">
        <x:f>"18997743527"</x:f>
        <x:v>18997743527</x:v>
      </x:c>
      <x:c r="Z916" s="30" t="n">
        <x:v>46257</x:v>
      </x:c>
    </x:row>
    <x:row r="917" ht="18" customHeight="1">
      <x:c r="A917" s="22" t="str">
        <x:f>"a9a43c82-030a-4934-8266-585973b82269"</x:f>
        <x:v>a9a43c82-030a-4934-8266-585973b82269</x:v>
      </x:c>
      <x:c r="B917" s="23" t="str">
        <x:v>EDIMILSON BISPO FERRAZ</x:v>
      </x:c>
      <x:c r="C917" s="23" t="str">
        <x:v>edimilson bispo ferraz</x:v>
      </x:c>
      <x:c r="D917" s="22" t="str">
        <x:f>"60.540.064/0001-07"</x:f>
        <x:v>60.540.064/0001-07</x:v>
      </x:c>
      <x:c r="E917" s="22" t="str">
        <x:f>"60540064000107"</x:f>
        <x:v>60540064000107</x:v>
      </x:c>
      <x:c r="F917" s="22" t="str">
        <x:f>"148.982.648-32"</x:f>
        <x:v>148.982.648-32</x:v>
      </x:c>
      <x:c r="G917" s="22" t="str">
        <x:f>"14898264832"</x:f>
        <x:v>14898264832</x:v>
      </x:c>
      <x:c r="H917" s="23" t="str">
        <x:v>edmilsonbispo40810@gmail.com</x:v>
      </x:c>
      <x:c r="I917" s="22" t="str">
        <x:f>"11975752188"</x:f>
        <x:v>11975752188</x:v>
      </x:c>
      <x:c r="J917" s="23" t="str">
        <x:v>RENTAL</x:v>
      </x:c>
      <x:c r="K917" s="23" t="str">
        <x:v>rental_company</x:v>
      </x:c>
      <x:c r="L917" s="24" t="b">
        <x:v>1</x:v>
      </x:c>
      <x:c r="M917" s="23" t="n">
        <x:v>1</x:v>
      </x:c>
      <x:c r="N917" s="28" t="n">
        <x:v>46219.812988715275</x:v>
      </x:c>
      <x:c r="O917" s="28" t="n">
        <x:v>46219.812988715275</x:v>
      </x:c>
      <x:c r="P917" s="23" t="str">
        <x:v>POUSO ALEGRE</x:v>
      </x:c>
      <x:c r="Q917" s="30" t="n">
        <x:v>26298</x:v>
      </x:c>
      <x:c r="R917" s="22" t="str">
        <x:f>"23362025-4"</x:f>
        <x:v>23362025-4</x:v>
      </x:c>
      <x:c r="S917" s="23" t="str">
        <x:v>masculino</x:v>
      </x:c>
      <x:c r="T917" s="22" t="str"/>
      <x:c r="U917" s="23" t="str">
        <x:v>EDIMILSON BISPO FERRAZ</x:v>
      </x:c>
      <x:c r="V917" s="22" t="str">
        <x:f>"148.982.648-32"</x:f>
        <x:v>148.982.648-32</x:v>
      </x:c>
      <x:c r="W917" s="22" t="str">
        <x:f>"14898264832"</x:f>
        <x:v>14898264832</x:v>
      </x:c>
      <x:c r="X917" s="23" t="str">
        <x:v>edmilsonbispo40810@gmail.com</x:v>
      </x:c>
      <x:c r="Y917" s="22" t="str">
        <x:f>"11975752188"</x:f>
        <x:v>11975752188</x:v>
      </x:c>
      <x:c r="Z917" s="30" t="n">
        <x:v>46481</x:v>
      </x:c>
    </x:row>
    <x:row r="918" ht="18" customHeight="1">
      <x:c r="A918" s="22" t="str">
        <x:f>"490db8d5-13bc-4b48-85f4-5182075cb1a0"</x:f>
        <x:v>490db8d5-13bc-4b48-85f4-5182075cb1a0</x:v>
      </x:c>
      <x:c r="B918" s="23" t="str">
        <x:v>EDINALDO BALBINO DE FREITAS</x:v>
      </x:c>
      <x:c r="C918" s="23" t="str">
        <x:v>edinaldo balbino de freitas</x:v>
      </x:c>
      <x:c r="D918" s="22" t="str">
        <x:f>"63.955.978/0001-27"</x:f>
        <x:v>63.955.978/0001-27</x:v>
      </x:c>
      <x:c r="E918" s="22" t="str">
        <x:f>"63955978000127"</x:f>
        <x:v>63955978000127</x:v>
      </x:c>
      <x:c r="F918" s="22" t="str">
        <x:f>"053.187.384-60"</x:f>
        <x:v>053.187.384-60</x:v>
      </x:c>
      <x:c r="G918" s="22" t="str">
        <x:f>"05318738460"</x:f>
        <x:v>05318738460</x:v>
      </x:c>
      <x:c r="H918" s="23" t="str">
        <x:v>balbinoednaldo46@gmail.com</x:v>
      </x:c>
      <x:c r="I918" s="22" t="str">
        <x:f>"(34) 98424-1282"</x:f>
        <x:v>(34) 98424-1282</x:v>
      </x:c>
      <x:c r="J918" s="23" t="str">
        <x:v>RENTAL</x:v>
      </x:c>
      <x:c r="K918" s="23" t="str">
        <x:v>rental_company</x:v>
      </x:c>
      <x:c r="L918" s="24" t="b">
        <x:v>1</x:v>
      </x:c>
      <x:c r="M918" s="23" t="n">
        <x:v>1</x:v>
      </x:c>
      <x:c r="N918" s="28" t="n">
        <x:v>46203.921904421295</x:v>
      </x:c>
      <x:c r="O918" s="28" t="n">
        <x:v>46219.812988715275</x:v>
      </x:c>
      <x:c r="P918" s="23" t="str">
        <x:v>ARAXÁ</x:v>
      </x:c>
      <x:c r="Q918" s="30" t="n">
        <x:v>30246</x:v>
      </x:c>
      <x:c r="R918" s="22" t="str">
        <x:f>"22273756"</x:f>
        <x:v>22273756</x:v>
      </x:c>
      <x:c r="S918" s="23" t="str">
        <x:v>masculino</x:v>
      </x:c>
      <x:c r="T918" s="22" t="str"/>
      <x:c r="U918" s="23" t="str">
        <x:v>EDINALDO BALBINO DE FREITAS</x:v>
      </x:c>
      <x:c r="V918" s="22" t="str">
        <x:f>"053.187.384-60"</x:f>
        <x:v>053.187.384-60</x:v>
      </x:c>
      <x:c r="W918" s="22" t="str">
        <x:f>"05318738460"</x:f>
        <x:v>05318738460</x:v>
      </x:c>
      <x:c r="X918" s="23" t="str">
        <x:v>balbinoednaldo46@gmail.com</x:v>
      </x:c>
      <x:c r="Y918" s="22" t="str">
        <x:f>"(34) 98424-1282"</x:f>
        <x:v>(34) 98424-1282</x:v>
      </x:c>
      <x:c r="Z918" s="30" t="n">
        <x:v>46361</x:v>
      </x:c>
    </x:row>
    <x:row r="919" ht="18" customHeight="1">
      <x:c r="A919" s="22" t="str">
        <x:f>"147e0ead-a2cb-4b4d-99cf-7aab413cf89f"</x:f>
        <x:v>147e0ead-a2cb-4b4d-99cf-7aab413cf89f</x:v>
      </x:c>
      <x:c r="B919" s="23" t="str">
        <x:v>EDINEI SILVIO FIGUEIREDO</x:v>
      </x:c>
      <x:c r="C919" s="23" t="str">
        <x:v>edinei silvio figueiredo</x:v>
      </x:c>
      <x:c r="D919" s="22" t="str">
        <x:f>"37.823.997/0001-90"</x:f>
        <x:v>37.823.997/0001-90</x:v>
      </x:c>
      <x:c r="E919" s="22" t="str">
        <x:f>"37823997000190"</x:f>
        <x:v>37823997000190</x:v>
      </x:c>
      <x:c r="F919" s="22" t="str">
        <x:f>"060.840.551-50"</x:f>
        <x:v>060.840.551-50</x:v>
      </x:c>
      <x:c r="G919" s="22" t="str">
        <x:f>"06084055150"</x:f>
        <x:v>06084055150</x:v>
      </x:c>
      <x:c r="H919" s="23" t="str">
        <x:v>edineifigueiredo61@gmail.com</x:v>
      </x:c>
      <x:c r="I919" s="22" t="str">
        <x:f>"+55 65 9280-5284"</x:f>
        <x:v>+55 65 9280-5284</x:v>
      </x:c>
      <x:c r="J919" s="23" t="str">
        <x:v>SPOT</x:v>
      </x:c>
      <x:c r="K919" s="23" t="str">
        <x:v>favored_only</x:v>
      </x:c>
      <x:c r="L919" s="24" t="b">
        <x:v>1</x:v>
      </x:c>
      <x:c r="M919" s="23" t="n">
        <x:v>1</x:v>
      </x:c>
      <x:c r="N919" s="28" t="n">
        <x:v>46219.812988715275</x:v>
      </x:c>
      <x:c r="O919" s="28" t="n">
        <x:v>46219.812988715275</x:v>
      </x:c>
      <x:c r="P919" s="23" t="str">
        <x:v>CÁCERES</x:v>
      </x:c>
      <x:c r="Q919" s="30" t="n">
        <x:v>34492</x:v>
      </x:c>
      <x:c r="R919" s="22" t="str">
        <x:f>"24220108"</x:f>
        <x:v>24220108</x:v>
      </x:c>
      <x:c r="S919" s="23" t="str">
        <x:v>masculino</x:v>
      </x:c>
      <x:c r="T919" s="22" t="str">
        <x:f>"NTY7C67"</x:f>
        <x:v>NTY7C67</x:v>
      </x:c>
      <x:c r="U919" s="23" t="str">
        <x:v>RODOPRIME TRANSPORTES E CARGAS LTDA</x:v>
      </x:c>
      <x:c r="V919" s="22" t="str">
        <x:f>"038.768.901-01"</x:f>
        <x:v>038.768.901-01</x:v>
      </x:c>
      <x:c r="W919" s="22" t="str">
        <x:f>"03876890101"</x:f>
        <x:v>03876890101</x:v>
      </x:c>
      <x:c r="X919" s="23" t="str">
        <x:v>rtp.cargas@gmail.com</x:v>
      </x:c>
      <x:c r="Y919" s="22" t="str">
        <x:f>"62991277279"</x:f>
        <x:v>62991277279</x:v>
      </x:c>
      <x:c r="Z919" s="30" t="n">
        <x:v>46543</x:v>
      </x:c>
    </x:row>
    <x:row r="920" ht="18" customHeight="1">
      <x:c r="A920" s="22" t="str">
        <x:f>"6c2b3b57-76a8-4793-bab1-399c17f1b56d"</x:f>
        <x:v>6c2b3b57-76a8-4793-bab1-399c17f1b56d</x:v>
      </x:c>
      <x:c r="B920" s="23" t="str">
        <x:v>EDISON GOMES DOS SANTOS</x:v>
      </x:c>
      <x:c r="C920" s="23" t="str">
        <x:v>edison gomes dos santos</x:v>
      </x:c>
      <x:c r="D920" s="22" t="str">
        <x:f>"23.795.240/0001-25"</x:f>
        <x:v>23.795.240/0001-25</x:v>
      </x:c>
      <x:c r="E920" s="22" t="str">
        <x:f>"23795240000125"</x:f>
        <x:v>23795240000125</x:v>
      </x:c>
      <x:c r="F920" s="22" t="str">
        <x:f>"038.990.945-90"</x:f>
        <x:v>038.990.945-90</x:v>
      </x:c>
      <x:c r="G920" s="22" t="str">
        <x:f>"03899094590"</x:f>
        <x:v>03899094590</x:v>
      </x:c>
      <x:c r="H920" s="23" t="str">
        <x:v>edysond25@hotmail.com</x:v>
      </x:c>
      <x:c r="I920" s="22" t="str">
        <x:f>"11983193164"</x:f>
        <x:v>11983193164</x:v>
      </x:c>
      <x:c r="J920" s="23" t="str">
        <x:v>spot</x:v>
      </x:c>
      <x:c r="K920" s="23" t="str">
        <x:v>rental_company</x:v>
      </x:c>
      <x:c r="L920" s="24" t="b">
        <x:v>1</x:v>
      </x:c>
      <x:c r="M920" s="23" t="n">
        <x:v>2</x:v>
      </x:c>
      <x:c r="N920" s="28" t="n">
        <x:v>46203.921887453704</x:v>
      </x:c>
      <x:c r="O920" s="28" t="n">
        <x:v>46219.812988715275</x:v>
      </x:c>
      <x:c r="P920" s="23" t="str">
        <x:v>BARUERI</x:v>
      </x:c>
      <x:c r="Q920" s="30" t="n">
        <x:v>32377</x:v>
      </x:c>
      <x:c r="R920" s="22" t="str">
        <x:f>"57749662"</x:f>
        <x:v>57749662</x:v>
      </x:c>
      <x:c r="S920" s="23" t="str">
        <x:v>masculino</x:v>
      </x:c>
      <x:c r="T920" s="22" t="str">
        <x:f>"FIG1296"</x:f>
        <x:v>FIG1296</x:v>
      </x:c>
      <x:c r="U920" s="23" t="str">
        <x:v>EDISON GOMES DOS SANTOS</x:v>
      </x:c>
      <x:c r="V920" s="22" t="str">
        <x:f>"038.990.945-90"</x:f>
        <x:v>038.990.945-90</x:v>
      </x:c>
      <x:c r="W920" s="22" t="str">
        <x:f>"03899094590"</x:f>
        <x:v>03899094590</x:v>
      </x:c>
      <x:c r="X920" s="23" t="str">
        <x:v>edysond25@hotmail.com</x:v>
      </x:c>
      <x:c r="Y920" s="22" t="str">
        <x:f>"11983193164"</x:f>
        <x:v>11983193164</x:v>
      </x:c>
      <x:c r="Z920" s="30" t="n">
        <x:v>46550</x:v>
      </x:c>
    </x:row>
    <x:row r="921" ht="18" customHeight="1">
      <x:c r="A921" s="22" t="str">
        <x:f>"c00a81c8-05dc-4d1c-af39-53b20b86b418"</x:f>
        <x:v>c00a81c8-05dc-4d1c-af39-53b20b86b418</x:v>
      </x:c>
      <x:c r="B921" s="23" t="str">
        <x:v>EDIVALDO PEDRO DOS SANTOS SOUZA</x:v>
      </x:c>
      <x:c r="C921" s="23" t="str">
        <x:v>edivaldo pedro dos santos souza</x:v>
      </x:c>
      <x:c r="D921" s="22" t="str">
        <x:f>"65.644.358/0001-00"</x:f>
        <x:v>65.644.358/0001-00</x:v>
      </x:c>
      <x:c r="E921" s="22" t="str">
        <x:f>"65644358000100"</x:f>
        <x:v>65644358000100</x:v>
      </x:c>
      <x:c r="F921" s="22" t="str">
        <x:f>"112.017.986-63"</x:f>
        <x:v>112.017.986-63</x:v>
      </x:c>
      <x:c r="G921" s="22" t="str">
        <x:f>"11201798663"</x:f>
        <x:v>11201798663</x:v>
      </x:c>
      <x:c r="H921" s="23" t="str">
        <x:v>edivaldosouza568@gmail.com</x:v>
      </x:c>
      <x:c r="I921" s="22" t="str">
        <x:f>"(34) 9 9723 8117"</x:f>
        <x:v>(34) 9 9723 8117</x:v>
      </x:c>
      <x:c r="J921" s="23" t="str">
        <x:v>RENTAL</x:v>
      </x:c>
      <x:c r="K921" s="23" t="str">
        <x:v>rental_company</x:v>
      </x:c>
      <x:c r="L921" s="24" t="b">
        <x:v>1</x:v>
      </x:c>
      <x:c r="M921" s="23" t="n">
        <x:v>1</x:v>
      </x:c>
      <x:c r="N921" s="28" t="n">
        <x:v>46219.812988715275</x:v>
      </x:c>
      <x:c r="O921" s="28" t="n">
        <x:v>46219.812988715275</x:v>
      </x:c>
      <x:c r="P921" s="23" t="str">
        <x:v>UBERABA</x:v>
      </x:c>
      <x:c r="Q921" s="30" t="n">
        <x:v>33394</x:v>
      </x:c>
      <x:c r="R921" s="22" t="str">
        <x:f>"16505250"</x:f>
        <x:v>16505250</x:v>
      </x:c>
      <x:c r="S921" s="23" t="str">
        <x:v>masculino</x:v>
      </x:c>
      <x:c r="T921" s="22" t="str"/>
      <x:c r="U921" s="23" t="str">
        <x:v>EDIVALDO PEDRO DOS SANTOS SOUZA</x:v>
      </x:c>
      <x:c r="V921" s="22" t="str">
        <x:f>"112.017.986-63"</x:f>
        <x:v>112.017.986-63</x:v>
      </x:c>
      <x:c r="W921" s="22" t="str">
        <x:f>"11201798663"</x:f>
        <x:v>11201798663</x:v>
      </x:c>
      <x:c r="X921" s="23" t="str">
        <x:v>edivaldosouza568@gmail.com</x:v>
      </x:c>
      <x:c r="Y921" s="22" t="str">
        <x:f>"(34) 9 9723 8117"</x:f>
        <x:v>(34) 9 9723 8117</x:v>
      </x:c>
      <x:c r="Z921" s="30" t="n">
        <x:v>46458</x:v>
      </x:c>
    </x:row>
    <x:row r="922" ht="18" customHeight="1">
      <x:c r="A922" s="22" t="str">
        <x:f>"04c46d2a-dc67-4ee8-8c4c-b3ae5951f56c"</x:f>
        <x:v>04c46d2a-dc67-4ee8-8c4c-b3ae5951f56c</x:v>
      </x:c>
      <x:c r="B922" s="23" t="str">
        <x:v>EDLER DEL ESPOSTI DA SILVA</x:v>
      </x:c>
      <x:c r="C922" s="23" t="str">
        <x:v>edler del esposti da silva</x:v>
      </x:c>
      <x:c r="D922" s="22" t="str">
        <x:f>"62.444.662/0001-08"</x:f>
        <x:v>62.444.662/0001-08</x:v>
      </x:c>
      <x:c r="E922" s="22" t="str">
        <x:f>"62444662000108"</x:f>
        <x:v>62444662000108</x:v>
      </x:c>
      <x:c r="F922" s="22" t="str">
        <x:f>"119.676.227-95"</x:f>
        <x:v>119.676.227-95</x:v>
      </x:c>
      <x:c r="G922" s="22" t="str">
        <x:f>"11967622795"</x:f>
        <x:v>11967622795</x:v>
      </x:c>
      <x:c r="H922" s="23" t="str">
        <x:v>edlerusa2024@gmail.com</x:v>
      </x:c>
      <x:c r="I922" s="22" t="str">
        <x:f>"22 998806911"</x:f>
        <x:v>22 998806911</x:v>
      </x:c>
      <x:c r="J922" s="23" t="str">
        <x:v>spot</x:v>
      </x:c>
      <x:c r="K922" s="23" t="str">
        <x:v>favored_only</x:v>
      </x:c>
      <x:c r="L922" s="24" t="b">
        <x:v>1</x:v>
      </x:c>
      <x:c r="M922" s="23" t="n">
        <x:v>1</x:v>
      </x:c>
      <x:c r="N922" s="28" t="n">
        <x:v>46219.812988715275</x:v>
      </x:c>
      <x:c r="O922" s="28" t="n">
        <x:v>46219.812988715275</x:v>
      </x:c>
      <x:c r="P922" s="23" t="str">
        <x:v>CAMPOS DOS GOYTACAZES</x:v>
      </x:c>
      <x:c r="Q922" s="30" t="n">
        <x:v>31861</x:v>
      </x:c>
      <x:c r="R922" s="22" t="str">
        <x:f>"133679068"</x:f>
        <x:v>133679068</x:v>
      </x:c>
      <x:c r="S922" s="23" t="str">
        <x:v>masculino</x:v>
      </x:c>
      <x:c r="T922" s="22" t="str">
        <x:f>"EDM1C84"</x:f>
        <x:v>EDM1C84</x:v>
      </x:c>
      <x:c r="U922" s="23" t="str">
        <x:v>EDLER DEL ESPOSTI DA SILVA</x:v>
      </x:c>
      <x:c r="V922" s="22" t="str">
        <x:f>"119.676.227-95"</x:f>
        <x:v>119.676.227-95</x:v>
      </x:c>
      <x:c r="W922" s="22" t="str">
        <x:f>"11967622795"</x:f>
        <x:v>11967622795</x:v>
      </x:c>
      <x:c r="X922" s="23" t="str">
        <x:v>edlerusa2024@gmail.com</x:v>
      </x:c>
      <x:c r="Y922" s="22" t="str">
        <x:f>"22 998806911"</x:f>
        <x:v>22 998806911</x:v>
      </x:c>
      <x:c r="Z922" s="30" t="n">
        <x:v>46506</x:v>
      </x:c>
    </x:row>
    <x:row r="923" ht="18" customHeight="1">
      <x:c r="A923" s="22" t="str">
        <x:f>"8b8435f1-e0fa-45e4-90e9-1b01f4eced31"</x:f>
        <x:v>8b8435f1-e0fa-45e4-90e9-1b01f4eced31</x:v>
      </x:c>
      <x:c r="B923" s="23" t="str">
        <x:v>EDMAR ALVES DE SOUZA</x:v>
      </x:c>
      <x:c r="C923" s="23" t="str">
        <x:v>edmar alves de souza</x:v>
      </x:c>
      <x:c r="D923" s="22" t="str">
        <x:f>"62.512.301/0001-51"</x:f>
        <x:v>62.512.301/0001-51</x:v>
      </x:c>
      <x:c r="E923" s="22" t="str">
        <x:f>"62512301000151"</x:f>
        <x:v>62512301000151</x:v>
      </x:c>
      <x:c r="F923" s="22" t="str">
        <x:f>"664.486.546-15"</x:f>
        <x:v>664.486.546-15</x:v>
      </x:c>
      <x:c r="G923" s="22" t="str">
        <x:f>"66448654615"</x:f>
        <x:v>66448654615</x:v>
      </x:c>
      <x:c r="H923" s="23" t="str">
        <x:v>transcanario1@hotmail.com</x:v>
      </x:c>
      <x:c r="I923" s="22" t="str">
        <x:f>"31994323587"</x:f>
        <x:v>31994323587</x:v>
      </x:c>
      <x:c r="J923" s="23" t="str">
        <x:v>SPOT</x:v>
      </x:c>
      <x:c r="K923" s="23" t="str">
        <x:v>favored_only</x:v>
      </x:c>
      <x:c r="L923" s="24" t="b">
        <x:v>1</x:v>
      </x:c>
      <x:c r="M923" s="23" t="n">
        <x:v>1</x:v>
      </x:c>
      <x:c r="N923" s="28" t="n">
        <x:v>46205.60645518519</x:v>
      </x:c>
      <x:c r="O923" s="28" t="n">
        <x:v>46219.812988715275</x:v>
      </x:c>
      <x:c r="P923" s="23" t="str">
        <x:v>IPATINGA</x:v>
      </x:c>
      <x:c r="Q923" s="30" t="n">
        <x:v>25296</x:v>
      </x:c>
      <x:c r="R923" s="22" t="str">
        <x:f>"M4454858"</x:f>
        <x:v>M4454858</x:v>
      </x:c>
      <x:c r="S923" s="23" t="str">
        <x:v>masculino</x:v>
      </x:c>
      <x:c r="T923" s="22" t="str">
        <x:f>"hcw4i77"</x:f>
        <x:v>hcw4i77</x:v>
      </x:c>
      <x:c r="U923" s="23" t="str">
        <x:v>KAYO RAYLANDER</x:v>
      </x:c>
      <x:c r="V923" s="22" t="str">
        <x:f>"163.549.056-14"</x:f>
        <x:v>163.549.056-14</x:v>
      </x:c>
      <x:c r="W923" s="22" t="str">
        <x:f>"16354905614"</x:f>
        <x:v>16354905614</x:v>
      </x:c>
      <x:c r="X923" s="23" t="str">
        <x:v>strongelitesr@gmail.com</x:v>
      </x:c>
      <x:c r="Y923" s="22" t="str">
        <x:f>"3175958262"</x:f>
        <x:v>3175958262</x:v>
      </x:c>
      <x:c r="Z923" s="30" t="n">
        <x:v>46359</x:v>
      </x:c>
    </x:row>
    <x:row r="924" ht="18" customHeight="1">
      <x:c r="A924" s="22" t="str">
        <x:f>"5c342360-d79c-4498-a709-d7098d5c57be"</x:f>
        <x:v>5c342360-d79c-4498-a709-d7098d5c57be</x:v>
      </x:c>
      <x:c r="B924" s="23" t="str">
        <x:v>EDMAR JULIO BARBOSA DE LIMA</x:v>
      </x:c>
      <x:c r="C924" s="23" t="str">
        <x:v>edmar julio barbosa de lima</x:v>
      </x:c>
      <x:c r="D924" s="22" t="str">
        <x:f>"62.889.694/0001-17"</x:f>
        <x:v>62.889.694/0001-17</x:v>
      </x:c>
      <x:c r="E924" s="22" t="str">
        <x:f>"62889694000117"</x:f>
        <x:v>62889694000117</x:v>
      </x:c>
      <x:c r="F924" s="22" t="str">
        <x:f>"106.017.487-19"</x:f>
        <x:v>106.017.487-19</x:v>
      </x:c>
      <x:c r="G924" s="22" t="str">
        <x:f>"10601748719"</x:f>
        <x:v>10601748719</x:v>
      </x:c>
      <x:c r="H924" s="23" t="str">
        <x:v>Edmarjulio22@gmail.com</x:v>
      </x:c>
      <x:c r="I924" s="22" t="str">
        <x:f>"21981143911"</x:f>
        <x:v>21981143911</x:v>
      </x:c>
      <x:c r="J924" s="23" t="str">
        <x:v>SPOT</x:v>
      </x:c>
      <x:c r="K924" s="23" t="str">
        <x:v>favored_only</x:v>
      </x:c>
      <x:c r="L924" s="24" t="b">
        <x:v>1</x:v>
      </x:c>
      <x:c r="M924" s="23" t="n">
        <x:v>1</x:v>
      </x:c>
      <x:c r="N924" s="28" t="n">
        <x:v>46203.92188238426</x:v>
      </x:c>
      <x:c r="O924" s="28" t="n">
        <x:v>46219.812988715275</x:v>
      </x:c>
      <x:c r="P924" s="23" t="str">
        <x:v>QUEIMADOS</x:v>
      </x:c>
      <x:c r="Q924" s="30" t="n">
        <x:v>30416</x:v>
      </x:c>
      <x:c r="R924" s="22" t="str">
        <x:f>"127785830"</x:f>
        <x:v>127785830</x:v>
      </x:c>
      <x:c r="S924" s="23" t="str">
        <x:v>masculino</x:v>
      </x:c>
      <x:c r="T924" s="22" t="str">
        <x:f>"kor9b07"</x:f>
        <x:v>kor9b07</x:v>
      </x:c>
      <x:c r="U924" s="23" t="str">
        <x:v>EDMAR JULIO BARBOSA DE LIMA</x:v>
      </x:c>
      <x:c r="V924" s="22" t="str">
        <x:f>"106.017.487-19"</x:f>
        <x:v>106.017.487-19</x:v>
      </x:c>
      <x:c r="W924" s="22" t="str">
        <x:f>"10601748719"</x:f>
        <x:v>10601748719</x:v>
      </x:c>
      <x:c r="X924" s="23" t="str">
        <x:v>Edmarjulio22@gmail.com</x:v>
      </x:c>
      <x:c r="Y924" s="22" t="str">
        <x:f>"21981143911"</x:f>
        <x:v>21981143911</x:v>
      </x:c>
      <x:c r="Z924" s="30" t="n">
        <x:v>46316</x:v>
      </x:c>
    </x:row>
    <x:row r="925" ht="18" customHeight="1">
      <x:c r="A925" s="22" t="str">
        <x:f>"81b0c269-5737-40be-8a1a-8cfe2e967c6b"</x:f>
        <x:v>81b0c269-5737-40be-8a1a-8cfe2e967c6b</x:v>
      </x:c>
      <x:c r="B925" s="23" t="str">
        <x:v>EDMAR NONATO DE OLIVEIRA</x:v>
      </x:c>
      <x:c r="C925" s="23" t="str">
        <x:v>edmar nonato de oliveira</x:v>
      </x:c>
      <x:c r="D925" s="22" t="str">
        <x:f>"60.995.434/0001-09"</x:f>
        <x:v>60.995.434/0001-09</x:v>
      </x:c>
      <x:c r="E925" s="22" t="str">
        <x:f>"60995434000109"</x:f>
        <x:v>60995434000109</x:v>
      </x:c>
      <x:c r="F925" s="22" t="str">
        <x:f>"083.996.616-43"</x:f>
        <x:v>083.996.616-43</x:v>
      </x:c>
      <x:c r="G925" s="22" t="str">
        <x:f>"08399661643"</x:f>
        <x:v>08399661643</x:v>
      </x:c>
      <x:c r="H925" s="23" t="str">
        <x:v>edmarnegao961@gmail.com</x:v>
      </x:c>
      <x:c r="I925" s="22" t="str">
        <x:f>"31 99559-8605"</x:f>
        <x:v>31 99559-8605</x:v>
      </x:c>
      <x:c r="J925" s="23" t="str">
        <x:v>SPOT</x:v>
      </x:c>
      <x:c r="K925" s="23" t="str">
        <x:v>favored_only</x:v>
      </x:c>
      <x:c r="L925" s="24" t="b">
        <x:v>1</x:v>
      </x:c>
      <x:c r="M925" s="23" t="n">
        <x:v>1</x:v>
      </x:c>
      <x:c r="N925" s="28" t="n">
        <x:v>46205.60655628472</x:v>
      </x:c>
      <x:c r="O925" s="28" t="n">
        <x:v>46219.812988715275</x:v>
      </x:c>
      <x:c r="P925" s="23" t="str">
        <x:v>GUANHAES</x:v>
      </x:c>
      <x:c r="Q925" s="30" t="n">
        <x:v>31541</x:v>
      </x:c>
      <x:c r="R925" s="22" t="str">
        <x:f>"13839946"</x:f>
        <x:v>13839946</x:v>
      </x:c>
      <x:c r="S925" s="23" t="str">
        <x:v>masculino</x:v>
      </x:c>
      <x:c r="T925" s="22" t="str">
        <x:f>"PXX6J85"</x:f>
        <x:v>PXX6J85</x:v>
      </x:c>
      <x:c r="U925" s="23" t="str">
        <x:v>PEDRO HENRIQUE ANDRADE FREITAS OLIVEIRA</x:v>
      </x:c>
      <x:c r="V925" s="22" t="str">
        <x:f>"124.863.066-17"</x:f>
        <x:v>124.863.066-17</x:v>
      </x:c>
      <x:c r="W925" s="22" t="str">
        <x:f>"12486306617"</x:f>
        <x:v>12486306617</x:v>
      </x:c>
      <x:c r="X925" s="23" t="str">
        <x:v>Pedroferros2011@hotmail.com</x:v>
      </x:c>
      <x:c r="Y925" s="22" t="str">
        <x:f>"31997621487"</x:f>
        <x:v>31997621487</x:v>
      </x:c>
      <x:c r="Z925" s="30" t="n">
        <x:v>46364</x:v>
      </x:c>
    </x:row>
    <x:row r="926" ht="18" customHeight="1">
      <x:c r="A926" s="22" t="str">
        <x:f>"c078aa9e-2b8f-4036-9753-41494bb3220f"</x:f>
        <x:v>c078aa9e-2b8f-4036-9753-41494bb3220f</x:v>
      </x:c>
      <x:c r="B926" s="23" t="str">
        <x:v>EDMILSON DE OLIVEIRA COSTA</x:v>
      </x:c>
      <x:c r="C926" s="23" t="str">
        <x:v>edmilson de oliveira costa</x:v>
      </x:c>
      <x:c r="D926" s="22" t="str">
        <x:f>"65.185.890/0001-07"</x:f>
        <x:v>65.185.890/0001-07</x:v>
      </x:c>
      <x:c r="E926" s="22" t="str">
        <x:f>"65185890000107"</x:f>
        <x:v>65185890000107</x:v>
      </x:c>
      <x:c r="F926" s="22" t="str">
        <x:f>"143.928.726-02"</x:f>
        <x:v>143.928.726-02</x:v>
      </x:c>
      <x:c r="G926" s="22" t="str">
        <x:f>"14392872602"</x:f>
        <x:v>14392872602</x:v>
      </x:c>
      <x:c r="H926" s="23" t="str">
        <x:v>edmilsoncostaoliveira2@gmail.com</x:v>
      </x:c>
      <x:c r="I926" s="22" t="str">
        <x:f>"31984101050"</x:f>
        <x:v>31984101050</x:v>
      </x:c>
      <x:c r="J926" s="23" t="str">
        <x:v>SPOT</x:v>
      </x:c>
      <x:c r="K926" s="23" t="str">
        <x:v>favored_only</x:v>
      </x:c>
      <x:c r="L926" s="24" t="b">
        <x:v>1</x:v>
      </x:c>
      <x:c r="M926" s="23" t="n">
        <x:v>1</x:v>
      </x:c>
      <x:c r="N926" s="28" t="n">
        <x:v>46219.812988715275</x:v>
      </x:c>
      <x:c r="O926" s="28" t="n">
        <x:v>46219.812988715275</x:v>
      </x:c>
      <x:c r="P926" s="23" t="str">
        <x:v>CONCEIÇÃO DO MATO DENTRO</x:v>
      </x:c>
      <x:c r="Q926" s="30" t="n">
        <x:v>34901</x:v>
      </x:c>
      <x:c r="R926" s="22" t="str">
        <x:f>"20431609"</x:f>
        <x:v>20431609</x:v>
      </x:c>
      <x:c r="S926" s="23" t="str">
        <x:v>masculino</x:v>
      </x:c>
      <x:c r="T926" s="22" t="str">
        <x:f>"PWT2H73"</x:f>
        <x:v>PWT2H73</x:v>
      </x:c>
      <x:c r="U926" s="23" t="str">
        <x:v>EDMILSON DE OLIVEIRA COSTA</x:v>
      </x:c>
      <x:c r="V926" s="22" t="str">
        <x:f>"143.928.726-02"</x:f>
        <x:v>143.928.726-02</x:v>
      </x:c>
      <x:c r="W926" s="22" t="str">
        <x:f>"14392872602"</x:f>
        <x:v>14392872602</x:v>
      </x:c>
      <x:c r="X926" s="23" t="str">
        <x:v>edmilsoncostaoliveira2@gmail.com</x:v>
      </x:c>
      <x:c r="Y926" s="22" t="str">
        <x:f>"31984101050"</x:f>
        <x:v>31984101050</x:v>
      </x:c>
      <x:c r="Z926" s="30" t="n">
        <x:v>46442</x:v>
      </x:c>
    </x:row>
    <x:row r="927" ht="18" customHeight="1">
      <x:c r="A927" s="22" t="str">
        <x:f>"c6353d26-c2e2-4c99-b273-dc6d1d4a9a9a"</x:f>
        <x:v>c6353d26-c2e2-4c99-b273-dc6d1d4a9a9a</x:v>
      </x:c>
      <x:c r="B927" s="23" t="str">
        <x:v>EDMILSON MAURO PINTO DE FREITAS</x:v>
      </x:c>
      <x:c r="C927" s="23" t="str">
        <x:v>edmilson mauro pinto de freitas</x:v>
      </x:c>
      <x:c r="D927" s="22" t="str">
        <x:f>"46.582.848/0001-77"</x:f>
        <x:v>46.582.848/0001-77</x:v>
      </x:c>
      <x:c r="E927" s="22" t="str">
        <x:f>"46582848000177"</x:f>
        <x:v>46582848000177</x:v>
      </x:c>
      <x:c r="F927" s="22" t="str">
        <x:f>"042.716.876-77"</x:f>
        <x:v>042.716.876-77</x:v>
      </x:c>
      <x:c r="G927" s="22" t="str">
        <x:f>"04271687677"</x:f>
        <x:v>04271687677</x:v>
      </x:c>
      <x:c r="H927" s="23" t="str">
        <x:v>EDMILSONMAURO4@GMAIL.COM</x:v>
      </x:c>
      <x:c r="I927" s="22" t="str">
        <x:f>"359923-8783"</x:f>
        <x:v>359923-8783</x:v>
      </x:c>
      <x:c r="J927" s="23" t="str">
        <x:v>SPOT</x:v>
      </x:c>
      <x:c r="K927" s="23" t="str">
        <x:v>favored_only</x:v>
      </x:c>
      <x:c r="L927" s="24" t="b">
        <x:v>1</x:v>
      </x:c>
      <x:c r="M927" s="23" t="n">
        <x:v>1</x:v>
      </x:c>
      <x:c r="N927" s="28" t="n">
        <x:v>46219.812988715275</x:v>
      </x:c>
      <x:c r="O927" s="28" t="n">
        <x:v>46219.812988715275</x:v>
      </x:c>
      <x:c r="P927" s="23" t="str">
        <x:v>POUSO ALEGRE</x:v>
      </x:c>
      <x:c r="Q927" s="30" t="n">
        <x:v>29206</x:v>
      </x:c>
      <x:c r="R927" s="22" t="str">
        <x:f>"10494165"</x:f>
        <x:v>10494165</x:v>
      </x:c>
      <x:c r="S927" s="23" t="str">
        <x:v>masculino</x:v>
      </x:c>
      <x:c r="T927" s="22" t="str">
        <x:f>"OGY1G32"</x:f>
        <x:v>OGY1G32</x:v>
      </x:c>
      <x:c r="U927" s="23" t="str">
        <x:v>EDMILSON MAURO PINTO DE FREITAS</x:v>
      </x:c>
      <x:c r="V927" s="22" t="str">
        <x:f>"042.716.876-77"</x:f>
        <x:v>042.716.876-77</x:v>
      </x:c>
      <x:c r="W927" s="22" t="str">
        <x:f>"04271687677"</x:f>
        <x:v>04271687677</x:v>
      </x:c>
      <x:c r="X927" s="23" t="str">
        <x:v>EDMILSONMAURO4@GMAIL.COM</x:v>
      </x:c>
      <x:c r="Y927" s="22" t="str">
        <x:f>"359923-8783"</x:f>
        <x:v>359923-8783</x:v>
      </x:c>
      <x:c r="Z927" s="30" t="n">
        <x:v>46521</x:v>
      </x:c>
    </x:row>
    <x:row r="928" ht="18" customHeight="1">
      <x:c r="A928" s="22" t="str">
        <x:f>"0a6a2199-1f01-4d9d-8062-59f22db757d6"</x:f>
        <x:v>0a6a2199-1f01-4d9d-8062-59f22db757d6</x:v>
      </x:c>
      <x:c r="B928" s="23" t="str">
        <x:v>Ednaldo de Almeida Macedo</x:v>
      </x:c>
      <x:c r="C928" s="23" t="str">
        <x:v>ednaldo de almeida macedo</x:v>
      </x:c>
      <x:c r="D928" s="22" t="str">
        <x:f>"36.190.770/0001-91"</x:f>
        <x:v>36.190.770/0001-91</x:v>
      </x:c>
      <x:c r="E928" s="22" t="str">
        <x:f>"36190770000191"</x:f>
        <x:v>36190770000191</x:v>
      </x:c>
      <x:c r="F928" s="22" t="str">
        <x:f>"903.733.751-15"</x:f>
        <x:v>903.733.751-15</x:v>
      </x:c>
      <x:c r="G928" s="22" t="str">
        <x:f>"90373375115"</x:f>
        <x:v>90373375115</x:v>
      </x:c>
      <x:c r="H928" s="23" t="str">
        <x:v>edinaldomacedo056@gmail.com</x:v>
      </x:c>
      <x:c r="I928" s="22" t="str">
        <x:f>"65 9235-1094"</x:f>
        <x:v>65 9235-1094</x:v>
      </x:c>
      <x:c r="J928" s="23" t="str">
        <x:v>SPOT</x:v>
      </x:c>
      <x:c r="K928" s="23" t="str">
        <x:v>favored_only</x:v>
      </x:c>
      <x:c r="L928" s="24" t="b">
        <x:v>1</x:v>
      </x:c>
      <x:c r="M928" s="23" t="n">
        <x:v>1</x:v>
      </x:c>
      <x:c r="N928" s="28" t="n">
        <x:v>46203.92183332176</x:v>
      </x:c>
      <x:c r="O928" s="28" t="n">
        <x:v>46205.604639178244</x:v>
      </x:c>
      <x:c r="P928" s="23" t="str">
        <x:v>CUIABA</x:v>
      </x:c>
      <x:c r="Q928" s="30" t="n">
        <x:v>29019</x:v>
      </x:c>
      <x:c r="R928" s="22" t="str">
        <x:f>"13319582"</x:f>
        <x:v>13319582</x:v>
      </x:c>
      <x:c r="S928" s="23" t="str">
        <x:v>Masculino</x:v>
      </x:c>
      <x:c r="T928" s="22" t="str">
        <x:f>"QCU7F52"</x:f>
        <x:v>QCU7F52</x:v>
      </x:c>
      <x:c r="U928" s="23" t="str">
        <x:v>Ednaldo de Almeida Macedo</x:v>
      </x:c>
      <x:c r="V928" s="22" t="str">
        <x:f>"90373375115"</x:f>
        <x:v>90373375115</x:v>
      </x:c>
      <x:c r="W928" s="22" t="str">
        <x:f>"90373375115"</x:f>
        <x:v>90373375115</x:v>
      </x:c>
      <x:c r="X928" s="23" t="str">
        <x:v>edinaldomacedo056@gmail.com</x:v>
      </x:c>
      <x:c r="Y928" s="22" t="str">
        <x:f>"65 9235-1094"</x:f>
        <x:v>65 9235-1094</x:v>
      </x:c>
      <x:c r="Z928" s="30" t="n">
        <x:v>46205</x:v>
      </x:c>
    </x:row>
    <x:row r="929" ht="18" customHeight="1">
      <x:c r="A929" s="22" t="str">
        <x:f>"1abee24e-764a-4359-bc50-38ebdce28b21"</x:f>
        <x:v>1abee24e-764a-4359-bc50-38ebdce28b21</x:v>
      </x:c>
      <x:c r="B929" s="23" t="str">
        <x:v>EDNEA ALVES DO AMARAL SOUZA</x:v>
      </x:c>
      <x:c r="C929" s="23" t="str">
        <x:v>ednea alves do amaral souza</x:v>
      </x:c>
      <x:c r="D929" s="22" t="str">
        <x:f>"63.459.145/0001-75"</x:f>
        <x:v>63.459.145/0001-75</x:v>
      </x:c>
      <x:c r="E929" s="22" t="str">
        <x:f>"63459145000175"</x:f>
        <x:v>63459145000175</x:v>
      </x:c>
      <x:c r="F929" s="22" t="str">
        <x:f>"339.991.428-80"</x:f>
        <x:v>339.991.428-80</x:v>
      </x:c>
      <x:c r="G929" s="22" t="str">
        <x:f>"33999142880"</x:f>
        <x:v>33999142880</x:v>
      </x:c>
      <x:c r="H929" s="23" t="str">
        <x:v>1234edalso8@gmail.com</x:v>
      </x:c>
      <x:c r="I929" s="22" t="str">
        <x:f>"35 9929-8283"</x:f>
        <x:v>35 9929-8283</x:v>
      </x:c>
      <x:c r="J929" s="23" t="str">
        <x:v>SPOT</x:v>
      </x:c>
      <x:c r="K929" s="23" t="str">
        <x:v>favored_only</x:v>
      </x:c>
      <x:c r="L929" s="24" t="b">
        <x:v>1</x:v>
      </x:c>
      <x:c r="M929" s="23" t="n">
        <x:v>1</x:v>
      </x:c>
      <x:c r="N929" s="28" t="n">
        <x:v>46219.812988715275</x:v>
      </x:c>
      <x:c r="O929" s="28" t="n">
        <x:v>46219.812988715275</x:v>
      </x:c>
      <x:c r="P929" s="23" t="str">
        <x:v>GUAXUPE</x:v>
      </x:c>
      <x:c r="Q929" s="30" t="n">
        <x:v>31104</x:v>
      </x:c>
      <x:c r="R929" s="22" t="str">
        <x:f>"22967464"</x:f>
        <x:v>22967464</x:v>
      </x:c>
      <x:c r="S929" s="23" t="str">
        <x:v>masculino</x:v>
      </x:c>
      <x:c r="T929" s="22" t="str">
        <x:f>"OAG2E84"</x:f>
        <x:v>OAG2E84</x:v>
      </x:c>
      <x:c r="U929" s="23" t="str">
        <x:v>CLAUDIO CANDIDO</x:v>
      </x:c>
      <x:c r="V929" s="22" t="str">
        <x:f>"127.297.236-41"</x:f>
        <x:v>127.297.236-41</x:v>
      </x:c>
      <x:c r="W929" s="22" t="str">
        <x:f>"12729723641"</x:f>
        <x:v>12729723641</x:v>
      </x:c>
      <x:c r="X929" s="23" t="str">
        <x:v>CLAUDIOCANDIDO199720@GMAIL.COM</x:v>
      </x:c>
      <x:c r="Y929" s="22" t="str">
        <x:f>"35 9895-6961"</x:f>
        <x:v>35 9895-6961</x:v>
      </x:c>
      <x:c r="Z929" s="30" t="n">
        <x:v>46542</x:v>
      </x:c>
    </x:row>
    <x:row r="930" ht="18" customHeight="1">
      <x:c r="A930" s="22" t="str">
        <x:f>"76eb2c55-9ae2-410b-8da5-710a27757d20"</x:f>
        <x:v>76eb2c55-9ae2-410b-8da5-710a27757d20</x:v>
      </x:c>
      <x:c r="B930" s="23" t="str">
        <x:v>EDNEI PRESTES</x:v>
      </x:c>
      <x:c r="C930" s="23" t="str">
        <x:v>ednei prestes</x:v>
      </x:c>
      <x:c r="D930" s="22" t="str">
        <x:f>"61.548.726/0001-58"</x:f>
        <x:v>61.548.726/0001-58</x:v>
      </x:c>
      <x:c r="E930" s="22" t="str">
        <x:f>"61548726000158"</x:f>
        <x:v>61548726000158</x:v>
      </x:c>
      <x:c r="F930" s="22" t="str">
        <x:f>"517.806.319-87"</x:f>
        <x:v>517.806.319-87</x:v>
      </x:c>
      <x:c r="G930" s="22" t="str">
        <x:f>"51780631987"</x:f>
        <x:v>51780631987</x:v>
      </x:c>
      <x:c r="H930" s="23" t="str">
        <x:v>edneiprestes@21gmail.com</x:v>
      </x:c>
      <x:c r="I930" s="22" t="str">
        <x:f>"18 996481691"</x:f>
        <x:v>18 996481691</x:v>
      </x:c>
      <x:c r="J930" s="23" t="str">
        <x:v>SPOT</x:v>
      </x:c>
      <x:c r="K930" s="23" t="str">
        <x:v>favored_only</x:v>
      </x:c>
      <x:c r="L930" s="24" t="b">
        <x:v>1</x:v>
      </x:c>
      <x:c r="M930" s="23" t="n">
        <x:v>1</x:v>
      </x:c>
      <x:c r="N930" s="28" t="n">
        <x:v>46203.921840393516</x:v>
      </x:c>
      <x:c r="O930" s="28" t="n">
        <x:v>46219.812988715275</x:v>
      </x:c>
      <x:c r="P930" s="23" t="str">
        <x:v>PRESIDENTE PRUDENTE</x:v>
      </x:c>
      <x:c r="Q930" s="30" t="n">
        <x:v>24002</x:v>
      </x:c>
      <x:c r="R930" s="22" t="str">
        <x:f>"35673962"</x:f>
        <x:v>35673962</x:v>
      </x:c>
      <x:c r="S930" s="23" t="str">
        <x:v>masculino</x:v>
      </x:c>
      <x:c r="T930" s="22" t="str">
        <x:f>"RUA6B97"</x:f>
        <x:v>RUA6B97</x:v>
      </x:c>
      <x:c r="U930" s="23" t="str">
        <x:v>EDNEI PRESTES</x:v>
      </x:c>
      <x:c r="V930" s="22" t="str">
        <x:f>"517.806.319-87"</x:f>
        <x:v>517.806.319-87</x:v>
      </x:c>
      <x:c r="W930" s="22" t="str">
        <x:f>"51780631987"</x:f>
        <x:v>51780631987</x:v>
      </x:c>
      <x:c r="X930" s="23" t="str">
        <x:v>edneiprestes@21gmail.com</x:v>
      </x:c>
      <x:c r="Y930" s="22" t="str">
        <x:f>"18 996481691"</x:f>
        <x:v>18 996481691</x:v>
      </x:c>
      <x:c r="Z930" s="30" t="n">
        <x:v>46281</x:v>
      </x:c>
    </x:row>
    <x:row r="931" ht="18" customHeight="1">
      <x:c r="A931" s="22" t="str">
        <x:f>"9eeccb57-0a39-4d9d-a3e8-0ec3b7e8ef8f"</x:f>
        <x:v>9eeccb57-0a39-4d9d-a3e8-0ec3b7e8ef8f</x:v>
      </x:c>
      <x:c r="B931" s="23" t="str">
        <x:v>EDNEI RODRIGUES DO NASCIMENTO</x:v>
      </x:c>
      <x:c r="C931" s="23" t="str">
        <x:v>ednei rodrigues do nascimento</x:v>
      </x:c>
      <x:c r="D931" s="22" t="str">
        <x:f>"23.853.787/0001-30"</x:f>
        <x:v>23.853.787/0001-30</x:v>
      </x:c>
      <x:c r="E931" s="22" t="str">
        <x:f>"23853787000130"</x:f>
        <x:v>23853787000130</x:v>
      </x:c>
      <x:c r="F931" s="22" t="str">
        <x:f>"964.971.651-34"</x:f>
        <x:v>964.971.651-34</x:v>
      </x:c>
      <x:c r="G931" s="22" t="str">
        <x:f>"96497165134"</x:f>
        <x:v>96497165134</x:v>
      </x:c>
      <x:c r="H931" s="23" t="str">
        <x:v>edneyrodriguesdonascimento@gmail.com</x:v>
      </x:c>
      <x:c r="I931" s="22" t="str">
        <x:f>"65993101320"</x:f>
        <x:v>65993101320</x:v>
      </x:c>
      <x:c r="J931" s="23" t="str">
        <x:v>SPOT</x:v>
      </x:c>
      <x:c r="K931" s="23" t="str">
        <x:v>favored_only</x:v>
      </x:c>
      <x:c r="L931" s="24" t="b">
        <x:v>1</x:v>
      </x:c>
      <x:c r="M931" s="23" t="n">
        <x:v>1</x:v>
      </x:c>
      <x:c r="N931" s="28" t="n">
        <x:v>46205.60554175926</x:v>
      </x:c>
      <x:c r="O931" s="28" t="n">
        <x:v>46219.812988715275</x:v>
      </x:c>
      <x:c r="P931" s="23" t="str">
        <x:v>CÁCERES</x:v>
      </x:c>
      <x:c r="Q931" s="30" t="n">
        <x:v>30655</x:v>
      </x:c>
      <x:c r="R931" s="22" t="str">
        <x:f>"14165031"</x:f>
        <x:v>14165031</x:v>
      </x:c>
      <x:c r="S931" s="23" t="str">
        <x:v>masculino</x:v>
      </x:c>
      <x:c r="T931" s="22" t="str">
        <x:f>"KAT1A15"</x:f>
        <x:v>KAT1A15</x:v>
      </x:c>
      <x:c r="U931" s="23" t="str">
        <x:v>RODRIGO CASTRILLON LARA VEIGA</x:v>
      </x:c>
      <x:c r="V931" s="22" t="str">
        <x:f>"018.967.361-30"</x:f>
        <x:v>018.967.361-30</x:v>
      </x:c>
      <x:c r="W931" s="22" t="str">
        <x:f>"01896736130"</x:f>
        <x:v>01896736130</x:v>
      </x:c>
      <x:c r="X931" s="23" t="str">
        <x:v>castrillon.rodrigo@gmail.com</x:v>
      </x:c>
      <x:c r="Y931" s="22" t="str">
        <x:f>"65996440467"</x:f>
        <x:v>65996440467</x:v>
      </x:c>
      <x:c r="Z931" s="30" t="n">
        <x:v>46325</x:v>
      </x:c>
    </x:row>
    <x:row r="932" ht="18" customHeight="1">
      <x:c r="A932" s="22" t="str">
        <x:f>"062812fb-1bcd-46b8-8da6-8c1ae31ffd40"</x:f>
        <x:v>062812fb-1bcd-46b8-8da6-8c1ae31ffd40</x:v>
      </x:c>
      <x:c r="B932" s="23" t="str">
        <x:v>EDNILSON BRAZ BUTTINGER</x:v>
      </x:c>
      <x:c r="C932" s="23" t="str">
        <x:v>ednilson braz buttinger</x:v>
      </x:c>
      <x:c r="D932" s="22" t="str">
        <x:f>"29.496.117/0001-90"</x:f>
        <x:v>29.496.117/0001-90</x:v>
      </x:c>
      <x:c r="E932" s="22" t="str">
        <x:f>"29496117000190"</x:f>
        <x:v>29496117000190</x:v>
      </x:c>
      <x:c r="F932" s="22" t="str">
        <x:f>"927.251.121-68"</x:f>
        <x:v>927.251.121-68</x:v>
      </x:c>
      <x:c r="G932" s="22" t="str">
        <x:f>"92725112168"</x:f>
        <x:v>92725112168</x:v>
      </x:c>
      <x:c r="H932" s="23" t="str">
        <x:v>edbuttinger@gmail.com</x:v>
      </x:c>
      <x:c r="I932" s="22" t="str">
        <x:f>"55 66 9624-1111"</x:f>
        <x:v>55 66 9624-1111</x:v>
      </x:c>
      <x:c r="J932" s="23" t="str">
        <x:v>SPOT</x:v>
      </x:c>
      <x:c r="K932" s="23" t="str">
        <x:v>favored_only</x:v>
      </x:c>
      <x:c r="L932" s="24" t="b">
        <x:v>1</x:v>
      </x:c>
      <x:c r="M932" s="23" t="n">
        <x:v>1</x:v>
      </x:c>
      <x:c r="N932" s="28" t="n">
        <x:v>46219.812988715275</x:v>
      </x:c>
      <x:c r="O932" s="28" t="n">
        <x:v>46219.812988715275</x:v>
      </x:c>
      <x:c r="P932" s="23" t="str">
        <x:v>SINOP</x:v>
      </x:c>
      <x:c r="Q932" s="30" t="n">
        <x:v>29749</x:v>
      </x:c>
      <x:c r="R932" s="22" t="str">
        <x:f>"12885975"</x:f>
        <x:v>12885975</x:v>
      </x:c>
      <x:c r="S932" s="23" t="str">
        <x:v>masculino</x:v>
      </x:c>
      <x:c r="T932" s="22" t="str">
        <x:f>"QCH6J68"</x:f>
        <x:v>QCH6J68</x:v>
      </x:c>
      <x:c r="U932" s="23" t="str">
        <x:v>EDNILSON BRAZ BUTTINGER</x:v>
      </x:c>
      <x:c r="V932" s="22" t="str">
        <x:f>"927.251.121-68"</x:f>
        <x:v>927.251.121-68</x:v>
      </x:c>
      <x:c r="W932" s="22" t="str">
        <x:f>"92725112168"</x:f>
        <x:v>92725112168</x:v>
      </x:c>
      <x:c r="X932" s="23" t="str">
        <x:v>edbuttinger@gmail.com</x:v>
      </x:c>
      <x:c r="Y932" s="22" t="str">
        <x:f>"55 66 9624-1111"</x:f>
        <x:v>55 66 9624-1111</x:v>
      </x:c>
      <x:c r="Z932" s="30" t="n">
        <x:v>46478</x:v>
      </x:c>
    </x:row>
    <x:row r="933" ht="18" customHeight="1">
      <x:c r="A933" s="22" t="str">
        <x:f>"33bbf7c3-957b-421f-b726-aa32de133012"</x:f>
        <x:v>33bbf7c3-957b-421f-b726-aa32de133012</x:v>
      </x:c>
      <x:c r="B933" s="23" t="str">
        <x:v>EDNILTON SANTOS SOUSA</x:v>
      </x:c>
      <x:c r="C933" s="23" t="str">
        <x:v>ednilton santos sousa</x:v>
      </x:c>
      <x:c r="D933" s="22" t="str">
        <x:f>"61.928.244/0001-23"</x:f>
        <x:v>61.928.244/0001-23</x:v>
      </x:c>
      <x:c r="E933" s="22" t="str">
        <x:f>"61928244000123"</x:f>
        <x:v>61928244000123</x:v>
      </x:c>
      <x:c r="F933" s="22" t="str">
        <x:f>"679.119.945-87"</x:f>
        <x:v>679.119.945-87</x:v>
      </x:c>
      <x:c r="G933" s="22" t="str">
        <x:f>"67911994587"</x:f>
        <x:v>67911994587</x:v>
      </x:c>
      <x:c r="H933" s="23" t="str">
        <x:v>edniltonsousa5@gmail.com</x:v>
      </x:c>
      <x:c r="I933" s="22" t="str">
        <x:f>"22 997429703"</x:f>
        <x:v>22 997429703</x:v>
      </x:c>
      <x:c r="J933" s="23" t="str">
        <x:v>SPOT</x:v>
      </x:c>
      <x:c r="K933" s="23" t="str">
        <x:v>favored_only</x:v>
      </x:c>
      <x:c r="L933" s="24" t="b">
        <x:v>1</x:v>
      </x:c>
      <x:c r="M933" s="23" t="n">
        <x:v>2</x:v>
      </x:c>
      <x:c r="N933" s="28" t="n">
        <x:v>46203.921887453704</x:v>
      </x:c>
      <x:c r="O933" s="28" t="n">
        <x:v>46219.812988715275</x:v>
      </x:c>
      <x:c r="P933" s="23" t="str">
        <x:v>CAMPOS DOS GOYTACAZES</x:v>
      </x:c>
      <x:c r="Q933" s="30" t="n">
        <x:v>26658</x:v>
      </x:c>
      <x:c r="R933" s="22" t="str">
        <x:f>"281441113"</x:f>
        <x:v>281441113</x:v>
      </x:c>
      <x:c r="S933" s="23" t="str">
        <x:v>masculino</x:v>
      </x:c>
      <x:c r="T933" s="22" t="str">
        <x:f>"KWT8F15"</x:f>
        <x:v>KWT8F15</x:v>
      </x:c>
      <x:c r="U933" s="23" t="str">
        <x:v>EDNILTON SANTOS SOUSA</x:v>
      </x:c>
      <x:c r="V933" s="22" t="str">
        <x:f>"679.119.945-87"</x:f>
        <x:v>679.119.945-87</x:v>
      </x:c>
      <x:c r="W933" s="22" t="str">
        <x:f>"67911994587"</x:f>
        <x:v>67911994587</x:v>
      </x:c>
      <x:c r="X933" s="23" t="str">
        <x:v>edniltonsousa5@gmail.com</x:v>
      </x:c>
      <x:c r="Y933" s="22" t="str">
        <x:f>"22 997429703"</x:f>
        <x:v>22 997429703</x:v>
      </x:c>
      <x:c r="Z933" s="30" t="n">
        <x:v>46326</x:v>
      </x:c>
    </x:row>
    <x:row r="934" ht="18" customHeight="1">
      <x:c r="A934" s="22" t="str">
        <x:f>"38887e76-3a4c-442d-bdae-69d030d1b71a"</x:f>
        <x:v>38887e76-3a4c-442d-bdae-69d030d1b71a</x:v>
      </x:c>
      <x:c r="B934" s="23" t="str">
        <x:v>EDNO AUGUSTO DA SILVA SANTOS</x:v>
      </x:c>
      <x:c r="C934" s="23" t="str">
        <x:v>edno augusto da silva santos</x:v>
      </x:c>
      <x:c r="D934" s="22" t="str">
        <x:f>"66.459.175/0001-70"</x:f>
        <x:v>66.459.175/0001-70</x:v>
      </x:c>
      <x:c r="E934" s="22" t="str">
        <x:f>"66459175000170"</x:f>
        <x:v>66459175000170</x:v>
      </x:c>
      <x:c r="F934" s="22" t="str">
        <x:f>"079.233.717-41"</x:f>
        <x:v>079.233.717-41</x:v>
      </x:c>
      <x:c r="G934" s="22" t="str">
        <x:f>"07923371741"</x:f>
        <x:v>07923371741</x:v>
      </x:c>
      <x:c r="H934" s="23" t="str">
        <x:v>edno079@gmail.com</x:v>
      </x:c>
      <x:c r="I934" s="22" t="str">
        <x:f>"2198693-3679"</x:f>
        <x:v>2198693-3679</x:v>
      </x:c>
      <x:c r="J934" s="23" t="str">
        <x:v>SPOT</x:v>
      </x:c>
      <x:c r="K934" s="23" t="str">
        <x:v>favored_only</x:v>
      </x:c>
      <x:c r="L934" s="24" t="b">
        <x:v>1</x:v>
      </x:c>
      <x:c r="M934" s="23" t="n">
        <x:v>1</x:v>
      </x:c>
      <x:c r="N934" s="28" t="n">
        <x:v>46219.812988715275</x:v>
      </x:c>
      <x:c r="O934" s="28" t="n">
        <x:v>46219.812988715275</x:v>
      </x:c>
      <x:c r="P934" s="23" t="str">
        <x:v>SÃO JOAO DE MERITI</x:v>
      </x:c>
      <x:c r="Q934" s="30" t="n">
        <x:v>28237</x:v>
      </x:c>
      <x:c r="R934" s="22" t="str">
        <x:f>"133174219"</x:f>
        <x:v>133174219</x:v>
      </x:c>
      <x:c r="S934" s="23" t="str">
        <x:v>masculino</x:v>
      </x:c>
      <x:c r="T934" s="22" t="str">
        <x:f>"QXV8F18"</x:f>
        <x:v>QXV8F18</x:v>
      </x:c>
      <x:c r="U934" s="23" t="str">
        <x:v>EDNO AUGUSTO DA SILVA SANTOS</x:v>
      </x:c>
      <x:c r="V934" s="22" t="str">
        <x:f>"079.233.717-41"</x:f>
        <x:v>079.233.717-41</x:v>
      </x:c>
      <x:c r="W934" s="22" t="str">
        <x:f>"07923371741"</x:f>
        <x:v>07923371741</x:v>
      </x:c>
      <x:c r="X934" s="23" t="str">
        <x:v>edno079@gmail.com</x:v>
      </x:c>
      <x:c r="Y934" s="22" t="str">
        <x:f>"2198693-3679"</x:f>
        <x:v>2198693-3679</x:v>
      </x:c>
      <x:c r="Z934" s="30" t="n">
        <x:v>46540</x:v>
      </x:c>
    </x:row>
    <x:row r="935" ht="18" customHeight="1">
      <x:c r="A935" s="22" t="str">
        <x:f>"38b3788c-c729-49b9-bac0-0a4ad867021a"</x:f>
        <x:v>38b3788c-c729-49b9-bac0-0a4ad867021a</x:v>
      </x:c>
      <x:c r="B935" s="23" t="str">
        <x:v>EDSON ALENCAR DOS SANTOS</x:v>
      </x:c>
      <x:c r="C935" s="23" t="str">
        <x:v>edson alencar dos santos</x:v>
      </x:c>
      <x:c r="D935" s="22" t="str">
        <x:f>"63.158.015/0001-00"</x:f>
        <x:v>63.158.015/0001-00</x:v>
      </x:c>
      <x:c r="E935" s="22" t="str">
        <x:f>"63158015000100"</x:f>
        <x:v>63158015000100</x:v>
      </x:c>
      <x:c r="F935" s="22" t="str">
        <x:f>"933.636.219-49"</x:f>
        <x:v>933.636.219-49</x:v>
      </x:c>
      <x:c r="G935" s="22" t="str">
        <x:f>"93363621949"</x:f>
        <x:v>93363621949</x:v>
      </x:c>
      <x:c r="H935" s="23" t="str">
        <x:v>edsonalencar707@gmal.com</x:v>
      </x:c>
      <x:c r="I935" s="22" t="str">
        <x:f>"(48)991403457"</x:f>
        <x:v>(48)991403457</x:v>
      </x:c>
      <x:c r="J935" s="23" t="str">
        <x:v>RENTAL</x:v>
      </x:c>
      <x:c r="K935" s="23" t="str">
        <x:v>rental_company</x:v>
      </x:c>
      <x:c r="L935" s="24" t="b">
        <x:v>1</x:v>
      </x:c>
      <x:c r="M935" s="23" t="n">
        <x:v>1</x:v>
      </x:c>
      <x:c r="N935" s="28" t="n">
        <x:v>46203.9218771875</x:v>
      </x:c>
      <x:c r="O935" s="28" t="n">
        <x:v>46219.812988715275</x:v>
      </x:c>
      <x:c r="P935" s="23" t="str">
        <x:v>GOIANIA</x:v>
      </x:c>
      <x:c r="Q935" s="30" t="n">
        <x:v>27628</x:v>
      </x:c>
      <x:c r="R935" s="22" t="str">
        <x:f>"2722474"</x:f>
        <x:v>2722474</x:v>
      </x:c>
      <x:c r="S935" s="23" t="str">
        <x:v>masculino</x:v>
      </x:c>
      <x:c r="T935" s="22" t="str"/>
      <x:c r="U935" s="23" t="str">
        <x:v>EDSON ALENCAR DOS SANTOS</x:v>
      </x:c>
      <x:c r="V935" s="22" t="str">
        <x:f>"933.636.219-49"</x:f>
        <x:v>933.636.219-49</x:v>
      </x:c>
      <x:c r="W935" s="22" t="str">
        <x:f>"93363621949"</x:f>
        <x:v>93363621949</x:v>
      </x:c>
      <x:c r="X935" s="23" t="str">
        <x:v>edsonalencar707@gmal.com</x:v>
      </x:c>
      <x:c r="Y935" s="22" t="str">
        <x:f>"(48)991403457"</x:f>
        <x:v>(48)991403457</x:v>
      </x:c>
      <x:c r="Z935" s="30" t="n">
        <x:v>46309</x:v>
      </x:c>
    </x:row>
    <x:row r="936" ht="18" customHeight="1">
      <x:c r="A936" s="22" t="str">
        <x:f>"4703f155-a64c-4ce1-b58a-79bc5e6d184f"</x:f>
        <x:v>4703f155-a64c-4ce1-b58a-79bc5e6d184f</x:v>
      </x:c>
      <x:c r="B936" s="23" t="str">
        <x:v>EDSON BECALETTO DA SILVA</x:v>
      </x:c>
      <x:c r="C936" s="23" t="str">
        <x:v>edson becaletto da silva</x:v>
      </x:c>
      <x:c r="D936" s="22" t="str">
        <x:f>"22.163.194/0001-89"</x:f>
        <x:v>22.163.194/0001-89</x:v>
      </x:c>
      <x:c r="E936" s="22" t="str">
        <x:f>"22163194000189"</x:f>
        <x:v>22163194000189</x:v>
      </x:c>
      <x:c r="F936" s="22" t="str">
        <x:f>"035.346.401-52"</x:f>
        <x:v>035.346.401-52</x:v>
      </x:c>
      <x:c r="G936" s="22" t="str">
        <x:f>"03534640152"</x:f>
        <x:v>03534640152</x:v>
      </x:c>
      <x:c r="H936" s="23" t="str">
        <x:v>henriqueharthcopf106@gmail.com</x:v>
      </x:c>
      <x:c r="I936" s="22" t="str">
        <x:f>"67 9676-2580"</x:f>
        <x:v>67 9676-2580</x:v>
      </x:c>
      <x:c r="J936" s="23" t="str">
        <x:v>SPOT</x:v>
      </x:c>
      <x:c r="K936" s="23" t="str">
        <x:v>favored_only</x:v>
      </x:c>
      <x:c r="L936" s="24" t="b">
        <x:v>1</x:v>
      </x:c>
      <x:c r="M936" s="23" t="n">
        <x:v>1</x:v>
      </x:c>
      <x:c r="N936" s="28" t="n">
        <x:v>46219.812988715275</x:v>
      </x:c>
      <x:c r="O936" s="28" t="n">
        <x:v>46219.812988715275</x:v>
      </x:c>
      <x:c r="P936" s="23" t="str">
        <x:v>CHAPADÃO DO SUL</x:v>
      </x:c>
      <x:c r="Q936" s="30" t="n">
        <x:v>33110</x:v>
      </x:c>
      <x:c r="R936" s="22" t="str">
        <x:f>"20744218"</x:f>
        <x:v>20744218</x:v>
      </x:c>
      <x:c r="S936" s="23" t="str">
        <x:v>masculino</x:v>
      </x:c>
      <x:c r="T936" s="22" t="str">
        <x:f>"RBW6I97"</x:f>
        <x:v>RBW6I97</x:v>
      </x:c>
      <x:c r="U936" s="23" t="str">
        <x:v>ALC &amp; PEREIRA FILHO TRANSPORTES LTDA</x:v>
      </x:c>
      <x:c r="V936" s="22" t="str">
        <x:f>"218.285.008-28"</x:f>
        <x:v>218.285.008-28</x:v>
      </x:c>
      <x:c r="W936" s="22" t="str">
        <x:f>"21828500828"</x:f>
        <x:v>21828500828</x:v>
      </x:c>
      <x:c r="X936" s="23" t="str">
        <x:v>paulo.henrique@alcepereirafilho.com.br</x:v>
      </x:c>
      <x:c r="Y936" s="22" t="str">
        <x:f>"16 997436994"</x:f>
        <x:v>16 997436994</x:v>
      </x:c>
      <x:c r="Z936" s="30" t="n">
        <x:v>46502</x:v>
      </x:c>
    </x:row>
    <x:row r="937" ht="18" customHeight="1">
      <x:c r="A937" s="22" t="str">
        <x:f>"6075312b-8c6d-4db0-b057-cc6ac7c83ec0"</x:f>
        <x:v>6075312b-8c6d-4db0-b057-cc6ac7c83ec0</x:v>
      </x:c>
      <x:c r="B937" s="23" t="str">
        <x:v>EDSON BORGES DOS SANTOS</x:v>
      </x:c>
      <x:c r="C937" s="23" t="str">
        <x:v>edson borges dos santos</x:v>
      </x:c>
      <x:c r="D937" s="22" t="str">
        <x:f>"63.522.732/0001-04"</x:f>
        <x:v>63.522.732/0001-04</x:v>
      </x:c>
      <x:c r="E937" s="22" t="str">
        <x:f>"63522732000104"</x:f>
        <x:v>63522732000104</x:v>
      </x:c>
      <x:c r="F937" s="22" t="str">
        <x:f>"221.304.318-36"</x:f>
        <x:v>221.304.318-36</x:v>
      </x:c>
      <x:c r="G937" s="22" t="str">
        <x:f>"22130431836"</x:f>
        <x:v>22130431836</x:v>
      </x:c>
      <x:c r="H937" s="23" t="str">
        <x:v>edson_borges1979@hotmail.com</x:v>
      </x:c>
      <x:c r="I937" s="22" t="str">
        <x:f>"(14)99125-0097"</x:f>
        <x:v>(14)99125-0097</x:v>
      </x:c>
      <x:c r="J937" s="23" t="str">
        <x:v>RENTAL</x:v>
      </x:c>
      <x:c r="K937" s="23" t="str">
        <x:v>rental_company</x:v>
      </x:c>
      <x:c r="L937" s="24" t="b">
        <x:v>1</x:v>
      </x:c>
      <x:c r="M937" s="23" t="n">
        <x:v>1</x:v>
      </x:c>
      <x:c r="N937" s="28" t="n">
        <x:v>46203.92189349537</x:v>
      </x:c>
      <x:c r="O937" s="28" t="n">
        <x:v>46219.812988715275</x:v>
      </x:c>
      <x:c r="P937" s="23" t="str">
        <x:v>BAURU</x:v>
      </x:c>
      <x:c r="Q937" s="30" t="n">
        <x:v>29176</x:v>
      </x:c>
      <x:c r="R937" s="22" t="str">
        <x:f>"45271506-4"</x:f>
        <x:v>45271506-4</x:v>
      </x:c>
      <x:c r="S937" s="23" t="str">
        <x:v>masculino</x:v>
      </x:c>
      <x:c r="T937" s="22" t="str"/>
      <x:c r="U937" s="23" t="str">
        <x:v>EDSON BORGES DOS SANTOS</x:v>
      </x:c>
      <x:c r="V937" s="22" t="str">
        <x:f>"221.304.318-36"</x:f>
        <x:v>221.304.318-36</x:v>
      </x:c>
      <x:c r="W937" s="22" t="str">
        <x:f>"22130431836"</x:f>
        <x:v>22130431836</x:v>
      </x:c>
      <x:c r="X937" s="23" t="str">
        <x:v>edson_borges1979@hotmail.com</x:v>
      </x:c>
      <x:c r="Y937" s="22" t="str">
        <x:f>"(14)99125-0097"</x:f>
        <x:v>(14)99125-0097</x:v>
      </x:c>
      <x:c r="Z937" s="30" t="n">
        <x:v>46336</x:v>
      </x:c>
    </x:row>
    <x:row r="938" ht="18" customHeight="1">
      <x:c r="A938" s="22" t="str">
        <x:f>"e977dcdf-9b1a-4d64-a1b6-1217956aaf1d"</x:f>
        <x:v>e977dcdf-9b1a-4d64-a1b6-1217956aaf1d</x:v>
      </x:c>
      <x:c r="B938" s="23" t="str">
        <x:v>EDSON DACOSTA SILVA</x:v>
      </x:c>
      <x:c r="C938" s="23" t="str">
        <x:v>edson dacosta silva</x:v>
      </x:c>
      <x:c r="D938" s="22" t="str">
        <x:f>"67.774.783/0001-31"</x:f>
        <x:v>67.774.783/0001-31</x:v>
      </x:c>
      <x:c r="E938" s="22" t="str">
        <x:f>"67774783000131"</x:f>
        <x:v>67774783000131</x:v>
      </x:c>
      <x:c r="F938" s="22" t="str">
        <x:f>"058.660.203-86"</x:f>
        <x:v>058.660.203-86</x:v>
      </x:c>
      <x:c r="G938" s="22" t="str">
        <x:f>"05866020386"</x:f>
        <x:v>05866020386</x:v>
      </x:c>
      <x:c r="H938" s="23" t="str">
        <x:v>edsondsilva1993@gmail.com</x:v>
      </x:c>
      <x:c r="I938" s="22" t="str">
        <x:f>"62993266246"</x:f>
        <x:v>62993266246</x:v>
      </x:c>
      <x:c r="J938" s="23" t="str">
        <x:v>RENTAL</x:v>
      </x:c>
      <x:c r="K938" s="23" t="str">
        <x:v>rental_company</x:v>
      </x:c>
      <x:c r="L938" s="24" t="b">
        <x:v>1</x:v>
      </x:c>
      <x:c r="M938" s="23" t="n">
        <x:v>1</x:v>
      </x:c>
      <x:c r="N938" s="28" t="n">
        <x:v>46219.812988715275</x:v>
      </x:c>
      <x:c r="O938" s="28" t="n">
        <x:v>46219.812988715275</x:v>
      </x:c>
      <x:c r="P938" s="23" t="str">
        <x:v>GOIANIA</x:v>
      </x:c>
      <x:c r="Q938" s="30" t="n">
        <x:v>34180</x:v>
      </x:c>
      <x:c r="R938" s="22" t="str">
        <x:f>"5866020386"</x:f>
        <x:v>5866020386</x:v>
      </x:c>
      <x:c r="S938" s="23" t="str">
        <x:v>masculino</x:v>
      </x:c>
      <x:c r="T938" s="22" t="str"/>
      <x:c r="U938" s="23" t="str">
        <x:v>EDSON DACOSTA SILVA</x:v>
      </x:c>
      <x:c r="V938" s="22" t="str">
        <x:f>"058.660.203-86"</x:f>
        <x:v>058.660.203-86</x:v>
      </x:c>
      <x:c r="W938" s="22" t="str">
        <x:f>"05866020386"</x:f>
        <x:v>05866020386</x:v>
      </x:c>
      <x:c r="X938" s="23" t="str">
        <x:v>edsondsilva1993@gmail.com</x:v>
      </x:c>
      <x:c r="Y938" s="22" t="str">
        <x:f>"62993266246"</x:f>
        <x:v>62993266246</x:v>
      </x:c>
      <x:c r="Z938" s="30" t="n">
        <x:v>46569</x:v>
      </x:c>
    </x:row>
    <x:row r="939" ht="18" customHeight="1">
      <x:c r="A939" s="22" t="str">
        <x:f>"16de6a5b-8068-4166-bec5-e26cc05f6e29"</x:f>
        <x:v>16de6a5b-8068-4166-bec5-e26cc05f6e29</x:v>
      </x:c>
      <x:c r="B939" s="23" t="str">
        <x:v>EDSON DA SILVA</x:v>
      </x:c>
      <x:c r="C939" s="23" t="str">
        <x:v>edson da silva</x:v>
      </x:c>
      <x:c r="D939" s="22" t="str">
        <x:f>"37.823.997/0001-90"</x:f>
        <x:v>37.823.997/0001-90</x:v>
      </x:c>
      <x:c r="E939" s="22" t="str">
        <x:f>"37823997000190"</x:f>
        <x:v>37823997000190</x:v>
      </x:c>
      <x:c r="F939" s="22" t="str">
        <x:f>"036.032.792-39"</x:f>
        <x:v>036.032.792-39</x:v>
      </x:c>
      <x:c r="G939" s="22" t="str">
        <x:f>"03603279239"</x:f>
        <x:v>03603279239</x:v>
      </x:c>
      <x:c r="H939" s="23" t="str">
        <x:v>edsonsilvaliviane123@gmail.com</x:v>
      </x:c>
      <x:c r="I939" s="22" t="str">
        <x:f>"67 9880-1716"</x:f>
        <x:v>67 9880-1716</x:v>
      </x:c>
      <x:c r="J939" s="23" t="str">
        <x:v>SPOT</x:v>
      </x:c>
      <x:c r="K939" s="23" t="str">
        <x:v>favored_only</x:v>
      </x:c>
      <x:c r="L939" s="24" t="b">
        <x:v>1</x:v>
      </x:c>
      <x:c r="M939" s="23" t="n">
        <x:v>1</x:v>
      </x:c>
      <x:c r="N939" s="28" t="n">
        <x:v>46219.812988715275</x:v>
      </x:c>
      <x:c r="O939" s="28" t="n">
        <x:v>46219.812988715275</x:v>
      </x:c>
      <x:c r="P939" s="23" t="str">
        <x:v>CHAPADÃO DO SUL</x:v>
      </x:c>
      <x:c r="Q939" s="30" t="n">
        <x:v>35060</x:v>
      </x:c>
      <x:c r="R939" s="22" t="str">
        <x:f>"12109436"</x:f>
        <x:v>12109436</x:v>
      </x:c>
      <x:c r="S939" s="23" t="str">
        <x:v>masculino</x:v>
      </x:c>
      <x:c r="T939" s="22" t="str">
        <x:f>"OAY2J21"</x:f>
        <x:v>OAY2J21</x:v>
      </x:c>
      <x:c r="U939" s="23" t="str">
        <x:v>RODOPRIME TRANSPORTES E CARGAS LTDA</x:v>
      </x:c>
      <x:c r="V939" s="22" t="str">
        <x:f>"038.768.901-01"</x:f>
        <x:v>038.768.901-01</x:v>
      </x:c>
      <x:c r="W939" s="22" t="str">
        <x:f>"03876890101"</x:f>
        <x:v>03876890101</x:v>
      </x:c>
      <x:c r="X939" s="23" t="str">
        <x:v>rtp.cargas@gmail.com</x:v>
      </x:c>
      <x:c r="Y939" s="22" t="str">
        <x:f>"62991277279"</x:f>
        <x:v>62991277279</x:v>
      </x:c>
      <x:c r="Z939" s="30" t="n">
        <x:v>46479</x:v>
      </x:c>
    </x:row>
    <x:row r="940" ht="18" customHeight="1">
      <x:c r="A940" s="22" t="str">
        <x:f>"244d098a-4066-4fc8-bd12-f01b52624dca"</x:f>
        <x:v>244d098a-4066-4fc8-bd12-f01b52624dca</x:v>
      </x:c>
      <x:c r="B940" s="23" t="str">
        <x:v>EDSON DA SILVA ORTIZ</x:v>
      </x:c>
      <x:c r="C940" s="23" t="str">
        <x:v>edson da silva ortiz</x:v>
      </x:c>
      <x:c r="D940" s="22" t="str">
        <x:f>"50.963.802/0001-75"</x:f>
        <x:v>50.963.802/0001-75</x:v>
      </x:c>
      <x:c r="E940" s="22" t="str">
        <x:f>"50963802000175"</x:f>
        <x:v>50963802000175</x:v>
      </x:c>
      <x:c r="F940" s="22" t="str">
        <x:f>"910.907.331-00"</x:f>
        <x:v>910.907.331-00</x:v>
      </x:c>
      <x:c r="G940" s="22" t="str">
        <x:f>"91090733100"</x:f>
        <x:v>91090733100</x:v>
      </x:c>
      <x:c r="H940" s="23" t="str">
        <x:v>mestregeokelly@gmail.com</x:v>
      </x:c>
      <x:c r="I940" s="22" t="str">
        <x:f>"67992788119"</x:f>
        <x:v>67992788119</x:v>
      </x:c>
      <x:c r="J940" s="23" t="str">
        <x:v>SPOT</x:v>
      </x:c>
      <x:c r="K940" s="23" t="str">
        <x:v>favored_only</x:v>
      </x:c>
      <x:c r="L940" s="24" t="b">
        <x:v>1</x:v>
      </x:c>
      <x:c r="M940" s="23" t="n">
        <x:v>1</x:v>
      </x:c>
      <x:c r="N940" s="28" t="n">
        <x:v>46205.60445986111</x:v>
      </x:c>
      <x:c r="O940" s="28" t="n">
        <x:v>46219.812988715275</x:v>
      </x:c>
      <x:c r="P940" s="23" t="str">
        <x:v>CÁCERES</x:v>
      </x:c>
      <x:c r="Q940" s="30" t="n">
        <x:v>28542</x:v>
      </x:c>
      <x:c r="R940" s="22" t="str">
        <x:f>"13604104"</x:f>
        <x:v>13604104</x:v>
      </x:c>
      <x:c r="S940" s="23" t="str">
        <x:v>masculino</x:v>
      </x:c>
      <x:c r="T940" s="22" t="str">
        <x:f>"OBE3D94"</x:f>
        <x:v>OBE3D94</x:v>
      </x:c>
      <x:c r="U940" s="23" t="str">
        <x:v>BENEDITO GILNEI PEREIRA DO PRADO</x:v>
      </x:c>
      <x:c r="V940" s="22" t="str">
        <x:f>"725.325.721-91"</x:f>
        <x:v>725.325.721-91</x:v>
      </x:c>
      <x:c r="W940" s="22" t="str">
        <x:f>"72532572191"</x:f>
        <x:v>72532572191</x:v>
      </x:c>
      <x:c r="X940" s="23" t="str">
        <x:v>gpisonpereira07@gmail.com</x:v>
      </x:c>
      <x:c r="Y940" s="22" t="str">
        <x:f>"67992788119"</x:f>
        <x:v>67992788119</x:v>
      </x:c>
      <x:c r="Z940" s="30" t="n">
        <x:v>46277</x:v>
      </x:c>
    </x:row>
    <x:row r="941" ht="18" customHeight="1">
      <x:c r="A941" s="22" t="str">
        <x:f>"34b368fa-5cd3-4b9c-b056-0babb8d5e0f5"</x:f>
        <x:v>34b368fa-5cd3-4b9c-b056-0babb8d5e0f5</x:v>
      </x:c>
      <x:c r="B941" s="23" t="str">
        <x:v>Edson Fernando Luchesi</x:v>
      </x:c>
      <x:c r="C941" s="23" t="str">
        <x:v>edson fernando luchesi</x:v>
      </x:c>
      <x:c r="D941" s="22" t="str">
        <x:f>"44.797.035/0001-79"</x:f>
        <x:v>44.797.035/0001-79</x:v>
      </x:c>
      <x:c r="E941" s="22" t="str">
        <x:f>"44797035000179"</x:f>
        <x:v>44797035000179</x:v>
      </x:c>
      <x:c r="F941" s="22" t="str">
        <x:f>"44613590850"</x:f>
        <x:v>44613590850</x:v>
      </x:c>
      <x:c r="G941" s="22" t="str">
        <x:f>"44613590850"</x:f>
        <x:v>44613590850</x:v>
      </x:c>
      <x:c r="H941" s="23" t="str">
        <x:v>luchesi456@gmail.com</x:v>
      </x:c>
      <x:c r="I941" s="22" t="str">
        <x:f>"17992257199"</x:f>
        <x:v>17992257199</x:v>
      </x:c>
      <x:c r="J941" s="23" t="str">
        <x:v>SPOT</x:v>
      </x:c>
      <x:c r="K941" s="23" t="str">
        <x:v>favored_only</x:v>
      </x:c>
      <x:c r="L941" s="24" t="b">
        <x:v>1</x:v>
      </x:c>
      <x:c r="M941" s="23" t="n">
        <x:v>1</x:v>
      </x:c>
      <x:c r="N941" s="28" t="n">
        <x:v>46203.92186888889</x:v>
      </x:c>
      <x:c r="O941" s="28" t="n">
        <x:v>46203.92186888889</x:v>
      </x:c>
      <x:c r="P941" s="23" t="str"/>
      <x:c r="Q941" s="30" t="str"/>
      <x:c r="R941" s="22" t="str"/>
      <x:c r="S941" s="23" t="str"/>
      <x:c r="T941" s="22" t="str"/>
      <x:c r="U941" s="23" t="str">
        <x:v>Edson Fernando Luchesi</x:v>
      </x:c>
      <x:c r="V941" s="22" t="str">
        <x:f>"44613590850"</x:f>
        <x:v>44613590850</x:v>
      </x:c>
      <x:c r="W941" s="22" t="str">
        <x:f>"44613590850"</x:f>
        <x:v>44613590850</x:v>
      </x:c>
      <x:c r="X941" s="23" t="str">
        <x:v>luchesi456@gmail.com</x:v>
      </x:c>
      <x:c r="Y941" s="22" t="str">
        <x:f>"17992257199"</x:f>
        <x:v>17992257199</x:v>
      </x:c>
      <x:c r="Z941" s="30" t="str"/>
    </x:row>
    <x:row r="942" ht="18" customHeight="1">
      <x:c r="A942" s="22" t="str">
        <x:f>"8e848d88-1d5c-47a1-9169-3b17a93ad3da"</x:f>
        <x:v>8e848d88-1d5c-47a1-9169-3b17a93ad3da</x:v>
      </x:c>
      <x:c r="B942" s="23" t="str">
        <x:v>EDSON FIGUEIREDO GIOIA SERATTO</x:v>
      </x:c>
      <x:c r="C942" s="23" t="str">
        <x:v>edson figueiredo gioia seratto</x:v>
      </x:c>
      <x:c r="D942" s="22" t="str">
        <x:f>"56.659.258/0001-59"</x:f>
        <x:v>56.659.258/0001-59</x:v>
      </x:c>
      <x:c r="E942" s="22" t="str">
        <x:f>"56659258000159"</x:f>
        <x:v>56659258000159</x:v>
      </x:c>
      <x:c r="F942" s="22" t="str">
        <x:f>"366.599.448-93"</x:f>
        <x:v>366.599.448-93</x:v>
      </x:c>
      <x:c r="G942" s="22" t="str">
        <x:f>"36659944893"</x:f>
        <x:v>36659944893</x:v>
      </x:c>
      <x:c r="H942" s="23" t="str">
        <x:v>edsonfgseratto@gmail.com</x:v>
      </x:c>
      <x:c r="I942" s="22" t="str">
        <x:f>"16991148824"</x:f>
        <x:v>16991148824</x:v>
      </x:c>
      <x:c r="J942" s="23" t="str">
        <x:v>SPOT</x:v>
      </x:c>
      <x:c r="K942" s="23" t="str">
        <x:v>favored_only</x:v>
      </x:c>
      <x:c r="L942" s="24" t="b">
        <x:v>1</x:v>
      </x:c>
      <x:c r="M942" s="23" t="n">
        <x:v>1</x:v>
      </x:c>
      <x:c r="N942" s="28" t="n">
        <x:v>46203.92188238426</x:v>
      </x:c>
      <x:c r="O942" s="28" t="n">
        <x:v>46219.812988715275</x:v>
      </x:c>
      <x:c r="P942" s="23" t="str">
        <x:v>RIBEIRAO PRETO</x:v>
      </x:c>
      <x:c r="Q942" s="30" t="n">
        <x:v>31922</x:v>
      </x:c>
      <x:c r="R942" s="22" t="str">
        <x:f>"44322163"</x:f>
        <x:v>44322163</x:v>
      </x:c>
      <x:c r="S942" s="23" t="str">
        <x:v>masculino</x:v>
      </x:c>
      <x:c r="T942" s="22" t="str">
        <x:f>"UEM1E52"</x:f>
        <x:v>UEM1E52</x:v>
      </x:c>
      <x:c r="U942" s="23" t="str">
        <x:v>EDSON FIGUEIREDO GIOIA SERATTO</x:v>
      </x:c>
      <x:c r="V942" s="22" t="str">
        <x:f>"366.599.448-93"</x:f>
        <x:v>366.599.448-93</x:v>
      </x:c>
      <x:c r="W942" s="22" t="str">
        <x:f>"36659944893"</x:f>
        <x:v>36659944893</x:v>
      </x:c>
      <x:c r="X942" s="23" t="str">
        <x:v>edsonfgseratto@gmail.com</x:v>
      </x:c>
      <x:c r="Y942" s="22" t="str">
        <x:f>"16991148824"</x:f>
        <x:v>16991148824</x:v>
      </x:c>
      <x:c r="Z942" s="30" t="n">
        <x:v>46318</x:v>
      </x:c>
    </x:row>
    <x:row r="943" ht="18" customHeight="1">
      <x:c r="A943" s="22" t="str">
        <x:f>"b9b03ef5-fa03-4400-9a77-3df4e804b469"</x:f>
        <x:v>b9b03ef5-fa03-4400-9a77-3df4e804b469</x:v>
      </x:c>
      <x:c r="B943" s="23" t="str">
        <x:v>EDSON JONATAN ALVES PEREIRA MARTINS</x:v>
      </x:c>
      <x:c r="C943" s="23" t="str">
        <x:v>edson jonatan alves pereira martins</x:v>
      </x:c>
      <x:c r="D943" s="22" t="str">
        <x:f>"67.287.495/0001-52"</x:f>
        <x:v>67.287.495/0001-52</x:v>
      </x:c>
      <x:c r="E943" s="22" t="str">
        <x:f>"67287495000152"</x:f>
        <x:v>67287495000152</x:v>
      </x:c>
      <x:c r="F943" s="22" t="str">
        <x:f>"038.408.981-36"</x:f>
        <x:v>038.408.981-36</x:v>
      </x:c>
      <x:c r="G943" s="22" t="str">
        <x:f>"03840898136"</x:f>
        <x:v>03840898136</x:v>
      </x:c>
      <x:c r="H943" s="23" t="str">
        <x:v>edsonjonathan2013@gmail.com</x:v>
      </x:c>
      <x:c r="I943" s="22" t="str">
        <x:f>"64 999848391"</x:f>
        <x:v>64 999848391</x:v>
      </x:c>
      <x:c r="J943" s="23" t="str">
        <x:v>RENTAL</x:v>
      </x:c>
      <x:c r="K943" s="23" t="str">
        <x:v>rental_company</x:v>
      </x:c>
      <x:c r="L943" s="24" t="b">
        <x:v>1</x:v>
      </x:c>
      <x:c r="M943" s="23" t="n">
        <x:v>1</x:v>
      </x:c>
      <x:c r="N943" s="28" t="n">
        <x:v>46219.812988715275</x:v>
      </x:c>
      <x:c r="O943" s="28" t="n">
        <x:v>46219.812988715275</x:v>
      </x:c>
      <x:c r="P943" s="23" t="str">
        <x:v>RIO VERDE</x:v>
      </x:c>
      <x:c r="Q943" s="30" t="n">
        <x:v>32188</x:v>
      </x:c>
      <x:c r="R943" s="22" t="str">
        <x:f>"4889230"</x:f>
        <x:v>4889230</x:v>
      </x:c>
      <x:c r="S943" s="23" t="str">
        <x:v>masculino</x:v>
      </x:c>
      <x:c r="T943" s="22" t="str"/>
      <x:c r="U943" s="23" t="str">
        <x:v>EDSON JONATAN ALVES PEREIRA MARTINS</x:v>
      </x:c>
      <x:c r="V943" s="22" t="str">
        <x:f>"038.408.981-36"</x:f>
        <x:v>038.408.981-36</x:v>
      </x:c>
      <x:c r="W943" s="22" t="str">
        <x:f>"03840898136"</x:f>
        <x:v>03840898136</x:v>
      </x:c>
      <x:c r="X943" s="23" t="str">
        <x:v>edsonjonathan2013@gmail.com</x:v>
      </x:c>
      <x:c r="Y943" s="22" t="str">
        <x:f>"64 999848391"</x:f>
        <x:v>64 999848391</x:v>
      </x:c>
      <x:c r="Z943" s="30" t="n">
        <x:v>46582</x:v>
      </x:c>
    </x:row>
    <x:row r="944" ht="18" customHeight="1">
      <x:c r="A944" s="22" t="str">
        <x:f>"f9dd104f-94ff-44bd-a7f7-338aa9731910"</x:f>
        <x:v>f9dd104f-94ff-44bd-a7f7-338aa9731910</x:v>
      </x:c>
      <x:c r="B944" s="23" t="str">
        <x:v>EDSON LUCIO NOVAES</x:v>
      </x:c>
      <x:c r="C944" s="23" t="str">
        <x:v>edson lucio novaes</x:v>
      </x:c>
      <x:c r="D944" s="22" t="str">
        <x:f>"65.124.053/0001-60"</x:f>
        <x:v>65.124.053/0001-60</x:v>
      </x:c>
      <x:c r="E944" s="22" t="str">
        <x:f>"65124053000160"</x:f>
        <x:v>65124053000160</x:v>
      </x:c>
      <x:c r="F944" s="22" t="str">
        <x:f>"033.507.016-71"</x:f>
        <x:v>033.507.016-71</x:v>
      </x:c>
      <x:c r="G944" s="22" t="str">
        <x:f>"03350701671"</x:f>
        <x:v>03350701671</x:v>
      </x:c>
      <x:c r="H944" s="23" t="str">
        <x:v>edinho.novaes@yahoo.com.br</x:v>
      </x:c>
      <x:c r="I944" s="22" t="str">
        <x:f>"31 99916-1156"</x:f>
        <x:v>31 99916-1156</x:v>
      </x:c>
      <x:c r="J944" s="23" t="str">
        <x:v>SPOT</x:v>
      </x:c>
      <x:c r="K944" s="23" t="str">
        <x:v>favored_only</x:v>
      </x:c>
      <x:c r="L944" s="24" t="b">
        <x:v>1</x:v>
      </x:c>
      <x:c r="M944" s="23" t="n">
        <x:v>1</x:v>
      </x:c>
      <x:c r="N944" s="28" t="n">
        <x:v>46219.812988715275</x:v>
      </x:c>
      <x:c r="O944" s="28" t="n">
        <x:v>46219.812988715275</x:v>
      </x:c>
      <x:c r="P944" s="23" t="str">
        <x:v>NOVA LIMA</x:v>
      </x:c>
      <x:c r="Q944" s="30" t="n">
        <x:v>28895</x:v>
      </x:c>
      <x:c r="R944" s="22" t="str">
        <x:f>"10955357"</x:f>
        <x:v>10955357</x:v>
      </x:c>
      <x:c r="S944" s="23" t="str">
        <x:v>masculino</x:v>
      </x:c>
      <x:c r="T944" s="22" t="str">
        <x:f>"DFQ9I55"</x:f>
        <x:v>DFQ9I55</x:v>
      </x:c>
      <x:c r="U944" s="23" t="str">
        <x:v>EDSON LUCIO NOVAES</x:v>
      </x:c>
      <x:c r="V944" s="22" t="str">
        <x:f>"033.507.016-71"</x:f>
        <x:v>033.507.016-71</x:v>
      </x:c>
      <x:c r="W944" s="22" t="str">
        <x:f>"03350701671"</x:f>
        <x:v>03350701671</x:v>
      </x:c>
      <x:c r="X944" s="23" t="str">
        <x:v>edinho.novaes@yahoo.com.br</x:v>
      </x:c>
      <x:c r="Y944" s="22" t="str">
        <x:f>"31 99916-1156"</x:f>
        <x:v>31 99916-1156</x:v>
      </x:c>
      <x:c r="Z944" s="30" t="n">
        <x:v>46436</x:v>
      </x:c>
    </x:row>
    <x:row r="945" ht="18" customHeight="1">
      <x:c r="A945" s="22" t="str">
        <x:f>"c3f893ed-6636-41bf-bb35-7e330ff6cd1d"</x:f>
        <x:v>c3f893ed-6636-41bf-bb35-7e330ff6cd1d</x:v>
      </x:c>
      <x:c r="B945" s="23" t="str">
        <x:v>EDSON MARIANO DOS SANTOS</x:v>
      </x:c>
      <x:c r="C945" s="23" t="str">
        <x:v>edson mariano dos santos</x:v>
      </x:c>
      <x:c r="D945" s="22" t="str">
        <x:f>"37.823.997/0001-90"</x:f>
        <x:v>37.823.997/0001-90</x:v>
      </x:c>
      <x:c r="E945" s="22" t="str">
        <x:f>"37823997000190"</x:f>
        <x:v>37823997000190</x:v>
      </x:c>
      <x:c r="F945" s="22" t="str">
        <x:f>"713.608.241-20"</x:f>
        <x:v>713.608.241-20</x:v>
      </x:c>
      <x:c r="G945" s="22" t="str">
        <x:f>"71360824120"</x:f>
        <x:v>71360824120</x:v>
      </x:c>
      <x:c r="H945" s="23" t="str">
        <x:v>Edsonmarianosantos21@gmail.com</x:v>
      </x:c>
      <x:c r="I945" s="22" t="str">
        <x:f>"65 9297-7304"</x:f>
        <x:v>65 9297-7304</x:v>
      </x:c>
      <x:c r="J945" s="23" t="str">
        <x:v>SPOT</x:v>
      </x:c>
      <x:c r="K945" s="23" t="str">
        <x:v>favored_only</x:v>
      </x:c>
      <x:c r="L945" s="24" t="b">
        <x:v>1</x:v>
      </x:c>
      <x:c r="M945" s="23" t="n">
        <x:v>1</x:v>
      </x:c>
      <x:c r="N945" s="28" t="n">
        <x:v>46205.60446905092</x:v>
      </x:c>
      <x:c r="O945" s="28" t="n">
        <x:v>46219.812988715275</x:v>
      </x:c>
      <x:c r="P945" s="23" t="str">
        <x:v>ARAPUTANGA</x:v>
      </x:c>
      <x:c r="Q945" s="30" t="n">
        <x:v>29682</x:v>
      </x:c>
      <x:c r="R945" s="22" t="str">
        <x:f>"83875"</x:f>
        <x:v>83875</x:v>
      </x:c>
      <x:c r="S945" s="23" t="str">
        <x:v>masculino</x:v>
      </x:c>
      <x:c r="T945" s="22" t="str">
        <x:f>"NUD9J95"</x:f>
        <x:v>NUD9J95</x:v>
      </x:c>
      <x:c r="U945" s="23" t="str">
        <x:v>DANILLO BACIEL ALMEIDA</x:v>
      </x:c>
      <x:c r="V945" s="22" t="str">
        <x:f>"038.768.901-01"</x:f>
        <x:v>038.768.901-01</x:v>
      </x:c>
      <x:c r="W945" s="22" t="str">
        <x:f>"03876890101"</x:f>
        <x:v>03876890101</x:v>
      </x:c>
      <x:c r="X945" s="23" t="str">
        <x:v>rtp.cargas@gmail.com</x:v>
      </x:c>
      <x:c r="Y945" s="22" t="str">
        <x:f>"62 99127-7279"</x:f>
        <x:v>62 99127-7279</x:v>
      </x:c>
      <x:c r="Z945" s="30" t="n">
        <x:v>46277</x:v>
      </x:c>
    </x:row>
    <x:row r="946" ht="18" customHeight="1">
      <x:c r="A946" s="22" t="str">
        <x:f>"8e2c3ac1-daaf-418e-9904-4d9a24fa07f0"</x:f>
        <x:v>8e2c3ac1-daaf-418e-9904-4d9a24fa07f0</x:v>
      </x:c>
      <x:c r="B946" s="23" t="str">
        <x:v>EDSON NEVES DE ANDRADE</x:v>
      </x:c>
      <x:c r="C946" s="23" t="str">
        <x:v>edson neves de andrade</x:v>
      </x:c>
      <x:c r="D946" s="22" t="str">
        <x:f>"50.963.802/0001-75"</x:f>
        <x:v>50.963.802/0001-75</x:v>
      </x:c>
      <x:c r="E946" s="22" t="str">
        <x:f>"50963802000175"</x:f>
        <x:v>50963802000175</x:v>
      </x:c>
      <x:c r="F946" s="22" t="str">
        <x:f>"626.901.161-20"</x:f>
        <x:v>626.901.161-20</x:v>
      </x:c>
      <x:c r="G946" s="22" t="str">
        <x:f>"62690116120"</x:f>
        <x:v>62690116120</x:v>
      </x:c>
      <x:c r="H946" s="23" t="str">
        <x:v>mestregeokelly@gmail.com</x:v>
      </x:c>
      <x:c r="I946" s="22" t="str">
        <x:f>"67992788119"</x:f>
        <x:v>67992788119</x:v>
      </x:c>
      <x:c r="J946" s="23" t="str">
        <x:v>SPOT</x:v>
      </x:c>
      <x:c r="K946" s="23" t="str">
        <x:v>favored_only</x:v>
      </x:c>
      <x:c r="L946" s="24" t="b">
        <x:v>1</x:v>
      </x:c>
      <x:c r="M946" s="23" t="n">
        <x:v>1</x:v>
      </x:c>
      <x:c r="N946" s="28" t="n">
        <x:v>46205.604443634256</x:v>
      </x:c>
      <x:c r="O946" s="28" t="n">
        <x:v>46219.812988715275</x:v>
      </x:c>
      <x:c r="P946" s="23" t="str">
        <x:v>CÁCERES</x:v>
      </x:c>
      <x:c r="Q946" s="30" t="n">
        <x:v>28187</x:v>
      </x:c>
      <x:c r="R946" s="22" t="str">
        <x:f>"944975"</x:f>
        <x:v>944975</x:v>
      </x:c>
      <x:c r="S946" s="23" t="str">
        <x:v>masculino</x:v>
      </x:c>
      <x:c r="T946" s="22" t="str">
        <x:f>"OBE3D94"</x:f>
        <x:v>OBE3D94</x:v>
      </x:c>
      <x:c r="U946" s="23" t="str">
        <x:v>BENEDITO GILNEI PEREIRA DO PRADO</x:v>
      </x:c>
      <x:c r="V946" s="22" t="str">
        <x:f>"725.325.721-91"</x:f>
        <x:v>725.325.721-91</x:v>
      </x:c>
      <x:c r="W946" s="22" t="str">
        <x:f>"72532572191"</x:f>
        <x:v>72532572191</x:v>
      </x:c>
      <x:c r="X946" s="23" t="str">
        <x:v>gpsonpereira07@gmail.com</x:v>
      </x:c>
      <x:c r="Y946" s="22" t="str">
        <x:f>"67992788119"</x:f>
        <x:v>67992788119</x:v>
      </x:c>
      <x:c r="Z946" s="30" t="n">
        <x:v>46275</x:v>
      </x:c>
    </x:row>
    <x:row r="947" ht="18" customHeight="1">
      <x:c r="A947" s="22" t="str">
        <x:f>"5dd014f7-e2f3-465d-b8e6-06fc9fed5c32"</x:f>
        <x:v>5dd014f7-e2f3-465d-b8e6-06fc9fed5c32</x:v>
      </x:c>
      <x:c r="B947" s="23" t="str">
        <x:v>EDSON TEODOSIO DA SILVA JUNIOR</x:v>
      </x:c>
      <x:c r="C947" s="23" t="str">
        <x:v>edson teodosio da silva junior</x:v>
      </x:c>
      <x:c r="D947" s="22" t="str">
        <x:f>"63.581.006/0001-10"</x:f>
        <x:v>63.581.006/0001-10</x:v>
      </x:c>
      <x:c r="E947" s="22" t="str">
        <x:f>"63581006000110"</x:f>
        <x:v>63581006000110</x:v>
      </x:c>
      <x:c r="F947" s="22" t="str">
        <x:f>"145.723.057-73"</x:f>
        <x:v>145.723.057-73</x:v>
      </x:c>
      <x:c r="G947" s="22" t="str">
        <x:f>"14572305773"</x:f>
        <x:v>14572305773</x:v>
      </x:c>
      <x:c r="H947" s="23" t="str">
        <x:v>teodosioedson13@gmail.com</x:v>
      </x:c>
      <x:c r="I947" s="22" t="str">
        <x:f>"21972917329"</x:f>
        <x:v>21972917329</x:v>
      </x:c>
      <x:c r="J947" s="23" t="str">
        <x:v>SPOT</x:v>
      </x:c>
      <x:c r="K947" s="23" t="str">
        <x:v>favored_only</x:v>
      </x:c>
      <x:c r="L947" s="24" t="b">
        <x:v>1</x:v>
      </x:c>
      <x:c r="M947" s="23" t="n">
        <x:v>1</x:v>
      </x:c>
      <x:c r="N947" s="28" t="n">
        <x:v>46203.92189349537</x:v>
      </x:c>
      <x:c r="O947" s="28" t="n">
        <x:v>46219.812988715275</x:v>
      </x:c>
      <x:c r="P947" s="23" t="str">
        <x:v>QUEIMADOS</x:v>
      </x:c>
      <x:c r="Q947" s="30" t="n">
        <x:v>33406</x:v>
      </x:c>
      <x:c r="R947" s="22" t="str">
        <x:f>"241907062"</x:f>
        <x:v>241907062</x:v>
      </x:c>
      <x:c r="S947" s="23" t="str">
        <x:v>masculino</x:v>
      </x:c>
      <x:c r="T947" s="22" t="str">
        <x:f>"LMC6H55"</x:f>
        <x:v>LMC6H55</x:v>
      </x:c>
      <x:c r="U947" s="23" t="str">
        <x:v>EDSON TEODOSIO DA SILVA JUNIOR</x:v>
      </x:c>
      <x:c r="V947" s="22" t="str">
        <x:f>"145.723.057-73"</x:f>
        <x:v>145.723.057-73</x:v>
      </x:c>
      <x:c r="W947" s="22" t="str">
        <x:f>"14572305773"</x:f>
        <x:v>14572305773</x:v>
      </x:c>
      <x:c r="X947" s="23" t="str">
        <x:v>teodosioedson13@gmail.com</x:v>
      </x:c>
      <x:c r="Y947" s="22" t="str">
        <x:f>"21972917329"</x:f>
        <x:v>21972917329</x:v>
      </x:c>
      <x:c r="Z947" s="30" t="n">
        <x:v>46336</x:v>
      </x:c>
    </x:row>
    <x:row r="948" ht="18" customHeight="1">
      <x:c r="A948" s="22" t="str">
        <x:f>"48713ab8-26a8-4ae5-b82b-a7001512888e"</x:f>
        <x:v>48713ab8-26a8-4ae5-b82b-a7001512888e</x:v>
      </x:c>
      <x:c r="B948" s="23" t="str">
        <x:v>EDSON WILSON GOMES CORDEIRO</x:v>
      </x:c>
      <x:c r="C948" s="23" t="str">
        <x:v>edson wilson gomes cordeiro</x:v>
      </x:c>
      <x:c r="D948" s="22" t="str">
        <x:f>"31.377.935/0001-15"</x:f>
        <x:v>31.377.935/0001-15</x:v>
      </x:c>
      <x:c r="E948" s="22" t="str">
        <x:f>"31377935000115"</x:f>
        <x:v>31377935000115</x:v>
      </x:c>
      <x:c r="F948" s="22" t="str">
        <x:f>"045.567.306-35"</x:f>
        <x:v>045.567.306-35</x:v>
      </x:c>
      <x:c r="G948" s="22" t="str">
        <x:f>"04556730635"</x:f>
        <x:v>04556730635</x:v>
      </x:c>
      <x:c r="H948" s="23" t="str">
        <x:v>ewgcordeiro15@gmail.com</x:v>
      </x:c>
      <x:c r="I948" s="22" t="str">
        <x:f>"339118-3452"</x:f>
        <x:v>339118-3452</x:v>
      </x:c>
      <x:c r="J948" s="23" t="str">
        <x:v>spot</x:v>
      </x:c>
      <x:c r="K948" s="23" t="str">
        <x:v>favored_only</x:v>
      </x:c>
      <x:c r="L948" s="24" t="b">
        <x:v>1</x:v>
      </x:c>
      <x:c r="M948" s="23" t="n">
        <x:v>1</x:v>
      </x:c>
      <x:c r="N948" s="28" t="n">
        <x:v>46219.812988715275</x:v>
      </x:c>
      <x:c r="O948" s="28" t="n">
        <x:v>46219.812988715275</x:v>
      </x:c>
      <x:c r="P948" s="23" t="str">
        <x:v>TEOFILO OTONI</x:v>
      </x:c>
      <x:c r="Q948" s="30" t="n">
        <x:v>29397</x:v>
      </x:c>
      <x:c r="R948" s="22" t="str">
        <x:f>"10781988"</x:f>
        <x:v>10781988</x:v>
      </x:c>
      <x:c r="S948" s="23" t="str">
        <x:v>masculino</x:v>
      </x:c>
      <x:c r="T948" s="22" t="str">
        <x:f>"GMF8H81"</x:f>
        <x:v>GMF8H81</x:v>
      </x:c>
      <x:c r="U948" s="23" t="str">
        <x:v>EDSON WILSON GOMES CORDEIRO</x:v>
      </x:c>
      <x:c r="V948" s="22" t="str">
        <x:f>"045.567.306-35"</x:f>
        <x:v>045.567.306-35</x:v>
      </x:c>
      <x:c r="W948" s="22" t="str">
        <x:f>"04556730635"</x:f>
        <x:v>04556730635</x:v>
      </x:c>
      <x:c r="X948" s="23" t="str">
        <x:v>ewgcordeiro15@gmail.com</x:v>
      </x:c>
      <x:c r="Y948" s="22" t="str">
        <x:f>"339118-3452"</x:f>
        <x:v>339118-3452</x:v>
      </x:c>
      <x:c r="Z948" s="30" t="n">
        <x:v>46570</x:v>
      </x:c>
    </x:row>
    <x:row r="949" ht="18" customHeight="1">
      <x:c r="A949" s="22" t="str">
        <x:f>"3e12ee33-59cf-4080-807a-fa41234c6489"</x:f>
        <x:v>3e12ee33-59cf-4080-807a-fa41234c6489</x:v>
      </x:c>
      <x:c r="B949" s="23" t="str">
        <x:v>EDUARDA GONÇALVES RAMOS</x:v>
      </x:c>
      <x:c r="C949" s="23" t="str">
        <x:v>eduarda goncalves ramos</x:v>
      </x:c>
      <x:c r="D949" s="22" t="str">
        <x:f>"62507626000146"</x:f>
        <x:v>62507626000146</x:v>
      </x:c>
      <x:c r="E949" s="22" t="str">
        <x:f>"62507626000146"</x:f>
        <x:v>62507626000146</x:v>
      </x:c>
      <x:c r="F949" s="22" t="str">
        <x:f>"12754091645"</x:f>
        <x:v>12754091645</x:v>
      </x:c>
      <x:c r="G949" s="22" t="str">
        <x:f>"12754091645"</x:f>
        <x:v>12754091645</x:v>
      </x:c>
      <x:c r="H949" s="23" t="str">
        <x:v>eduardagramos04@gmail.com</x:v>
      </x:c>
      <x:c r="I949" s="22" t="str">
        <x:f>"33999202060"</x:f>
        <x:v>33999202060</x:v>
      </x:c>
      <x:c r="J949" s="23" t="str">
        <x:v>SPOT</x:v>
      </x:c>
      <x:c r="K949" s="23" t="str">
        <x:v>favored_only</x:v>
      </x:c>
      <x:c r="L949" s="24" t="b">
        <x:v>1</x:v>
      </x:c>
      <x:c r="M949" s="23" t="n">
        <x:v>1</x:v>
      </x:c>
      <x:c r="N949" s="28" t="n">
        <x:v>46203.921858726855</x:v>
      </x:c>
      <x:c r="O949" s="28" t="n">
        <x:v>46203.921858726855</x:v>
      </x:c>
      <x:c r="P949" s="23" t="str"/>
      <x:c r="Q949" s="30" t="str"/>
      <x:c r="R949" s="22" t="str"/>
      <x:c r="S949" s="23" t="str"/>
      <x:c r="T949" s="22" t="str"/>
      <x:c r="U949" s="23" t="str">
        <x:v>EDUARDA GONÇALVES RAMOS</x:v>
      </x:c>
      <x:c r="V949" s="22" t="str">
        <x:f>"12754091645"</x:f>
        <x:v>12754091645</x:v>
      </x:c>
      <x:c r="W949" s="22" t="str">
        <x:f>"12754091645"</x:f>
        <x:v>12754091645</x:v>
      </x:c>
      <x:c r="X949" s="23" t="str">
        <x:v>eduardagramos04@gmail.com</x:v>
      </x:c>
      <x:c r="Y949" s="22" t="str">
        <x:f>"33999202060"</x:f>
        <x:v>33999202060</x:v>
      </x:c>
      <x:c r="Z949" s="30" t="str"/>
    </x:row>
    <x:row r="950" ht="18" customHeight="1">
      <x:c r="A950" s="22" t="str">
        <x:f>"fc42ee3a-0010-49c4-a732-2f01f13937b1"</x:f>
        <x:v>fc42ee3a-0010-49c4-a732-2f01f13937b1</x:v>
      </x:c>
      <x:c r="B950" s="23" t="str">
        <x:v>EDUARDA MORGADO ROCHA</x:v>
      </x:c>
      <x:c r="C950" s="23" t="str">
        <x:v>eduarda morgado rocha</x:v>
      </x:c>
      <x:c r="D950" s="22" t="str">
        <x:f>"62.010.448/0001-43"</x:f>
        <x:v>62.010.448/0001-43</x:v>
      </x:c>
      <x:c r="E950" s="22" t="str">
        <x:f>"62010448000143"</x:f>
        <x:v>62010448000143</x:v>
      </x:c>
      <x:c r="F950" s="22" t="str">
        <x:f>"491.834.258-29"</x:f>
        <x:v>491.834.258-29</x:v>
      </x:c>
      <x:c r="G950" s="22" t="str">
        <x:f>"49183425829"</x:f>
        <x:v>49183425829</x:v>
      </x:c>
      <x:c r="H950" s="23" t="str">
        <x:v>eduarda.morgado2005@gmail.com</x:v>
      </x:c>
      <x:c r="I950" s="22" t="str">
        <x:f>"17 99734-2577"</x:f>
        <x:v>17 99734-2577</x:v>
      </x:c>
      <x:c r="J950" s="23" t="str">
        <x:v>RENTAL</x:v>
      </x:c>
      <x:c r="K950" s="23" t="str">
        <x:v>rental_company</x:v>
      </x:c>
      <x:c r="L950" s="24" t="b">
        <x:v>1</x:v>
      </x:c>
      <x:c r="M950" s="23" t="n">
        <x:v>1</x:v>
      </x:c>
      <x:c r="N950" s="28" t="n">
        <x:v>46203.92184908565</x:v>
      </x:c>
      <x:c r="O950" s="28" t="n">
        <x:v>46219.812988715275</x:v>
      </x:c>
      <x:c r="P950" s="23" t="str">
        <x:v>BARRETOS</x:v>
      </x:c>
      <x:c r="Q950" s="30" t="n">
        <x:v>38436</x:v>
      </x:c>
      <x:c r="R950" s="22" t="str">
        <x:f>"607421599"</x:f>
        <x:v>607421599</x:v>
      </x:c>
      <x:c r="S950" s="23" t="str">
        <x:v>feminino</x:v>
      </x:c>
      <x:c r="T950" s="22" t="str"/>
      <x:c r="U950" s="23" t="str">
        <x:v>EDUARDA MORGADO ROCHA</x:v>
      </x:c>
      <x:c r="V950" s="22" t="str">
        <x:f>"491.834.258-29"</x:f>
        <x:v>491.834.258-29</x:v>
      </x:c>
      <x:c r="W950" s="22" t="str">
        <x:f>"49183425829"</x:f>
        <x:v>49183425829</x:v>
      </x:c>
      <x:c r="X950" s="23" t="str">
        <x:v>eduarda.morgado2005@gmail.com</x:v>
      </x:c>
      <x:c r="Y950" s="22" t="str">
        <x:f>"17 99734-2577"</x:f>
        <x:v>17 99734-2577</x:v>
      </x:c>
      <x:c r="Z950" s="30" t="n">
        <x:v>46235</x:v>
      </x:c>
    </x:row>
    <x:row r="951" ht="18" customHeight="1">
      <x:c r="A951" s="22" t="str">
        <x:f>"a5c2ddfc-cb77-4342-a4a7-33ec19dead93"</x:f>
        <x:v>a5c2ddfc-cb77-4342-a4a7-33ec19dead93</x:v>
      </x:c>
      <x:c r="B951" s="23" t="str">
        <x:v>EDUARDA STEPHANE DINIZ BINDA</x:v>
      </x:c>
      <x:c r="C951" s="23" t="str">
        <x:v>eduarda stephane diniz binda</x:v>
      </x:c>
      <x:c r="D951" s="22" t="str">
        <x:f>"62453906000119"</x:f>
        <x:v>62453906000119</x:v>
      </x:c>
      <x:c r="E951" s="22" t="str">
        <x:f>"62453906000119"</x:f>
        <x:v>62453906000119</x:v>
      </x:c>
      <x:c r="F951" s="22" t="str">
        <x:f>"13581858673"</x:f>
        <x:v>13581858673</x:v>
      </x:c>
      <x:c r="G951" s="22" t="str">
        <x:f>"13581858673"</x:f>
        <x:v>13581858673</x:v>
      </x:c>
      <x:c r="H951" s="23" t="str">
        <x:v>Silvanasilva9615@gmail.com</x:v>
      </x:c>
      <x:c r="I951" s="22" t="str">
        <x:f>"31999457916"</x:f>
        <x:v>31999457916</x:v>
      </x:c>
      <x:c r="J951" s="23" t="str">
        <x:v>SPOT</x:v>
      </x:c>
      <x:c r="K951" s="23" t="str">
        <x:v>favored_only</x:v>
      </x:c>
      <x:c r="L951" s="24" t="b">
        <x:v>1</x:v>
      </x:c>
      <x:c r="M951" s="23" t="n">
        <x:v>1</x:v>
      </x:c>
      <x:c r="N951" s="28" t="n">
        <x:v>46203.92186462963</x:v>
      </x:c>
      <x:c r="O951" s="28" t="n">
        <x:v>46203.92186462963</x:v>
      </x:c>
      <x:c r="P951" s="23" t="str"/>
      <x:c r="Q951" s="30" t="str"/>
      <x:c r="R951" s="22" t="str"/>
      <x:c r="S951" s="23" t="str"/>
      <x:c r="T951" s="22" t="str"/>
      <x:c r="U951" s="23" t="str">
        <x:v>EDUARDA STEPHANE DINIZ BINDA</x:v>
      </x:c>
      <x:c r="V951" s="22" t="str">
        <x:f>"13581858673"</x:f>
        <x:v>13581858673</x:v>
      </x:c>
      <x:c r="W951" s="22" t="str">
        <x:f>"13581858673"</x:f>
        <x:v>13581858673</x:v>
      </x:c>
      <x:c r="X951" s="23" t="str">
        <x:v>Silvanasilva9615@gmail.com</x:v>
      </x:c>
      <x:c r="Y951" s="22" t="str">
        <x:f>"31999457916"</x:f>
        <x:v>31999457916</x:v>
      </x:c>
      <x:c r="Z951" s="30" t="str"/>
    </x:row>
    <x:row r="952" ht="18" customHeight="1">
      <x:c r="A952" s="22" t="str">
        <x:f>"66d7e8fd-0ae4-4052-adcb-832d30f57a08"</x:f>
        <x:v>66d7e8fd-0ae4-4052-adcb-832d30f57a08</x:v>
      </x:c>
      <x:c r="B952" s="23" t="str">
        <x:v>EDUARDO APARECIDO FERREIRA DE SOUZA</x:v>
      </x:c>
      <x:c r="C952" s="23" t="str">
        <x:v>eduardo aparecido ferreira de souza</x:v>
      </x:c>
      <x:c r="D952" s="22" t="str">
        <x:f>"37.823.997/0001-90"</x:f>
        <x:v>37.823.997/0001-90</x:v>
      </x:c>
      <x:c r="E952" s="22" t="str">
        <x:f>"37823997000190"</x:f>
        <x:v>37823997000190</x:v>
      </x:c>
      <x:c r="F952" s="22" t="str">
        <x:f>"076.017.746-51"</x:f>
        <x:v>076.017.746-51</x:v>
      </x:c>
      <x:c r="G952" s="22" t="str">
        <x:f>"07601774651"</x:f>
        <x:v>07601774651</x:v>
      </x:c>
      <x:c r="H952" s="23" t="str">
        <x:v>liviassouza1809@gmail.com</x:v>
      </x:c>
      <x:c r="I952" s="22" t="str">
        <x:f>"37999830197"</x:f>
        <x:v>37999830197</x:v>
      </x:c>
      <x:c r="J952" s="23" t="str">
        <x:v>SPOT</x:v>
      </x:c>
      <x:c r="K952" s="23" t="str">
        <x:v>favored_only</x:v>
      </x:c>
      <x:c r="L952" s="24" t="b">
        <x:v>1</x:v>
      </x:c>
      <x:c r="M952" s="23" t="n">
        <x:v>1</x:v>
      </x:c>
      <x:c r="N952" s="28" t="n">
        <x:v>46205.606319479164</x:v>
      </x:c>
      <x:c r="O952" s="28" t="n">
        <x:v>46219.812988715275</x:v>
      </x:c>
      <x:c r="P952" s="23" t="str">
        <x:v>GOIANIA</x:v>
      </x:c>
      <x:c r="Q952" s="30" t="n">
        <x:v>31421</x:v>
      </x:c>
      <x:c r="R952" s="22" t="str">
        <x:f>"14789912"</x:f>
        <x:v>14789912</x:v>
      </x:c>
      <x:c r="S952" s="23" t="str">
        <x:v>masculino</x:v>
      </x:c>
      <x:c r="T952" s="22" t="str">
        <x:f>"OGW4G74"</x:f>
        <x:v>OGW4G74</x:v>
      </x:c>
      <x:c r="U952" s="23" t="str">
        <x:v>DANILLO BACIEL ALMEIDA</x:v>
      </x:c>
      <x:c r="V952" s="22" t="str">
        <x:f>"019.928.911-50"</x:f>
        <x:v>019.928.911-50</x:v>
      </x:c>
      <x:c r="W952" s="22" t="str">
        <x:f>"01992891150"</x:f>
        <x:v>01992891150</x:v>
      </x:c>
      <x:c r="X952" s="23" t="str">
        <x:v>rpt.cargas@gmail.com</x:v>
      </x:c>
      <x:c r="Y952" s="22" t="str">
        <x:f>"996610607"</x:f>
        <x:v>996610607</x:v>
      </x:c>
      <x:c r="Z952" s="30" t="n">
        <x:v>46353</x:v>
      </x:c>
    </x:row>
    <x:row r="953" ht="18" customHeight="1">
      <x:c r="A953" s="22" t="str">
        <x:f>"354eb1dd-e6e2-4943-9eff-4c72d75431c5"</x:f>
        <x:v>354eb1dd-e6e2-4943-9eff-4c72d75431c5</x:v>
      </x:c>
      <x:c r="B953" s="23" t="str">
        <x:v>EDUARDO ARAUJO SOUZA</x:v>
      </x:c>
      <x:c r="C953" s="23" t="str">
        <x:v>eduardo araujo souza</x:v>
      </x:c>
      <x:c r="D953" s="22" t="str">
        <x:f>"62.001.928/0001-48"</x:f>
        <x:v>62.001.928/0001-48</x:v>
      </x:c>
      <x:c r="E953" s="22" t="str">
        <x:f>"62001928000148"</x:f>
        <x:v>62001928000148</x:v>
      </x:c>
      <x:c r="F953" s="22" t="str">
        <x:f>"067.858.111-80"</x:f>
        <x:v>067.858.111-80</x:v>
      </x:c>
      <x:c r="G953" s="22" t="str">
        <x:f>"06785811180"</x:f>
        <x:v>06785811180</x:v>
      </x:c>
      <x:c r="H953" s="23" t="str">
        <x:v>dudubr020306@gmail.com</x:v>
      </x:c>
      <x:c r="I953" s="22" t="str">
        <x:f>"(67) 9679-6626"</x:f>
        <x:v>(67) 9679-6626</x:v>
      </x:c>
      <x:c r="J953" s="23" t="str">
        <x:v>SPOT</x:v>
      </x:c>
      <x:c r="K953" s="23" t="str">
        <x:v>favored_only</x:v>
      </x:c>
      <x:c r="L953" s="24" t="b">
        <x:v>1</x:v>
      </x:c>
      <x:c r="M953" s="23" t="n">
        <x:v>1</x:v>
      </x:c>
      <x:c r="N953" s="28" t="n">
        <x:v>46203.92184908565</x:v>
      </x:c>
      <x:c r="O953" s="28" t="n">
        <x:v>46219.812988715275</x:v>
      </x:c>
      <x:c r="P953" s="23" t="str">
        <x:v>CHAPADÃO DO SUL</x:v>
      </x:c>
      <x:c r="Q953" s="30" t="n">
        <x:v>38778</x:v>
      </x:c>
      <x:c r="R953" s="22" t="str">
        <x:f>"2200732"</x:f>
        <x:v>2200732</x:v>
      </x:c>
      <x:c r="S953" s="23" t="str">
        <x:v>masculino</x:v>
      </x:c>
      <x:c r="T953" s="22" t="str">
        <x:f>"QAN1D62"</x:f>
        <x:v>QAN1D62</x:v>
      </x:c>
      <x:c r="U953" s="23" t="str">
        <x:v>EDUARDO ARAUJO SOUZA</x:v>
      </x:c>
      <x:c r="V953" s="22" t="str">
        <x:f>"067.858.111-80"</x:f>
        <x:v>067.858.111-80</x:v>
      </x:c>
      <x:c r="W953" s="22" t="str">
        <x:f>"06785811180"</x:f>
        <x:v>06785811180</x:v>
      </x:c>
      <x:c r="X953" s="23" t="str">
        <x:v>dudubr020306@gmail.com</x:v>
      </x:c>
      <x:c r="Y953" s="22" t="str">
        <x:f>"(67) 9679-6626"</x:f>
        <x:v>(67) 9679-6626</x:v>
      </x:c>
      <x:c r="Z953" s="30" t="n">
        <x:v>46238</x:v>
      </x:c>
    </x:row>
    <x:row r="954" ht="18" customHeight="1">
      <x:c r="A954" s="22" t="str">
        <x:f>"0f5d1135-b6a9-4b8a-b5a7-f9fce5a6ca09"</x:f>
        <x:v>0f5d1135-b6a9-4b8a-b5a7-f9fce5a6ca09</x:v>
      </x:c>
      <x:c r="B954" s="23" t="str">
        <x:v>EDUARDO AUGUSTO NOGUEIRA GONCALVES</x:v>
      </x:c>
      <x:c r="C954" s="23" t="str">
        <x:v>eduardo augusto nogueira goncalves</x:v>
      </x:c>
      <x:c r="D954" s="22" t="str">
        <x:f>"59.633.294/0001-31"</x:f>
        <x:v>59.633.294/0001-31</x:v>
      </x:c>
      <x:c r="E954" s="22" t="str">
        <x:f>"59633294000131"</x:f>
        <x:v>59633294000131</x:v>
      </x:c>
      <x:c r="F954" s="22" t="str">
        <x:f>"107.859.916-54"</x:f>
        <x:v>107.859.916-54</x:v>
      </x:c>
      <x:c r="G954" s="22" t="str">
        <x:f>"10785991654"</x:f>
        <x:v>10785991654</x:v>
      </x:c>
      <x:c r="H954" s="23" t="str">
        <x:v>eduaugusto0606@gmail.com</x:v>
      </x:c>
      <x:c r="I954" s="22" t="str">
        <x:f>"31998633913"</x:f>
        <x:v>31998633913</x:v>
      </x:c>
      <x:c r="J954" s="23" t="str">
        <x:v>SPOT</x:v>
      </x:c>
      <x:c r="K954" s="23" t="str">
        <x:v>favored_only</x:v>
      </x:c>
      <x:c r="L954" s="24" t="b">
        <x:v>1</x:v>
      </x:c>
      <x:c r="M954" s="23" t="n">
        <x:v>1</x:v>
      </x:c>
      <x:c r="N954" s="28" t="n">
        <x:v>46219.812988715275</x:v>
      </x:c>
      <x:c r="O954" s="28" t="n">
        <x:v>46219.812988715275</x:v>
      </x:c>
      <x:c r="P954" s="23" t="str">
        <x:v>CONTAGEM</x:v>
      </x:c>
      <x:c r="Q954" s="30" t="n">
        <x:v>38878</x:v>
      </x:c>
      <x:c r="R954" s="22" t="str">
        <x:f>"18178076"</x:f>
        <x:v>18178076</x:v>
      </x:c>
      <x:c r="S954" s="23" t="str">
        <x:v>masculino</x:v>
      </x:c>
      <x:c r="T954" s="22" t="str">
        <x:f>"QNH5A76"</x:f>
        <x:v>QNH5A76</x:v>
      </x:c>
      <x:c r="U954" s="23" t="str">
        <x:v>EDUARDO AUGUSTO NOGUEIRA GONCALVES</x:v>
      </x:c>
      <x:c r="V954" s="22" t="str">
        <x:f>"107.859.916-54"</x:f>
        <x:v>107.859.916-54</x:v>
      </x:c>
      <x:c r="W954" s="22" t="str">
        <x:f>"10785991654"</x:f>
        <x:v>10785991654</x:v>
      </x:c>
      <x:c r="X954" s="23" t="str">
        <x:v>eduaugusto0606@gmail.com</x:v>
      </x:c>
      <x:c r="Y954" s="22" t="str">
        <x:f>"31998633913"</x:f>
        <x:v>31998633913</x:v>
      </x:c>
      <x:c r="Z954" s="30" t="n">
        <x:v>46459</x:v>
      </x:c>
    </x:row>
    <x:row r="955" ht="18" customHeight="1">
      <x:c r="A955" s="22" t="str">
        <x:f>"cf620221-8d1b-43c3-8c0c-cf2cdb690a23"</x:f>
        <x:v>cf620221-8d1b-43c3-8c0c-cf2cdb690a23</x:v>
      </x:c>
      <x:c r="B955" s="23" t="str">
        <x:v>EDUARDO BATISTA ELEOTERIO</x:v>
      </x:c>
      <x:c r="C955" s="23" t="str">
        <x:v>eduardo batista eleoterio</x:v>
      </x:c>
      <x:c r="D955" s="22" t="str">
        <x:f>"55.031.606/0001-86"</x:f>
        <x:v>55.031.606/0001-86</x:v>
      </x:c>
      <x:c r="E955" s="22" t="str">
        <x:f>"55031606000186"</x:f>
        <x:v>55031606000186</x:v>
      </x:c>
      <x:c r="F955" s="22" t="str">
        <x:f>"022.258.817-90"</x:f>
        <x:v>022.258.817-90</x:v>
      </x:c>
      <x:c r="G955" s="22" t="str">
        <x:f>"02225881790"</x:f>
        <x:v>02225881790</x:v>
      </x:c>
      <x:c r="H955" s="23" t="str">
        <x:v>robtrabalho09@gmail.com</x:v>
      </x:c>
      <x:c r="I955" s="22" t="str">
        <x:f>"21 99905‑2559"</x:f>
        <x:v>21 99905‑2559</x:v>
      </x:c>
      <x:c r="J955" s="23" t="str">
        <x:v>SPOT</x:v>
      </x:c>
      <x:c r="K955" s="23" t="str">
        <x:v>favored_only</x:v>
      </x:c>
      <x:c r="L955" s="24" t="b">
        <x:v>1</x:v>
      </x:c>
      <x:c r="M955" s="23" t="n">
        <x:v>1</x:v>
      </x:c>
      <x:c r="N955" s="28" t="n">
        <x:v>46219.812988715275</x:v>
      </x:c>
      <x:c r="O955" s="28" t="n">
        <x:v>46219.812988715275</x:v>
      </x:c>
      <x:c r="P955" s="23" t="str">
        <x:v>ITABORAI</x:v>
      </x:c>
      <x:c r="Q955" s="30" t="n">
        <x:v>26904</x:v>
      </x:c>
      <x:c r="R955" s="22" t="str">
        <x:f>"97674378"</x:f>
        <x:v>97674378</x:v>
      </x:c>
      <x:c r="S955" s="23" t="str">
        <x:v>masculino</x:v>
      </x:c>
      <x:c r="T955" s="22" t="str">
        <x:f>"LRJ8J84"</x:f>
        <x:v>LRJ8J84</x:v>
      </x:c>
      <x:c r="U955" s="23" t="str">
        <x:v>ROBERTA RODRIGUES DE SOUSA</x:v>
      </x:c>
      <x:c r="V955" s="22" t="str">
        <x:f>"143.129.897-29"</x:f>
        <x:v>143.129.897-29</x:v>
      </x:c>
      <x:c r="W955" s="22" t="str">
        <x:f>"14312989729"</x:f>
        <x:v>14312989729</x:v>
      </x:c>
      <x:c r="X955" s="23" t="str">
        <x:v>robtrabalho09@gmail.com</x:v>
      </x:c>
      <x:c r="Y955" s="22" t="str">
        <x:f>"21 97531-299"</x:f>
        <x:v>21 97531-299</x:v>
      </x:c>
      <x:c r="Z955" s="30" t="n">
        <x:v>46449</x:v>
      </x:c>
    </x:row>
    <x:row r="956" ht="18" customHeight="1">
      <x:c r="A956" s="22" t="str">
        <x:f>"c1a3449e-2ddc-48e4-a0e3-493bf0714f41"</x:f>
        <x:v>c1a3449e-2ddc-48e4-a0e3-493bf0714f41</x:v>
      </x:c>
      <x:c r="B956" s="23" t="str">
        <x:v>EDUARDO CARDOSO LIMA</x:v>
      </x:c>
      <x:c r="C956" s="23" t="str">
        <x:v>eduardo cardoso lima</x:v>
      </x:c>
      <x:c r="D956" s="22" t="str">
        <x:f>"63.588.797/0001-00"</x:f>
        <x:v>63.588.797/0001-00</x:v>
      </x:c>
      <x:c r="E956" s="22" t="str">
        <x:f>"63588797000100"</x:f>
        <x:v>63588797000100</x:v>
      </x:c>
      <x:c r="F956" s="22" t="str">
        <x:f>"055.893.171-50"</x:f>
        <x:v>055.893.171-50</x:v>
      </x:c>
      <x:c r="G956" s="22" t="str">
        <x:f>"05589317150"</x:f>
        <x:v>05589317150</x:v>
      </x:c>
      <x:c r="H956" s="23" t="str">
        <x:v>eduardomlivre2026@gmail.com</x:v>
      </x:c>
      <x:c r="I956" s="22" t="str">
        <x:f>"6599690-6389"</x:f>
        <x:v>6599690-6389</x:v>
      </x:c>
      <x:c r="J956" s="23" t="str">
        <x:v>SPOT</x:v>
      </x:c>
      <x:c r="K956" s="23" t="str">
        <x:v>favored_only</x:v>
      </x:c>
      <x:c r="L956" s="24" t="b">
        <x:v>1</x:v>
      </x:c>
      <x:c r="M956" s="23" t="n">
        <x:v>1</x:v>
      </x:c>
      <x:c r="N956" s="28" t="n">
        <x:v>46219.812988715275</x:v>
      </x:c>
      <x:c r="O956" s="28" t="n">
        <x:v>46219.812988715275</x:v>
      </x:c>
      <x:c r="P956" s="23" t="str">
        <x:v>ARAPUTANGA</x:v>
      </x:c>
      <x:c r="Q956" s="30" t="n">
        <x:v>35419</x:v>
      </x:c>
      <x:c r="R956" s="22" t="str">
        <x:f>"22797726 SSP MT"</x:f>
        <x:v>22797726 SSP MT</x:v>
      </x:c>
      <x:c r="S956" s="23" t="str">
        <x:v>masculino</x:v>
      </x:c>
      <x:c r="T956" s="22" t="str">
        <x:f>"SPF8I33"</x:f>
        <x:v>SPF8I33</x:v>
      </x:c>
      <x:c r="U956" s="23" t="str">
        <x:v>ADEGILSON MOREIRA RIOS JUNIOR</x:v>
      </x:c>
      <x:c r="V956" s="22" t="str">
        <x:f>"058.389.761-44"</x:f>
        <x:v>058.389.761-44</x:v>
      </x:c>
      <x:c r="W956" s="22" t="str">
        <x:f>"05838976144"</x:f>
        <x:v>05838976144</x:v>
      </x:c>
      <x:c r="X956" s="23" t="str">
        <x:v>Adegilsonjunior.aj@gmail.com</x:v>
      </x:c>
      <x:c r="Y956" s="22" t="str">
        <x:f>"65999739615"</x:f>
        <x:v>65999739615</x:v>
      </x:c>
      <x:c r="Z956" s="30" t="n">
        <x:v>46544</x:v>
      </x:c>
    </x:row>
    <x:row r="957" ht="18" customHeight="1">
      <x:c r="A957" s="22" t="str">
        <x:f>"6087bd55-f322-4631-8f6e-409fe7aba604"</x:f>
        <x:v>6087bd55-f322-4631-8f6e-409fe7aba604</x:v>
      </x:c>
      <x:c r="B957" s="23" t="str">
        <x:v>EDUARDO CLASS MIRANDA</x:v>
      </x:c>
      <x:c r="C957" s="23" t="str">
        <x:v>eduardo class miranda</x:v>
      </x:c>
      <x:c r="D957" s="22" t="str">
        <x:f>"65.523.721/0001-21"</x:f>
        <x:v>65.523.721/0001-21</x:v>
      </x:c>
      <x:c r="E957" s="22" t="str">
        <x:f>"65523721000121"</x:f>
        <x:v>65523721000121</x:v>
      </x:c>
      <x:c r="F957" s="22" t="str">
        <x:f>"168.525.617-12"</x:f>
        <x:v>168.525.617-12</x:v>
      </x:c>
      <x:c r="G957" s="22" t="str">
        <x:f>"16852561712"</x:f>
        <x:v>16852561712</x:v>
      </x:c>
      <x:c r="H957" s="23" t="str">
        <x:v>oficial.eduardomiranda@gmail.com</x:v>
      </x:c>
      <x:c r="I957" s="22" t="str">
        <x:f>"21965761981"</x:f>
        <x:v>21965761981</x:v>
      </x:c>
      <x:c r="J957" s="23" t="str">
        <x:v>SPOT</x:v>
      </x:c>
      <x:c r="K957" s="23" t="str">
        <x:v>favored_only</x:v>
      </x:c>
      <x:c r="L957" s="24" t="b">
        <x:v>1</x:v>
      </x:c>
      <x:c r="M957" s="23" t="n">
        <x:v>1</x:v>
      </x:c>
      <x:c r="N957" s="28" t="n">
        <x:v>46219.812988715275</x:v>
      </x:c>
      <x:c r="O957" s="28" t="n">
        <x:v>46219.812988715275</x:v>
      </x:c>
      <x:c r="P957" s="23" t="str">
        <x:v>ITABORAI</x:v>
      </x:c>
      <x:c r="Q957" s="30" t="n">
        <x:v>34714</x:v>
      </x:c>
      <x:c r="R957" s="22" t="str">
        <x:f>"6115669037"</x:f>
        <x:v>6115669037</x:v>
      </x:c>
      <x:c r="S957" s="23" t="str">
        <x:v>masculino</x:v>
      </x:c>
      <x:c r="T957" s="22" t="str">
        <x:f>"KRQ6A34"</x:f>
        <x:v>KRQ6A34</x:v>
      </x:c>
      <x:c r="U957" s="23" t="str">
        <x:v>EDUARDO CLASS MIRANDA</x:v>
      </x:c>
      <x:c r="V957" s="22" t="str">
        <x:f>"168.525.617-12"</x:f>
        <x:v>168.525.617-12</x:v>
      </x:c>
      <x:c r="W957" s="22" t="str">
        <x:f>"16852561712"</x:f>
        <x:v>16852561712</x:v>
      </x:c>
      <x:c r="X957" s="23" t="str">
        <x:v>oficial.eduardomiranda@gmail.com</x:v>
      </x:c>
      <x:c r="Y957" s="22" t="str">
        <x:f>"21965761981"</x:f>
        <x:v>21965761981</x:v>
      </x:c>
      <x:c r="Z957" s="30" t="n">
        <x:v>46479</x:v>
      </x:c>
    </x:row>
    <x:row r="958" ht="18" customHeight="1">
      <x:c r="A958" s="22" t="str">
        <x:f>"53483f0f-9b60-4314-a4ea-3316ed022f55"</x:f>
        <x:v>53483f0f-9b60-4314-a4ea-3316ed022f55</x:v>
      </x:c>
      <x:c r="B958" s="23" t="str">
        <x:v>EDUARDO DALLA VECCHIA VENTURA DE MELLO</x:v>
      </x:c>
      <x:c r="C958" s="23" t="str">
        <x:v>eduardo dalla vecchia ventura de mello</x:v>
      </x:c>
      <x:c r="D958" s="22" t="str">
        <x:f>"45.252.938/0001-37"</x:f>
        <x:v>45.252.938/0001-37</x:v>
      </x:c>
      <x:c r="E958" s="22" t="str">
        <x:f>"45252938000137"</x:f>
        <x:v>45252938000137</x:v>
      </x:c>
      <x:c r="F958" s="22" t="str">
        <x:f>"371.543.378-77"</x:f>
        <x:v>371.543.378-77</x:v>
      </x:c>
      <x:c r="G958" s="22" t="str">
        <x:f>"37154337877"</x:f>
        <x:v>37154337877</x:v>
      </x:c>
      <x:c r="H958" s="23" t="str">
        <x:v>eduardodvvmello@gmail.com</x:v>
      </x:c>
      <x:c r="I958" s="22" t="str">
        <x:f>"(17) 99210-9872"</x:f>
        <x:v>(17) 99210-9872</x:v>
      </x:c>
      <x:c r="J958" s="23" t="str">
        <x:v>RENTAL</x:v>
      </x:c>
      <x:c r="K958" s="23" t="str">
        <x:v>rental_company</x:v>
      </x:c>
      <x:c r="L958" s="24" t="b">
        <x:v>1</x:v>
      </x:c>
      <x:c r="M958" s="23" t="n">
        <x:v>1</x:v>
      </x:c>
      <x:c r="N958" s="28" t="n">
        <x:v>46219.812988715275</x:v>
      </x:c>
      <x:c r="O958" s="28" t="n">
        <x:v>46219.812988715275</x:v>
      </x:c>
      <x:c r="P958" s="23" t="str">
        <x:v>BARRETOS</x:v>
      </x:c>
      <x:c r="Q958" s="30" t="n">
        <x:v>38434</x:v>
      </x:c>
      <x:c r="R958" s="22" t="str">
        <x:f>"57266896X"</x:f>
        <x:v>57266896X</x:v>
      </x:c>
      <x:c r="S958" s="23" t="str">
        <x:v>masculino</x:v>
      </x:c>
      <x:c r="T958" s="22" t="str"/>
      <x:c r="U958" s="23" t="str">
        <x:v>EDUARDO DALLA VECCHIA VENTURA DE MELLO</x:v>
      </x:c>
      <x:c r="V958" s="22" t="str">
        <x:f>"371.543.378-77"</x:f>
        <x:v>371.543.378-77</x:v>
      </x:c>
      <x:c r="W958" s="22" t="str">
        <x:f>"37154337877"</x:f>
        <x:v>37154337877</x:v>
      </x:c>
      <x:c r="X958" s="23" t="str">
        <x:v>eduardodvvmello@gmail.com</x:v>
      </x:c>
      <x:c r="Y958" s="22" t="str">
        <x:f>"(17) 99210-9872"</x:f>
        <x:v>(17) 99210-9872</x:v>
      </x:c>
      <x:c r="Z958" s="30" t="n">
        <x:v>46403</x:v>
      </x:c>
    </x:row>
    <x:row r="959" ht="18" customHeight="1">
      <x:c r="A959" s="22" t="str">
        <x:f>"9fc0bbfb-b3d9-40c5-a34a-5b7cd04a553d"</x:f>
        <x:v>9fc0bbfb-b3d9-40c5-a34a-5b7cd04a553d</x:v>
      </x:c>
      <x:c r="B959" s="23" t="str">
        <x:v>EDUARDO DA SILVA ALVES</x:v>
      </x:c>
      <x:c r="C959" s="23" t="str">
        <x:v>eduardo da silva alves</x:v>
      </x:c>
      <x:c r="D959" s="22" t="str">
        <x:f>"48.135.592/0001-85"</x:f>
        <x:v>48.135.592/0001-85</x:v>
      </x:c>
      <x:c r="E959" s="22" t="str">
        <x:f>"48135592000185"</x:f>
        <x:v>48135592000185</x:v>
      </x:c>
      <x:c r="F959" s="22" t="str">
        <x:f>"137.726.647-84"</x:f>
        <x:v>137.726.647-84</x:v>
      </x:c>
      <x:c r="G959" s="22" t="str">
        <x:f>"13772664784"</x:f>
        <x:v>13772664784</x:v>
      </x:c>
      <x:c r="H959" s="23" t="str">
        <x:v>eduardodasilvaalves11@gmail.com</x:v>
      </x:c>
      <x:c r="I959" s="22" t="str">
        <x:f>"21994015444"</x:f>
        <x:v>21994015444</x:v>
      </x:c>
      <x:c r="J959" s="23" t="str">
        <x:v>SPOT</x:v>
      </x:c>
      <x:c r="K959" s="23" t="str">
        <x:v>favored_only</x:v>
      </x:c>
      <x:c r="L959" s="24" t="b">
        <x:v>1</x:v>
      </x:c>
      <x:c r="M959" s="23" t="n">
        <x:v>1</x:v>
      </x:c>
      <x:c r="N959" s="28" t="n">
        <x:v>46203.9219084375</x:v>
      </x:c>
      <x:c r="O959" s="28" t="n">
        <x:v>46219.812988715275</x:v>
      </x:c>
      <x:c r="P959" s="23" t="str">
        <x:v>QUEIMADOS</x:v>
      </x:c>
      <x:c r="Q959" s="30" t="n">
        <x:v>33557</x:v>
      </x:c>
      <x:c r="R959" s="22" t="str">
        <x:f>"207366758"</x:f>
        <x:v>207366758</x:v>
      </x:c>
      <x:c r="S959" s="23" t="str">
        <x:v>masculino</x:v>
      </x:c>
      <x:c r="T959" s="22" t="str">
        <x:f>"LQT1595"</x:f>
        <x:v>LQT1595</x:v>
      </x:c>
      <x:c r="U959" s="23" t="str">
        <x:v>EDUARDO DA SILVA ALVES</x:v>
      </x:c>
      <x:c r="V959" s="22" t="str">
        <x:f>"137.726.647-84"</x:f>
        <x:v>137.726.647-84</x:v>
      </x:c>
      <x:c r="W959" s="22" t="str">
        <x:f>"13772664784"</x:f>
        <x:v>13772664784</x:v>
      </x:c>
      <x:c r="X959" s="23" t="str">
        <x:v>eduardodasilvaalves11@gmail.com</x:v>
      </x:c>
      <x:c r="Y959" s="22" t="str">
        <x:f>"21994015444"</x:f>
        <x:v>21994015444</x:v>
      </x:c>
      <x:c r="Z959" s="30" t="n">
        <x:v>46386</x:v>
      </x:c>
    </x:row>
    <x:row r="960" ht="18" customHeight="1">
      <x:c r="A960" s="22" t="str">
        <x:f>"18c07ca0-7ff6-4a85-955a-38bbce328d5c"</x:f>
        <x:v>18c07ca0-7ff6-4a85-955a-38bbce328d5c</x:v>
      </x:c>
      <x:c r="B960" s="23" t="str">
        <x:v>EDUARDO GABRIEL SOARES TEIXEIRA</x:v>
      </x:c>
      <x:c r="C960" s="23" t="str">
        <x:v>eduardo gabriel soares teixeira</x:v>
      </x:c>
      <x:c r="D960" s="22" t="str">
        <x:f>"37.823.997/0001-90"</x:f>
        <x:v>37.823.997/0001-90</x:v>
      </x:c>
      <x:c r="E960" s="22" t="str">
        <x:f>"37823997000190"</x:f>
        <x:v>37823997000190</x:v>
      </x:c>
      <x:c r="F960" s="22" t="str">
        <x:f>"023.842.901-69"</x:f>
        <x:v>023.842.901-69</x:v>
      </x:c>
      <x:c r="G960" s="22" t="str">
        <x:f>"02384290169"</x:f>
        <x:v>02384290169</x:v>
      </x:c>
      <x:c r="H960" s="23" t="str">
        <x:v>edurdodraude89@hotmail.com</x:v>
      </x:c>
      <x:c r="I960" s="22" t="str">
        <x:f>"62992185007"</x:f>
        <x:v>62992185007</x:v>
      </x:c>
      <x:c r="J960" s="23" t="str">
        <x:v>SPOT</x:v>
      </x:c>
      <x:c r="K960" s="23" t="str">
        <x:v>favored_only</x:v>
      </x:c>
      <x:c r="L960" s="24" t="b">
        <x:v>1</x:v>
      </x:c>
      <x:c r="M960" s="23" t="n">
        <x:v>1</x:v>
      </x:c>
      <x:c r="N960" s="28" t="n">
        <x:v>46205.60512782408</x:v>
      </x:c>
      <x:c r="O960" s="28" t="n">
        <x:v>46219.812988715275</x:v>
      </x:c>
      <x:c r="P960" s="23" t="str">
        <x:v>GOIANIA</x:v>
      </x:c>
      <x:c r="Q960" s="30" t="n">
        <x:v>32863</x:v>
      </x:c>
      <x:c r="R960" s="22" t="str">
        <x:f>"5445535"</x:f>
        <x:v>5445535</x:v>
      </x:c>
      <x:c r="S960" s="23" t="str">
        <x:v>masculino</x:v>
      </x:c>
      <x:c r="T960" s="22" t="str">
        <x:f>"PAE6J79"</x:f>
        <x:v>PAE6J79</x:v>
      </x:c>
      <x:c r="U960" s="23" t="str">
        <x:v>DANILLO BACCIEL ALMEIDA</x:v>
      </x:c>
      <x:c r="V960" s="22" t="str">
        <x:f>"019.928.911-50"</x:f>
        <x:v>019.928.911-50</x:v>
      </x:c>
      <x:c r="W960" s="22" t="str">
        <x:f>"01992891150"</x:f>
        <x:v>01992891150</x:v>
      </x:c>
      <x:c r="X960" s="23" t="str">
        <x:v>rtp.cargas@gmail.com</x:v>
      </x:c>
      <x:c r="Y960" s="22" t="str">
        <x:f>"62 9661-0607"</x:f>
        <x:v>62 9661-0607</x:v>
      </x:c>
      <x:c r="Z960" s="30" t="n">
        <x:v>46316</x:v>
      </x:c>
    </x:row>
    <x:row r="961" ht="18" customHeight="1">
      <x:c r="A961" s="22" t="str">
        <x:f>"d25153a2-d155-42df-a339-a5a50d1a922e"</x:f>
        <x:v>d25153a2-d155-42df-a339-a5a50d1a922e</x:v>
      </x:c>
      <x:c r="B961" s="23" t="str">
        <x:v>EDUARDO GABRIEL SOARES TEIXEIRA</x:v>
      </x:c>
      <x:c r="C961" s="23" t="str">
        <x:v>eduardo gabriel soares teixeira</x:v>
      </x:c>
      <x:c r="D961" s="22" t="str">
        <x:f>"64.359.307/0001-66"</x:f>
        <x:v>64.359.307/0001-66</x:v>
      </x:c>
      <x:c r="E961" s="22" t="str">
        <x:f>"64359307000166"</x:f>
        <x:v>64359307000166</x:v>
      </x:c>
      <x:c r="F961" s="22" t="str">
        <x:f>"023.842.901-69"</x:f>
        <x:v>023.842.901-69</x:v>
      </x:c>
      <x:c r="G961" s="22" t="str">
        <x:f>"02384290169"</x:f>
        <x:v>02384290169</x:v>
      </x:c>
      <x:c r="H961" s="23" t="str">
        <x:v>edurdodraude89@hotmail.com</x:v>
      </x:c>
      <x:c r="I961" s="22" t="str">
        <x:f>"629 9218-5007"</x:f>
        <x:v>629 9218-5007</x:v>
      </x:c>
      <x:c r="J961" s="23" t="str">
        <x:v>SPOT</x:v>
      </x:c>
      <x:c r="K961" s="23" t="str">
        <x:v>favored_only</x:v>
      </x:c>
      <x:c r="L961" s="24" t="b">
        <x:v>1</x:v>
      </x:c>
      <x:c r="M961" s="23" t="n">
        <x:v>1</x:v>
      </x:c>
      <x:c r="N961" s="28" t="n">
        <x:v>46219.812988715275</x:v>
      </x:c>
      <x:c r="O961" s="28" t="n">
        <x:v>46219.812988715275</x:v>
      </x:c>
      <x:c r="P961" s="23" t="str">
        <x:v>GOIANIA</x:v>
      </x:c>
      <x:c r="Q961" s="30" t="n">
        <x:v>32863</x:v>
      </x:c>
      <x:c r="R961" s="22" t="str">
        <x:f>"5445535"</x:f>
        <x:v>5445535</x:v>
      </x:c>
      <x:c r="S961" s="23" t="str">
        <x:v>masculino</x:v>
      </x:c>
      <x:c r="T961" s="22" t="str">
        <x:f>"PAE6J79"</x:f>
        <x:v>PAE6J79</x:v>
      </x:c>
      <x:c r="U961" s="23" t="str">
        <x:v>MICHELLY SOUSA SANTANA LOBO</x:v>
      </x:c>
      <x:c r="V961" s="22" t="str">
        <x:f>"037.759.831-39"</x:f>
        <x:v>037.759.831-39</x:v>
      </x:c>
      <x:c r="W961" s="22" t="str">
        <x:f>"03775983139"</x:f>
        <x:v>03775983139</x:v>
      </x:c>
      <x:c r="X961" s="23" t="str">
        <x:v>michellysousasantana@hotmail.com</x:v>
      </x:c>
      <x:c r="Y961" s="22" t="str">
        <x:f>"62984848895"</x:f>
        <x:v>62984848895</x:v>
      </x:c>
      <x:c r="Z961" s="30" t="n">
        <x:v>46421</x:v>
      </x:c>
    </x:row>
    <x:row r="962" ht="18" customHeight="1">
      <x:c r="A962" s="22" t="str">
        <x:f>"d348a376-b97d-4751-9126-85182f2d9298"</x:f>
        <x:v>d348a376-b97d-4751-9126-85182f2d9298</x:v>
      </x:c>
      <x:c r="B962" s="23" t="str">
        <x:v>EDUARDO GOMES DELGADO</x:v>
      </x:c>
      <x:c r="C962" s="23" t="str">
        <x:v>eduardo gomes delgado</x:v>
      </x:c>
      <x:c r="D962" s="22" t="str">
        <x:f>"58.547.763/0001-37"</x:f>
        <x:v>58.547.763/0001-37</x:v>
      </x:c>
      <x:c r="E962" s="22" t="str">
        <x:f>"58547763000137"</x:f>
        <x:v>58547763000137</x:v>
      </x:c>
      <x:c r="F962" s="22" t="str">
        <x:f>"185.571.107-90"</x:f>
        <x:v>185.571.107-90</x:v>
      </x:c>
      <x:c r="G962" s="22" t="str">
        <x:f>"18557110790"</x:f>
        <x:v>18557110790</x:v>
      </x:c>
      <x:c r="H962" s="23" t="str">
        <x:v>BATOREGOMES889@GMAIL.COM</x:v>
      </x:c>
      <x:c r="I962" s="22" t="str">
        <x:f>"22 981417569"</x:f>
        <x:v>22 981417569</x:v>
      </x:c>
      <x:c r="J962" s="23" t="str">
        <x:v>SPOT</x:v>
      </x:c>
      <x:c r="K962" s="23" t="str">
        <x:v>favored_only</x:v>
      </x:c>
      <x:c r="L962" s="24" t="b">
        <x:v>1</x:v>
      </x:c>
      <x:c r="M962" s="23" t="n">
        <x:v>1</x:v>
      </x:c>
      <x:c r="N962" s="28" t="n">
        <x:v>46205.60715269676</x:v>
      </x:c>
      <x:c r="O962" s="28" t="n">
        <x:v>46219.812988715275</x:v>
      </x:c>
      <x:c r="P962" s="23" t="str">
        <x:v>CAMPOS DOS GOYTACAZES</x:v>
      </x:c>
      <x:c r="Q962" s="30" t="n">
        <x:v>37444</x:v>
      </x:c>
      <x:c r="R962" s="22" t="str">
        <x:f>"320671639"</x:f>
        <x:v>320671639</x:v>
      </x:c>
      <x:c r="S962" s="23" t="str">
        <x:v>masculino</x:v>
      </x:c>
      <x:c r="T962" s="22" t="str">
        <x:f>"KWG9J82"</x:f>
        <x:v>KWG9J82</x:v>
      </x:c>
      <x:c r="U962" s="23" t="str">
        <x:v>GIAN LUIZ FERREIRA MENDES</x:v>
      </x:c>
      <x:c r="V962" s="22" t="str">
        <x:f>"150.312.347-25"</x:f>
        <x:v>150.312.347-25</x:v>
      </x:c>
      <x:c r="W962" s="22" t="str">
        <x:f>"15031234725"</x:f>
        <x:v>15031234725</x:v>
      </x:c>
      <x:c r="X962" s="23" t="str">
        <x:v>GIANLUIZMENDES@GMAIL.COM</x:v>
      </x:c>
      <x:c r="Y962" s="22" t="str">
        <x:f>"22 998287560"</x:f>
        <x:v>22 998287560</x:v>
      </x:c>
      <x:c r="Z962" s="30" t="n">
        <x:v>46393</x:v>
      </x:c>
    </x:row>
    <x:row r="963" ht="18" customHeight="1">
      <x:c r="A963" s="22" t="str">
        <x:f>"f44214f3-ea5a-45a1-87b3-3e5ed8813ae7"</x:f>
        <x:v>f44214f3-ea5a-45a1-87b3-3e5ed8813ae7</x:v>
      </x:c>
      <x:c r="B963" s="23" t="str">
        <x:v>EDUARDO HENRIQUE DA SILVA</x:v>
      </x:c>
      <x:c r="C963" s="23" t="str">
        <x:v>eduardo henrique da silva</x:v>
      </x:c>
      <x:c r="D963" s="22" t="str">
        <x:f>"64.283.731/0001-74"</x:f>
        <x:v>64.283.731/0001-74</x:v>
      </x:c>
      <x:c r="E963" s="22" t="str">
        <x:f>"64283731000174"</x:f>
        <x:v>64283731000174</x:v>
      </x:c>
      <x:c r="F963" s="22" t="str">
        <x:f>"095.200.186-11"</x:f>
        <x:v>095.200.186-11</x:v>
      </x:c>
      <x:c r="G963" s="22" t="str">
        <x:f>"09520018611"</x:f>
        <x:v>09520018611</x:v>
      </x:c>
      <x:c r="H963" s="23" t="str">
        <x:v>eduh62@gmail.com</x:v>
      </x:c>
      <x:c r="I963" s="22" t="str">
        <x:f>"31996167017"</x:f>
        <x:v>31996167017</x:v>
      </x:c>
      <x:c r="J963" s="23" t="str">
        <x:v>SPOT</x:v>
      </x:c>
      <x:c r="K963" s="23" t="str">
        <x:v>favored_only</x:v>
      </x:c>
      <x:c r="L963" s="24" t="b">
        <x:v>1</x:v>
      </x:c>
      <x:c r="M963" s="23" t="n">
        <x:v>1</x:v>
      </x:c>
      <x:c r="N963" s="28" t="n">
        <x:v>46219.812988715275</x:v>
      </x:c>
      <x:c r="O963" s="28" t="n">
        <x:v>46219.812988715275</x:v>
      </x:c>
      <x:c r="P963" s="23" t="str">
        <x:v>CONTAGEM</x:v>
      </x:c>
      <x:c r="Q963" s="30" t="n">
        <x:v>33046</x:v>
      </x:c>
      <x:c r="R963" s="22" t="str">
        <x:f>"MG12547739"</x:f>
        <x:v>MG12547739</x:v>
      </x:c>
      <x:c r="S963" s="23" t="str">
        <x:v>masculino</x:v>
      </x:c>
      <x:c r="T963" s="22" t="str">
        <x:f>"OPS6E90"</x:f>
        <x:v>OPS6E90</x:v>
      </x:c>
      <x:c r="U963" s="23" t="str">
        <x:v>EDUARDO HENRIQUE DA SILVA</x:v>
      </x:c>
      <x:c r="V963" s="22" t="str">
        <x:f>"095.200.186-11"</x:f>
        <x:v>095.200.186-11</x:v>
      </x:c>
      <x:c r="W963" s="22" t="str">
        <x:f>"09520018611"</x:f>
        <x:v>09520018611</x:v>
      </x:c>
      <x:c r="X963" s="23" t="str">
        <x:v>eduh62@gmail.com</x:v>
      </x:c>
      <x:c r="Y963" s="22" t="str">
        <x:f>"31996167017"</x:f>
        <x:v>31996167017</x:v>
      </x:c>
      <x:c r="Z963" s="30" t="n">
        <x:v>46476</x:v>
      </x:c>
    </x:row>
    <x:row r="964" ht="18" customHeight="1">
      <x:c r="A964" s="22" t="str">
        <x:f>"c0e28fc7-0684-4a2e-b66c-c314215a0ffe"</x:f>
        <x:v>c0e28fc7-0684-4a2e-b66c-c314215a0ffe</x:v>
      </x:c>
      <x:c r="B964" s="23" t="str">
        <x:v>EDUARDO HENRIQUE RODRIGUES FURTADO SILVA</x:v>
      </x:c>
      <x:c r="C964" s="23" t="str">
        <x:v>eduardo henrique rodrigues furtado silva</x:v>
      </x:c>
      <x:c r="D964" s="22" t="str">
        <x:f>"61.460.875/0001-60"</x:f>
        <x:v>61.460.875/0001-60</x:v>
      </x:c>
      <x:c r="E964" s="22" t="str">
        <x:f>"61460875000160"</x:f>
        <x:v>61460875000160</x:v>
      </x:c>
      <x:c r="F964" s="22" t="str">
        <x:f>"701.304.571-32"</x:f>
        <x:v>701.304.571-32</x:v>
      </x:c>
      <x:c r="G964" s="22" t="str">
        <x:f>"70130457132"</x:f>
        <x:v>70130457132</x:v>
      </x:c>
      <x:c r="H964" s="23" t="str">
        <x:v>eduardo.henjr11@gmail.com</x:v>
      </x:c>
      <x:c r="I964" s="22" t="str">
        <x:f>"64 99323-3263"</x:f>
        <x:v>64 99323-3263</x:v>
      </x:c>
      <x:c r="J964" s="23" t="str">
        <x:v>RENTAL</x:v>
      </x:c>
      <x:c r="K964" s="23" t="str">
        <x:v>rental_company</x:v>
      </x:c>
      <x:c r="L964" s="24" t="b">
        <x:v>1</x:v>
      </x:c>
      <x:c r="M964" s="23" t="n">
        <x:v>1</x:v>
      </x:c>
      <x:c r="N964" s="28" t="n">
        <x:v>46203.92183332176</x:v>
      </x:c>
      <x:c r="O964" s="28" t="n">
        <x:v>46219.812988715275</x:v>
      </x:c>
      <x:c r="P964" s="23" t="str">
        <x:v>RIO VERDE</x:v>
      </x:c>
      <x:c r="Q964" s="30" t="n">
        <x:v>37614</x:v>
      </x:c>
      <x:c r="R964" s="22" t="str">
        <x:f>"6029976"</x:f>
        <x:v>6029976</x:v>
      </x:c>
      <x:c r="S964" s="23" t="str">
        <x:v>masculino</x:v>
      </x:c>
      <x:c r="T964" s="22" t="str"/>
      <x:c r="U964" s="23" t="str">
        <x:v>EDUARDO HENRIQUE RODRIGUES FURTADO SILVA</x:v>
      </x:c>
      <x:c r="V964" s="22" t="str">
        <x:f>"701.304.571-32"</x:f>
        <x:v>701.304.571-32</x:v>
      </x:c>
      <x:c r="W964" s="22" t="str">
        <x:f>"70130457132"</x:f>
        <x:v>70130457132</x:v>
      </x:c>
      <x:c r="X964" s="23" t="str">
        <x:v>eduardo.henjr11@gmail.com</x:v>
      </x:c>
      <x:c r="Y964" s="22" t="str">
        <x:f>"64 99323-3263"</x:f>
        <x:v>64 99323-3263</x:v>
      </x:c>
      <x:c r="Z964" s="30" t="n">
        <x:v>46528</x:v>
      </x:c>
    </x:row>
    <x:row r="965" ht="18" customHeight="1">
      <x:c r="A965" s="22" t="str">
        <x:f>"03b3bf1e-1d17-44ca-902d-e4b9bd5b85aa"</x:f>
        <x:v>03b3bf1e-1d17-44ca-902d-e4b9bd5b85aa</x:v>
      </x:c>
      <x:c r="B965" s="23" t="str">
        <x:v>EDUARDO HENRIQUE VIEIRA SANTOS</x:v>
      </x:c>
      <x:c r="C965" s="23" t="str">
        <x:v>eduardo henrique vieira santos</x:v>
      </x:c>
      <x:c r="D965" s="22" t="str">
        <x:f>"59.439.838/0001-29"</x:f>
        <x:v>59.439.838/0001-29</x:v>
      </x:c>
      <x:c r="E965" s="22" t="str">
        <x:f>"59439838000129"</x:f>
        <x:v>59439838000129</x:v>
      </x:c>
      <x:c r="F965" s="22" t="str">
        <x:f>"703.842.126-38"</x:f>
        <x:v>703.842.126-38</x:v>
      </x:c>
      <x:c r="G965" s="22" t="str">
        <x:f>"70384212638"</x:f>
        <x:v>70384212638</x:v>
      </x:c>
      <x:c r="H965" s="23" t="str">
        <x:v>eduardohenriquevieira71@gmail.com</x:v>
      </x:c>
      <x:c r="I965" s="22" t="str">
        <x:f>"(34) 98418-8274"</x:f>
        <x:v>(34) 98418-8274</x:v>
      </x:c>
      <x:c r="J965" s="23" t="str">
        <x:v>RENTAL</x:v>
      </x:c>
      <x:c r="K965" s="23" t="str">
        <x:v>rental_company</x:v>
      </x:c>
      <x:c r="L965" s="24" t="b">
        <x:v>1</x:v>
      </x:c>
      <x:c r="M965" s="23" t="n">
        <x:v>1</x:v>
      </x:c>
      <x:c r="N965" s="28" t="n">
        <x:v>46219.812988715275</x:v>
      </x:c>
      <x:c r="O965" s="28" t="n">
        <x:v>46219.812988715275</x:v>
      </x:c>
      <x:c r="P965" s="23" t="str">
        <x:v>UBERLANDIA</x:v>
      </x:c>
      <x:c r="Q965" s="30" t="n">
        <x:v>38484</x:v>
      </x:c>
      <x:c r="R965" s="22" t="str">
        <x:f>"MG22313772 PC MG"</x:f>
        <x:v>MG22313772 PC MG</x:v>
      </x:c>
      <x:c r="S965" s="23" t="str">
        <x:v>masculino</x:v>
      </x:c>
      <x:c r="T965" s="22" t="str"/>
      <x:c r="U965" s="23" t="str">
        <x:v>EDUARDO HENRIQUE VIEIRA SANTOS</x:v>
      </x:c>
      <x:c r="V965" s="22" t="str">
        <x:f>"703.842.126-38"</x:f>
        <x:v>703.842.126-38</x:v>
      </x:c>
      <x:c r="W965" s="22" t="str">
        <x:f>"70384212638"</x:f>
        <x:v>70384212638</x:v>
      </x:c>
      <x:c r="X965" s="23" t="str">
        <x:v>eduardohenriquevieira71@gmail.com</x:v>
      </x:c>
      <x:c r="Y965" s="22" t="str">
        <x:f>"(34) 98418-8274"</x:f>
        <x:v>(34) 98418-8274</x:v>
      </x:c>
      <x:c r="Z965" s="30" t="n">
        <x:v>46429</x:v>
      </x:c>
    </x:row>
    <x:row r="966" ht="18" customHeight="1">
      <x:c r="A966" s="22" t="str">
        <x:f>"67a469bc-c3b1-409a-80d2-66480b8f3e4c"</x:f>
        <x:v>67a469bc-c3b1-409a-80d2-66480b8f3e4c</x:v>
      </x:c>
      <x:c r="B966" s="23" t="str">
        <x:v>EDUARDO LIMA DA SILVA</x:v>
      </x:c>
      <x:c r="C966" s="23" t="str">
        <x:v>eduardo lima da silva</x:v>
      </x:c>
      <x:c r="D966" s="22" t="str">
        <x:f>"61.950.015/0001-05"</x:f>
        <x:v>61.950.015/0001-05</x:v>
      </x:c>
      <x:c r="E966" s="22" t="str">
        <x:f>"61950015000105"</x:f>
        <x:v>61950015000105</x:v>
      </x:c>
      <x:c r="F966" s="22" t="str">
        <x:f>"331.634.048-39"</x:f>
        <x:v>331.634.048-39</x:v>
      </x:c>
      <x:c r="G966" s="22" t="str">
        <x:f>"33163404839"</x:f>
        <x:v>33163404839</x:v>
      </x:c>
      <x:c r="H966" s="23" t="str">
        <x:v>eeduardo.cade@gmail.com</x:v>
      </x:c>
      <x:c r="I966" s="22" t="str">
        <x:f>"11 958289091"</x:f>
        <x:v>11 958289091</x:v>
      </x:c>
      <x:c r="J966" s="23" t="str">
        <x:v>SPOT</x:v>
      </x:c>
      <x:c r="K966" s="23" t="str">
        <x:v>favored_only</x:v>
      </x:c>
      <x:c r="L966" s="24" t="b">
        <x:v>1</x:v>
      </x:c>
      <x:c r="M966" s="23" t="n">
        <x:v>1</x:v>
      </x:c>
      <x:c r="N966" s="28" t="n">
        <x:v>46219.812988715275</x:v>
      </x:c>
      <x:c r="O966" s="28" t="n">
        <x:v>46219.812988715275</x:v>
      </x:c>
      <x:c r="P966" s="23" t="str">
        <x:v>BARUERI</x:v>
      </x:c>
      <x:c r="Q966" s="30" t="n">
        <x:v>31293</x:v>
      </x:c>
      <x:c r="R966" s="22" t="str">
        <x:f>"35130780"</x:f>
        <x:v>35130780</x:v>
      </x:c>
      <x:c r="S966" s="23" t="str">
        <x:v>masculino</x:v>
      </x:c>
      <x:c r="T966" s="22" t="str">
        <x:f>"FAD7I91"</x:f>
        <x:v>FAD7I91</x:v>
      </x:c>
      <x:c r="U966" s="23" t="str">
        <x:v>EDUARDO LIMA DA SILVA</x:v>
      </x:c>
      <x:c r="V966" s="22" t="str">
        <x:f>"331.634.048-39"</x:f>
        <x:v>331.634.048-39</x:v>
      </x:c>
      <x:c r="W966" s="22" t="str">
        <x:f>"33163404839"</x:f>
        <x:v>33163404839</x:v>
      </x:c>
      <x:c r="X966" s="23" t="str">
        <x:v>eeduardo.cade@gmail.com</x:v>
      </x:c>
      <x:c r="Y966" s="22" t="str">
        <x:f>"11 958289091"</x:f>
        <x:v>11 958289091</x:v>
      </x:c>
      <x:c r="Z966" s="30" t="n">
        <x:v>46444</x:v>
      </x:c>
    </x:row>
    <x:row r="967" ht="18" customHeight="1">
      <x:c r="A967" s="22" t="str">
        <x:f>"d84b85d8-14d2-4205-ac8a-e618e43c5670"</x:f>
        <x:v>d84b85d8-14d2-4205-ac8a-e618e43c5670</x:v>
      </x:c>
      <x:c r="B967" s="23" t="str">
        <x:v>EDUARDO LUIS ZANELATO</x:v>
      </x:c>
      <x:c r="C967" s="23" t="str">
        <x:v>eduardo luis zanelato</x:v>
      </x:c>
      <x:c r="D967" s="22" t="str">
        <x:f>"51.379.624/0001-00"</x:f>
        <x:v>51.379.624/0001-00</x:v>
      </x:c>
      <x:c r="E967" s="22" t="str">
        <x:f>"51379624000100"</x:f>
        <x:v>51379624000100</x:v>
      </x:c>
      <x:c r="F967" s="22" t="str">
        <x:f>"317.726.218-70"</x:f>
        <x:v>317.726.218-70</x:v>
      </x:c>
      <x:c r="G967" s="22" t="str">
        <x:f>"31772621870"</x:f>
        <x:v>31772621870</x:v>
      </x:c>
      <x:c r="H967" s="23" t="str">
        <x:v>edu.bldlogistica@gmail.com</x:v>
      </x:c>
      <x:c r="I967" s="22" t="str">
        <x:f>"1899690-1756"</x:f>
        <x:v>1899690-1756</x:v>
      </x:c>
      <x:c r="J967" s="23" t="str">
        <x:v>RENTAL</x:v>
      </x:c>
      <x:c r="K967" s="23" t="str">
        <x:v>rental_company</x:v>
      </x:c>
      <x:c r="L967" s="24" t="b">
        <x:v>1</x:v>
      </x:c>
      <x:c r="M967" s="23" t="n">
        <x:v>2</x:v>
      </x:c>
      <x:c r="N967" s="28" t="n">
        <x:v>46203.92183017361</x:v>
      </x:c>
      <x:c r="O967" s="28" t="n">
        <x:v>46219.812988715275</x:v>
      </x:c>
      <x:c r="P967" s="23" t="str">
        <x:v>PRESIDENTE PRUDENTE</x:v>
      </x:c>
      <x:c r="Q967" s="30" t="n">
        <x:v>31085</x:v>
      </x:c>
      <x:c r="R967" s="22" t="str">
        <x:f>"43.401.781-4"</x:f>
        <x:v>43.401.781-4</x:v>
      </x:c>
      <x:c r="S967" s="23" t="str">
        <x:v>masculino</x:v>
      </x:c>
      <x:c r="T967" s="22" t="str"/>
      <x:c r="U967" s="23" t="str">
        <x:v>EDUARDO LUIS ZANELATO</x:v>
      </x:c>
      <x:c r="V967" s="22" t="str">
        <x:f>"317.726.218-70"</x:f>
        <x:v>317.726.218-70</x:v>
      </x:c>
      <x:c r="W967" s="22" t="str">
        <x:f>"31772621870"</x:f>
        <x:v>31772621870</x:v>
      </x:c>
      <x:c r="X967" s="23" t="str">
        <x:v>edu.bldlogistica@gmail.com</x:v>
      </x:c>
      <x:c r="Y967" s="22" t="str">
        <x:f>"1899690-1756"</x:f>
        <x:v>1899690-1756</x:v>
      </x:c>
      <x:c r="Z967" s="30" t="n">
        <x:v>46415</x:v>
      </x:c>
    </x:row>
    <x:row r="968" ht="18" customHeight="1">
      <x:c r="A968" s="22" t="str">
        <x:f>"004672ae-f578-4ad9-bba4-8f03ab921e97"</x:f>
        <x:v>004672ae-f578-4ad9-bba4-8f03ab921e97</x:v>
      </x:c>
      <x:c r="B968" s="23" t="str">
        <x:v>EDUARDO MACEDO SOUZA</x:v>
      </x:c>
      <x:c r="C968" s="23" t="str">
        <x:v>eduardo macedo souza</x:v>
      </x:c>
      <x:c r="D968" s="22" t="str">
        <x:f>"55.834.999/0001-66"</x:f>
        <x:v>55.834.999/0001-66</x:v>
      </x:c>
      <x:c r="E968" s="22" t="str">
        <x:f>"55834999000166"</x:f>
        <x:v>55834999000166</x:v>
      </x:c>
      <x:c r="F968" s="22" t="str">
        <x:f>"039.762.471-97"</x:f>
        <x:v>039.762.471-97</x:v>
      </x:c>
      <x:c r="G968" s="22" t="str">
        <x:f>"03976247197"</x:f>
        <x:v>03976247197</x:v>
      </x:c>
      <x:c r="H968" s="23" t="str">
        <x:v>EduardoMacedo_22@outlook.com</x:v>
      </x:c>
      <x:c r="I968" s="22" t="str">
        <x:f>"65 9643-1373"</x:f>
        <x:v>65 9643-1373</x:v>
      </x:c>
      <x:c r="J968" s="23" t="str">
        <x:v>SPOT</x:v>
      </x:c>
      <x:c r="K968" s="23" t="str">
        <x:v>favored_only</x:v>
      </x:c>
      <x:c r="L968" s="24" t="b">
        <x:v>1</x:v>
      </x:c>
      <x:c r="M968" s="23" t="n">
        <x:v>1</x:v>
      </x:c>
      <x:c r="N968" s="28" t="n">
        <x:v>46203.92183017361</x:v>
      </x:c>
      <x:c r="O968" s="28" t="n">
        <x:v>46219.812988715275</x:v>
      </x:c>
      <x:c r="P968" s="23" t="str">
        <x:v>PONTES E LACERDA</x:v>
      </x:c>
      <x:c r="Q968" s="30" t="n">
        <x:v>33793</x:v>
      </x:c>
      <x:c r="R968" s="22" t="str">
        <x:f>"2235641-0"</x:f>
        <x:v>2235641-0</x:v>
      </x:c>
      <x:c r="S968" s="23" t="str">
        <x:v>masculino</x:v>
      </x:c>
      <x:c r="T968" s="22" t="str">
        <x:f>"ONS7E50"</x:f>
        <x:v>ONS7E50</x:v>
      </x:c>
      <x:c r="U968" s="23" t="str">
        <x:v>EDUARDO MACEDO SOUZA</x:v>
      </x:c>
      <x:c r="V968" s="22" t="str">
        <x:f>"039.762.471-97"</x:f>
        <x:v>039.762.471-97</x:v>
      </x:c>
      <x:c r="W968" s="22" t="str">
        <x:f>"03976247197"</x:f>
        <x:v>03976247197</x:v>
      </x:c>
      <x:c r="X968" s="23" t="str">
        <x:v>EduardoMacedo_22@outlook.com</x:v>
      </x:c>
      <x:c r="Y968" s="22" t="str">
        <x:f>"65 9643-1373"</x:f>
        <x:v>65 9643-1373</x:v>
      </x:c>
      <x:c r="Z968" s="30" t="n">
        <x:v>46420</x:v>
      </x:c>
    </x:row>
    <x:row r="969" ht="18" customHeight="1">
      <x:c r="A969" s="22" t="str">
        <x:f>"aeb558c9-d30b-4783-a60d-207d066747d5"</x:f>
        <x:v>aeb558c9-d30b-4783-a60d-207d066747d5</x:v>
      </x:c>
      <x:c r="B969" s="23" t="str">
        <x:v>EDUARDO MELO SANTANA</x:v>
      </x:c>
      <x:c r="C969" s="23" t="str">
        <x:v>eduardo melo santana</x:v>
      </x:c>
      <x:c r="D969" s="22" t="str">
        <x:f>"62.967.030/0001-29"</x:f>
        <x:v>62.967.030/0001-29</x:v>
      </x:c>
      <x:c r="E969" s="22" t="str">
        <x:f>"62967030000129"</x:f>
        <x:v>62967030000129</x:v>
      </x:c>
      <x:c r="F969" s="22" t="str">
        <x:f>"033.901.230-75"</x:f>
        <x:v>033.901.230-75</x:v>
      </x:c>
      <x:c r="G969" s="22" t="str">
        <x:f>"03390123075"</x:f>
        <x:v>03390123075</x:v>
      </x:c>
      <x:c r="H969" s="23" t="str">
        <x:v>eduardomelo986@gmail.com</x:v>
      </x:c>
      <x:c r="I969" s="22" t="str">
        <x:f>"6285824772"</x:f>
        <x:v>6285824772</x:v>
      </x:c>
      <x:c r="J969" s="23" t="str">
        <x:v>SPOT</x:v>
      </x:c>
      <x:c r="K969" s="23" t="str">
        <x:v>favored_only</x:v>
      </x:c>
      <x:c r="L969" s="24" t="b">
        <x:v>1</x:v>
      </x:c>
      <x:c r="M969" s="23" t="n">
        <x:v>2</x:v>
      </x:c>
      <x:c r="N969" s="28" t="n">
        <x:v>46205.606181006944</x:v>
      </x:c>
      <x:c r="O969" s="28" t="n">
        <x:v>46219.812988715275</x:v>
      </x:c>
      <x:c r="P969" s="23" t="str">
        <x:v>GOIANIA</x:v>
      </x:c>
      <x:c r="Q969" s="30" t="n">
        <x:v>34580</x:v>
      </x:c>
      <x:c r="R969" s="22" t="str">
        <x:f>"1111657092"</x:f>
        <x:v>1111657092</x:v>
      </x:c>
      <x:c r="S969" s="23" t="str">
        <x:v>masculino</x:v>
      </x:c>
      <x:c r="T969" s="22" t="str">
        <x:f>"PQJ0G14"</x:f>
        <x:v>PQJ0G14</x:v>
      </x:c>
      <x:c r="U969" s="23" t="str">
        <x:v>RAFAELA FERREIRA DE SOUZA</x:v>
      </x:c>
      <x:c r="V969" s="22" t="str">
        <x:f>"754.258.151-15"</x:f>
        <x:v>754.258.151-15</x:v>
      </x:c>
      <x:c r="W969" s="22" t="str">
        <x:f>"75425815115"</x:f>
        <x:v>75425815115</x:v>
      </x:c>
      <x:c r="X969" s="23" t="str">
        <x:v>ferreiramelomaite@gmail.com</x:v>
      </x:c>
      <x:c r="Y969" s="22" t="str">
        <x:f>"6285824772"</x:f>
        <x:v>6285824772</x:v>
      </x:c>
      <x:c r="Z969" s="30" t="n">
        <x:v>46561</x:v>
      </x:c>
    </x:row>
    <x:row r="970" ht="18" customHeight="1">
      <x:c r="A970" s="22" t="str">
        <x:f>"0ef678b4-ba25-485a-b186-efc17372dff2"</x:f>
        <x:v>0ef678b4-ba25-485a-b186-efc17372dff2</x:v>
      </x:c>
      <x:c r="B970" s="23" t="str">
        <x:v>EDUARDO MESSIAS SILVERIO</x:v>
      </x:c>
      <x:c r="C970" s="23" t="str">
        <x:v>eduardo messias silverio</x:v>
      </x:c>
      <x:c r="D970" s="22" t="str">
        <x:f>"54.669.512/0001-74"</x:f>
        <x:v>54.669.512/0001-74</x:v>
      </x:c>
      <x:c r="E970" s="22" t="str">
        <x:f>"54669512000174"</x:f>
        <x:v>54669512000174</x:v>
      </x:c>
      <x:c r="F970" s="22" t="str">
        <x:f>"444.610.788-76"</x:f>
        <x:v>444.610.788-76</x:v>
      </x:c>
      <x:c r="G970" s="22" t="str">
        <x:f>"44461078876"</x:f>
        <x:v>44461078876</x:v>
      </x:c>
      <x:c r="H970" s="23" t="str">
        <x:v>eduardo.kassxd004@gmail.com</x:v>
      </x:c>
      <x:c r="I970" s="22" t="str">
        <x:f>"18996934313"</x:f>
        <x:v>18996934313</x:v>
      </x:c>
      <x:c r="J970" s="23" t="str">
        <x:v>RENTAL</x:v>
      </x:c>
      <x:c r="K970" s="23" t="str">
        <x:v>rental_company</x:v>
      </x:c>
      <x:c r="L970" s="24" t="b">
        <x:v>1</x:v>
      </x:c>
      <x:c r="M970" s="23" t="n">
        <x:v>2</x:v>
      </x:c>
      <x:c r="N970" s="28" t="n">
        <x:v>46203.921904421295</x:v>
      </x:c>
      <x:c r="O970" s="28" t="n">
        <x:v>46219.812988715275</x:v>
      </x:c>
      <x:c r="P970" s="23" t="str">
        <x:v>ARAÇATUBA</x:v>
      </x:c>
      <x:c r="Q970" s="30" t="n">
        <x:v>38437</x:v>
      </x:c>
      <x:c r="R970" s="22" t="str">
        <x:f>"56.884.049-5"</x:f>
        <x:v>56.884.049-5</x:v>
      </x:c>
      <x:c r="S970" s="23" t="str">
        <x:v>masculino</x:v>
      </x:c>
      <x:c r="T970" s="22" t="str">
        <x:f>"FBD8E73"</x:f>
        <x:v>FBD8E73</x:v>
      </x:c>
      <x:c r="U970" s="23" t="str">
        <x:v>EDUARDO MESSIAS SILVERIO</x:v>
      </x:c>
      <x:c r="V970" s="22" t="str">
        <x:f>"444.610.788-76"</x:f>
        <x:v>444.610.788-76</x:v>
      </x:c>
      <x:c r="W970" s="22" t="str">
        <x:f>"44461078876"</x:f>
        <x:v>44461078876</x:v>
      </x:c>
      <x:c r="X970" s="23" t="str">
        <x:v>eduardo.kassxd004@gmail.com</x:v>
      </x:c>
      <x:c r="Y970" s="22" t="str">
        <x:f>"18996934313"</x:f>
        <x:v>18996934313</x:v>
      </x:c>
      <x:c r="Z970" s="30" t="n">
        <x:v>46378</x:v>
      </x:c>
    </x:row>
    <x:row r="971" ht="18" customHeight="1">
      <x:c r="A971" s="22" t="str">
        <x:f>"a003e317-7b5f-4f0a-8ff9-9dee6ee6b4c9"</x:f>
        <x:v>a003e317-7b5f-4f0a-8ff9-9dee6ee6b4c9</x:v>
      </x:c>
      <x:c r="B971" s="23" t="str">
        <x:v>EDUARDO MOORE RODRIGUES</x:v>
      </x:c>
      <x:c r="C971" s="23" t="str">
        <x:v>eduardo moore rodrigues</x:v>
      </x:c>
      <x:c r="D971" s="22" t="str">
        <x:f>"57.525.353/0001-22"</x:f>
        <x:v>57.525.353/0001-22</x:v>
      </x:c>
      <x:c r="E971" s="22" t="str">
        <x:f>"57525353000122"</x:f>
        <x:v>57525353000122</x:v>
      </x:c>
      <x:c r="F971" s="22" t="str">
        <x:f>"120.058.487-27"</x:f>
        <x:v>120.058.487-27</x:v>
      </x:c>
      <x:c r="G971" s="22" t="str">
        <x:f>"12005848727"</x:f>
        <x:v>12005848727</x:v>
      </x:c>
      <x:c r="H971" s="23" t="str">
        <x:v>Moore.edu@gmail.com</x:v>
      </x:c>
      <x:c r="I971" s="22" t="str">
        <x:f>"+55 22 99841-1407"</x:f>
        <x:v>+55 22 99841-1407</x:v>
      </x:c>
      <x:c r="J971" s="23" t="str">
        <x:v>spot</x:v>
      </x:c>
      <x:c r="K971" s="23" t="str">
        <x:v>favored_only</x:v>
      </x:c>
      <x:c r="L971" s="24" t="b">
        <x:v>1</x:v>
      </x:c>
      <x:c r="M971" s="23" t="n">
        <x:v>1</x:v>
      </x:c>
      <x:c r="N971" s="28" t="n">
        <x:v>46219.812988715275</x:v>
      </x:c>
      <x:c r="O971" s="28" t="n">
        <x:v>46219.812988715275</x:v>
      </x:c>
      <x:c r="P971" s="23" t="str">
        <x:v>CAMPOS DOS GOYTACAZES</x:v>
      </x:c>
      <x:c r="Q971" s="30" t="n">
        <x:v>32746</x:v>
      </x:c>
      <x:c r="R971" s="22" t="str">
        <x:f>"211107750"</x:f>
        <x:v>211107750</x:v>
      </x:c>
      <x:c r="S971" s="23" t="str">
        <x:v>masculino</x:v>
      </x:c>
      <x:c r="T971" s="22" t="str">
        <x:f>"ODE0612"</x:f>
        <x:v>ODE0612</x:v>
      </x:c>
      <x:c r="U971" s="23" t="str">
        <x:v>EDUARDO MOORE RODRIGUES</x:v>
      </x:c>
      <x:c r="V971" s="22" t="str">
        <x:f>"120.058.487-27"</x:f>
        <x:v>120.058.487-27</x:v>
      </x:c>
      <x:c r="W971" s="22" t="str">
        <x:f>"12005848727"</x:f>
        <x:v>12005848727</x:v>
      </x:c>
      <x:c r="X971" s="23" t="str">
        <x:v>Moore.edu@gmail.com</x:v>
      </x:c>
      <x:c r="Y971" s="22" t="str">
        <x:f>"+55 22 99841-1407"</x:f>
        <x:v>+55 22 99841-1407</x:v>
      </x:c>
      <x:c r="Z971" s="30" t="n">
        <x:v>46553</x:v>
      </x:c>
    </x:row>
    <x:row r="972" ht="18" customHeight="1">
      <x:c r="A972" s="22" t="str">
        <x:f>"04620e47-d069-47d0-97d3-1ab17df8811c"</x:f>
        <x:v>04620e47-d069-47d0-97d3-1ab17df8811c</x:v>
      </x:c>
      <x:c r="B972" s="23" t="str">
        <x:v>EDUARDO MORENO NAVARRO</x:v>
      </x:c>
      <x:c r="C972" s="23" t="str">
        <x:v>eduardo moreno navarro</x:v>
      </x:c>
      <x:c r="D972" s="22" t="str">
        <x:f>"55.557.828/0001-37"</x:f>
        <x:v>55.557.828/0001-37</x:v>
      </x:c>
      <x:c r="E972" s="22" t="str">
        <x:f>"55557828000137"</x:f>
        <x:v>55557828000137</x:v>
      </x:c>
      <x:c r="F972" s="22" t="str">
        <x:f>"483.394.406-59"</x:f>
        <x:v>483.394.406-59</x:v>
      </x:c>
      <x:c r="G972" s="22" t="str">
        <x:f>"48339440659"</x:f>
        <x:v>48339440659</x:v>
      </x:c>
      <x:c r="H972" s="23" t="str">
        <x:v>EWERTONGCPE@GMAIL.COM</x:v>
      </x:c>
      <x:c r="I972" s="22" t="str">
        <x:f>"(35) 98873-5909"</x:f>
        <x:v>(35) 98873-5909</x:v>
      </x:c>
      <x:c r="J972" s="23" t="str">
        <x:v>SPOT</x:v>
      </x:c>
      <x:c r="K972" s="23" t="str">
        <x:v>favored_only</x:v>
      </x:c>
      <x:c r="L972" s="24" t="b">
        <x:v>1</x:v>
      </x:c>
      <x:c r="M972" s="23" t="n">
        <x:v>1</x:v>
      </x:c>
      <x:c r="N972" s="28" t="n">
        <x:v>46205.6011209375</x:v>
      </x:c>
      <x:c r="O972" s="28" t="n">
        <x:v>46219.812988715275</x:v>
      </x:c>
      <x:c r="P972" s="23" t="str">
        <x:v>GUAXUPE</x:v>
      </x:c>
      <x:c r="Q972" s="30" t="n">
        <x:v>23272</x:v>
      </x:c>
      <x:c r="R972" s="22" t="str">
        <x:f>"6518248"</x:f>
        <x:v>6518248</x:v>
      </x:c>
      <x:c r="S972" s="23" t="str">
        <x:v>masculino</x:v>
      </x:c>
      <x:c r="T972" s="22" t="str">
        <x:f>"EOC2I83"</x:f>
        <x:v>EOC2I83</x:v>
      </x:c>
      <x:c r="U972" s="23" t="str">
        <x:v>RITA APARECIDA MAGRI</x:v>
      </x:c>
      <x:c r="V972" s="22" t="str">
        <x:f>"089.901.176-40"</x:f>
        <x:v>089.901.176-40</x:v>
      </x:c>
      <x:c r="W972" s="22" t="str">
        <x:f>"08990117640"</x:f>
        <x:v>08990117640</x:v>
      </x:c>
      <x:c r="X972" s="23" t="str">
        <x:v>RITAMAGRINAVARRO@GMAIL.COM</x:v>
      </x:c>
      <x:c r="Y972" s="22" t="str">
        <x:f>"35 98873-5909"</x:f>
        <x:v>35 98873-5909</x:v>
      </x:c>
      <x:c r="Z972" s="30" t="n">
        <x:v>46317</x:v>
      </x:c>
    </x:row>
    <x:row r="973" ht="18" customHeight="1">
      <x:c r="A973" s="22" t="str">
        <x:f>"d2a60c39-15f5-4964-b1b1-90e585ee00e1"</x:f>
        <x:v>d2a60c39-15f5-4964-b1b1-90e585ee00e1</x:v>
      </x:c>
      <x:c r="B973" s="23" t="str">
        <x:v>EDUARDO NASCIMENTO DE SOUZA</x:v>
      </x:c>
      <x:c r="C973" s="23" t="str">
        <x:v>eduardo nascimento de souza</x:v>
      </x:c>
      <x:c r="D973" s="22" t="str">
        <x:f>"65.035.450/0001-65"</x:f>
        <x:v>65.035.450/0001-65</x:v>
      </x:c>
      <x:c r="E973" s="22" t="str">
        <x:f>"65035450000165"</x:f>
        <x:v>65035450000165</x:v>
      </x:c>
      <x:c r="F973" s="22" t="str">
        <x:f>"056.500.491-30"</x:f>
        <x:v>056.500.491-30</x:v>
      </x:c>
      <x:c r="G973" s="22" t="str">
        <x:f>"05650049130"</x:f>
        <x:v>05650049130</x:v>
      </x:c>
      <x:c r="H973" s="23" t="str">
        <x:v>eduardo.souza15mt@gmail.com</x:v>
      </x:c>
      <x:c r="I973" s="22" t="str">
        <x:f>"65999609805"</x:f>
        <x:v>65999609805</x:v>
      </x:c>
      <x:c r="J973" s="23" t="str">
        <x:v>SPOT</x:v>
      </x:c>
      <x:c r="K973" s="23" t="str">
        <x:v>favored_only</x:v>
      </x:c>
      <x:c r="L973" s="24" t="b">
        <x:v>1</x:v>
      </x:c>
      <x:c r="M973" s="23" t="n">
        <x:v>1</x:v>
      </x:c>
      <x:c r="N973" s="28" t="n">
        <x:v>46219.812988715275</x:v>
      </x:c>
      <x:c r="O973" s="28" t="n">
        <x:v>46219.812988715275</x:v>
      </x:c>
      <x:c r="P973" s="23" t="str">
        <x:v>CÁCERES</x:v>
      </x:c>
      <x:c r="Q973" s="30" t="n">
        <x:v>35697</x:v>
      </x:c>
      <x:c r="R973" s="22" t="str">
        <x:f>"26658356"</x:f>
        <x:v>26658356</x:v>
      </x:c>
      <x:c r="S973" s="23" t="str">
        <x:v>masculino</x:v>
      </x:c>
      <x:c r="T973" s="22" t="str">
        <x:f>"SPR6H19"</x:f>
        <x:v>SPR6H19</x:v>
      </x:c>
      <x:c r="U973" s="23" t="str">
        <x:v>EDUARDO NASCIMENTO DE SOUZA</x:v>
      </x:c>
      <x:c r="V973" s="22" t="str">
        <x:f>"056.500.491-30"</x:f>
        <x:v>056.500.491-30</x:v>
      </x:c>
      <x:c r="W973" s="22" t="str">
        <x:f>"05650049130"</x:f>
        <x:v>05650049130</x:v>
      </x:c>
      <x:c r="X973" s="23" t="str">
        <x:v>eduardo.souza15mt@gmail.com</x:v>
      </x:c>
      <x:c r="Y973" s="22" t="str">
        <x:f>"65999609805"</x:f>
        <x:v>65999609805</x:v>
      </x:c>
      <x:c r="Z973" s="30" t="n">
        <x:v>46455</x:v>
      </x:c>
    </x:row>
    <x:row r="974" ht="18" customHeight="1">
      <x:c r="A974" s="22" t="str">
        <x:f>"62a2165b-96e9-48b2-a613-242194b46971"</x:f>
        <x:v>62a2165b-96e9-48b2-a613-242194b46971</x:v>
      </x:c>
      <x:c r="B974" s="23" t="str">
        <x:v>EDUARDO NOGUEIRA</x:v>
      </x:c>
      <x:c r="C974" s="23" t="str">
        <x:v>eduardo nogueira</x:v>
      </x:c>
      <x:c r="D974" s="22" t="str">
        <x:f>"63.178.457/0001-00"</x:f>
        <x:v>63.178.457/0001-00</x:v>
      </x:c>
      <x:c r="E974" s="22" t="str">
        <x:f>"63178457000100"</x:f>
        <x:v>63178457000100</x:v>
      </x:c>
      <x:c r="F974" s="22" t="str">
        <x:f>"311.978.998-47"</x:f>
        <x:v>311.978.998-47</x:v>
      </x:c>
      <x:c r="G974" s="22" t="str">
        <x:f>"31197899847"</x:f>
        <x:v>31197899847</x:v>
      </x:c>
      <x:c r="H974" s="23" t="str">
        <x:v>Edu.nogueira018@gmail.com</x:v>
      </x:c>
      <x:c r="I974" s="22" t="str">
        <x:f>"11943040415"</x:f>
        <x:v>11943040415</x:v>
      </x:c>
      <x:c r="J974" s="23" t="str">
        <x:v>RENTAL</x:v>
      </x:c>
      <x:c r="K974" s="23" t="str">
        <x:v>rental_company</x:v>
      </x:c>
      <x:c r="L974" s="24" t="b">
        <x:v>1</x:v>
      </x:c>
      <x:c r="M974" s="23" t="n">
        <x:v>1</x:v>
      </x:c>
      <x:c r="N974" s="28" t="n">
        <x:v>46203.9218771875</x:v>
      </x:c>
      <x:c r="O974" s="28" t="n">
        <x:v>46219.812988715275</x:v>
      </x:c>
      <x:c r="P974" s="23" t="str">
        <x:v>MADEIRA MADEIRA</x:v>
      </x:c>
      <x:c r="Q974" s="30" t="n">
        <x:v>30635</x:v>
      </x:c>
      <x:c r="R974" s="22" t="str">
        <x:f>"451352713"</x:f>
        <x:v>451352713</x:v>
      </x:c>
      <x:c r="S974" s="23" t="str">
        <x:v>masculino</x:v>
      </x:c>
      <x:c r="T974" s="22" t="str"/>
      <x:c r="U974" s="23" t="str">
        <x:v>EDUARDO NOGUEIRA</x:v>
      </x:c>
      <x:c r="V974" s="22" t="str">
        <x:f>"311.978.998-47"</x:f>
        <x:v>311.978.998-47</x:v>
      </x:c>
      <x:c r="W974" s="22" t="str">
        <x:f>"31197899847"</x:f>
        <x:v>31197899847</x:v>
      </x:c>
      <x:c r="X974" s="23" t="str">
        <x:v>Edu.nogueira018@gmail.com</x:v>
      </x:c>
      <x:c r="Y974" s="22" t="str">
        <x:f>"11943040415"</x:f>
        <x:v>11943040415</x:v>
      </x:c>
      <x:c r="Z974" s="30" t="n">
        <x:v>46309</x:v>
      </x:c>
    </x:row>
    <x:row r="975" ht="18" customHeight="1">
      <x:c r="A975" s="22" t="str">
        <x:f>"b38977b5-0956-43f2-82ab-f325dd9ad7b0"</x:f>
        <x:v>b38977b5-0956-43f2-82ab-f325dd9ad7b0</x:v>
      </x:c>
      <x:c r="B975" s="23" t="str">
        <x:v>EDUARDO OLIVEIRA COSTA</x:v>
      </x:c>
      <x:c r="C975" s="23" t="str">
        <x:v>eduardo oliveira costa</x:v>
      </x:c>
      <x:c r="D975" s="22" t="str">
        <x:f>"46.591.573/0001-38"</x:f>
        <x:v>46.591.573/0001-38</x:v>
      </x:c>
      <x:c r="E975" s="22" t="str">
        <x:f>"46591573000138"</x:f>
        <x:v>46591573000138</x:v>
      </x:c>
      <x:c r="F975" s="22" t="str">
        <x:f>"071.694.071-08"</x:f>
        <x:v>071.694.071-08</x:v>
      </x:c>
      <x:c r="G975" s="22" t="str">
        <x:f>"07169407108"</x:f>
        <x:v>07169407108</x:v>
      </x:c>
      <x:c r="H975" s="23" t="str">
        <x:v>EDUARDO.OLIVEIRA265@HOTMAIL.COM</x:v>
      </x:c>
      <x:c r="I975" s="22" t="str">
        <x:f>"65992188094"</x:f>
        <x:v>65992188094</x:v>
      </x:c>
      <x:c r="J975" s="23" t="str">
        <x:v>SPOT</x:v>
      </x:c>
      <x:c r="K975" s="23" t="str">
        <x:v>favored_only</x:v>
      </x:c>
      <x:c r="L975" s="24" t="b">
        <x:v>1</x:v>
      </x:c>
      <x:c r="M975" s="23" t="n">
        <x:v>1</x:v>
      </x:c>
      <x:c r="N975" s="28" t="n">
        <x:v>46205.60487167824</x:v>
      </x:c>
      <x:c r="O975" s="28" t="n">
        <x:v>46219.812988715275</x:v>
      </x:c>
      <x:c r="P975" s="23" t="str">
        <x:v>CÁCERES</x:v>
      </x:c>
      <x:c r="Q975" s="30" t="n">
        <x:v>36727</x:v>
      </x:c>
      <x:c r="R975" s="22" t="str">
        <x:f>"25923234"</x:f>
        <x:v>25923234</x:v>
      </x:c>
      <x:c r="S975" s="23" t="str">
        <x:v>masculino</x:v>
      </x:c>
      <x:c r="T975" s="22" t="str">
        <x:f>"AXR7H38"</x:f>
        <x:v>AXR7H38</x:v>
      </x:c>
      <x:c r="U975" s="23" t="str">
        <x:v>LUIZ AGUILERA MORAES</x:v>
      </x:c>
      <x:c r="V975" s="22" t="str">
        <x:f>"039.289.171-96"</x:f>
        <x:v>039.289.171-96</x:v>
      </x:c>
      <x:c r="W975" s="22" t="str">
        <x:f>"03928917196"</x:f>
        <x:v>03928917196</x:v>
      </x:c>
      <x:c r="X975" s="23" t="str">
        <x:v>LUIZDEMORAES25@GMAIL.COM</x:v>
      </x:c>
      <x:c r="Y975" s="22" t="str">
        <x:f>"65999186662"</x:f>
        <x:v>65999186662</x:v>
      </x:c>
      <x:c r="Z975" s="30" t="n">
        <x:v>46301</x:v>
      </x:c>
    </x:row>
    <x:row r="976" ht="18" customHeight="1">
      <x:c r="A976" s="22" t="str">
        <x:f>"b399c3f4-d02e-4a3b-a1a5-3c8ae5b33795"</x:f>
        <x:v>b399c3f4-d02e-4a3b-a1a5-3c8ae5b33795</x:v>
      </x:c>
      <x:c r="B976" s="23" t="str">
        <x:v>EDUARDO PEREIRA DE LIMA JUNIOR</x:v>
      </x:c>
      <x:c r="C976" s="23" t="str">
        <x:v>eduardo pereira de lima junior</x:v>
      </x:c>
      <x:c r="D976" s="22" t="str">
        <x:f>"67.661.720/0001-79"</x:f>
        <x:v>67.661.720/0001-79</x:v>
      </x:c>
      <x:c r="E976" s="22" t="str">
        <x:f>"67661720000179"</x:f>
        <x:v>67661720000179</x:v>
      </x:c>
      <x:c r="F976" s="22" t="str">
        <x:f>"024.929.581-40"</x:f>
        <x:v>024.929.581-40</x:v>
      </x:c>
      <x:c r="G976" s="22" t="str">
        <x:f>"02492958140"</x:f>
        <x:v>02492958140</x:v>
      </x:c>
      <x:c r="H976" s="23" t="str">
        <x:v>eduardopereiralima90@gmail.com</x:v>
      </x:c>
      <x:c r="I976" s="22" t="str">
        <x:f>"65 99204-0555"</x:f>
        <x:v>65 99204-0555</x:v>
      </x:c>
      <x:c r="J976" s="23" t="str">
        <x:v>spot</x:v>
      </x:c>
      <x:c r="K976" s="23" t="str">
        <x:v>favored_only</x:v>
      </x:c>
      <x:c r="L976" s="24" t="b">
        <x:v>1</x:v>
      </x:c>
      <x:c r="M976" s="23" t="n">
        <x:v>1</x:v>
      </x:c>
      <x:c r="N976" s="28" t="n">
        <x:v>46219.812988715275</x:v>
      </x:c>
      <x:c r="O976" s="28" t="n">
        <x:v>46219.812988715275</x:v>
      </x:c>
      <x:c r="P976" s="23" t="str">
        <x:v>CUIABA</x:v>
      </x:c>
      <x:c r="Q976" s="30" t="n">
        <x:v>33221</x:v>
      </x:c>
      <x:c r="R976" s="22" t="str">
        <x:f>"18816339"</x:f>
        <x:v>18816339</x:v>
      </x:c>
      <x:c r="S976" s="23" t="str">
        <x:v>masculino</x:v>
      </x:c>
      <x:c r="T976" s="22" t="str">
        <x:f>"RRL5D14"</x:f>
        <x:v>RRL5D14</x:v>
      </x:c>
      <x:c r="U976" s="23" t="str">
        <x:v>JOAQUIM SILVA DE MORAES</x:v>
      </x:c>
      <x:c r="V976" s="22" t="str">
        <x:f>"092.031.951-30"</x:f>
        <x:v>092.031.951-30</x:v>
      </x:c>
      <x:c r="W976" s="22" t="str">
        <x:f>"09203195130"</x:f>
        <x:v>09203195130</x:v>
      </x:c>
      <x:c r="X976" s="23" t="str">
        <x:v>Js1383482@gmail.com</x:v>
      </x:c>
      <x:c r="Y976" s="22" t="str">
        <x:f>"65 99204-0555"</x:f>
        <x:v>65 99204-0555</x:v>
      </x:c>
      <x:c r="Z976" s="30" t="n">
        <x:v>46568</x:v>
      </x:c>
    </x:row>
    <x:row r="977" ht="18" customHeight="1">
      <x:c r="A977" s="22" t="str">
        <x:f>"ab26a2c5-ba00-404b-8085-f2240497d2ea"</x:f>
        <x:v>ab26a2c5-ba00-404b-8085-f2240497d2ea</x:v>
      </x:c>
      <x:c r="B977" s="23" t="str">
        <x:v>EDUARDO RODRIGUES DE ANDRADE</x:v>
      </x:c>
      <x:c r="C977" s="23" t="str">
        <x:v>eduardo rodrigues de andrade</x:v>
      </x:c>
      <x:c r="D977" s="22" t="str">
        <x:f>"62.299.014/0001-05"</x:f>
        <x:v>62.299.014/0001-05</x:v>
      </x:c>
      <x:c r="E977" s="22" t="str">
        <x:f>"62299014000105"</x:f>
        <x:v>62299014000105</x:v>
      </x:c>
      <x:c r="F977" s="22" t="str">
        <x:f>"447.229.878-31"</x:f>
        <x:v>447.229.878-31</x:v>
      </x:c>
      <x:c r="G977" s="22" t="str">
        <x:f>"44722987831"</x:f>
        <x:v>44722987831</x:v>
      </x:c>
      <x:c r="H977" s="23" t="str">
        <x:v>abeugenn0@gmail.com</x:v>
      </x:c>
      <x:c r="I977" s="22" t="str">
        <x:f>"17996519873"</x:f>
        <x:v>17996519873</x:v>
      </x:c>
      <x:c r="J977" s="23" t="str">
        <x:v>RENTAL</x:v>
      </x:c>
      <x:c r="K977" s="23" t="str">
        <x:v>rental_company</x:v>
      </x:c>
      <x:c r="L977" s="24" t="b">
        <x:v>1</x:v>
      </x:c>
      <x:c r="M977" s="23" t="n">
        <x:v>1</x:v>
      </x:c>
      <x:c r="N977" s="28" t="n">
        <x:v>46203.921858726855</x:v>
      </x:c>
      <x:c r="O977" s="28" t="n">
        <x:v>46219.812988715275</x:v>
      </x:c>
      <x:c r="P977" s="23" t="str">
        <x:v>JALES</x:v>
      </x:c>
      <x:c r="Q977" s="30" t="n">
        <x:v>36199</x:v>
      </x:c>
      <x:c r="R977" s="22" t="str">
        <x:f>"533180107"</x:f>
        <x:v>533180107</x:v>
      </x:c>
      <x:c r="S977" s="23" t="str">
        <x:v>masculino</x:v>
      </x:c>
      <x:c r="T977" s="22" t="str"/>
      <x:c r="U977" s="23" t="str">
        <x:v>EDUARDO RODRIGUES DE ANDRADE</x:v>
      </x:c>
      <x:c r="V977" s="22" t="str">
        <x:f>"447.229.878-31"</x:f>
        <x:v>447.229.878-31</x:v>
      </x:c>
      <x:c r="W977" s="22" t="str">
        <x:f>"44722987831"</x:f>
        <x:v>44722987831</x:v>
      </x:c>
      <x:c r="X977" s="23" t="str">
        <x:v>abeugenn0@gmail.com</x:v>
      </x:c>
      <x:c r="Y977" s="22" t="str">
        <x:f>"17996519873"</x:f>
        <x:v>17996519873</x:v>
      </x:c>
      <x:c r="Z977" s="30" t="n">
        <x:v>46257</x:v>
      </x:c>
    </x:row>
    <x:row r="978" ht="18" customHeight="1">
      <x:c r="A978" s="22" t="str">
        <x:f>"84261f35-133e-4772-ad8f-ce92910ce447"</x:f>
        <x:v>84261f35-133e-4772-ad8f-ce92910ce447</x:v>
      </x:c>
      <x:c r="B978" s="23" t="str">
        <x:v>EDUARDO VIEIRA NUNES</x:v>
      </x:c>
      <x:c r="C978" s="23" t="str">
        <x:v>eduardo vieira nunes</x:v>
      </x:c>
      <x:c r="D978" s="22" t="str">
        <x:f>"53.359.326/0001-76"</x:f>
        <x:v>53.359.326/0001-76</x:v>
      </x:c>
      <x:c r="E978" s="22" t="str">
        <x:f>"53359326000176"</x:f>
        <x:v>53359326000176</x:v>
      </x:c>
      <x:c r="F978" s="22" t="str">
        <x:f>"501.247.628-08"</x:f>
        <x:v>501.247.628-08</x:v>
      </x:c>
      <x:c r="G978" s="22" t="str">
        <x:f>"50124762808"</x:f>
        <x:v>50124762808</x:v>
      </x:c>
      <x:c r="H978" s="23" t="str">
        <x:v>duvieiranunes@hotmail.com</x:v>
      </x:c>
      <x:c r="I978" s="22" t="str">
        <x:f>"17997434869"</x:f>
        <x:v>17997434869</x:v>
      </x:c>
      <x:c r="J978" s="23" t="str">
        <x:v>SPOT</x:v>
      </x:c>
      <x:c r="K978" s="23" t="str">
        <x:v>favored_only</x:v>
      </x:c>
      <x:c r="L978" s="24" t="b">
        <x:v>1</x:v>
      </x:c>
      <x:c r="M978" s="23" t="n">
        <x:v>1</x:v>
      </x:c>
      <x:c r="N978" s="28" t="n">
        <x:v>46219.812988715275</x:v>
      </x:c>
      <x:c r="O978" s="28" t="n">
        <x:v>46219.812988715275</x:v>
      </x:c>
      <x:c r="P978" s="23" t="str">
        <x:v>JALES</x:v>
      </x:c>
      <x:c r="Q978" s="30" t="n">
        <x:v>36253</x:v>
      </x:c>
      <x:c r="R978" s="22" t="str">
        <x:f>"50951148"</x:f>
        <x:v>50951148</x:v>
      </x:c>
      <x:c r="S978" s="23" t="str">
        <x:v>masculino</x:v>
      </x:c>
      <x:c r="T978" s="22" t="str">
        <x:f>"EWC4A26"</x:f>
        <x:v>EWC4A26</x:v>
      </x:c>
      <x:c r="U978" s="23" t="str">
        <x:v>EDUARDO VIEIRA NUNES</x:v>
      </x:c>
      <x:c r="V978" s="22" t="str">
        <x:f>"501.247.628-08"</x:f>
        <x:v>501.247.628-08</x:v>
      </x:c>
      <x:c r="W978" s="22" t="str">
        <x:f>"50124762808"</x:f>
        <x:v>50124762808</x:v>
      </x:c>
      <x:c r="X978" s="23" t="str">
        <x:v>duvieiranunes@hotmail.com</x:v>
      </x:c>
      <x:c r="Y978" s="22" t="str">
        <x:f>"17997434869"</x:f>
        <x:v>17997434869</x:v>
      </x:c>
      <x:c r="Z978" s="30" t="n">
        <x:v>46463</x:v>
      </x:c>
    </x:row>
    <x:row r="979" ht="18" customHeight="1">
      <x:c r="A979" s="22" t="str">
        <x:f>"c679d1e1-036a-4474-9f63-fe6d9707dbc2"</x:f>
        <x:v>c679d1e1-036a-4474-9f63-fe6d9707dbc2</x:v>
      </x:c>
      <x:c r="B979" s="23" t="str">
        <x:v>EDUARDO VINICIUS ALVES DOS SANTOS</x:v>
      </x:c>
      <x:c r="C979" s="23" t="str">
        <x:v>eduardo vinicius alves dos santos</x:v>
      </x:c>
      <x:c r="D979" s="22" t="str">
        <x:f>"42.169.743/0001-30"</x:f>
        <x:v>42.169.743/0001-30</x:v>
      </x:c>
      <x:c r="E979" s="22" t="str">
        <x:f>"42169743000130"</x:f>
        <x:v>42169743000130</x:v>
      </x:c>
      <x:c r="F979" s="22" t="str">
        <x:f>"382.544.268-30"</x:f>
        <x:v>382.544.268-30</x:v>
      </x:c>
      <x:c r="G979" s="22" t="str">
        <x:f>"38254426830"</x:f>
        <x:v>38254426830</x:v>
      </x:c>
      <x:c r="H979" s="23" t="str">
        <x:v>edu.dacruz2702@gmail.com</x:v>
      </x:c>
      <x:c r="I979" s="22" t="str">
        <x:f>"62 99288 9229"</x:f>
        <x:v>62 99288 9229</x:v>
      </x:c>
      <x:c r="J979" s="23" t="str">
        <x:v>SPOT</x:v>
      </x:c>
      <x:c r="K979" s="23" t="str">
        <x:v>favored_only</x:v>
      </x:c>
      <x:c r="L979" s="24" t="b">
        <x:v>1</x:v>
      </x:c>
      <x:c r="M979" s="23" t="n">
        <x:v>1</x:v>
      </x:c>
      <x:c r="N979" s="28" t="n">
        <x:v>46219.812988715275</x:v>
      </x:c>
      <x:c r="O979" s="28" t="n">
        <x:v>46219.812988715275</x:v>
      </x:c>
      <x:c r="P979" s="23" t="str">
        <x:v>GOIANIA</x:v>
      </x:c>
      <x:c r="Q979" s="30" t="n">
        <x:v>46076</x:v>
      </x:c>
      <x:c r="R979" s="22" t="str">
        <x:f>"6249965"</x:f>
        <x:v>6249965</x:v>
      </x:c>
      <x:c r="S979" s="23" t="str">
        <x:v>masculino</x:v>
      </x:c>
      <x:c r="T979" s="22" t="str">
        <x:f>"TFY8H91"</x:f>
        <x:v>TFY8H91</x:v>
      </x:c>
      <x:c r="U979" s="23" t="str">
        <x:v>EDUARDO VINICIUS ALVES DOS SANTOS</x:v>
      </x:c>
      <x:c r="V979" s="22" t="str">
        <x:f>"382.544.268-30"</x:f>
        <x:v>382.544.268-30</x:v>
      </x:c>
      <x:c r="W979" s="22" t="str">
        <x:f>"38254426830"</x:f>
        <x:v>38254426830</x:v>
      </x:c>
      <x:c r="X979" s="23" t="str">
        <x:v>edu.dacruz2702@gmail.com</x:v>
      </x:c>
      <x:c r="Y979" s="22" t="str">
        <x:f>"62 99288 9229"</x:f>
        <x:v>62 99288 9229</x:v>
      </x:c>
      <x:c r="Z979" s="30" t="n">
        <x:v>46528</x:v>
      </x:c>
    </x:row>
    <x:row r="980" ht="18" customHeight="1">
      <x:c r="A980" s="22" t="str">
        <x:f>"01e9761d-a7df-43d1-9251-9a60bbe7164c"</x:f>
        <x:v>01e9761d-a7df-43d1-9251-9a60bbe7164c</x:v>
      </x:c>
      <x:c r="B980" s="23" t="str">
        <x:v>EDUARDO VINICIUS VAZ DE SOUZA</x:v>
      </x:c>
      <x:c r="C980" s="23" t="str">
        <x:v>eduardo vinicius vaz de souza</x:v>
      </x:c>
      <x:c r="D980" s="22" t="str">
        <x:f>"40.745.910/0001-18"</x:f>
        <x:v>40.745.910/0001-18</x:v>
      </x:c>
      <x:c r="E980" s="22" t="str">
        <x:f>"40745910000118"</x:f>
        <x:v>40745910000118</x:v>
      </x:c>
      <x:c r="F980" s="22" t="str">
        <x:f>"072.688.856-79"</x:f>
        <x:v>072.688.856-79</x:v>
      </x:c>
      <x:c r="G980" s="22" t="str">
        <x:f>"07268885679"</x:f>
        <x:v>07268885679</x:v>
      </x:c>
      <x:c r="H980" s="23" t="str">
        <x:v>eng.eduardovaz@gmail.com</x:v>
      </x:c>
      <x:c r="I980" s="22" t="str">
        <x:f>"98864-4572"</x:f>
        <x:v>98864-4572</x:v>
      </x:c>
      <x:c r="J980" s="23" t="str">
        <x:v>SPOT</x:v>
      </x:c>
      <x:c r="K980" s="23" t="str">
        <x:v>favored_only</x:v>
      </x:c>
      <x:c r="L980" s="24" t="b">
        <x:v>1</x:v>
      </x:c>
      <x:c r="M980" s="23" t="n">
        <x:v>1</x:v>
      </x:c>
      <x:c r="N980" s="28" t="n">
        <x:v>46203.921852962965</x:v>
      </x:c>
      <x:c r="O980" s="28" t="n">
        <x:v>46219.812988715275</x:v>
      </x:c>
      <x:c r="P980" s="23" t="str">
        <x:v>ARAXÁ</x:v>
      </x:c>
      <x:c r="Q980" s="30" t="n">
        <x:v>32209</x:v>
      </x:c>
      <x:c r="R980" s="22" t="str">
        <x:f>"MG14470568"</x:f>
        <x:v>MG14470568</x:v>
      </x:c>
      <x:c r="S980" s="23" t="str">
        <x:v>masculino</x:v>
      </x:c>
      <x:c r="T980" s="22" t="str">
        <x:f>"QKK2160"</x:f>
        <x:v>QKK2160</x:v>
      </x:c>
      <x:c r="U980" s="23" t="str">
        <x:v>EDUARDO VINICIUS VAZ DE SOUZA</x:v>
      </x:c>
      <x:c r="V980" s="22" t="str">
        <x:f>"072.688.856-79"</x:f>
        <x:v>072.688.856-79</x:v>
      </x:c>
      <x:c r="W980" s="22" t="str">
        <x:f>"07268885679"</x:f>
        <x:v>07268885679</x:v>
      </x:c>
      <x:c r="X980" s="23" t="str">
        <x:v>eng.eduardovaz@gmail.com</x:v>
      </x:c>
      <x:c r="Y980" s="22" t="str">
        <x:f>"98864-4572"</x:f>
        <x:v>98864-4572</x:v>
      </x:c>
      <x:c r="Z980" s="30" t="n">
        <x:v>46254</x:v>
      </x:c>
    </x:row>
    <x:row r="981" ht="18" customHeight="1">
      <x:c r="A981" s="22" t="str">
        <x:f>"29583aa8-6339-4046-bf2f-2201040cd20b"</x:f>
        <x:v>29583aa8-6339-4046-bf2f-2201040cd20b</x:v>
      </x:c>
      <x:c r="B981" s="23" t="str">
        <x:v>EDVALDO FRANCISCO DOS ANJOS</x:v>
      </x:c>
      <x:c r="C981" s="23" t="str">
        <x:v>edvaldo francisco dos anjos</x:v>
      </x:c>
      <x:c r="D981" s="22" t="str">
        <x:f>"47.806.082/0001-20"</x:f>
        <x:v>47.806.082/0001-20</x:v>
      </x:c>
      <x:c r="E981" s="22" t="str">
        <x:f>"47806082000120"</x:f>
        <x:v>47806082000120</x:v>
      </x:c>
      <x:c r="F981" s="22" t="str">
        <x:f>"058.208.914-06"</x:f>
        <x:v>058.208.914-06</x:v>
      </x:c>
      <x:c r="G981" s="22" t="str">
        <x:f>"05820891406"</x:f>
        <x:v>05820891406</x:v>
      </x:c>
      <x:c r="H981" s="23" t="str">
        <x:v>edvaldofranciscodosanjosf@gmail.com</x:v>
      </x:c>
      <x:c r="I981" s="22" t="str">
        <x:f>"16996441393"</x:f>
        <x:v>16996441393</x:v>
      </x:c>
      <x:c r="J981" s="23" t="str">
        <x:v>RENTAL</x:v>
      </x:c>
      <x:c r="K981" s="23" t="str">
        <x:v>rental_company</x:v>
      </x:c>
      <x:c r="L981" s="24" t="b">
        <x:v>1</x:v>
      </x:c>
      <x:c r="M981" s="23" t="n">
        <x:v>1</x:v>
      </x:c>
      <x:c r="N981" s="28" t="n">
        <x:v>46219.812988715275</x:v>
      </x:c>
      <x:c r="O981" s="28" t="n">
        <x:v>46219.812988715275</x:v>
      </x:c>
      <x:c r="P981" s="23" t="str">
        <x:v>SÃO CARLOS</x:v>
      </x:c>
      <x:c r="Q981" s="30" t="n">
        <x:v>30935</x:v>
      </x:c>
      <x:c r="R981" s="22" t="str">
        <x:f>"6649625"</x:f>
        <x:v>6649625</x:v>
      </x:c>
      <x:c r="S981" s="23" t="str">
        <x:v>masculino</x:v>
      </x:c>
      <x:c r="T981" s="22" t="str"/>
      <x:c r="U981" s="23" t="str">
        <x:v>EDVALDO FRANCISCO DOS ANJOS</x:v>
      </x:c>
      <x:c r="V981" s="22" t="str">
        <x:f>"005.820.891-46"</x:f>
        <x:v>005.820.891-46</x:v>
      </x:c>
      <x:c r="W981" s="22" t="str">
        <x:f>"00582089146"</x:f>
        <x:v>00582089146</x:v>
      </x:c>
      <x:c r="X981" s="23" t="str">
        <x:v>edvaldofranciscodosanjosf@gmail.com</x:v>
      </x:c>
      <x:c r="Y981" s="22" t="str">
        <x:f>"16996441393"</x:f>
        <x:v>16996441393</x:v>
      </x:c>
      <x:c r="Z981" s="30" t="n">
        <x:v>46569</x:v>
      </x:c>
    </x:row>
    <x:row r="982" ht="18" customHeight="1">
      <x:c r="A982" s="22" t="str">
        <x:f>"0b741d05-34a5-4e9b-9703-c9008e063ee5"</x:f>
        <x:v>0b741d05-34a5-4e9b-9703-c9008e063ee5</x:v>
      </x:c>
      <x:c r="B982" s="23" t="str">
        <x:v>EDVALDO SCHEIDET</x:v>
      </x:c>
      <x:c r="C982" s="23" t="str">
        <x:v>edvaldo scheidet</x:v>
      </x:c>
      <x:c r="D982" s="22" t="str">
        <x:f>"62.172.910/0001-09"</x:f>
        <x:v>62.172.910/0001-09</x:v>
      </x:c>
      <x:c r="E982" s="22" t="str">
        <x:f>"62172910000109"</x:f>
        <x:v>62172910000109</x:v>
      </x:c>
      <x:c r="F982" s="22" t="str">
        <x:f>"061.627.761-07"</x:f>
        <x:v>061.627.761-07</x:v>
      </x:c>
      <x:c r="G982" s="22" t="str">
        <x:f>"06162776107"</x:f>
        <x:v>06162776107</x:v>
      </x:c>
      <x:c r="H982" s="23" t="str">
        <x:v>edvaldo.scheidett1@gmail.com</x:v>
      </x:c>
      <x:c r="I982" s="22" t="str">
        <x:f>"65 993448583"</x:f>
        <x:v>65 993448583</x:v>
      </x:c>
      <x:c r="J982" s="23" t="str">
        <x:v>SPOT</x:v>
      </x:c>
      <x:c r="K982" s="23" t="str">
        <x:v>favored_only</x:v>
      </x:c>
      <x:c r="L982" s="24" t="b">
        <x:v>1</x:v>
      </x:c>
      <x:c r="M982" s="23" t="n">
        <x:v>1</x:v>
      </x:c>
      <x:c r="N982" s="28" t="n">
        <x:v>46203.92188238426</x:v>
      </x:c>
      <x:c r="O982" s="28" t="n">
        <x:v>46219.812988715275</x:v>
      </x:c>
      <x:c r="P982" s="23" t="str">
        <x:v>CUIABA</x:v>
      </x:c>
      <x:c r="Q982" s="30" t="n">
        <x:v>35272</x:v>
      </x:c>
      <x:c r="R982" s="22" t="str">
        <x:f>"2400819-2"</x:f>
        <x:v>2400819-2</x:v>
      </x:c>
      <x:c r="S982" s="23" t="str">
        <x:v>masculino</x:v>
      </x:c>
      <x:c r="T982" s="22" t="str">
        <x:f>"SHT3B50"</x:f>
        <x:v>SHT3B50</x:v>
      </x:c>
      <x:c r="U982" s="23" t="str">
        <x:v>EDVALDO SCHEIDET</x:v>
      </x:c>
      <x:c r="V982" s="22" t="str">
        <x:f>"061.627.761-07"</x:f>
        <x:v>061.627.761-07</x:v>
      </x:c>
      <x:c r="W982" s="22" t="str">
        <x:f>"06162776107"</x:f>
        <x:v>06162776107</x:v>
      </x:c>
      <x:c r="X982" s="23" t="str">
        <x:v>edvaldo.scheidett1@gmail.com</x:v>
      </x:c>
      <x:c r="Y982" s="22" t="str">
        <x:f>"65 993448583"</x:f>
        <x:v>65 993448583</x:v>
      </x:c>
      <x:c r="Z982" s="30" t="n">
        <x:v>46320</x:v>
      </x:c>
    </x:row>
    <x:row r="983" ht="18" customHeight="1">
      <x:c r="A983" s="22" t="str">
        <x:f>"0f1f43e1-dd9a-4387-8f74-e01048ba0443"</x:f>
        <x:v>0f1f43e1-dd9a-4387-8f74-e01048ba0443</x:v>
      </x:c>
      <x:c r="B983" s="23" t="str">
        <x:v>EDVALDO SOUSA DA SILVA</x:v>
      </x:c>
      <x:c r="C983" s="23" t="str">
        <x:v>edvaldo sousa da silva</x:v>
      </x:c>
      <x:c r="D983" s="22" t="str">
        <x:f>"64.018.653/0001-80"</x:f>
        <x:v>64.018.653/0001-80</x:v>
      </x:c>
      <x:c r="E983" s="22" t="str">
        <x:f>"64018653000180"</x:f>
        <x:v>64018653000180</x:v>
      </x:c>
      <x:c r="F983" s="22" t="str">
        <x:f>"78074711404"</x:f>
        <x:v>78074711404</x:v>
      </x:c>
      <x:c r="G983" s="22" t="str">
        <x:f>"78074711404"</x:f>
        <x:v>78074711404</x:v>
      </x:c>
      <x:c r="H983" s="23" t="str">
        <x:v>theolino2911@gmail.com</x:v>
      </x:c>
      <x:c r="I983" s="22" t="str">
        <x:f>"21920071706"</x:f>
        <x:v>21920071706</x:v>
      </x:c>
      <x:c r="J983" s="23" t="str">
        <x:v>SPOT</x:v>
      </x:c>
      <x:c r="K983" s="23" t="str">
        <x:v>favored_only</x:v>
      </x:c>
      <x:c r="L983" s="24" t="b">
        <x:v>1</x:v>
      </x:c>
      <x:c r="M983" s="23" t="n">
        <x:v>2</x:v>
      </x:c>
      <x:c r="N983" s="28" t="n">
        <x:v>46203.921904421295</x:v>
      </x:c>
      <x:c r="O983" s="28" t="n">
        <x:v>46203.921904421295</x:v>
      </x:c>
      <x:c r="P983" s="23" t="str"/>
      <x:c r="Q983" s="30" t="str"/>
      <x:c r="R983" s="22" t="str"/>
      <x:c r="S983" s="23" t="str"/>
      <x:c r="T983" s="22" t="str"/>
      <x:c r="U983" s="23" t="str">
        <x:v>EDVALDO SOUSA DA SILVA</x:v>
      </x:c>
      <x:c r="V983" s="22" t="str">
        <x:f>"78074711404"</x:f>
        <x:v>78074711404</x:v>
      </x:c>
      <x:c r="W983" s="22" t="str">
        <x:f>"78074711404"</x:f>
        <x:v>78074711404</x:v>
      </x:c>
      <x:c r="X983" s="23" t="str">
        <x:v>theolino2911@gmail.com</x:v>
      </x:c>
      <x:c r="Y983" s="22" t="str">
        <x:f>"21920071706"</x:f>
        <x:v>21920071706</x:v>
      </x:c>
      <x:c r="Z983" s="30" t="str"/>
    </x:row>
    <x:row r="984" ht="18" customHeight="1">
      <x:c r="A984" s="22" t="str">
        <x:f>"b40a04fd-c019-41f4-ab68-ec9413701dbf"</x:f>
        <x:v>b40a04fd-c019-41f4-ab68-ec9413701dbf</x:v>
      </x:c>
      <x:c r="B984" s="23" t="str">
        <x:v>EDVANDO ROGERIO DA SILVA</x:v>
      </x:c>
      <x:c r="C984" s="23" t="str">
        <x:v>edvando rogerio da silva</x:v>
      </x:c>
      <x:c r="D984" s="22" t="str">
        <x:f>"63.442.247/0001-88"</x:f>
        <x:v>63.442.247/0001-88</x:v>
      </x:c>
      <x:c r="E984" s="22" t="str">
        <x:f>"63442247000188"</x:f>
        <x:v>63442247000188</x:v>
      </x:c>
      <x:c r="F984" s="22" t="str">
        <x:f>"184.428.838-27"</x:f>
        <x:v>184.428.838-27</x:v>
      </x:c>
      <x:c r="G984" s="22" t="str">
        <x:f>"18442883827"</x:f>
        <x:v>18442883827</x:v>
      </x:c>
      <x:c r="H984" s="23" t="str">
        <x:v>comercialamortech@gmail.com</x:v>
      </x:c>
      <x:c r="I984" s="22" t="str">
        <x:f>"17-991333870"</x:f>
        <x:v>17-991333870</x:v>
      </x:c>
      <x:c r="J984" s="23" t="str">
        <x:v>SPOT</x:v>
      </x:c>
      <x:c r="K984" s="23" t="str">
        <x:v>favored_only</x:v>
      </x:c>
      <x:c r="L984" s="24" t="b">
        <x:v>1</x:v>
      </x:c>
      <x:c r="M984" s="23" t="n">
        <x:v>1</x:v>
      </x:c>
      <x:c r="N984" s="28" t="n">
        <x:v>46203.921887453704</x:v>
      </x:c>
      <x:c r="O984" s="28" t="n">
        <x:v>46219.812988715275</x:v>
      </x:c>
      <x:c r="P984" s="23" t="str">
        <x:v>SÃO JOSE DO RIO PRETO</x:v>
      </x:c>
      <x:c r="Q984" s="30" t="n">
        <x:v>27831</x:v>
      </x:c>
      <x:c r="R984" s="22" t="str">
        <x:f>"24343245"</x:f>
        <x:v>24343245</x:v>
      </x:c>
      <x:c r="S984" s="23" t="str">
        <x:v>masculino</x:v>
      </x:c>
      <x:c r="T984" s="22" t="str">
        <x:f>"GHP1G50"</x:f>
        <x:v>GHP1G50</x:v>
      </x:c>
      <x:c r="U984" s="23" t="str">
        <x:v>EDVANDO ROGERIO DA SILVA</x:v>
      </x:c>
      <x:c r="V984" s="22" t="str">
        <x:f>"184.428.838-27"</x:f>
        <x:v>184.428.838-27</x:v>
      </x:c>
      <x:c r="W984" s="22" t="str">
        <x:f>"18442883827"</x:f>
        <x:v>18442883827</x:v>
      </x:c>
      <x:c r="X984" s="23" t="str">
        <x:v>comercialamortech@gmail.com</x:v>
      </x:c>
      <x:c r="Y984" s="22" t="str">
        <x:f>"17-991333870"</x:f>
        <x:v>17-991333870</x:v>
      </x:c>
      <x:c r="Z984" s="30" t="n">
        <x:v>46331</x:v>
      </x:c>
    </x:row>
    <x:row r="985" ht="18" customHeight="1">
      <x:c r="A985" s="22" t="str">
        <x:f>"72a4385b-476f-49a1-aad8-6d251aa62538"</x:f>
        <x:v>72a4385b-476f-49a1-aad8-6d251aa62538</x:v>
      </x:c>
      <x:c r="B985" s="23" t="str">
        <x:v>EDVAN PEREIRA TRINDADE</x:v>
      </x:c>
      <x:c r="C985" s="23" t="str">
        <x:v>edvan pereira trindade</x:v>
      </x:c>
      <x:c r="D985" s="22" t="str">
        <x:f>"57.684.950/0001-08"</x:f>
        <x:v>57.684.950/0001-08</x:v>
      </x:c>
      <x:c r="E985" s="22" t="str">
        <x:f>"57684950000108"</x:f>
        <x:v>57684950000108</x:v>
      </x:c>
      <x:c r="F985" s="22" t="str">
        <x:f>"036.728.762-59"</x:f>
        <x:v>036.728.762-59</x:v>
      </x:c>
      <x:c r="G985" s="22" t="str">
        <x:f>"03672876259"</x:f>
        <x:v>03672876259</x:v>
      </x:c>
      <x:c r="H985" s="23" t="str">
        <x:v>edynhotrindade7@gmail.com</x:v>
      </x:c>
      <x:c r="I985" s="22" t="str">
        <x:f>"65992137289"</x:f>
        <x:v>65992137289</x:v>
      </x:c>
      <x:c r="J985" s="23" t="str">
        <x:v>SPOT</x:v>
      </x:c>
      <x:c r="K985" s="23" t="str">
        <x:v>favored_only</x:v>
      </x:c>
      <x:c r="L985" s="24" t="b">
        <x:v>1</x:v>
      </x:c>
      <x:c r="M985" s="23" t="n">
        <x:v>1</x:v>
      </x:c>
      <x:c r="N985" s="28" t="n">
        <x:v>46219.812988715275</x:v>
      </x:c>
      <x:c r="O985" s="28" t="n">
        <x:v>46219.812988715275</x:v>
      </x:c>
      <x:c r="P985" s="23" t="str">
        <x:v>CUIABA</x:v>
      </x:c>
      <x:c r="Q985" s="30" t="n">
        <x:v>35104</x:v>
      </x:c>
      <x:c r="R985" s="22" t="str">
        <x:f>"1849164"</x:f>
        <x:v>1849164</x:v>
      </x:c>
      <x:c r="S985" s="23" t="str">
        <x:v>masculino</x:v>
      </x:c>
      <x:c r="T985" s="22" t="str">
        <x:f>"RTU6D04"</x:f>
        <x:v>RTU6D04</x:v>
      </x:c>
      <x:c r="U985" s="23" t="str">
        <x:v>THIAGO JUNIOR MEDEIROS RIBEIRO</x:v>
      </x:c>
      <x:c r="V985" s="22" t="str">
        <x:f>"081.891.721-07"</x:f>
        <x:v>081.891.721-07</x:v>
      </x:c>
      <x:c r="W985" s="22" t="str">
        <x:f>"08189172107"</x:f>
        <x:v>08189172107</x:v>
      </x:c>
      <x:c r="X985" s="23" t="str">
        <x:v>thiagocba1000@gmail.com</x:v>
      </x:c>
      <x:c r="Y985" s="22" t="str">
        <x:f>"65993005648"</x:f>
        <x:v>65993005648</x:v>
      </x:c>
      <x:c r="Z985" s="30" t="n">
        <x:v>46542</x:v>
      </x:c>
    </x:row>
    <x:row r="986" ht="18" customHeight="1">
      <x:c r="A986" s="22" t="str">
        <x:f>"48dfd840-e1c3-4f9c-afcb-daa9d711f500"</x:f>
        <x:v>48dfd840-e1c3-4f9c-afcb-daa9d711f500</x:v>
      </x:c>
      <x:c r="B986" s="23" t="str">
        <x:v>EFRAIM WIUKI OLIVEIRA CRUZ</x:v>
      </x:c>
      <x:c r="C986" s="23" t="str">
        <x:v>efraim wiuki oliveira cruz</x:v>
      </x:c>
      <x:c r="D986" s="22" t="str">
        <x:f>"63.320.023/0001-01"</x:f>
        <x:v>63.320.023/0001-01</x:v>
      </x:c>
      <x:c r="E986" s="22" t="str">
        <x:f>"63320023000101"</x:f>
        <x:v>63320023000101</x:v>
      </x:c>
      <x:c r="F986" s="22" t="str">
        <x:f>"076.494.451-78"</x:f>
        <x:v>076.494.451-78</x:v>
      </x:c>
      <x:c r="G986" s="22" t="str">
        <x:f>"07649445178"</x:f>
        <x:v>07649445178</x:v>
      </x:c>
      <x:c r="H986" s="23" t="str">
        <x:v>efraimgodwar@gmail.com</x:v>
      </x:c>
      <x:c r="I986" s="22" t="str">
        <x:f>"67998300942"</x:f>
        <x:v>67998300942</x:v>
      </x:c>
      <x:c r="J986" s="23" t="str">
        <x:v>SPOT</x:v>
      </x:c>
      <x:c r="K986" s="23" t="str">
        <x:v>favored_only</x:v>
      </x:c>
      <x:c r="L986" s="24" t="b">
        <x:v>1</x:v>
      </x:c>
      <x:c r="M986" s="23" t="n">
        <x:v>1</x:v>
      </x:c>
      <x:c r="N986" s="28" t="n">
        <x:v>46219.812988715275</x:v>
      </x:c>
      <x:c r="O986" s="28" t="n">
        <x:v>46219.812988715275</x:v>
      </x:c>
      <x:c r="P986" s="23" t="str">
        <x:v>CHAPADÃO DO SUL</x:v>
      </x:c>
      <x:c r="Q986" s="30" t="n">
        <x:v>37785</x:v>
      </x:c>
      <x:c r="R986" s="22" t="str">
        <x:f>"2686014"</x:f>
        <x:v>2686014</x:v>
      </x:c>
      <x:c r="S986" s="23" t="str">
        <x:v>masculino</x:v>
      </x:c>
      <x:c r="T986" s="22" t="str">
        <x:f>"DYV3I58"</x:f>
        <x:v>DYV3I58</x:v>
      </x:c>
      <x:c r="U986" s="23" t="str">
        <x:v>IRENE RODRIGUES FERREIRA</x:v>
      </x:c>
      <x:c r="V986" s="22" t="str">
        <x:f>"054.258.231-77"</x:f>
        <x:v>054.258.231-77</x:v>
      </x:c>
      <x:c r="W986" s="22" t="str">
        <x:f>"05425823177"</x:f>
        <x:v>05425823177</x:v>
      </x:c>
      <x:c r="X986" s="23" t="str">
        <x:v>irenerodriguesferreiraa@gmail.com</x:v>
      </x:c>
      <x:c r="Y986" s="22" t="str">
        <x:f>"67996801441"</x:f>
        <x:v>67996801441</x:v>
      </x:c>
      <x:c r="Z986" s="30" t="n">
        <x:v>46465</x:v>
      </x:c>
    </x:row>
    <x:row r="987" ht="18" customHeight="1">
      <x:c r="A987" s="22" t="str">
        <x:f>"816c4e03-5040-40c9-a36e-04320213e308"</x:f>
        <x:v>816c4e03-5040-40c9-a36e-04320213e308</x:v>
      </x:c>
      <x:c r="B987" s="23" t="str">
        <x:v>EFRAIM WIUKI OLIVEIRA CRUZ</x:v>
      </x:c>
      <x:c r="C987" s="23" t="str">
        <x:v>efraim wiuki oliveira cruz</x:v>
      </x:c>
      <x:c r="D987" s="22" t="str">
        <x:f>"66.766.419/0001-67"</x:f>
        <x:v>66.766.419/0001-67</x:v>
      </x:c>
      <x:c r="E987" s="22" t="str">
        <x:f>"66766419000167"</x:f>
        <x:v>66766419000167</x:v>
      </x:c>
      <x:c r="F987" s="22" t="str">
        <x:f>"076.494.451-78"</x:f>
        <x:v>076.494.451-78</x:v>
      </x:c>
      <x:c r="G987" s="22" t="str">
        <x:f>"07649445178"</x:f>
        <x:v>07649445178</x:v>
      </x:c>
      <x:c r="H987" s="23" t="str">
        <x:v>efraimgodwar@gmail.com</x:v>
      </x:c>
      <x:c r="I987" s="22" t="str">
        <x:f>"67 9830-0942"</x:f>
        <x:v>67 9830-0942</x:v>
      </x:c>
      <x:c r="J987" s="23" t="str">
        <x:v>SPOT</x:v>
      </x:c>
      <x:c r="K987" s="23" t="str">
        <x:v>favored_only</x:v>
      </x:c>
      <x:c r="L987" s="24" t="b">
        <x:v>1</x:v>
      </x:c>
      <x:c r="M987" s="23" t="n">
        <x:v>1</x:v>
      </x:c>
      <x:c r="N987" s="28" t="n">
        <x:v>46219.812988715275</x:v>
      </x:c>
      <x:c r="O987" s="28" t="n">
        <x:v>46219.812988715275</x:v>
      </x:c>
      <x:c r="P987" s="23" t="str">
        <x:v>CHAPADÃO DO SUL</x:v>
      </x:c>
      <x:c r="Q987" s="30" t="n">
        <x:v>37785</x:v>
      </x:c>
      <x:c r="R987" s="22" t="str">
        <x:f>"076.494.451-78"</x:f>
        <x:v>076.494.451-78</x:v>
      </x:c>
      <x:c r="S987" s="23" t="str">
        <x:v>masculino</x:v>
      </x:c>
      <x:c r="T987" s="22" t="str">
        <x:f>"DYV3I58"</x:f>
        <x:v>DYV3I58</x:v>
      </x:c>
      <x:c r="U987" s="23" t="str">
        <x:v>EFRAIM WIUKI DE OLIVEIRA CRUZ</x:v>
      </x:c>
      <x:c r="V987" s="22" t="str">
        <x:f>"076.494.451-78"</x:f>
        <x:v>076.494.451-78</x:v>
      </x:c>
      <x:c r="W987" s="22" t="str">
        <x:f>"07649445178"</x:f>
        <x:v>07649445178</x:v>
      </x:c>
      <x:c r="X987" s="23" t="str">
        <x:v>efraimgodwar@gmail.com</x:v>
      </x:c>
      <x:c r="Y987" s="22" t="str">
        <x:f>"67 9830-0942"</x:f>
        <x:v>67 9830-0942</x:v>
      </x:c>
      <x:c r="Z987" s="30" t="n">
        <x:v>46546</x:v>
      </x:c>
    </x:row>
    <x:row r="988" ht="18" customHeight="1">
      <x:c r="A988" s="22" t="str">
        <x:f>"1df6df37-a4fb-4864-9635-ae3529e25148"</x:f>
        <x:v>1df6df37-a4fb-4864-9635-ae3529e25148</x:v>
      </x:c>
      <x:c r="B988" s="23" t="str">
        <x:v>EFRAIN NORMIGLIO DOS REIS</x:v>
      </x:c>
      <x:c r="C988" s="23" t="str">
        <x:v>efrain normiglio dos reis</x:v>
      </x:c>
      <x:c r="D988" s="22" t="str">
        <x:f>"56.022.934/0001-89"</x:f>
        <x:v>56.022.934/0001-89</x:v>
      </x:c>
      <x:c r="E988" s="22" t="str">
        <x:f>"56022934000189"</x:f>
        <x:v>56022934000189</x:v>
      </x:c>
      <x:c r="F988" s="22" t="str">
        <x:f>"392.365.948-24"</x:f>
        <x:v>392.365.948-24</x:v>
      </x:c>
      <x:c r="G988" s="22" t="str">
        <x:f>"39236594824"</x:f>
        <x:v>39236594824</x:v>
      </x:c>
      <x:c r="H988" s="23" t="str">
        <x:v>Efrainreis556@gmail.com</x:v>
      </x:c>
      <x:c r="I988" s="22" t="str">
        <x:f>"14 99873-2760"</x:f>
        <x:v>14 99873-2760</x:v>
      </x:c>
      <x:c r="J988" s="23" t="str">
        <x:v>RENTAL</x:v>
      </x:c>
      <x:c r="K988" s="23" t="str">
        <x:v>rental_company</x:v>
      </x:c>
      <x:c r="L988" s="24" t="b">
        <x:v>1</x:v>
      </x:c>
      <x:c r="M988" s="23" t="n">
        <x:v>1</x:v>
      </x:c>
      <x:c r="N988" s="28" t="n">
        <x:v>46203.92183017361</x:v>
      </x:c>
      <x:c r="O988" s="28" t="n">
        <x:v>46219.812988715275</x:v>
      </x:c>
      <x:c r="P988" s="23" t="str">
        <x:v>MARILIA</x:v>
      </x:c>
      <x:c r="Q988" s="30" t="n">
        <x:v>33104</x:v>
      </x:c>
      <x:c r="R988" s="22" t="str">
        <x:f>"47517374"</x:f>
        <x:v>47517374</x:v>
      </x:c>
      <x:c r="S988" s="23" t="str">
        <x:v>masculino</x:v>
      </x:c>
      <x:c r="T988" s="22" t="str"/>
      <x:c r="U988" s="23" t="str">
        <x:v>EFRAIN NORMIGLIO DOS REIS</x:v>
      </x:c>
      <x:c r="V988" s="22" t="str">
        <x:f>"392.365.948-24"</x:f>
        <x:v>392.365.948-24</x:v>
      </x:c>
      <x:c r="W988" s="22" t="str">
        <x:f>"39236594824"</x:f>
        <x:v>39236594824</x:v>
      </x:c>
      <x:c r="X988" s="23" t="str">
        <x:v>Efrainreis556@gmail.com</x:v>
      </x:c>
      <x:c r="Y988" s="22" t="str">
        <x:f>"14 99873-2760"</x:f>
        <x:v>14 99873-2760</x:v>
      </x:c>
      <x:c r="Z988" s="30" t="n">
        <x:v>46540</x:v>
      </x:c>
    </x:row>
    <x:row r="989" ht="18" customHeight="1">
      <x:c r="A989" s="22" t="str">
        <x:f>"2387966f-0818-4fcd-aad0-0f8aea3fb604"</x:f>
        <x:v>2387966f-0818-4fcd-aad0-0f8aea3fb604</x:v>
      </x:c>
      <x:c r="B989" s="23" t="str">
        <x:v>ELAINE APARECIDA TOBIAS</x:v>
      </x:c>
      <x:c r="C989" s="23" t="str">
        <x:v>elaine aparecida tobias</x:v>
      </x:c>
      <x:c r="D989" s="22" t="str">
        <x:f>"36.582.141/0001-07"</x:f>
        <x:v>36.582.141/0001-07</x:v>
      </x:c>
      <x:c r="E989" s="22" t="str">
        <x:f>"36582141000107"</x:f>
        <x:v>36582141000107</x:v>
      </x:c>
      <x:c r="F989" s="22" t="str">
        <x:f>"275.995.018-27"</x:f>
        <x:v>275.995.018-27</x:v>
      </x:c>
      <x:c r="G989" s="22" t="str">
        <x:f>"27599501827"</x:f>
        <x:v>27599501827</x:v>
      </x:c>
      <x:c r="H989" s="23" t="str">
        <x:v>elainetobias@hotmail.com</x:v>
      </x:c>
      <x:c r="I989" s="22" t="str">
        <x:f>"17 99137-2316"</x:f>
        <x:v>17 99137-2316</x:v>
      </x:c>
      <x:c r="J989" s="23" t="str">
        <x:v>SPOT</x:v>
      </x:c>
      <x:c r="K989" s="23" t="str">
        <x:v>favored_only</x:v>
      </x:c>
      <x:c r="L989" s="24" t="b">
        <x:v>1</x:v>
      </x:c>
      <x:c r="M989" s="23" t="n">
        <x:v>1</x:v>
      </x:c>
      <x:c r="N989" s="28" t="n">
        <x:v>46219.812988715275</x:v>
      </x:c>
      <x:c r="O989" s="28" t="n">
        <x:v>46219.812988715275</x:v>
      </x:c>
      <x:c r="P989" s="23" t="str">
        <x:v>SÃO JOSE DO RIO PRETO</x:v>
      </x:c>
      <x:c r="Q989" s="30" t="n">
        <x:v>29145</x:v>
      </x:c>
      <x:c r="R989" s="22" t="str">
        <x:f>"292463236"</x:f>
        <x:v>292463236</x:v>
      </x:c>
      <x:c r="S989" s="23" t="str">
        <x:v>feminino</x:v>
      </x:c>
      <x:c r="T989" s="22" t="str">
        <x:f>"FNJ7D18"</x:f>
        <x:v>FNJ7D18</x:v>
      </x:c>
      <x:c r="U989" s="23" t="str">
        <x:v>ELAINE APARECIDA TOBIAS</x:v>
      </x:c>
      <x:c r="V989" s="22" t="str">
        <x:f>"275.995.018-27"</x:f>
        <x:v>275.995.018-27</x:v>
      </x:c>
      <x:c r="W989" s="22" t="str">
        <x:f>"27599501827"</x:f>
        <x:v>27599501827</x:v>
      </x:c>
      <x:c r="X989" s="23" t="str">
        <x:v>elainetobias@hotmail.com</x:v>
      </x:c>
      <x:c r="Y989" s="22" t="str">
        <x:f>"17 99137-2316"</x:f>
        <x:v>17 99137-2316</x:v>
      </x:c>
      <x:c r="Z989" s="30" t="n">
        <x:v>46442</x:v>
      </x:c>
    </x:row>
    <x:row r="990" ht="18" customHeight="1">
      <x:c r="A990" s="22" t="str">
        <x:f>"236692a1-336b-4041-86fc-92867f30eb62"</x:f>
        <x:v>236692a1-336b-4041-86fc-92867f30eb62</x:v>
      </x:c>
      <x:c r="B990" s="23" t="str">
        <x:v>ELAINE CRISTINA APARECIDO RAMOS</x:v>
      </x:c>
      <x:c r="C990" s="23" t="str">
        <x:v>elaine cristina aparecido ramos</x:v>
      </x:c>
      <x:c r="D990" s="22" t="str">
        <x:f>"55.252.216/0001-36"</x:f>
        <x:v>55.252.216/0001-36</x:v>
      </x:c>
      <x:c r="E990" s="22" t="str">
        <x:f>"55252216000136"</x:f>
        <x:v>55252216000136</x:v>
      </x:c>
      <x:c r="F990" s="22" t="str">
        <x:f>"063.157.386-05"</x:f>
        <x:v>063.157.386-05</x:v>
      </x:c>
      <x:c r="G990" s="22" t="str">
        <x:f>"06315738605"</x:f>
        <x:v>06315738605</x:v>
      </x:c>
      <x:c r="H990" s="23" t="str">
        <x:v>nanyramos24@hotmail.com</x:v>
      </x:c>
      <x:c r="I990" s="22" t="str">
        <x:f>"35988248189"</x:f>
        <x:v>35988248189</x:v>
      </x:c>
      <x:c r="J990" s="23" t="str">
        <x:v>SPOT</x:v>
      </x:c>
      <x:c r="K990" s="23" t="str">
        <x:v>favored_only</x:v>
      </x:c>
      <x:c r="L990" s="24" t="b">
        <x:v>1</x:v>
      </x:c>
      <x:c r="M990" s="23" t="n">
        <x:v>1</x:v>
      </x:c>
      <x:c r="N990" s="28" t="n">
        <x:v>46219.812988715275</x:v>
      </x:c>
      <x:c r="O990" s="28" t="n">
        <x:v>46219.812988715275</x:v>
      </x:c>
      <x:c r="P990" s="23" t="str">
        <x:v>GUAXUPE</x:v>
      </x:c>
      <x:c r="Q990" s="30" t="n">
        <x:v>31044</x:v>
      </x:c>
      <x:c r="R990" s="22" t="str">
        <x:f>"14278477"</x:f>
        <x:v>14278477</x:v>
      </x:c>
      <x:c r="S990" s="23" t="str">
        <x:v>feminino</x:v>
      </x:c>
      <x:c r="T990" s="22" t="str">
        <x:f>"PUK5I47"</x:f>
        <x:v>PUK5I47</x:v>
      </x:c>
      <x:c r="U990" s="23" t="str">
        <x:v>GUILHERME AUGUSTO RAMOS TORRES</x:v>
      </x:c>
      <x:c r="V990" s="22" t="str">
        <x:f>"147.339.376-01"</x:f>
        <x:v>147.339.376-01</x:v>
      </x:c>
      <x:c r="W990" s="22" t="str">
        <x:f>"14733937601"</x:f>
        <x:v>14733937601</x:v>
      </x:c>
      <x:c r="X990" s="23" t="str">
        <x:v>GUIRAMOSDESOUZA@GMAIL.COM</x:v>
      </x:c>
      <x:c r="Y990" s="22" t="str">
        <x:f>"35 98867-7126"</x:f>
        <x:v>35 98867-7126</x:v>
      </x:c>
      <x:c r="Z990" s="30" t="n">
        <x:v>46408</x:v>
      </x:c>
    </x:row>
    <x:row r="991" ht="18" customHeight="1">
      <x:c r="A991" s="22" t="str">
        <x:f>"60857c93-8ed0-4f68-bc9e-0f5fec17e914"</x:f>
        <x:v>60857c93-8ed0-4f68-bc9e-0f5fec17e914</x:v>
      </x:c>
      <x:c r="B991" s="23" t="str">
        <x:v>ELAINE CRISTINA APARECIDO RAMOS</x:v>
      </x:c>
      <x:c r="C991" s="23" t="str">
        <x:v>elaine cristina aparecido ramos</x:v>
      </x:c>
      <x:c r="D991" s="22" t="str">
        <x:f>"55.557.828/0001-37"</x:f>
        <x:v>55.557.828/0001-37</x:v>
      </x:c>
      <x:c r="E991" s="22" t="str">
        <x:f>"55557828000137"</x:f>
        <x:v>55557828000137</x:v>
      </x:c>
      <x:c r="F991" s="22" t="str">
        <x:f>"063.157.386-05"</x:f>
        <x:v>063.157.386-05</x:v>
      </x:c>
      <x:c r="G991" s="22" t="str">
        <x:f>"06315738605"</x:f>
        <x:v>06315738605</x:v>
      </x:c>
      <x:c r="H991" s="23" t="str">
        <x:v>nanyramos24@hotmail.com</x:v>
      </x:c>
      <x:c r="I991" s="22" t="str">
        <x:f>"35988248189"</x:f>
        <x:v>35988248189</x:v>
      </x:c>
      <x:c r="J991" s="23" t="str">
        <x:v>SPOT</x:v>
      </x:c>
      <x:c r="K991" s="23" t="str">
        <x:v>favored_only</x:v>
      </x:c>
      <x:c r="L991" s="24" t="b">
        <x:v>1</x:v>
      </x:c>
      <x:c r="M991" s="23" t="n">
        <x:v>1</x:v>
      </x:c>
      <x:c r="N991" s="28" t="n">
        <x:v>46205.6043156713</x:v>
      </x:c>
      <x:c r="O991" s="28" t="n">
        <x:v>46219.812988715275</x:v>
      </x:c>
      <x:c r="P991" s="23" t="str">
        <x:v>GUAXUPE</x:v>
      </x:c>
      <x:c r="Q991" s="30" t="n">
        <x:v>31044</x:v>
      </x:c>
      <x:c r="R991" s="22" t="str">
        <x:f>"14278477"</x:f>
        <x:v>14278477</x:v>
      </x:c>
      <x:c r="S991" s="23" t="str">
        <x:v>masculino</x:v>
      </x:c>
      <x:c r="T991" s="22" t="str">
        <x:f>"FNG8B62"</x:f>
        <x:v>FNG8B62</x:v>
      </x:c>
      <x:c r="U991" s="23" t="str">
        <x:v>RITA APARECIDA MAGRI</x:v>
      </x:c>
      <x:c r="V991" s="22" t="str">
        <x:f>"089.901.176-40"</x:f>
        <x:v>089.901.176-40</x:v>
      </x:c>
      <x:c r="W991" s="22" t="str">
        <x:f>"08990117640"</x:f>
        <x:v>08990117640</x:v>
      </x:c>
      <x:c r="X991" s="23" t="str">
        <x:v>navarroslanches@outlook.com</x:v>
      </x:c>
      <x:c r="Y991" s="22" t="str">
        <x:f>"3599234-8175"</x:f>
        <x:v>3599234-8175</x:v>
      </x:c>
      <x:c r="Z991" s="30" t="n">
        <x:v>46268</x:v>
      </x:c>
    </x:row>
    <x:row r="992" ht="18" customHeight="1">
      <x:c r="A992" s="22" t="str">
        <x:f>"33c3667d-960b-4c10-8de1-167872141f69"</x:f>
        <x:v>33c3667d-960b-4c10-8de1-167872141f69</x:v>
      </x:c>
      <x:c r="B992" s="23" t="str">
        <x:v>ELAINE DE MELLO WENCESLAU</x:v>
      </x:c>
      <x:c r="C992" s="23" t="str">
        <x:v>elaine de mello wenceslau</x:v>
      </x:c>
      <x:c r="D992" s="22" t="str">
        <x:f>"64.073.926/0001-90"</x:f>
        <x:v>64.073.926/0001-90</x:v>
      </x:c>
      <x:c r="E992" s="22" t="str">
        <x:f>"64073926000190"</x:f>
        <x:v>64073926000190</x:v>
      </x:c>
      <x:c r="F992" s="22" t="str">
        <x:f>"078.117.127-09"</x:f>
        <x:v>078.117.127-09</x:v>
      </x:c>
      <x:c r="G992" s="22" t="str">
        <x:f>"07811712709"</x:f>
        <x:v>07811712709</x:v>
      </x:c>
      <x:c r="H992" s="23" t="str">
        <x:v>elainewen47@gmail.com</x:v>
      </x:c>
      <x:c r="I992" s="22" t="str">
        <x:f>"21977108252"</x:f>
        <x:v>21977108252</x:v>
      </x:c>
      <x:c r="J992" s="23" t="str">
        <x:v>SPOT</x:v>
      </x:c>
      <x:c r="K992" s="23" t="str">
        <x:v>favored_only</x:v>
      </x:c>
      <x:c r="L992" s="24" t="b">
        <x:v>1</x:v>
      </x:c>
      <x:c r="M992" s="23" t="n">
        <x:v>1</x:v>
      </x:c>
      <x:c r="N992" s="28" t="n">
        <x:v>46219.812988715275</x:v>
      </x:c>
      <x:c r="O992" s="28" t="n">
        <x:v>46219.812988715275</x:v>
      </x:c>
      <x:c r="P992" s="23" t="str">
        <x:v>CAMPO GRANDE</x:v>
      </x:c>
      <x:c r="Q992" s="30" t="n">
        <x:v>28681</x:v>
      </x:c>
      <x:c r="R992" s="22" t="str">
        <x:f>"44458S137"</x:f>
        <x:v>44458S137</x:v>
      </x:c>
      <x:c r="S992" s="23" t="str">
        <x:v>feminino</x:v>
      </x:c>
      <x:c r="T992" s="22" t="str">
        <x:f>"BEP8C89"</x:f>
        <x:v>BEP8C89</x:v>
      </x:c>
      <x:c r="U992" s="23" t="str">
        <x:v>VICTOR OZIRES DE CARVALHO PINHEIRO</x:v>
      </x:c>
      <x:c r="V992" s="22" t="str">
        <x:f>"131.987.057-03"</x:f>
        <x:v>131.987.057-03</x:v>
      </x:c>
      <x:c r="W992" s="22" t="str">
        <x:f>"13198705703"</x:f>
        <x:v>13198705703</x:v>
      </x:c>
      <x:c r="X992" s="23" t="str">
        <x:v>elainewen47@gmail.com</x:v>
      </x:c>
      <x:c r="Y992" s="22" t="str">
        <x:f>"21977108252"</x:f>
        <x:v>21977108252</x:v>
      </x:c>
      <x:c r="Z992" s="30" t="n">
        <x:v>46492</x:v>
      </x:c>
    </x:row>
    <x:row r="993" ht="18" customHeight="1">
      <x:c r="A993" s="22" t="str">
        <x:f>"7a7da1b6-df9c-47b9-847a-4efa9da4fb1a"</x:f>
        <x:v>7a7da1b6-df9c-47b9-847a-4efa9da4fb1a</x:v>
      </x:c>
      <x:c r="B993" s="23" t="str">
        <x:v>ELAINE DE MELLO WENCESLAU</x:v>
      </x:c>
      <x:c r="C993" s="23" t="str">
        <x:v>elaine de mello wenceslau</x:v>
      </x:c>
      <x:c r="D993" s="22" t="str">
        <x:f>"59.653.446/0001-68"</x:f>
        <x:v>59.653.446/0001-68</x:v>
      </x:c>
      <x:c r="E993" s="22" t="str">
        <x:f>"59653446000168"</x:f>
        <x:v>59653446000168</x:v>
      </x:c>
      <x:c r="F993" s="22" t="str">
        <x:f>"078.117.127-09"</x:f>
        <x:v>078.117.127-09</x:v>
      </x:c>
      <x:c r="G993" s="22" t="str">
        <x:f>"07811712709"</x:f>
        <x:v>07811712709</x:v>
      </x:c>
      <x:c r="H993" s="23" t="str">
        <x:v>elainewen47@gmail.com</x:v>
      </x:c>
      <x:c r="I993" s="22" t="str">
        <x:f>"21977108252"</x:f>
        <x:v>21977108252</x:v>
      </x:c>
      <x:c r="J993" s="23" t="str">
        <x:v>SPOT</x:v>
      </x:c>
      <x:c r="K993" s="23" t="str">
        <x:v>favored_only</x:v>
      </x:c>
      <x:c r="L993" s="24" t="b">
        <x:v>1</x:v>
      </x:c>
      <x:c r="M993" s="23" t="n">
        <x:v>1</x:v>
      </x:c>
      <x:c r="N993" s="28" t="n">
        <x:v>46219.812988715275</x:v>
      </x:c>
      <x:c r="O993" s="28" t="n">
        <x:v>46219.812988715275</x:v>
      </x:c>
      <x:c r="P993" s="23" t="str">
        <x:v>CAMPO GRANDE</x:v>
      </x:c>
      <x:c r="Q993" s="30" t="n">
        <x:v>28681</x:v>
      </x:c>
      <x:c r="R993" s="22" t="str">
        <x:f>"44458S137"</x:f>
        <x:v>44458S137</x:v>
      </x:c>
      <x:c r="S993" s="23" t="str">
        <x:v>feminino</x:v>
      </x:c>
      <x:c r="T993" s="22" t="str">
        <x:f>"BEP8C89"</x:f>
        <x:v>BEP8C89</x:v>
      </x:c>
      <x:c r="U993" s="23" t="str">
        <x:v>ELAINE DE MELLO WENCESLAU</x:v>
      </x:c>
      <x:c r="V993" s="22" t="str">
        <x:f>"078.117.127-09"</x:f>
        <x:v>078.117.127-09</x:v>
      </x:c>
      <x:c r="W993" s="22" t="str">
        <x:f>"07811712709"</x:f>
        <x:v>07811712709</x:v>
      </x:c>
      <x:c r="X993" s="23" t="str">
        <x:v>elainewen47@gmail.com</x:v>
      </x:c>
      <x:c r="Y993" s="22" t="str">
        <x:f>"21977108252"</x:f>
        <x:v>21977108252</x:v>
      </x:c>
      <x:c r="Z993" s="30" t="n">
        <x:v>46437</x:v>
      </x:c>
    </x:row>
    <x:row r="994" ht="18" customHeight="1">
      <x:c r="A994" s="22" t="str">
        <x:f>"87e7c268-1a84-45d1-a3b9-66c85d78b0be"</x:f>
        <x:v>87e7c268-1a84-45d1-a3b9-66c85d78b0be</x:v>
      </x:c>
      <x:c r="B994" s="23" t="str">
        <x:v>ELAINE LINO FRANCA COSTA</x:v>
      </x:c>
      <x:c r="C994" s="23" t="str">
        <x:v>elaine lino franca costa</x:v>
      </x:c>
      <x:c r="D994" s="22" t="str">
        <x:f>"60.981.824/0001-11"</x:f>
        <x:v>60.981.824/0001-11</x:v>
      </x:c>
      <x:c r="E994" s="22" t="str">
        <x:f>"60981824000111"</x:f>
        <x:v>60981824000111</x:v>
      </x:c>
      <x:c r="F994" s="22" t="str">
        <x:f>"469.535.901-49"</x:f>
        <x:v>469.535.901-49</x:v>
      </x:c>
      <x:c r="G994" s="22" t="str">
        <x:f>"46953590149"</x:f>
        <x:v>46953590149</x:v>
      </x:c>
      <x:c r="H994" s="23" t="str">
        <x:v>elainefranca1000@gmail.com</x:v>
      </x:c>
      <x:c r="I994" s="22" t="str">
        <x:f>"62985861367"</x:f>
        <x:v>62985861367</x:v>
      </x:c>
      <x:c r="J994" s="23" t="str">
        <x:v>SPOT</x:v>
      </x:c>
      <x:c r="K994" s="23" t="str">
        <x:v>favored_only</x:v>
      </x:c>
      <x:c r="L994" s="24" t="b">
        <x:v>1</x:v>
      </x:c>
      <x:c r="M994" s="23" t="n">
        <x:v>1</x:v>
      </x:c>
      <x:c r="N994" s="28" t="n">
        <x:v>46219.812988715275</x:v>
      </x:c>
      <x:c r="O994" s="28" t="n">
        <x:v>46219.812988715275</x:v>
      </x:c>
      <x:c r="P994" s="23" t="str">
        <x:v>GOIANIA</x:v>
      </x:c>
      <x:c r="Q994" s="30" t="n">
        <x:v>25476</x:v>
      </x:c>
      <x:c r="R994" s="22" t="str">
        <x:f>"2088670"</x:f>
        <x:v>2088670</x:v>
      </x:c>
      <x:c r="S994" s="23" t="str">
        <x:v>feminino</x:v>
      </x:c>
      <x:c r="T994" s="22" t="str">
        <x:f>"PQX1A43"</x:f>
        <x:v>PQX1A43</x:v>
      </x:c>
      <x:c r="U994" s="23" t="str">
        <x:v>ELAINE LINO FRANCA COSTA</x:v>
      </x:c>
      <x:c r="V994" s="22" t="str">
        <x:f>"469.535.901-49"</x:f>
        <x:v>469.535.901-49</x:v>
      </x:c>
      <x:c r="W994" s="22" t="str">
        <x:f>"46953590149"</x:f>
        <x:v>46953590149</x:v>
      </x:c>
      <x:c r="X994" s="23" t="str">
        <x:v>elainefranca1000@gmail.com</x:v>
      </x:c>
      <x:c r="Y994" s="22" t="str">
        <x:f>"62985861367"</x:f>
        <x:v>62985861367</x:v>
      </x:c>
      <x:c r="Z994" s="30" t="n">
        <x:v>46452</x:v>
      </x:c>
    </x:row>
    <x:row r="995" ht="18" customHeight="1">
      <x:c r="A995" s="22" t="str">
        <x:f>"11c97e30-38a8-423c-bd26-8b337e2a6d54"</x:f>
        <x:v>11c97e30-38a8-423c-bd26-8b337e2a6d54</x:v>
      </x:c>
      <x:c r="B995" s="23" t="str">
        <x:v>ELAINE MARIA DE FREITAS ARRUDA</x:v>
      </x:c>
      <x:c r="C995" s="23" t="str">
        <x:v>elaine maria de freitas arruda</x:v>
      </x:c>
      <x:c r="D995" s="22" t="str">
        <x:f>"66.249.746/0001-41"</x:f>
        <x:v>66.249.746/0001-41</x:v>
      </x:c>
      <x:c r="E995" s="22" t="str">
        <x:f>"66249746000141"</x:f>
        <x:v>66249746000141</x:v>
      </x:c>
      <x:c r="F995" s="22" t="str">
        <x:f>"268.276.228-00"</x:f>
        <x:v>268.276.228-00</x:v>
      </x:c>
      <x:c r="G995" s="22" t="str">
        <x:f>"26827622800"</x:f>
        <x:v>26827622800</x:v>
      </x:c>
      <x:c r="H995" s="23" t="str">
        <x:v>elaine.maria.arruda4@gmail.com</x:v>
      </x:c>
      <x:c r="I995" s="22" t="str">
        <x:f>"17 99603-1905"</x:f>
        <x:v>17 99603-1905</x:v>
      </x:c>
      <x:c r="J995" s="23" t="str">
        <x:v>DESCONHECIDO</x:v>
      </x:c>
      <x:c r="K995" s="23" t="str">
        <x:v>favored_only</x:v>
      </x:c>
      <x:c r="L995" s="24" t="b">
        <x:v>1</x:v>
      </x:c>
      <x:c r="M995" s="23" t="n">
        <x:v>1</x:v>
      </x:c>
      <x:c r="N995" s="28" t="n">
        <x:v>46219.812988715275</x:v>
      </x:c>
      <x:c r="O995" s="28" t="n">
        <x:v>46219.812988715275</x:v>
      </x:c>
      <x:c r="P995" s="23" t="str">
        <x:v>BARRETOS</x:v>
      </x:c>
      <x:c r="Q995" s="30" t="str"/>
      <x:c r="R995" s="22" t="str">
        <x:f>"265138819"</x:f>
        <x:v>265138819</x:v>
      </x:c>
      <x:c r="S995" s="23" t="str">
        <x:v>feminino</x:v>
      </x:c>
      <x:c r="T995" s="22" t="str">
        <x:f>"FLP9E36"</x:f>
        <x:v>FLP9E36</x:v>
      </x:c>
      <x:c r="U995" s="23" t="str">
        <x:v>ELAINE MARIA DE FREITAS ARRUDA</x:v>
      </x:c>
      <x:c r="V995" s="22" t="str">
        <x:f>"268.276.228-00"</x:f>
        <x:v>268.276.228-00</x:v>
      </x:c>
      <x:c r="W995" s="22" t="str">
        <x:f>"26827622800"</x:f>
        <x:v>26827622800</x:v>
      </x:c>
      <x:c r="X995" s="23" t="str">
        <x:v>elaine.maria.arruda4@gmail.com</x:v>
      </x:c>
      <x:c r="Y995" s="22" t="str">
        <x:f>"17 99603-1905"</x:f>
        <x:v>17 99603-1905</x:v>
      </x:c>
      <x:c r="Z995" s="30" t="n">
        <x:v>46493</x:v>
      </x:c>
    </x:row>
    <x:row r="996" ht="18" customHeight="1">
      <x:c r="A996" s="22" t="str">
        <x:f>"3e827361-044d-450d-a1a1-996f9a07aa1a"</x:f>
        <x:v>3e827361-044d-450d-a1a1-996f9a07aa1a</x:v>
      </x:c>
      <x:c r="B996" s="23" t="str">
        <x:v>ELAINE MARIA DE FREITAS ARRUDA</x:v>
      </x:c>
      <x:c r="C996" s="23" t="str">
        <x:v>elaine maria de freitas arruda</x:v>
      </x:c>
      <x:c r="D996" s="22" t="str">
        <x:f>"57.477.856/0001-70"</x:f>
        <x:v>57.477.856/0001-70</x:v>
      </x:c>
      <x:c r="E996" s="22" t="str">
        <x:f>"57477856000170"</x:f>
        <x:v>57477856000170</x:v>
      </x:c>
      <x:c r="F996" s="22" t="str">
        <x:f>"268.276.228-00"</x:f>
        <x:v>268.276.228-00</x:v>
      </x:c>
      <x:c r="G996" s="22" t="str">
        <x:f>"26827622800"</x:f>
        <x:v>26827622800</x:v>
      </x:c>
      <x:c r="H996" s="23" t="str">
        <x:v>Elaine.maria.arrud4@gmail.com</x:v>
      </x:c>
      <x:c r="I996" s="22" t="str">
        <x:f>"17.996031905"</x:f>
        <x:v>17.996031905</x:v>
      </x:c>
      <x:c r="J996" s="23" t="str">
        <x:v>SPOT</x:v>
      </x:c>
      <x:c r="K996" s="23" t="str">
        <x:v>favored_only</x:v>
      </x:c>
      <x:c r="L996" s="24" t="b">
        <x:v>1</x:v>
      </x:c>
      <x:c r="M996" s="23" t="n">
        <x:v>1</x:v>
      </x:c>
      <x:c r="N996" s="28" t="n">
        <x:v>46203.92183017361</x:v>
      </x:c>
      <x:c r="O996" s="28" t="n">
        <x:v>46219.812988715275</x:v>
      </x:c>
      <x:c r="P996" s="23" t="str">
        <x:v>BARRETOS</x:v>
      </x:c>
      <x:c r="Q996" s="30" t="n">
        <x:v>26125</x:v>
      </x:c>
      <x:c r="R996" s="22" t="str">
        <x:f>"21633852"</x:f>
        <x:v>21633852</x:v>
      </x:c>
      <x:c r="S996" s="23" t="str">
        <x:v>feminino</x:v>
      </x:c>
      <x:c r="T996" s="22" t="str">
        <x:f>"FLP9E36"</x:f>
        <x:v>FLP9E36</x:v>
      </x:c>
      <x:c r="U996" s="23" t="str">
        <x:v>ELAINE MARIA DE FREITAS ARRUDA</x:v>
      </x:c>
      <x:c r="V996" s="22" t="str">
        <x:f>"268.276.228-00"</x:f>
        <x:v>268.276.228-00</x:v>
      </x:c>
      <x:c r="W996" s="22" t="str">
        <x:f>"26827622800"</x:f>
        <x:v>26827622800</x:v>
      </x:c>
      <x:c r="X996" s="23" t="str">
        <x:v>Elaine.maria.arrud4@gmail.com</x:v>
      </x:c>
      <x:c r="Y996" s="22" t="str">
        <x:f>"17.996031905"</x:f>
        <x:v>17.996031905</x:v>
      </x:c>
      <x:c r="Z996" s="30" t="n">
        <x:v>46294</x:v>
      </x:c>
    </x:row>
    <x:row r="997" ht="18" customHeight="1">
      <x:c r="A997" s="22" t="str">
        <x:f>"8dc1f6a4-ef05-41ab-a766-ac00218e93b8"</x:f>
        <x:v>8dc1f6a4-ef05-41ab-a766-ac00218e93b8</x:v>
      </x:c>
      <x:c r="B997" s="23" t="str">
        <x:v>ELAINE SOUZA PINTO DE MELLO</x:v>
      </x:c>
      <x:c r="C997" s="23" t="str">
        <x:v>elaine souza pinto de mello</x:v>
      </x:c>
      <x:c r="D997" s="22" t="str">
        <x:f>"58.092.666/0001-05"</x:f>
        <x:v>58.092.666/0001-05</x:v>
      </x:c>
      <x:c r="E997" s="22" t="str">
        <x:f>"58092666000105"</x:f>
        <x:v>58092666000105</x:v>
      </x:c>
      <x:c r="F997" s="22" t="str">
        <x:f>"081.352.979-47"</x:f>
        <x:v>081.352.979-47</x:v>
      </x:c>
      <x:c r="G997" s="22" t="str">
        <x:f>"08135297947"</x:f>
        <x:v>08135297947</x:v>
      </x:c>
      <x:c r="H997" s="23" t="str">
        <x:v>Elainepilina@outlook.com</x:v>
      </x:c>
      <x:c r="I997" s="22" t="str">
        <x:f>"+55 43 8870-9970"</x:f>
        <x:v>+55 43 8870-9970</x:v>
      </x:c>
      <x:c r="J997" s="23" t="str">
        <x:v>SPOT</x:v>
      </x:c>
      <x:c r="K997" s="23" t="str">
        <x:v>favored_only</x:v>
      </x:c>
      <x:c r="L997" s="24" t="b">
        <x:v>1</x:v>
      </x:c>
      <x:c r="M997" s="23" t="n">
        <x:v>1</x:v>
      </x:c>
      <x:c r="N997" s="28" t="n">
        <x:v>46205.60733655093</x:v>
      </x:c>
      <x:c r="O997" s="28" t="n">
        <x:v>46205.6089034375</x:v>
      </x:c>
      <x:c r="P997" s="23" t="str">
        <x:v>SANTO ANTONIO DA PLATINA</x:v>
      </x:c>
      <x:c r="Q997" s="30" t="n">
        <x:v>34983</x:v>
      </x:c>
      <x:c r="R997" s="22" t="str">
        <x:f>"08135297947 SESP PR"</x:f>
        <x:v>08135297947 SESP PR</x:v>
      </x:c>
      <x:c r="S997" s="23" t="str">
        <x:v>Feminino</x:v>
      </x:c>
      <x:c r="T997" s="22" t="str">
        <x:f>"KQK0C45"</x:f>
        <x:v>KQK0C45</x:v>
      </x:c>
      <x:c r="U997" s="23" t="str">
        <x:v>WEVERLEY MATEUS PEREIRA DO CARMO</x:v>
      </x:c>
      <x:c r="V997" s="22" t="str">
        <x:f>"14880535613"</x:f>
        <x:v>14880535613</x:v>
      </x:c>
      <x:c r="W997" s="22" t="str">
        <x:f>"14880535613"</x:f>
        <x:v>14880535613</x:v>
      </x:c>
      <x:c r="X997" s="23" t="str">
        <x:v>Mateusg120@gmail.com</x:v>
      </x:c>
      <x:c r="Y997" s="22" t="str">
        <x:f>"+55 34 9339-6761"</x:f>
        <x:v>+55 34 9339-6761</x:v>
      </x:c>
      <x:c r="Z997" s="30" t="n">
        <x:v>46242</x:v>
      </x:c>
    </x:row>
    <x:row r="998" ht="18" customHeight="1">
      <x:c r="A998" s="22" t="str">
        <x:f>"7a7dd9d2-8ed9-4abd-bba5-f9fadd5a6d37"</x:f>
        <x:v>7a7dd9d2-8ed9-4abd-bba5-f9fadd5a6d37</x:v>
      </x:c>
      <x:c r="B998" s="23" t="str">
        <x:v>ELCIO MOTTA DE SOUZA</x:v>
      </x:c>
      <x:c r="C998" s="23" t="str">
        <x:v>elcio motta de souza</x:v>
      </x:c>
      <x:c r="D998" s="22" t="str">
        <x:f>"15.123.534/0001-82"</x:f>
        <x:v>15.123.534/0001-82</x:v>
      </x:c>
      <x:c r="E998" s="22" t="str">
        <x:f>"15123534000182"</x:f>
        <x:v>15123534000182</x:v>
      </x:c>
      <x:c r="F998" s="22" t="str">
        <x:f>"097.317.107-36"</x:f>
        <x:v>097.317.107-36</x:v>
      </x:c>
      <x:c r="G998" s="22" t="str">
        <x:f>"09731710736"</x:f>
        <x:v>09731710736</x:v>
      </x:c>
      <x:c r="H998" s="23" t="str">
        <x:v>elciomottasouza@gmail.com</x:v>
      </x:c>
      <x:c r="I998" s="22" t="str">
        <x:f>"21 99299-5693"</x:f>
        <x:v>21 99299-5693</x:v>
      </x:c>
      <x:c r="J998" s="23" t="str">
        <x:v>SPOT</x:v>
      </x:c>
      <x:c r="K998" s="23" t="str">
        <x:v>favored_only</x:v>
      </x:c>
      <x:c r="L998" s="24" t="b">
        <x:v>1</x:v>
      </x:c>
      <x:c r="M998" s="23" t="n">
        <x:v>1</x:v>
      </x:c>
      <x:c r="N998" s="28" t="n">
        <x:v>46219.812988715275</x:v>
      </x:c>
      <x:c r="O998" s="28" t="n">
        <x:v>46219.812988715275</x:v>
      </x:c>
      <x:c r="P998" s="23" t="str">
        <x:v>SÃO JOAO DE MERITI</x:v>
      </x:c>
      <x:c r="Q998" s="30" t="n">
        <x:v>29714</x:v>
      </x:c>
      <x:c r="R998" s="22" t="str">
        <x:f>"122470511"</x:f>
        <x:v>122470511</x:v>
      </x:c>
      <x:c r="S998" s="23" t="str">
        <x:v>masculino</x:v>
      </x:c>
      <x:c r="T998" s="22" t="str">
        <x:f>"KQR3J35"</x:f>
        <x:v>KQR3J35</x:v>
      </x:c>
      <x:c r="U998" s="23" t="str">
        <x:v>ELCIO MOTTA DE SOUZA</x:v>
      </x:c>
      <x:c r="V998" s="22" t="str">
        <x:f>"097.317.107-36"</x:f>
        <x:v>097.317.107-36</x:v>
      </x:c>
      <x:c r="W998" s="22" t="str">
        <x:f>"09731710736"</x:f>
        <x:v>09731710736</x:v>
      </x:c>
      <x:c r="X998" s="23" t="str">
        <x:v>elciomottasouza@gmail.com</x:v>
      </x:c>
      <x:c r="Y998" s="22" t="str">
        <x:f>"21 99299-5693"</x:f>
        <x:v>21 99299-5693</x:v>
      </x:c>
      <x:c r="Z998" s="30" t="n">
        <x:v>46578</x:v>
      </x:c>
    </x:row>
    <x:row r="999" ht="18" customHeight="1">
      <x:c r="A999" s="22" t="str">
        <x:f>"6cf46be8-7fc0-4d7e-9d1f-25760d9dcaff"</x:f>
        <x:v>6cf46be8-7fc0-4d7e-9d1f-25760d9dcaff</x:v>
      </x:c>
      <x:c r="B999" s="23" t="str">
        <x:v>ELCIO PAULAGAMA</x:v>
      </x:c>
      <x:c r="C999" s="23" t="str">
        <x:v>elcio paulagama</x:v>
      </x:c>
      <x:c r="D999" s="22" t="str">
        <x:f>"53.928.469/0001-51"</x:f>
        <x:v>53.928.469/0001-51</x:v>
      </x:c>
      <x:c r="E999" s="22" t="str">
        <x:f>"53928469000151"</x:f>
        <x:v>53928469000151</x:v>
      </x:c>
      <x:c r="F999" s="22" t="str">
        <x:f>"106.630.587-08"</x:f>
        <x:v>106.630.587-08</x:v>
      </x:c>
      <x:c r="G999" s="22" t="str">
        <x:f>"10663058708"</x:f>
        <x:v>10663058708</x:v>
      </x:c>
      <x:c r="H999" s="23" t="str">
        <x:v>elciopaulagama1@gmail.com</x:v>
      </x:c>
      <x:c r="I999" s="22" t="str">
        <x:f>"2198335-1313"</x:f>
        <x:v>2198335-1313</x:v>
      </x:c>
      <x:c r="J999" s="23" t="str">
        <x:v>SPOT</x:v>
      </x:c>
      <x:c r="K999" s="23" t="str">
        <x:v>favored_only</x:v>
      </x:c>
      <x:c r="L999" s="24" t="b">
        <x:v>1</x:v>
      </x:c>
      <x:c r="M999" s="23" t="n">
        <x:v>1</x:v>
      </x:c>
      <x:c r="N999" s="28" t="n">
        <x:v>46219.812988715275</x:v>
      </x:c>
      <x:c r="O999" s="28" t="n">
        <x:v>46219.812988715275</x:v>
      </x:c>
      <x:c r="P999" s="23" t="str">
        <x:v>CAMPO GRANDE</x:v>
      </x:c>
      <x:c r="Q999" s="30" t="n">
        <x:v>31794</x:v>
      </x:c>
      <x:c r="R999" s="22" t="str">
        <x:f>"223956541"</x:f>
        <x:v>223956541</x:v>
      </x:c>
      <x:c r="S999" s="23" t="str">
        <x:v>masculino</x:v>
      </x:c>
      <x:c r="T999" s="22" t="str">
        <x:f>"LLS9684"</x:f>
        <x:v>LLS9684</x:v>
      </x:c>
      <x:c r="U999" s="23" t="str">
        <x:v>ELCIO PAULAGAMA</x:v>
      </x:c>
      <x:c r="V999" s="22" t="str">
        <x:f>"106.630.587-08"</x:f>
        <x:v>106.630.587-08</x:v>
      </x:c>
      <x:c r="W999" s="22" t="str">
        <x:f>"10663058708"</x:f>
        <x:v>10663058708</x:v>
      </x:c>
      <x:c r="X999" s="23" t="str">
        <x:v>elciopaulagama1@gmail.com</x:v>
      </x:c>
      <x:c r="Y999" s="22" t="str">
        <x:f>"2198335-1313"</x:f>
        <x:v>2198335-1313</x:v>
      </x:c>
      <x:c r="Z999" s="30" t="n">
        <x:v>46555</x:v>
      </x:c>
    </x:row>
    <x:row r="1000" ht="18" customHeight="1">
      <x:c r="A1000" s="22" t="str">
        <x:f>"d15fdc22-1018-4163-9326-71ddba64b487"</x:f>
        <x:v>d15fdc22-1018-4163-9326-71ddba64b487</x:v>
      </x:c>
      <x:c r="B1000" s="23" t="str">
        <x:v>ELCIO SIMOES SANTIAGO</x:v>
      </x:c>
      <x:c r="C1000" s="23" t="str">
        <x:v>elcio simoes santiago</x:v>
      </x:c>
      <x:c r="D1000" s="22" t="str">
        <x:f>"65.207.968/0001-39"</x:f>
        <x:v>65.207.968/0001-39</x:v>
      </x:c>
      <x:c r="E1000" s="22" t="str">
        <x:f>"65207968000139"</x:f>
        <x:v>65207968000139</x:v>
      </x:c>
      <x:c r="F1000" s="22" t="str">
        <x:f>"965.784.087-20"</x:f>
        <x:v>965.784.087-20</x:v>
      </x:c>
      <x:c r="G1000" s="22" t="str">
        <x:f>"96578408720"</x:f>
        <x:v>96578408720</x:v>
      </x:c>
      <x:c r="H1000" s="23" t="str">
        <x:v>amariaribeiro1803@gmail.com</x:v>
      </x:c>
      <x:c r="I1000" s="22" t="str">
        <x:f>"21970217887"</x:f>
        <x:v>21970217887</x:v>
      </x:c>
      <x:c r="J1000" s="23" t="str">
        <x:v>SPOT</x:v>
      </x:c>
      <x:c r="K1000" s="23" t="str">
        <x:v>favored_only</x:v>
      </x:c>
      <x:c r="L1000" s="24" t="b">
        <x:v>1</x:v>
      </x:c>
      <x:c r="M1000" s="23" t="n">
        <x:v>1</x:v>
      </x:c>
      <x:c r="N1000" s="28" t="n">
        <x:v>46219.812988715275</x:v>
      </x:c>
      <x:c r="O1000" s="28" t="n">
        <x:v>46219.812988715275</x:v>
      </x:c>
      <x:c r="P1000" s="23" t="str">
        <x:v>ITABORAI</x:v>
      </x:c>
      <x:c r="Q1000" s="30" t="n">
        <x:v>24201</x:v>
      </x:c>
      <x:c r="R1000" s="22" t="str">
        <x:f>"76596956"</x:f>
        <x:v>76596956</x:v>
      </x:c>
      <x:c r="S1000" s="23" t="str">
        <x:v>masculino</x:v>
      </x:c>
      <x:c r="T1000" s="22" t="str">
        <x:f>"RMS9C44"</x:f>
        <x:v>RMS9C44</x:v>
      </x:c>
      <x:c r="U1000" s="23" t="str">
        <x:v>ELCIO SIMOES SANTIAGO</x:v>
      </x:c>
      <x:c r="V1000" s="22" t="str">
        <x:f>"965.784.087-20"</x:f>
        <x:v>965.784.087-20</x:v>
      </x:c>
      <x:c r="W1000" s="22" t="str">
        <x:f>"96578408720"</x:f>
        <x:v>96578408720</x:v>
      </x:c>
      <x:c r="X1000" s="23" t="str">
        <x:v>amariaribeiro1803@gmail.com</x:v>
      </x:c>
      <x:c r="Y1000" s="22" t="str">
        <x:f>"21970217887"</x:f>
        <x:v>21970217887</x:v>
      </x:c>
      <x:c r="Z1000" s="30" t="n">
        <x:v>46445</x:v>
      </x:c>
    </x:row>
    <x:row r="1001" ht="18" customHeight="1">
      <x:c r="A1001" s="22" t="str">
        <x:f>"abe6ad53-d2b5-4aef-b7d3-b403abb8530b"</x:f>
        <x:v>abe6ad53-d2b5-4aef-b7d3-b403abb8530b</x:v>
      </x:c>
      <x:c r="B1001" s="23" t="str">
        <x:v>ELDER NEVES ZIMMERER</x:v>
      </x:c>
      <x:c r="C1001" s="23" t="str">
        <x:v>elder neves zimmerer</x:v>
      </x:c>
      <x:c r="D1001" s="22" t="str">
        <x:f>"62.839.250/0001-77"</x:f>
        <x:v>62.839.250/0001-77</x:v>
      </x:c>
      <x:c r="E1001" s="22" t="str">
        <x:f>"62839250000177"</x:f>
        <x:v>62839250000177</x:v>
      </x:c>
      <x:c r="F1001" s="22" t="str">
        <x:f>"073.153.826-90"</x:f>
        <x:v>073.153.826-90</x:v>
      </x:c>
      <x:c r="G1001" s="22" t="str">
        <x:f>"07315382690"</x:f>
        <x:v>07315382690</x:v>
      </x:c>
      <x:c r="H1001" s="23" t="str">
        <x:v>eldervalioso@gmail.com</x:v>
      </x:c>
      <x:c r="I1001" s="22" t="str">
        <x:f>"33988951243"</x:f>
        <x:v>33988951243</x:v>
      </x:c>
      <x:c r="J1001" s="23" t="str">
        <x:v>SPOT</x:v>
      </x:c>
      <x:c r="K1001" s="23" t="str">
        <x:v>favored_only</x:v>
      </x:c>
      <x:c r="L1001" s="24" t="b">
        <x:v>1</x:v>
      </x:c>
      <x:c r="M1001" s="23" t="n">
        <x:v>1</x:v>
      </x:c>
      <x:c r="N1001" s="28" t="n">
        <x:v>46203.9219084375</x:v>
      </x:c>
      <x:c r="O1001" s="28" t="n">
        <x:v>46219.812988715275</x:v>
      </x:c>
      <x:c r="P1001" s="23" t="str">
        <x:v>TEOFILO OTONI</x:v>
      </x:c>
      <x:c r="Q1001" s="30" t="n">
        <x:v>31440</x:v>
      </x:c>
      <x:c r="R1001" s="22" t="str">
        <x:f>"14550197"</x:f>
        <x:v>14550197</x:v>
      </x:c>
      <x:c r="S1001" s="23" t="str">
        <x:v>masculino</x:v>
      </x:c>
      <x:c r="T1001" s="22" t="str">
        <x:f>"RML8D35"</x:f>
        <x:v>RML8D35</x:v>
      </x:c>
      <x:c r="U1001" s="23" t="str">
        <x:v>ELDER NEVES ZIMMERER</x:v>
      </x:c>
      <x:c r="V1001" s="22" t="str">
        <x:f>"073.153.826-90"</x:f>
        <x:v>073.153.826-90</x:v>
      </x:c>
      <x:c r="W1001" s="22" t="str">
        <x:f>"07315382690"</x:f>
        <x:v>07315382690</x:v>
      </x:c>
      <x:c r="X1001" s="23" t="str">
        <x:v>eldervalioso@gmail.com</x:v>
      </x:c>
      <x:c r="Y1001" s="22" t="str">
        <x:f>"33988951243"</x:f>
        <x:v>33988951243</x:v>
      </x:c>
      <x:c r="Z1001" s="30" t="n">
        <x:v>46385</x:v>
      </x:c>
    </x:row>
    <x:row r="1002" ht="18" customHeight="1">
      <x:c r="A1002" s="22" t="str">
        <x:f>"d30cd182-62c2-451c-8a15-9f645d79b6db"</x:f>
        <x:v>d30cd182-62c2-451c-8a15-9f645d79b6db</x:v>
      </x:c>
      <x:c r="B1002" s="23" t="str">
        <x:v>ELEN CRISTINA CARVALHO</x:v>
      </x:c>
      <x:c r="C1002" s="23" t="str">
        <x:v>elen cristina carvalho</x:v>
      </x:c>
      <x:c r="D1002" s="22" t="str">
        <x:f>"62.134.104/0001-46"</x:f>
        <x:v>62.134.104/0001-46</x:v>
      </x:c>
      <x:c r="E1002" s="22" t="str">
        <x:f>"62134104000146"</x:f>
        <x:v>62134104000146</x:v>
      </x:c>
      <x:c r="F1002" s="22" t="str">
        <x:f>"323.920.788-58"</x:f>
        <x:v>323.920.788-58</x:v>
      </x:c>
      <x:c r="G1002" s="22" t="str">
        <x:f>"32392078858"</x:f>
        <x:v>32392078858</x:v>
      </x:c>
      <x:c r="H1002" s="23" t="str">
        <x:v>niina.carvalho@gmail.com</x:v>
      </x:c>
      <x:c r="I1002" s="22" t="str">
        <x:f>"19 99524-3945"</x:f>
        <x:v>19 99524-3945</x:v>
      </x:c>
      <x:c r="J1002" s="23" t="str">
        <x:v>RENTAL</x:v>
      </x:c>
      <x:c r="K1002" s="23" t="str">
        <x:v>rental_company</x:v>
      </x:c>
      <x:c r="L1002" s="24" t="b">
        <x:v>1</x:v>
      </x:c>
      <x:c r="M1002" s="23" t="n">
        <x:v>1</x:v>
      </x:c>
      <x:c r="N1002" s="28" t="n">
        <x:v>46203.921852962965</x:v>
      </x:c>
      <x:c r="O1002" s="28" t="n">
        <x:v>46219.812988715275</x:v>
      </x:c>
      <x:c r="P1002" s="23" t="str">
        <x:v>JALES</x:v>
      </x:c>
      <x:c r="Q1002" s="30" t="n">
        <x:v>31463</x:v>
      </x:c>
      <x:c r="R1002" s="22" t="str">
        <x:f>"40083980"</x:f>
        <x:v>40083980</x:v>
      </x:c>
      <x:c r="S1002" s="23" t="str">
        <x:v>feminino</x:v>
      </x:c>
      <x:c r="T1002" s="22" t="str"/>
      <x:c r="U1002" s="23" t="str">
        <x:v>ELEN CRISTINA CARVALHO</x:v>
      </x:c>
      <x:c r="V1002" s="22" t="str">
        <x:f>"323.920.788-58"</x:f>
        <x:v>323.920.788-58</x:v>
      </x:c>
      <x:c r="W1002" s="22" t="str">
        <x:f>"32392078858"</x:f>
        <x:v>32392078858</x:v>
      </x:c>
      <x:c r="X1002" s="23" t="str">
        <x:v>niina.carvalho@gmail.com</x:v>
      </x:c>
      <x:c r="Y1002" s="22" t="str">
        <x:f>"19 99524-3945"</x:f>
        <x:v>19 99524-3945</x:v>
      </x:c>
      <x:c r="Z1002" s="30" t="n">
        <x:v>46248</x:v>
      </x:c>
    </x:row>
    <x:row r="1003" ht="18" customHeight="1">
      <x:c r="A1003" s="22" t="str">
        <x:f>"61b81941-3a32-4c63-a8e8-fc35d0d300c2"</x:f>
        <x:v>61b81941-3a32-4c63-a8e8-fc35d0d300c2</x:v>
      </x:c>
      <x:c r="B1003" s="23" t="str">
        <x:v>ELEN CRISTINA DE SOUZA HYRANO</x:v>
      </x:c>
      <x:c r="C1003" s="23" t="str">
        <x:v>elen cristina de souza hyrano</x:v>
      </x:c>
      <x:c r="D1003" s="22" t="str">
        <x:f>"67.669.497/0001-06"</x:f>
        <x:v>67.669.497/0001-06</x:v>
      </x:c>
      <x:c r="E1003" s="22" t="str">
        <x:f>"67669497000106"</x:f>
        <x:v>67669497000106</x:v>
      </x:c>
      <x:c r="F1003" s="22" t="str">
        <x:f>"419.260.048-09"</x:f>
        <x:v>419.260.048-09</x:v>
      </x:c>
      <x:c r="G1003" s="22" t="str">
        <x:f>"41926004809"</x:f>
        <x:v>41926004809</x:v>
      </x:c>
      <x:c r="H1003" s="23" t="str">
        <x:v>contatoelftransportes@gmail.com</x:v>
      </x:c>
      <x:c r="I1003" s="22" t="str">
        <x:f>"16997136649"</x:f>
        <x:v>16997136649</x:v>
      </x:c>
      <x:c r="J1003" s="23" t="str">
        <x:v>SPOT</x:v>
      </x:c>
      <x:c r="K1003" s="23" t="str">
        <x:v>favored_only</x:v>
      </x:c>
      <x:c r="L1003" s="24" t="b">
        <x:v>1</x:v>
      </x:c>
      <x:c r="M1003" s="23" t="n">
        <x:v>1</x:v>
      </x:c>
      <x:c r="N1003" s="28" t="n">
        <x:v>46219.812988715275</x:v>
      </x:c>
      <x:c r="O1003" s="28" t="n">
        <x:v>46219.812988715275</x:v>
      </x:c>
      <x:c r="P1003" s="23" t="str">
        <x:v>SÃO CARLOS</x:v>
      </x:c>
      <x:c r="Q1003" s="30" t="n">
        <x:v>35114</x:v>
      </x:c>
      <x:c r="R1003" s="22" t="str">
        <x:f>"421240775"</x:f>
        <x:v>421240775</x:v>
      </x:c>
      <x:c r="S1003" s="23" t="str">
        <x:v>feminino</x:v>
      </x:c>
      <x:c r="T1003" s="22" t="str">
        <x:f>"FHM9I11"</x:f>
        <x:v>FHM9I11</x:v>
      </x:c>
      <x:c r="U1003" s="23" t="str">
        <x:v>ELEN CRISTINA DE SOUZA HYRANO</x:v>
      </x:c>
      <x:c r="V1003" s="22" t="str">
        <x:f>"419.260.048-09"</x:f>
        <x:v>419.260.048-09</x:v>
      </x:c>
      <x:c r="W1003" s="22" t="str">
        <x:f>"41926004809"</x:f>
        <x:v>41926004809</x:v>
      </x:c>
      <x:c r="X1003" s="23" t="str">
        <x:v>contatoelftransportes@gmail.com</x:v>
      </x:c>
      <x:c r="Y1003" s="22" t="str">
        <x:f>"16997136649"</x:f>
        <x:v>16997136649</x:v>
      </x:c>
      <x:c r="Z1003" s="30" t="n">
        <x:v>46562</x:v>
      </x:c>
    </x:row>
    <x:row r="1004" ht="18" customHeight="1">
      <x:c r="A1004" s="22" t="str">
        <x:f>"0dcce8ce-3e3d-4ed5-9855-3793cc4d9fb7"</x:f>
        <x:v>0dcce8ce-3e3d-4ed5-9855-3793cc4d9fb7</x:v>
      </x:c>
      <x:c r="B1004" s="23" t="str">
        <x:v>ELENIR PEREIRA DA COSTA</x:v>
      </x:c>
      <x:c r="C1004" s="23" t="str">
        <x:v>elenir pereira da costa</x:v>
      </x:c>
      <x:c r="D1004" s="22" t="str">
        <x:f>"49.683.908/0001-36"</x:f>
        <x:v>49.683.908/0001-36</x:v>
      </x:c>
      <x:c r="E1004" s="22" t="str">
        <x:f>"49683908000136"</x:f>
        <x:v>49683908000136</x:v>
      </x:c>
      <x:c r="F1004" s="22" t="str">
        <x:f>"905.223.891-04"</x:f>
        <x:v>905.223.891-04</x:v>
      </x:c>
      <x:c r="G1004" s="22" t="str">
        <x:f>"90522389104"</x:f>
        <x:v>90522389104</x:v>
      </x:c>
      <x:c r="H1004" s="23" t="str">
        <x:v>elenircosta_@hotmail.com</x:v>
      </x:c>
      <x:c r="I1004" s="22" t="str">
        <x:f>"65 9630-7157"</x:f>
        <x:v>65 9630-7157</x:v>
      </x:c>
      <x:c r="J1004" s="23" t="str">
        <x:v>SPOT</x:v>
      </x:c>
      <x:c r="K1004" s="23" t="str">
        <x:v>favored_only</x:v>
      </x:c>
      <x:c r="L1004" s="24" t="b">
        <x:v>1</x:v>
      </x:c>
      <x:c r="M1004" s="23" t="n">
        <x:v>1</x:v>
      </x:c>
      <x:c r="N1004" s="28" t="n">
        <x:v>46205.60342046296</x:v>
      </x:c>
      <x:c r="O1004" s="28" t="n">
        <x:v>46219.812988715275</x:v>
      </x:c>
      <x:c r="P1004" s="23" t="str">
        <x:v>ARAPUTANGA</x:v>
      </x:c>
      <x:c r="Q1004" s="30" t="n">
        <x:v>27523</x:v>
      </x:c>
      <x:c r="R1004" s="22" t="str">
        <x:f>"13535897 SSP MT"</x:f>
        <x:v>13535897 SSP MT</x:v>
      </x:c>
      <x:c r="S1004" s="23" t="str">
        <x:v>feminino</x:v>
      </x:c>
      <x:c r="T1004" s="22" t="str">
        <x:f>"EZH4E62"</x:f>
        <x:v>EZH4E62</x:v>
      </x:c>
      <x:c r="U1004" s="23" t="str">
        <x:v>LUCAS SOARES DE SOUZA</x:v>
      </x:c>
      <x:c r="V1004" s="22" t="str">
        <x:f>"064.584.031-94"</x:f>
        <x:v>064.584.031-94</x:v>
      </x:c>
      <x:c r="W1004" s="22" t="str">
        <x:f>"06458403194"</x:f>
        <x:v>06458403194</x:v>
      </x:c>
      <x:c r="X1004" s="23" t="str">
        <x:v>lucassoaress23@hotmail.com</x:v>
      </x:c>
      <x:c r="Y1004" s="22" t="str">
        <x:f>"(65) 9.9630-7814"</x:f>
        <x:v>(65) 9.9630-7814</x:v>
      </x:c>
      <x:c r="Z1004" s="30" t="n">
        <x:v>46219</x:v>
      </x:c>
    </x:row>
    <x:row r="1005" ht="18" customHeight="1">
      <x:c r="A1005" s="22" t="str">
        <x:f>"bceafb9c-97dd-4a94-bf7b-a325249fe037"</x:f>
        <x:v>bceafb9c-97dd-4a94-bf7b-a325249fe037</x:v>
      </x:c>
      <x:c r="B1005" s="23" t="str">
        <x:v>ELEN REGINA DA COSTA PEREIRA</x:v>
      </x:c>
      <x:c r="C1005" s="23" t="str">
        <x:v>elen regina da costa pereira</x:v>
      </x:c>
      <x:c r="D1005" s="22" t="str">
        <x:f>"61.185.979/0001-04"</x:f>
        <x:v>61.185.979/0001-04</x:v>
      </x:c>
      <x:c r="E1005" s="22" t="str">
        <x:f>"61185979000104"</x:f>
        <x:v>61185979000104</x:v>
      </x:c>
      <x:c r="F1005" s="22" t="str">
        <x:f>"727.685.251-20"</x:f>
        <x:v>727.685.251-20</x:v>
      </x:c>
      <x:c r="G1005" s="22" t="str">
        <x:f>"72768525120"</x:f>
        <x:v>72768525120</x:v>
      </x:c>
      <x:c r="H1005" s="23" t="str">
        <x:v>ginasilva28@gmail.com</x:v>
      </x:c>
      <x:c r="I1005" s="22" t="str">
        <x:f>"65992414530"</x:f>
        <x:v>65992414530</x:v>
      </x:c>
      <x:c r="J1005" s="23" t="str">
        <x:v>SPOT</x:v>
      </x:c>
      <x:c r="K1005" s="23" t="str">
        <x:v>favored_only</x:v>
      </x:c>
      <x:c r="L1005" s="24" t="b">
        <x:v>1</x:v>
      </x:c>
      <x:c r="M1005" s="23" t="n">
        <x:v>1</x:v>
      </x:c>
      <x:c r="N1005" s="28" t="n">
        <x:v>46219.812988715275</x:v>
      </x:c>
      <x:c r="O1005" s="28" t="n">
        <x:v>46219.812988715275</x:v>
      </x:c>
      <x:c r="P1005" s="23" t="str">
        <x:v>CUIABA</x:v>
      </x:c>
      <x:c r="Q1005" s="30" t="n">
        <x:v>30384</x:v>
      </x:c>
      <x:c r="R1005" s="22" t="str">
        <x:f>"12730270"</x:f>
        <x:v>12730270</x:v>
      </x:c>
      <x:c r="S1005" s="23" t="str">
        <x:v>feminino</x:v>
      </x:c>
      <x:c r="T1005" s="22" t="str">
        <x:f>"OBO8C64"</x:f>
        <x:v>OBO8C64</x:v>
      </x:c>
      <x:c r="U1005" s="23" t="str">
        <x:v>ELEN REGINA DA COSTA PEREIRA</x:v>
      </x:c>
      <x:c r="V1005" s="22" t="str">
        <x:f>"727.685.251-20"</x:f>
        <x:v>727.685.251-20</x:v>
      </x:c>
      <x:c r="W1005" s="22" t="str">
        <x:f>"72768525120"</x:f>
        <x:v>72768525120</x:v>
      </x:c>
      <x:c r="X1005" s="23" t="str">
        <x:v>ginasilva28@gmail.com</x:v>
      </x:c>
      <x:c r="Y1005" s="22" t="str">
        <x:f>"65992414530"</x:f>
        <x:v>65992414530</x:v>
      </x:c>
      <x:c r="Z1005" s="30" t="n">
        <x:v>46437</x:v>
      </x:c>
    </x:row>
    <x:row r="1006" ht="18" customHeight="1">
      <x:c r="A1006" s="22" t="str">
        <x:f>"9b399136-e23b-4326-b66d-0a2c59c98e8a"</x:f>
        <x:v>9b399136-e23b-4326-b66d-0a2c59c98e8a</x:v>
      </x:c>
      <x:c r="B1006" s="23" t="str">
        <x:v>ELEOMIR DA SILVA ABREU CARDOSO</x:v>
      </x:c>
      <x:c r="C1006" s="23" t="str">
        <x:v>eleomir da silva abreu cardoso</x:v>
      </x:c>
      <x:c r="D1006" s="22" t="str">
        <x:f>"40.722.638/0001-50"</x:f>
        <x:v>40.722.638/0001-50</x:v>
      </x:c>
      <x:c r="E1006" s="22" t="str">
        <x:f>"40722638000150"</x:f>
        <x:v>40722638000150</x:v>
      </x:c>
      <x:c r="F1006" s="22" t="str">
        <x:f>"125.253.107-99"</x:f>
        <x:v>125.253.107-99</x:v>
      </x:c>
      <x:c r="G1006" s="22" t="str">
        <x:f>"12525310799"</x:f>
        <x:v>12525310799</x:v>
      </x:c>
      <x:c r="H1006" s="23" t="str">
        <x:v>dasilvaabreucardosoeleomir@gmail.com</x:v>
      </x:c>
      <x:c r="I1006" s="22" t="str">
        <x:f>"21997028001"</x:f>
        <x:v>21997028001</x:v>
      </x:c>
      <x:c r="J1006" s="23" t="str">
        <x:v>SPOT</x:v>
      </x:c>
      <x:c r="K1006" s="23" t="str">
        <x:v>favored_only</x:v>
      </x:c>
      <x:c r="L1006" s="24" t="b">
        <x:v>1</x:v>
      </x:c>
      <x:c r="M1006" s="23" t="n">
        <x:v>1</x:v>
      </x:c>
      <x:c r="N1006" s="28" t="n">
        <x:v>46219.812988715275</x:v>
      </x:c>
      <x:c r="O1006" s="28" t="n">
        <x:v>46219.812988715275</x:v>
      </x:c>
      <x:c r="P1006" s="23" t="str">
        <x:v>ITABORAI</x:v>
      </x:c>
      <x:c r="Q1006" s="30" t="n">
        <x:v>32135</x:v>
      </x:c>
      <x:c r="R1006" s="22" t="str">
        <x:f>"211787163"</x:f>
        <x:v>211787163</x:v>
      </x:c>
      <x:c r="S1006" s="23" t="str">
        <x:v>masculino</x:v>
      </x:c>
      <x:c r="T1006" s="22" t="str">
        <x:f>"KXD9G19"</x:f>
        <x:v>KXD9G19</x:v>
      </x:c>
      <x:c r="U1006" s="23" t="str">
        <x:v>HELLEN CAROLINE DA CONCEICAO</x:v>
      </x:c>
      <x:c r="V1006" s="22" t="str">
        <x:f>"119.478.247-75"</x:f>
        <x:v>119.478.247-75</x:v>
      </x:c>
      <x:c r="W1006" s="22" t="str">
        <x:f>"11947824775"</x:f>
        <x:v>11947824775</x:v>
      </x:c>
      <x:c r="X1006" s="23" t="str">
        <x:v>hellen_caroline2008@hotmail.com</x:v>
      </x:c>
      <x:c r="Y1006" s="22" t="str">
        <x:f>"21967874167"</x:f>
        <x:v>21967874167</x:v>
      </x:c>
      <x:c r="Z1006" s="30" t="n">
        <x:v>46309</x:v>
      </x:c>
    </x:row>
    <x:row r="1007" ht="18" customHeight="1">
      <x:c r="A1007" s="22" t="str">
        <x:f>"723360b0-631d-41f8-a4ae-fe04c50c1cc6"</x:f>
        <x:v>723360b0-631d-41f8-a4ae-fe04c50c1cc6</x:v>
      </x:c>
      <x:c r="B1007" s="23" t="str">
        <x:v>ELIANE DE JESUS ALVES</x:v>
      </x:c>
      <x:c r="C1007" s="23" t="str">
        <x:v>eliane de jesus alves</x:v>
      </x:c>
      <x:c r="D1007" s="22" t="str">
        <x:f>"45.523.919/0001-06"</x:f>
        <x:v>45.523.919/0001-06</x:v>
      </x:c>
      <x:c r="E1007" s="22" t="str">
        <x:f>"45523919000106"</x:f>
        <x:v>45523919000106</x:v>
      </x:c>
      <x:c r="F1007" s="22" t="str">
        <x:f>"749.321.601-00"</x:f>
        <x:v>749.321.601-00</x:v>
      </x:c>
      <x:c r="G1007" s="22" t="str">
        <x:f>"74932160100"</x:f>
        <x:v>74932160100</x:v>
      </x:c>
      <x:c r="H1007" s="23" t="str">
        <x:v>eliane.alves213@outlook.com</x:v>
      </x:c>
      <x:c r="I1007" s="22" t="str">
        <x:f>"62 9 8550-5110"</x:f>
        <x:v>62 9 8550-5110</x:v>
      </x:c>
      <x:c r="J1007" s="23" t="str">
        <x:v>SPOT</x:v>
      </x:c>
      <x:c r="K1007" s="23" t="str">
        <x:v>favored_only</x:v>
      </x:c>
      <x:c r="L1007" s="24" t="b">
        <x:v>1</x:v>
      </x:c>
      <x:c r="M1007" s="23" t="n">
        <x:v>1</x:v>
      </x:c>
      <x:c r="N1007" s="28" t="n">
        <x:v>46205.60116711805</x:v>
      </x:c>
      <x:c r="O1007" s="28" t="n">
        <x:v>46219.812988715275</x:v>
      </x:c>
      <x:c r="P1007" s="23" t="str">
        <x:v>MOZARLANDIA</x:v>
      </x:c>
      <x:c r="Q1007" s="30" t="n">
        <x:v>33187</x:v>
      </x:c>
      <x:c r="R1007" s="22" t="str">
        <x:f>"5654581 SSP GO"</x:f>
        <x:v>5654581 SSP GO</x:v>
      </x:c>
      <x:c r="S1007" s="23" t="str">
        <x:v>feminino</x:v>
      </x:c>
      <x:c r="T1007" s="22" t="str">
        <x:f>"IUW5C60"</x:f>
        <x:v>IUW5C60</x:v>
      </x:c>
      <x:c r="U1007" s="23" t="str">
        <x:v>CLEYTON BORGES CARDOSO JUNIOR</x:v>
      </x:c>
      <x:c r="V1007" s="22" t="str">
        <x:f>"064.035.101-85"</x:f>
        <x:v>064.035.101-85</x:v>
      </x:c>
      <x:c r="W1007" s="22" t="str">
        <x:f>"06403510185"</x:f>
        <x:v>06403510185</x:v>
      </x:c>
      <x:c r="X1007" s="23" t="str">
        <x:v>cleytonjunior.com@hotmail.com</x:v>
      </x:c>
      <x:c r="Y1007" s="22" t="str">
        <x:f>"62 9 8574-9961"</x:f>
        <x:v>62 9 8574-9961</x:v>
      </x:c>
      <x:c r="Z1007" s="30" t="n">
        <x:v>46402</x:v>
      </x:c>
    </x:row>
    <x:row r="1008" ht="18" customHeight="1">
      <x:c r="A1008" s="22" t="str">
        <x:f>"b646fbd6-03e6-4df8-82b0-0c4896e0a196"</x:f>
        <x:v>b646fbd6-03e6-4df8-82b0-0c4896e0a196</x:v>
      </x:c>
      <x:c r="B1008" s="23" t="str">
        <x:v>Eliane Rodrigues Alves dos Santos</x:v>
      </x:c>
      <x:c r="C1008" s="23" t="str">
        <x:v>eliane rodrigues alves dos santos</x:v>
      </x:c>
      <x:c r="D1008" s="22" t="str">
        <x:f>"63778563001/25"</x:f>
        <x:v>63778563001/25</x:v>
      </x:c>
      <x:c r="E1008" s="22" t="str">
        <x:f>"6377856300125"</x:f>
        <x:v>6377856300125</x:v>
      </x:c>
      <x:c r="F1008" s="22" t="str">
        <x:f>"05398287427"</x:f>
        <x:v>05398287427</x:v>
      </x:c>
      <x:c r="G1008" s="22" t="str">
        <x:f>"05398287427"</x:f>
        <x:v>05398287427</x:v>
      </x:c>
      <x:c r="H1008" s="23" t="str">
        <x:v>elianevila8@gmail.com</x:v>
      </x:c>
      <x:c r="I1008" s="22" t="str">
        <x:f>"17992158339"</x:f>
        <x:v>17992158339</x:v>
      </x:c>
      <x:c r="J1008" s="23" t="str">
        <x:v>SPOT</x:v>
      </x:c>
      <x:c r="K1008" s="23" t="str">
        <x:v>favored_only</x:v>
      </x:c>
      <x:c r="L1008" s="24" t="b">
        <x:v>1</x:v>
      </x:c>
      <x:c r="M1008" s="23" t="n">
        <x:v>1</x:v>
      </x:c>
      <x:c r="N1008" s="28" t="n">
        <x:v>46203.92189965278</x:v>
      </x:c>
      <x:c r="O1008" s="28" t="n">
        <x:v>46203.92189965278</x:v>
      </x:c>
      <x:c r="P1008" s="23" t="str"/>
      <x:c r="Q1008" s="30" t="str"/>
      <x:c r="R1008" s="22" t="str"/>
      <x:c r="S1008" s="23" t="str"/>
      <x:c r="T1008" s="22" t="str"/>
      <x:c r="U1008" s="23" t="str">
        <x:v>Eliane Rodrigues Alves dos Santos</x:v>
      </x:c>
      <x:c r="V1008" s="22" t="str">
        <x:f>"05398287427"</x:f>
        <x:v>05398287427</x:v>
      </x:c>
      <x:c r="W1008" s="22" t="str">
        <x:f>"05398287427"</x:f>
        <x:v>05398287427</x:v>
      </x:c>
      <x:c r="X1008" s="23" t="str">
        <x:v>elianevila8@gmail.com</x:v>
      </x:c>
      <x:c r="Y1008" s="22" t="str">
        <x:f>"17992158339"</x:f>
        <x:v>17992158339</x:v>
      </x:c>
      <x:c r="Z1008" s="30" t="str"/>
    </x:row>
    <x:row r="1009" ht="18" customHeight="1">
      <x:c r="A1009" s="22" t="str">
        <x:f>"d511854e-2d76-4feb-b832-6edda2f8e1f6"</x:f>
        <x:v>d511854e-2d76-4feb-b832-6edda2f8e1f6</x:v>
      </x:c>
      <x:c r="B1009" s="23" t="str">
        <x:v>ELIANE SANTOS</x:v>
      </x:c>
      <x:c r="C1009" s="23" t="str">
        <x:v>eliane santos</x:v>
      </x:c>
      <x:c r="D1009" s="22" t="str">
        <x:f>"43.517.464/0001-82"</x:f>
        <x:v>43.517.464/0001-82</x:v>
      </x:c>
      <x:c r="E1009" s="22" t="str">
        <x:f>"43517464000182"</x:f>
        <x:v>43517464000182</x:v>
      </x:c>
      <x:c r="F1009" s="22" t="str">
        <x:f>"549.879.897-00"</x:f>
        <x:v>549.879.897-00</x:v>
      </x:c>
      <x:c r="G1009" s="22" t="str">
        <x:f>"54987989700"</x:f>
        <x:v>54987989700</x:v>
      </x:c>
      <x:c r="H1009" s="23" t="str">
        <x:v>eliane195773@gmail.com</x:v>
      </x:c>
      <x:c r="I1009" s="22" t="str">
        <x:f>"2196762-1246"</x:f>
        <x:v>2196762-1246</x:v>
      </x:c>
      <x:c r="J1009" s="23" t="str">
        <x:v>SPOT</x:v>
      </x:c>
      <x:c r="K1009" s="23" t="str">
        <x:v>favored_only</x:v>
      </x:c>
      <x:c r="L1009" s="24" t="b">
        <x:v>1</x:v>
      </x:c>
      <x:c r="M1009" s="23" t="n">
        <x:v>1</x:v>
      </x:c>
      <x:c r="N1009" s="28" t="n">
        <x:v>46205.60714128472</x:v>
      </x:c>
      <x:c r="O1009" s="28" t="n">
        <x:v>46219.812988715275</x:v>
      </x:c>
      <x:c r="P1009" s="23" t="str">
        <x:v>CAMPO GRANDE</x:v>
      </x:c>
      <x:c r="Q1009" s="30" t="n">
        <x:v>20988</x:v>
      </x:c>
      <x:c r="R1009" s="22" t="str">
        <x:f>"386059888"</x:f>
        <x:v>386059888</x:v>
      </x:c>
      <x:c r="S1009" s="23" t="str">
        <x:v>feminino</x:v>
      </x:c>
      <x:c r="T1009" s="22" t="str">
        <x:f>"LML5536"</x:f>
        <x:v>LML5536</x:v>
      </x:c>
      <x:c r="U1009" s="23" t="str">
        <x:v>WELINGTON JOSE DOS SANTOS</x:v>
      </x:c>
      <x:c r="V1009" s="22" t="str">
        <x:f>"809.563.947-87"</x:f>
        <x:v>809.563.947-87</x:v>
      </x:c>
      <x:c r="W1009" s="22" t="str">
        <x:f>"80956394787"</x:f>
        <x:v>80956394787</x:v>
      </x:c>
      <x:c r="X1009" s="23" t="str">
        <x:v>inforwell@gmail.com</x:v>
      </x:c>
      <x:c r="Y1009" s="22" t="str">
        <x:f>"2196494-0295"</x:f>
        <x:v>2196494-0295</x:v>
      </x:c>
      <x:c r="Z1009" s="30" t="n">
        <x:v>46400</x:v>
      </x:c>
    </x:row>
    <x:row r="1010" ht="18" customHeight="1">
      <x:c r="A1010" s="22" t="str">
        <x:f>"f501d5f3-728f-46d4-9c9d-cfec5a0e7035"</x:f>
        <x:v>f501d5f3-728f-46d4-9c9d-cfec5a0e7035</x:v>
      </x:c>
      <x:c r="B1010" s="23" t="str">
        <x:v>ELIAS DA COSTA ANDRADE</x:v>
      </x:c>
      <x:c r="C1010" s="23" t="str">
        <x:v>elias da costa andrade</x:v>
      </x:c>
      <x:c r="D1010" s="22" t="str">
        <x:f>"50.236.648/0001-30"</x:f>
        <x:v>50.236.648/0001-30</x:v>
      </x:c>
      <x:c r="E1010" s="22" t="str">
        <x:f>"50236648000130"</x:f>
        <x:v>50236648000130</x:v>
      </x:c>
      <x:c r="F1010" s="22" t="str">
        <x:f>"697.197.561-87"</x:f>
        <x:v>697.197.561-87</x:v>
      </x:c>
      <x:c r="G1010" s="22" t="str">
        <x:f>"69719756187"</x:f>
        <x:v>69719756187</x:v>
      </x:c>
      <x:c r="H1010" s="23" t="str">
        <x:v>elicoan248@gmail.com</x:v>
      </x:c>
      <x:c r="I1010" s="22" t="str">
        <x:f>"65 98421-4244"</x:f>
        <x:v>65 98421-4244</x:v>
      </x:c>
      <x:c r="J1010" s="23" t="str">
        <x:v>SPOT</x:v>
      </x:c>
      <x:c r="K1010" s="23" t="str">
        <x:v>favored_only</x:v>
      </x:c>
      <x:c r="L1010" s="24" t="b">
        <x:v>1</x:v>
      </x:c>
      <x:c r="M1010" s="23" t="n">
        <x:v>1</x:v>
      </x:c>
      <x:c r="N1010" s="28" t="n">
        <x:v>46203.92184908565</x:v>
      </x:c>
      <x:c r="O1010" s="28" t="n">
        <x:v>46219.812988715275</x:v>
      </x:c>
      <x:c r="P1010" s="23" t="str">
        <x:v>CUIABA</x:v>
      </x:c>
      <x:c r="Q1010" s="30" t="n">
        <x:v>29810</x:v>
      </x:c>
      <x:c r="R1010" s="22" t="str">
        <x:f>"1151248-2"</x:f>
        <x:v>1151248-2</x:v>
      </x:c>
      <x:c r="S1010" s="23" t="str">
        <x:v>masculino</x:v>
      </x:c>
      <x:c r="T1010" s="22" t="str">
        <x:f>"FMC4247"</x:f>
        <x:v>FMC4247</x:v>
      </x:c>
      <x:c r="U1010" s="23" t="str">
        <x:v>ELIAS DA COSTA ANDRADE</x:v>
      </x:c>
      <x:c r="V1010" s="22" t="str">
        <x:f>"697.197.561-87"</x:f>
        <x:v>697.197.561-87</x:v>
      </x:c>
      <x:c r="W1010" s="22" t="str">
        <x:f>"69719756187"</x:f>
        <x:v>69719756187</x:v>
      </x:c>
      <x:c r="X1010" s="23" t="str">
        <x:v>elicoan248@gmail.com</x:v>
      </x:c>
      <x:c r="Y1010" s="22" t="str">
        <x:f>"65 98421-4244"</x:f>
        <x:v>65 98421-4244</x:v>
      </x:c>
      <x:c r="Z1010" s="30" t="n">
        <x:v>46233</x:v>
      </x:c>
    </x:row>
    <x:row r="1011" ht="18" customHeight="1">
      <x:c r="A1011" s="22" t="str">
        <x:f>"00a4d60c-0883-4228-91a1-57e8b011a5a7"</x:f>
        <x:v>00a4d60c-0883-4228-91a1-57e8b011a5a7</x:v>
      </x:c>
      <x:c r="B1011" s="23" t="str">
        <x:v>ELIAS DA SILVA ROCHA</x:v>
      </x:c>
      <x:c r="C1011" s="23" t="str">
        <x:v>elias da silva rocha</x:v>
      </x:c>
      <x:c r="D1011" s="22" t="str">
        <x:f>"58.681.822/0001-65"</x:f>
        <x:v>58.681.822/0001-65</x:v>
      </x:c>
      <x:c r="E1011" s="22" t="str">
        <x:f>"58681822000165"</x:f>
        <x:v>58681822000165</x:v>
      </x:c>
      <x:c r="F1011" s="22" t="str">
        <x:f>"466.512.458-21"</x:f>
        <x:v>466.512.458-21</x:v>
      </x:c>
      <x:c r="G1011" s="22" t="str">
        <x:f>"46651245821"</x:f>
        <x:v>46651245821</x:v>
      </x:c>
      <x:c r="H1011" s="23" t="str">
        <x:v>rochaelias447@gmail.com.br</x:v>
      </x:c>
      <x:c r="I1011" s="22" t="str">
        <x:f>"(17)99185-6460"</x:f>
        <x:v>(17)99185-6460</x:v>
      </x:c>
      <x:c r="J1011" s="23" t="str">
        <x:v>RENTAL</x:v>
      </x:c>
      <x:c r="K1011" s="23" t="str">
        <x:v>rental_company</x:v>
      </x:c>
      <x:c r="L1011" s="24" t="b">
        <x:v>1</x:v>
      </x:c>
      <x:c r="M1011" s="23" t="n">
        <x:v>1</x:v>
      </x:c>
      <x:c r="N1011" s="28" t="n">
        <x:v>46219.812988715275</x:v>
      </x:c>
      <x:c r="O1011" s="28" t="n">
        <x:v>46219.812988715275</x:v>
      </x:c>
      <x:c r="P1011" s="23" t="str">
        <x:v>SÃO CARLOS</x:v>
      </x:c>
      <x:c r="Q1011" s="30" t="n">
        <x:v>35481</x:v>
      </x:c>
      <x:c r="R1011" s="22" t="str">
        <x:f>"545175343"</x:f>
        <x:v>545175343</x:v>
      </x:c>
      <x:c r="S1011" s="23" t="str">
        <x:v>masculino</x:v>
      </x:c>
      <x:c r="T1011" s="22" t="str"/>
      <x:c r="U1011" s="23" t="str">
        <x:v>ELIAS DA SILVA ROCHA</x:v>
      </x:c>
      <x:c r="V1011" s="22" t="str">
        <x:f>"466.512.458-21"</x:f>
        <x:v>466.512.458-21</x:v>
      </x:c>
      <x:c r="W1011" s="22" t="str">
        <x:f>"46651245821"</x:f>
        <x:v>46651245821</x:v>
      </x:c>
      <x:c r="X1011" s="23" t="str">
        <x:v>rochaelias447@gmail.com.br</x:v>
      </x:c>
      <x:c r="Y1011" s="22" t="str">
        <x:f>"(17)99185-6460"</x:f>
        <x:v>(17)99185-6460</x:v>
      </x:c>
      <x:c r="Z1011" s="30" t="n">
        <x:v>46457</x:v>
      </x:c>
    </x:row>
    <x:row r="1012" ht="18" customHeight="1">
      <x:c r="A1012" s="22" t="str">
        <x:f>"d6a12e52-50c2-4d7e-9d70-20285a67e10a"</x:f>
        <x:v>d6a12e52-50c2-4d7e-9d70-20285a67e10a</x:v>
      </x:c>
      <x:c r="B1012" s="23" t="str">
        <x:v>ELIAS DA SILVA VITOR</x:v>
      </x:c>
      <x:c r="C1012" s="23" t="str">
        <x:v>elias da silva vitor</x:v>
      </x:c>
      <x:c r="D1012" s="22" t="str">
        <x:f>"67.876.831/0001-00"</x:f>
        <x:v>67.876.831/0001-00</x:v>
      </x:c>
      <x:c r="E1012" s="22" t="str">
        <x:f>"67876831000100"</x:f>
        <x:v>67876831000100</x:v>
      </x:c>
      <x:c r="F1012" s="22" t="str">
        <x:f>"038.992.886-02"</x:f>
        <x:v>038.992.886-02</x:v>
      </x:c>
      <x:c r="G1012" s="22" t="str">
        <x:f>"03899288602"</x:f>
        <x:v>03899288602</x:v>
      </x:c>
      <x:c r="H1012" s="23" t="str">
        <x:v>eliasdasilvavitor@hotmail.com</x:v>
      </x:c>
      <x:c r="I1012" s="22" t="str">
        <x:f>"(31) 99623-8789"</x:f>
        <x:v>(31) 99623-8789</x:v>
      </x:c>
      <x:c r="J1012" s="23" t="str">
        <x:v>RENTAL</x:v>
      </x:c>
      <x:c r="K1012" s="23" t="str">
        <x:v>rental_company</x:v>
      </x:c>
      <x:c r="L1012" s="24" t="b">
        <x:v>1</x:v>
      </x:c>
      <x:c r="M1012" s="23" t="n">
        <x:v>1</x:v>
      </x:c>
      <x:c r="N1012" s="28" t="n">
        <x:v>46219.812988715275</x:v>
      </x:c>
      <x:c r="O1012" s="28" t="n">
        <x:v>46219.812988715275</x:v>
      </x:c>
      <x:c r="P1012" s="23" t="str">
        <x:v>POUSO ALEGRE</x:v>
      </x:c>
      <x:c r="Q1012" s="30" t="n">
        <x:v>28698</x:v>
      </x:c>
      <x:c r="R1012" s="22" t="str">
        <x:f>"6275017475"</x:f>
        <x:v>6275017475</x:v>
      </x:c>
      <x:c r="S1012" s="23" t="str">
        <x:v>masculino</x:v>
      </x:c>
      <x:c r="T1012" s="22" t="str"/>
      <x:c r="U1012" s="23" t="str">
        <x:v>ELIAS DA SILVA VITOR</x:v>
      </x:c>
      <x:c r="V1012" s="22" t="str">
        <x:f>"038.992.886-02"</x:f>
        <x:v>038.992.886-02</x:v>
      </x:c>
      <x:c r="W1012" s="22" t="str">
        <x:f>"03899288602"</x:f>
        <x:v>03899288602</x:v>
      </x:c>
      <x:c r="X1012" s="23" t="str">
        <x:v>eliasdasilvavitor@hotmail.com</x:v>
      </x:c>
      <x:c r="Y1012" s="22" t="str">
        <x:f>"(31) 99623-8789"</x:f>
        <x:v>(31) 99623-8789</x:v>
      </x:c>
      <x:c r="Z1012" s="30" t="n">
        <x:v>46575</x:v>
      </x:c>
    </x:row>
    <x:row r="1013" ht="18" customHeight="1">
      <x:c r="A1013" s="22" t="str">
        <x:f>"67ce3306-79fd-4087-9e63-184dbf2b80b3"</x:f>
        <x:v>67ce3306-79fd-4087-9e63-184dbf2b80b3</x:v>
      </x:c>
      <x:c r="B1013" s="23" t="str">
        <x:v>ELIAS DOS REIS SOUSA</x:v>
      </x:c>
      <x:c r="C1013" s="23" t="str">
        <x:v>elias dos reis sousa</x:v>
      </x:c>
      <x:c r="D1013" s="22" t="str">
        <x:f>"40.439.409/0001-23"</x:f>
        <x:v>40.439.409/0001-23</x:v>
      </x:c>
      <x:c r="E1013" s="22" t="str">
        <x:f>"40439409000123"</x:f>
        <x:v>40439409000123</x:v>
      </x:c>
      <x:c r="F1013" s="22" t="str">
        <x:f>"069.956.046-28"</x:f>
        <x:v>069.956.046-28</x:v>
      </x:c>
      <x:c r="G1013" s="22" t="str">
        <x:f>"06995604628"</x:f>
        <x:v>06995604628</x:v>
      </x:c>
      <x:c r="H1013" s="23" t="str">
        <x:v>eliasraquel180383@gmail.com</x:v>
      </x:c>
      <x:c r="I1013" s="22" t="str">
        <x:f>"19 99823-4481"</x:f>
        <x:v>19 99823-4481</x:v>
      </x:c>
      <x:c r="J1013" s="23" t="str">
        <x:v>SPOT</x:v>
      </x:c>
      <x:c r="K1013" s="23" t="str">
        <x:v>favored_only</x:v>
      </x:c>
      <x:c r="L1013" s="24" t="b">
        <x:v>1</x:v>
      </x:c>
      <x:c r="M1013" s="23" t="n">
        <x:v>1</x:v>
      </x:c>
      <x:c r="N1013" s="28" t="n">
        <x:v>46205.603381574074</x:v>
      </x:c>
      <x:c r="O1013" s="28" t="n">
        <x:v>46219.812988715275</x:v>
      </x:c>
      <x:c r="P1013" s="23" t="str">
        <x:v>GUAXUPE</x:v>
      </x:c>
      <x:c r="Q1013" s="30" t="n">
        <x:v>30383</x:v>
      </x:c>
      <x:c r="R1013" s="22" t="str">
        <x:f>"123969970"</x:f>
        <x:v>123969970</x:v>
      </x:c>
      <x:c r="S1013" s="23" t="str">
        <x:v>masculino</x:v>
      </x:c>
      <x:c r="T1013" s="22" t="str">
        <x:f>"NYA4I52"</x:f>
        <x:v>NYA4I52</x:v>
      </x:c>
      <x:c r="U1013" s="23" t="str">
        <x:v>JOSE ADRIANO DE SOUZA</x:v>
      </x:c>
      <x:c r="V1013" s="22" t="str">
        <x:f>"048.068.786-26"</x:f>
        <x:v>048.068.786-26</x:v>
      </x:c>
      <x:c r="W1013" s="22" t="str">
        <x:f>"04806878626"</x:f>
        <x:v>04806878626</x:v>
      </x:c>
      <x:c r="X1013" s="23" t="str">
        <x:v>adrianomljose@gmail.com</x:v>
      </x:c>
      <x:c r="Y1013" s="22" t="str">
        <x:f>"19 97151-8601"</x:f>
        <x:v>19 97151-8601</x:v>
      </x:c>
      <x:c r="Z1013" s="30" t="n">
        <x:v>46218</x:v>
      </x:c>
    </x:row>
    <x:row r="1014" ht="18" customHeight="1">
      <x:c r="A1014" s="22" t="str">
        <x:f>"bc24e385-7952-4ba6-9678-5191b316761a"</x:f>
        <x:v>bc24e385-7952-4ba6-9678-5191b316761a</x:v>
      </x:c>
      <x:c r="B1014" s="23" t="str">
        <x:v>ELIAS GONCALVES DA ROCHA</x:v>
      </x:c>
      <x:c r="C1014" s="23" t="str">
        <x:v>elias goncalves da rocha</x:v>
      </x:c>
      <x:c r="D1014" s="22" t="str">
        <x:f>"62.846.737/0001-87"</x:f>
        <x:v>62.846.737/0001-87</x:v>
      </x:c>
      <x:c r="E1014" s="22" t="str">
        <x:f>"62846737000187"</x:f>
        <x:v>62846737000187</x:v>
      </x:c>
      <x:c r="F1014" s="22" t="str">
        <x:f>"372.713.818-13"</x:f>
        <x:v>372.713.818-13</x:v>
      </x:c>
      <x:c r="G1014" s="22" t="str">
        <x:f>"37271381813"</x:f>
        <x:v>37271381813</x:v>
      </x:c>
      <x:c r="H1014" s="23" t="str">
        <x:v>elias_rocha2007@hotmail.com</x:v>
      </x:c>
      <x:c r="I1014" s="22" t="str">
        <x:f>"18997774564"</x:f>
        <x:v>18997774564</x:v>
      </x:c>
      <x:c r="J1014" s="23" t="str">
        <x:v>RENTALS</x:v>
      </x:c>
      <x:c r="K1014" s="23" t="str">
        <x:v>rental_company</x:v>
      </x:c>
      <x:c r="L1014" s="24" t="b">
        <x:v>1</x:v>
      </x:c>
      <x:c r="M1014" s="23" t="n">
        <x:v>1</x:v>
      </x:c>
      <x:c r="N1014" s="28" t="n">
        <x:v>46219.812988715275</x:v>
      </x:c>
      <x:c r="O1014" s="28" t="n">
        <x:v>46219.812988715275</x:v>
      </x:c>
      <x:c r="P1014" s="23" t="str">
        <x:v>PRESIDENTE PRUDENTE</x:v>
      </x:c>
      <x:c r="Q1014" s="30" t="n">
        <x:v>33034</x:v>
      </x:c>
      <x:c r="R1014" s="22" t="str">
        <x:f>"462528820"</x:f>
        <x:v>462528820</x:v>
      </x:c>
      <x:c r="S1014" s="23" t="str">
        <x:v>masculino</x:v>
      </x:c>
      <x:c r="T1014" s="22" t="str"/>
      <x:c r="U1014" s="23" t="str">
        <x:v>ELIAS GONCALVES DA ROCHA</x:v>
      </x:c>
      <x:c r="V1014" s="22" t="str">
        <x:f>"372.713.818-13"</x:f>
        <x:v>372.713.818-13</x:v>
      </x:c>
      <x:c r="W1014" s="22" t="str">
        <x:f>"37271381813"</x:f>
        <x:v>37271381813</x:v>
      </x:c>
      <x:c r="X1014" s="23" t="str">
        <x:v>elias_rocha2007@hotmail.com</x:v>
      </x:c>
      <x:c r="Y1014" s="22" t="str">
        <x:f>"18997774564"</x:f>
        <x:v>18997774564</x:v>
      </x:c>
      <x:c r="Z1014" s="30" t="n">
        <x:v>46474</x:v>
      </x:c>
    </x:row>
    <x:row r="1015" ht="18" customHeight="1">
      <x:c r="A1015" s="22" t="str">
        <x:f>"32f900f8-6507-458e-bea3-a28a1bd2bd5a"</x:f>
        <x:v>32f900f8-6507-458e-bea3-a28a1bd2bd5a</x:v>
      </x:c>
      <x:c r="B1015" s="23" t="str">
        <x:v>ELIAS MARTINS SOUZA SILVA</x:v>
      </x:c>
      <x:c r="C1015" s="23" t="str">
        <x:v>elias martins souza silva</x:v>
      </x:c>
      <x:c r="D1015" s="22" t="str">
        <x:f>"63.372.927/0001-72"</x:f>
        <x:v>63.372.927/0001-72</x:v>
      </x:c>
      <x:c r="E1015" s="22" t="str">
        <x:f>"63372927000172"</x:f>
        <x:v>63372927000172</x:v>
      </x:c>
      <x:c r="F1015" s="22" t="str">
        <x:f>"128.525.236-55"</x:f>
        <x:v>128.525.236-55</x:v>
      </x:c>
      <x:c r="G1015" s="22" t="str">
        <x:f>"12852523655"</x:f>
        <x:v>12852523655</x:v>
      </x:c>
      <x:c r="H1015" s="23" t="str">
        <x:v>Eliasmartins26755@gmail.com</x:v>
      </x:c>
      <x:c r="I1015" s="22" t="str">
        <x:f>"31991028511"</x:f>
        <x:v>31991028511</x:v>
      </x:c>
      <x:c r="J1015" s="23" t="str">
        <x:v>SPOT</x:v>
      </x:c>
      <x:c r="K1015" s="23" t="str">
        <x:v>favored_only</x:v>
      </x:c>
      <x:c r="L1015" s="24" t="b">
        <x:v>1</x:v>
      </x:c>
      <x:c r="M1015" s="23" t="n">
        <x:v>1</x:v>
      </x:c>
      <x:c r="N1015" s="28" t="n">
        <x:v>46203.921904421295</x:v>
      </x:c>
      <x:c r="O1015" s="28" t="n">
        <x:v>46219.812988715275</x:v>
      </x:c>
      <x:c r="P1015" s="23" t="str">
        <x:v>IPATINGA</x:v>
      </x:c>
      <x:c r="Q1015" s="30" t="n">
        <x:v>36316</x:v>
      </x:c>
      <x:c r="R1015" s="22" t="str">
        <x:f>"18719185"</x:f>
        <x:v>18719185</x:v>
      </x:c>
      <x:c r="S1015" s="23" t="str">
        <x:v>masculino</x:v>
      </x:c>
      <x:c r="T1015" s="22" t="str">
        <x:f>"MHI5I04"</x:f>
        <x:v>MHI5I04</x:v>
      </x:c>
      <x:c r="U1015" s="23" t="str">
        <x:v>ELIAS MARTINS SOUZA SILVA</x:v>
      </x:c>
      <x:c r="V1015" s="22" t="str">
        <x:f>"128.525.236-55"</x:f>
        <x:v>128.525.236-55</x:v>
      </x:c>
      <x:c r="W1015" s="22" t="str">
        <x:f>"12852523655"</x:f>
        <x:v>12852523655</x:v>
      </x:c>
      <x:c r="X1015" s="23" t="str">
        <x:v>Eliasmartins26755@gmail.com</x:v>
      </x:c>
      <x:c r="Y1015" s="22" t="str">
        <x:f>"31991028511"</x:f>
        <x:v>31991028511</x:v>
      </x:c>
      <x:c r="Z1015" s="30" t="n">
        <x:v>46367</x:v>
      </x:c>
    </x:row>
    <x:row r="1016" ht="18" customHeight="1">
      <x:c r="A1016" s="22" t="str">
        <x:f>"35ecaed7-8dc8-4730-84a1-025dd252040d"</x:f>
        <x:v>35ecaed7-8dc8-4730-84a1-025dd252040d</x:v>
      </x:c>
      <x:c r="B1016" s="23" t="str">
        <x:v>ELIAS MATEUS FERREIRA</x:v>
      </x:c>
      <x:c r="C1016" s="23" t="str">
        <x:v>elias mateus ferreira</x:v>
      </x:c>
      <x:c r="D1016" s="22" t="str">
        <x:f>"45.553.235/0001-49"</x:f>
        <x:v>45.553.235/0001-49</x:v>
      </x:c>
      <x:c r="E1016" s="22" t="str">
        <x:f>"45553235000149"</x:f>
        <x:v>45553235000149</x:v>
      </x:c>
      <x:c r="F1016" s="22" t="str">
        <x:f>"140.541.266-69"</x:f>
        <x:v>140.541.266-69</x:v>
      </x:c>
      <x:c r="G1016" s="22" t="str">
        <x:f>"14054126669"</x:f>
        <x:v>14054126669</x:v>
      </x:c>
      <x:c r="H1016" s="23" t="str">
        <x:v>eliasmateus8@gmail.com</x:v>
      </x:c>
      <x:c r="I1016" s="22" t="str">
        <x:f>"35984334282"</x:f>
        <x:v>35984334282</x:v>
      </x:c>
      <x:c r="J1016" s="23" t="str">
        <x:v>RENTAL</x:v>
      </x:c>
      <x:c r="K1016" s="23" t="str">
        <x:v>rental_company</x:v>
      </x:c>
      <x:c r="L1016" s="24" t="b">
        <x:v>1</x:v>
      </x:c>
      <x:c r="M1016" s="23" t="n">
        <x:v>1</x:v>
      </x:c>
      <x:c r="N1016" s="28" t="n">
        <x:v>46203.921852962965</x:v>
      </x:c>
      <x:c r="O1016" s="28" t="n">
        <x:v>46219.812988715275</x:v>
      </x:c>
      <x:c r="P1016" s="23" t="str">
        <x:v>POUSO ALEGRE</x:v>
      </x:c>
      <x:c r="Q1016" s="30" t="n">
        <x:v>36063</x:v>
      </x:c>
      <x:c r="R1016" s="22" t="str">
        <x:f>"20463457"</x:f>
        <x:v>20463457</x:v>
      </x:c>
      <x:c r="S1016" s="23" t="str">
        <x:v>masculino</x:v>
      </x:c>
      <x:c r="T1016" s="22" t="str"/>
      <x:c r="U1016" s="23" t="str">
        <x:v>ELIAS MATEUS FERREIRA</x:v>
      </x:c>
      <x:c r="V1016" s="22" t="str">
        <x:f>"140.541.266-69"</x:f>
        <x:v>140.541.266-69</x:v>
      </x:c>
      <x:c r="W1016" s="22" t="str">
        <x:f>"14054126669"</x:f>
        <x:v>14054126669</x:v>
      </x:c>
      <x:c r="X1016" s="23" t="str">
        <x:v>eliasmateus8@gmail.com</x:v>
      </x:c>
      <x:c r="Y1016" s="22" t="str">
        <x:f>"35984334282"</x:f>
        <x:v>35984334282</x:v>
      </x:c>
      <x:c r="Z1016" s="30" t="n">
        <x:v>46248</x:v>
      </x:c>
    </x:row>
    <x:row r="1017" ht="18" customHeight="1">
      <x:c r="A1017" s="22" t="str">
        <x:f>"f9221d83-b358-441d-87a9-407f8639bd4d"</x:f>
        <x:v>f9221d83-b358-441d-87a9-407f8639bd4d</x:v>
      </x:c>
      <x:c r="B1017" s="23" t="str">
        <x:v>ELIAS VIEIRA DOS SANTOS</x:v>
      </x:c>
      <x:c r="C1017" s="23" t="str">
        <x:v>elias vieira dos santos</x:v>
      </x:c>
      <x:c r="D1017" s="22" t="str">
        <x:f>"56.044.197/0001-15"</x:f>
        <x:v>56.044.197/0001-15</x:v>
      </x:c>
      <x:c r="E1017" s="22" t="str">
        <x:f>"56044197000115"</x:f>
        <x:v>56044197000115</x:v>
      </x:c>
      <x:c r="F1017" s="22" t="str">
        <x:f>"125.247.376-16"</x:f>
        <x:v>125.247.376-16</x:v>
      </x:c>
      <x:c r="G1017" s="22" t="str">
        <x:f>"12524737616"</x:f>
        <x:v>12524737616</x:v>
      </x:c>
      <x:c r="H1017" s="23" t="str">
        <x:v>eliasvieirads3108@gmail.com</x:v>
      </x:c>
      <x:c r="I1017" s="22" t="str">
        <x:f>"31991631621"</x:f>
        <x:v>31991631621</x:v>
      </x:c>
      <x:c r="J1017" s="23" t="str">
        <x:v>SPOT</x:v>
      </x:c>
      <x:c r="K1017" s="23" t="str">
        <x:v>favored_only</x:v>
      </x:c>
      <x:c r="L1017" s="24" t="b">
        <x:v>1</x:v>
      </x:c>
      <x:c r="M1017" s="23" t="n">
        <x:v>1</x:v>
      </x:c>
      <x:c r="N1017" s="28" t="n">
        <x:v>46219.812988715275</x:v>
      </x:c>
      <x:c r="O1017" s="28" t="n">
        <x:v>46219.812988715275</x:v>
      </x:c>
      <x:c r="P1017" s="23" t="str">
        <x:v>CONTAGEM</x:v>
      </x:c>
      <x:c r="Q1017" s="30" t="n">
        <x:v>35308</x:v>
      </x:c>
      <x:c r="R1017" s="22" t="str">
        <x:f>"18852026"</x:f>
        <x:v>18852026</x:v>
      </x:c>
      <x:c r="S1017" s="23" t="str">
        <x:v>masculino</x:v>
      </x:c>
      <x:c r="T1017" s="22" t="str">
        <x:f>"PPB3J91"</x:f>
        <x:v>PPB3J91</x:v>
      </x:c>
      <x:c r="U1017" s="23" t="str">
        <x:v>ELIAS VIEIRA DOS SANTOS</x:v>
      </x:c>
      <x:c r="V1017" s="22" t="str">
        <x:f>"125.247.376-16"</x:f>
        <x:v>125.247.376-16</x:v>
      </x:c>
      <x:c r="W1017" s="22" t="str">
        <x:f>"12524737616"</x:f>
        <x:v>12524737616</x:v>
      </x:c>
      <x:c r="X1017" s="23" t="str">
        <x:v>eliasvieirads3108@gmail.com</x:v>
      </x:c>
      <x:c r="Y1017" s="22" t="str">
        <x:f>"31991631621"</x:f>
        <x:v>31991631621</x:v>
      </x:c>
      <x:c r="Z1017" s="30" t="n">
        <x:v>46569</x:v>
      </x:c>
    </x:row>
    <x:row r="1018" ht="18" customHeight="1">
      <x:c r="A1018" s="22" t="str">
        <x:f>"2ddcd70f-1f12-4bf4-b4a2-c4b5372e88c5"</x:f>
        <x:v>2ddcd70f-1f12-4bf4-b4a2-c4b5372e88c5</x:v>
      </x:c>
      <x:c r="B1018" s="23" t="str">
        <x:v>ELIBERTO LIMA DE MOURA</x:v>
      </x:c>
      <x:c r="C1018" s="23" t="str">
        <x:v>eliberto lima de moura</x:v>
      </x:c>
      <x:c r="D1018" s="22" t="str">
        <x:f>"37.823.997/0001-90"</x:f>
        <x:v>37.823.997/0001-90</x:v>
      </x:c>
      <x:c r="E1018" s="22" t="str">
        <x:f>"37823997000190"</x:f>
        <x:v>37823997000190</x:v>
      </x:c>
      <x:c r="F1018" s="22" t="str">
        <x:f>"043.606.364-66"</x:f>
        <x:v>043.606.364-66</x:v>
      </x:c>
      <x:c r="G1018" s="22" t="str">
        <x:f>"04360636466"</x:f>
        <x:v>04360636466</x:v>
      </x:c>
      <x:c r="H1018" s="23" t="str">
        <x:v>elibertolima08@gmail.com</x:v>
      </x:c>
      <x:c r="I1018" s="22" t="str">
        <x:f>"62)99150-6347"</x:f>
        <x:v>62)99150-6347</x:v>
      </x:c>
      <x:c r="J1018" s="23" t="str">
        <x:v>SPOT</x:v>
      </x:c>
      <x:c r="K1018" s="23" t="str">
        <x:v>favored_only</x:v>
      </x:c>
      <x:c r="L1018" s="24" t="b">
        <x:v>1</x:v>
      </x:c>
      <x:c r="M1018" s="23" t="n">
        <x:v>1</x:v>
      </x:c>
      <x:c r="N1018" s="28" t="n">
        <x:v>46205.60434767361</x:v>
      </x:c>
      <x:c r="O1018" s="28" t="n">
        <x:v>46219.812988715275</x:v>
      </x:c>
      <x:c r="P1018" s="23" t="str">
        <x:v>GOIANIA</x:v>
      </x:c>
      <x:c r="Q1018" s="30" t="n">
        <x:v>30140</x:v>
      </x:c>
      <x:c r="R1018" s="22" t="str">
        <x:f>"6588603"</x:f>
        <x:v>6588603</x:v>
      </x:c>
      <x:c r="S1018" s="23" t="str">
        <x:v>masculino</x:v>
      </x:c>
      <x:c r="T1018" s="22" t="str">
        <x:f>"OMR7H84"</x:f>
        <x:v>OMR7H84</x:v>
      </x:c>
      <x:c r="U1018" s="23" t="str">
        <x:v>DANILLO BACIEL ALMEIDA</x:v>
      </x:c>
      <x:c r="V1018" s="22" t="str">
        <x:f>"019.928.911-50"</x:f>
        <x:v>019.928.911-50</x:v>
      </x:c>
      <x:c r="W1018" s="22" t="str">
        <x:f>"01992891150"</x:f>
        <x:v>01992891150</x:v>
      </x:c>
      <x:c r="X1018" s="23" t="str">
        <x:v>rpt.cargas@gmail.com</x:v>
      </x:c>
      <x:c r="Y1018" s="22" t="str">
        <x:f>"62 996610607"</x:f>
        <x:v>62 996610607</x:v>
      </x:c>
      <x:c r="Z1018" s="30" t="n">
        <x:v>46248</x:v>
      </x:c>
    </x:row>
    <x:row r="1019" ht="18" customHeight="1">
      <x:c r="A1019" s="22" t="str">
        <x:f>"5eb46acd-99c4-46d1-8753-f75d2036fc9f"</x:f>
        <x:v>5eb46acd-99c4-46d1-8753-f75d2036fc9f</x:v>
      </x:c>
      <x:c r="B1019" s="23" t="str">
        <x:v>ELIBERTO LIMA DE MOURA</x:v>
      </x:c>
      <x:c r="C1019" s="23" t="str">
        <x:v>eliberto lima de moura</x:v>
      </x:c>
      <x:c r="D1019" s="22" t="str">
        <x:f>"45.918.254/0001-21"</x:f>
        <x:v>45.918.254/0001-21</x:v>
      </x:c>
      <x:c r="E1019" s="22" t="str">
        <x:f>"45918254000121"</x:f>
        <x:v>45918254000121</x:v>
      </x:c>
      <x:c r="F1019" s="22" t="str">
        <x:f>"043.606.364-66"</x:f>
        <x:v>043.606.364-66</x:v>
      </x:c>
      <x:c r="G1019" s="22" t="str">
        <x:f>"04360636466"</x:f>
        <x:v>04360636466</x:v>
      </x:c>
      <x:c r="H1019" s="23" t="str">
        <x:v>elibertolima08@gmail.com</x:v>
      </x:c>
      <x:c r="I1019" s="22" t="str">
        <x:f>"(62)99150-6347"</x:f>
        <x:v>(62)99150-6347</x:v>
      </x:c>
      <x:c r="J1019" s="23" t="str">
        <x:v>SPOT</x:v>
      </x:c>
      <x:c r="K1019" s="23" t="str">
        <x:v>favored_only</x:v>
      </x:c>
      <x:c r="L1019" s="24" t="b">
        <x:v>1</x:v>
      </x:c>
      <x:c r="M1019" s="23" t="n">
        <x:v>1</x:v>
      </x:c>
      <x:c r="N1019" s="28" t="n">
        <x:v>46205.603907847224</x:v>
      </x:c>
      <x:c r="O1019" s="28" t="n">
        <x:v>46219.812988715275</x:v>
      </x:c>
      <x:c r="P1019" s="23" t="str">
        <x:v>GOIANIA</x:v>
      </x:c>
      <x:c r="Q1019" s="30" t="n">
        <x:v>30140</x:v>
      </x:c>
      <x:c r="R1019" s="22" t="str">
        <x:f>"6588603"</x:f>
        <x:v>6588603</x:v>
      </x:c>
      <x:c r="S1019" s="23" t="str">
        <x:v>masculino</x:v>
      </x:c>
      <x:c r="T1019" s="22" t="str">
        <x:f>"OMR7H84"</x:f>
        <x:v>OMR7H84</x:v>
      </x:c>
      <x:c r="U1019" s="23" t="str">
        <x:v>CAMILA LEAL DOS SANTOS FIRMINO</x:v>
      </x:c>
      <x:c r="V1019" s="22" t="str">
        <x:f>"063.744.001-35"</x:f>
        <x:v>063.744.001-35</x:v>
      </x:c>
      <x:c r="W1019" s="22" t="str">
        <x:f>"06374400135"</x:f>
        <x:v>06374400135</x:v>
      </x:c>
      <x:c r="X1019" s="23" t="str">
        <x:v>kamyllaleal29@gmail.com</x:v>
      </x:c>
      <x:c r="Y1019" s="22" t="str">
        <x:f>"(62)99469-8679"</x:f>
        <x:v>(62)99469-8679</x:v>
      </x:c>
      <x:c r="Z1019" s="30" t="n">
        <x:v>46248</x:v>
      </x:c>
    </x:row>
    <x:row r="1020" ht="18" customHeight="1">
      <x:c r="A1020" s="22" t="str">
        <x:f>"0ae8250d-534c-43f1-bfd5-df910e155fc4"</x:f>
        <x:v>0ae8250d-534c-43f1-bfd5-df910e155fc4</x:v>
      </x:c>
      <x:c r="B1020" s="23" t="str">
        <x:v>ELICE DA SILVA SOUZA</x:v>
      </x:c>
      <x:c r="C1020" s="23" t="str">
        <x:v>elice da silva souza</x:v>
      </x:c>
      <x:c r="D1020" s="22" t="str">
        <x:f>"65.550.734/0001-90"</x:f>
        <x:v>65.550.734/0001-90</x:v>
      </x:c>
      <x:c r="E1020" s="22" t="str">
        <x:f>"65550734000190"</x:f>
        <x:v>65550734000190</x:v>
      </x:c>
      <x:c r="F1020" s="22" t="str">
        <x:f>"024.706.471-85"</x:f>
        <x:v>024.706.471-85</x:v>
      </x:c>
      <x:c r="G1020" s="22" t="str">
        <x:f>"02470647185"</x:f>
        <x:v>02470647185</x:v>
      </x:c>
      <x:c r="H1020" s="23" t="str">
        <x:v>elice.souza.kaleby@gmail.com</x:v>
      </x:c>
      <x:c r="I1020" s="22" t="str">
        <x:f>"65993466945"</x:f>
        <x:v>65993466945</x:v>
      </x:c>
      <x:c r="J1020" s="23" t="str">
        <x:v>SPOT</x:v>
      </x:c>
      <x:c r="K1020" s="23" t="str">
        <x:v>favored_only</x:v>
      </x:c>
      <x:c r="L1020" s="24" t="b">
        <x:v>1</x:v>
      </x:c>
      <x:c r="M1020" s="23" t="n">
        <x:v>1</x:v>
      </x:c>
      <x:c r="N1020" s="28" t="n">
        <x:v>46219.812988715275</x:v>
      </x:c>
      <x:c r="O1020" s="28" t="n">
        <x:v>46219.812988715275</x:v>
      </x:c>
      <x:c r="P1020" s="23" t="str">
        <x:v>CÁCERES</x:v>
      </x:c>
      <x:c r="Q1020" s="30" t="n">
        <x:v>32476</x:v>
      </x:c>
      <x:c r="R1020" s="22" t="str">
        <x:f>"20138806"</x:f>
        <x:v>20138806</x:v>
      </x:c>
      <x:c r="S1020" s="23" t="str">
        <x:v>feminino</x:v>
      </x:c>
      <x:c r="T1020" s="22" t="str">
        <x:f>"RVD1B59"</x:f>
        <x:v>RVD1B59</x:v>
      </x:c>
      <x:c r="U1020" s="23" t="str">
        <x:v>EDILSON JOSE DA SILVA SOUZA</x:v>
      </x:c>
      <x:c r="V1020" s="22" t="str">
        <x:f>"024.935.951-06"</x:f>
        <x:v>024.935.951-06</x:v>
      </x:c>
      <x:c r="W1020" s="22" t="str">
        <x:f>"02493595106"</x:f>
        <x:v>02493595106</x:v>
      </x:c>
      <x:c r="X1020" s="23" t="str">
        <x:v>emiliolo240577@gmail.com</x:v>
      </x:c>
      <x:c r="Y1020" s="22" t="str">
        <x:f>"(65) 99621-2478"</x:f>
        <x:v>(65) 99621-2478</x:v>
      </x:c>
      <x:c r="Z1020" s="30" t="n">
        <x:v>46462</x:v>
      </x:c>
    </x:row>
    <x:row r="1021" ht="18" customHeight="1">
      <x:c r="A1021" s="22" t="str">
        <x:f>"3065ea20-bc4e-43b3-914f-d5e917f523e6"</x:f>
        <x:v>3065ea20-bc4e-43b3-914f-d5e917f523e6</x:v>
      </x:c>
      <x:c r="B1021" s="23" t="str">
        <x:v>ELICE DA SILVA SOUZA</x:v>
      </x:c>
      <x:c r="C1021" s="23" t="str">
        <x:v>elice da silva souza</x:v>
      </x:c>
      <x:c r="D1021" s="22" t="str">
        <x:f>"43.928.922/0001-76"</x:f>
        <x:v>43.928.922/0001-76</x:v>
      </x:c>
      <x:c r="E1021" s="22" t="str">
        <x:f>"43928922000176"</x:f>
        <x:v>43928922000176</x:v>
      </x:c>
      <x:c r="F1021" s="22" t="str">
        <x:f>"024.706.471-85"</x:f>
        <x:v>024.706.471-85</x:v>
      </x:c>
      <x:c r="G1021" s="22" t="str">
        <x:f>"02470647185"</x:f>
        <x:v>02470647185</x:v>
      </x:c>
      <x:c r="H1021" s="23" t="str">
        <x:v>elice.souza.kaleby@gmail.com</x:v>
      </x:c>
      <x:c r="I1021" s="22" t="str">
        <x:f>"65993466945"</x:f>
        <x:v>65993466945</x:v>
      </x:c>
      <x:c r="J1021" s="23" t="str">
        <x:v>SPOT</x:v>
      </x:c>
      <x:c r="K1021" s="23" t="str">
        <x:v>favored_only</x:v>
      </x:c>
      <x:c r="L1021" s="24" t="b">
        <x:v>1</x:v>
      </x:c>
      <x:c r="M1021" s="23" t="n">
        <x:v>2</x:v>
      </x:c>
      <x:c r="N1021" s="28" t="n">
        <x:v>46219.812988715275</x:v>
      </x:c>
      <x:c r="O1021" s="28" t="n">
        <x:v>46219.812988715275</x:v>
      </x:c>
      <x:c r="P1021" s="23" t="str">
        <x:v>CÁCERES</x:v>
      </x:c>
      <x:c r="Q1021" s="30" t="n">
        <x:v>32476</x:v>
      </x:c>
      <x:c r="R1021" s="22" t="str">
        <x:f>"20138806"</x:f>
        <x:v>20138806</x:v>
      </x:c>
      <x:c r="S1021" s="23" t="str">
        <x:v>feminino</x:v>
      </x:c>
      <x:c r="T1021" s="22" t="str">
        <x:f>"RVD1B59"</x:f>
        <x:v>RVD1B59</x:v>
      </x:c>
      <x:c r="U1021" s="23" t="str">
        <x:v>EMILIO DOMINGOS LOUREIRO</x:v>
      </x:c>
      <x:c r="V1021" s="22" t="str">
        <x:f>"892.919.991-72"</x:f>
        <x:v>892.919.991-72</x:v>
      </x:c>
      <x:c r="W1021" s="22" t="str">
        <x:f>"89291999172"</x:f>
        <x:v>89291999172</x:v>
      </x:c>
      <x:c r="X1021" s="23" t="str">
        <x:v>emiliolo240577@gmail.com</x:v>
      </x:c>
      <x:c r="Y1021" s="22" t="str">
        <x:f>"65996212478"</x:f>
        <x:v>65996212478</x:v>
      </x:c>
      <x:c r="Z1021" s="30" t="n">
        <x:v>46430</x:v>
      </x:c>
    </x:row>
    <x:row r="1022" ht="18" customHeight="1">
      <x:c r="A1022" s="22" t="str">
        <x:f>"da33b4ae-a7e5-40ed-8a84-34ff3f5ad536"</x:f>
        <x:v>da33b4ae-a7e5-40ed-8a84-34ff3f5ad536</x:v>
      </x:c>
      <x:c r="B1022" s="23" t="str">
        <x:v>ELIEL AMED FERREIRA</x:v>
      </x:c>
      <x:c r="C1022" s="23" t="str">
        <x:v>eliel amed ferreira</x:v>
      </x:c>
      <x:c r="D1022" s="22" t="str">
        <x:f>"66.666.436/0001-22"</x:f>
        <x:v>66.666.436/0001-22</x:v>
      </x:c>
      <x:c r="E1022" s="22" t="str">
        <x:f>"66666436000122"</x:f>
        <x:v>66666436000122</x:v>
      </x:c>
      <x:c r="F1022" s="22" t="str">
        <x:f>"196.841.277-82"</x:f>
        <x:v>196.841.277-82</x:v>
      </x:c>
      <x:c r="G1022" s="22" t="str">
        <x:f>"19684127782"</x:f>
        <x:v>19684127782</x:v>
      </x:c>
      <x:c r="H1022" s="23" t="str">
        <x:v>elielamed2025@gmail.com</x:v>
      </x:c>
      <x:c r="I1022" s="22" t="str">
        <x:f>"21959118917"</x:f>
        <x:v>21959118917</x:v>
      </x:c>
      <x:c r="J1022" s="23" t="str">
        <x:v>SPOT</x:v>
      </x:c>
      <x:c r="K1022" s="23" t="str">
        <x:v>favored_only</x:v>
      </x:c>
      <x:c r="L1022" s="24" t="b">
        <x:v>1</x:v>
      </x:c>
      <x:c r="M1022" s="23" t="n">
        <x:v>1</x:v>
      </x:c>
      <x:c r="N1022" s="28" t="n">
        <x:v>46219.812988715275</x:v>
      </x:c>
      <x:c r="O1022" s="28" t="n">
        <x:v>46219.812988715275</x:v>
      </x:c>
      <x:c r="P1022" s="23" t="str">
        <x:v>QUEIMADOS</x:v>
      </x:c>
      <x:c r="Q1022" s="30" t="n">
        <x:v>37322</x:v>
      </x:c>
      <x:c r="R1022" s="22" t="str">
        <x:f>"241499151"</x:f>
        <x:v>241499151</x:v>
      </x:c>
      <x:c r="S1022" s="23" t="str">
        <x:v>masculino</x:v>
      </x:c>
      <x:c r="T1022" s="22" t="str">
        <x:f>"LTR6E69"</x:f>
        <x:v>LTR6E69</x:v>
      </x:c>
      <x:c r="U1022" s="23" t="str">
        <x:v>ELIEL AMED FERREIRA</x:v>
      </x:c>
      <x:c r="V1022" s="22" t="str">
        <x:f>"196.841.277-82"</x:f>
        <x:v>196.841.277-82</x:v>
      </x:c>
      <x:c r="W1022" s="22" t="str">
        <x:f>"19684127782"</x:f>
        <x:v>19684127782</x:v>
      </x:c>
      <x:c r="X1022" s="23" t="str">
        <x:v>elielamed2025@gmail.com</x:v>
      </x:c>
      <x:c r="Y1022" s="22" t="str">
        <x:f>"21959118917"</x:f>
        <x:v>21959118917</x:v>
      </x:c>
      <x:c r="Z1022" s="30" t="n">
        <x:v>46533</x:v>
      </x:c>
    </x:row>
    <x:row r="1023" ht="18" customHeight="1">
      <x:c r="A1023" s="22" t="str">
        <x:f>"cb264e18-0ec9-4c46-a70c-14a1ccb535d0"</x:f>
        <x:v>cb264e18-0ec9-4c46-a70c-14a1ccb535d0</x:v>
      </x:c>
      <x:c r="B1023" s="23" t="str">
        <x:v>Eliete dias de souza</x:v>
      </x:c>
      <x:c r="C1023" s="23" t="str">
        <x:v>eliete dias de souza</x:v>
      </x:c>
      <x:c r="D1023" s="22" t="str">
        <x:f>"60185947000146"</x:f>
        <x:v>60185947000146</x:v>
      </x:c>
      <x:c r="E1023" s="22" t="str">
        <x:f>"60185947000146"</x:f>
        <x:v>60185947000146</x:v>
      </x:c>
      <x:c r="F1023" s="22" t="str">
        <x:f>"81353146634"</x:f>
        <x:v>81353146634</x:v>
      </x:c>
      <x:c r="G1023" s="22" t="str">
        <x:f>"81353146634"</x:f>
        <x:v>81353146634</x:v>
      </x:c>
      <x:c r="H1023" s="23" t="str">
        <x:v>elietesouz53@gmail.com</x:v>
      </x:c>
      <x:c r="I1023" s="22" t="str">
        <x:f>"+55 31 8477-7080"</x:f>
        <x:v>+55 31 8477-7080</x:v>
      </x:c>
      <x:c r="J1023" s="23" t="str">
        <x:v>SPOT</x:v>
      </x:c>
      <x:c r="K1023" s="23" t="str">
        <x:v>favored_only</x:v>
      </x:c>
      <x:c r="L1023" s="24" t="b">
        <x:v>1</x:v>
      </x:c>
      <x:c r="M1023" s="23" t="n">
        <x:v>1</x:v>
      </x:c>
      <x:c r="N1023" s="28" t="n">
        <x:v>46203.92183332176</x:v>
      </x:c>
      <x:c r="O1023" s="28" t="n">
        <x:v>46203.92183332176</x:v>
      </x:c>
      <x:c r="P1023" s="23" t="str"/>
      <x:c r="Q1023" s="30" t="str"/>
      <x:c r="R1023" s="22" t="str"/>
      <x:c r="S1023" s="23" t="str"/>
      <x:c r="T1023" s="22" t="str"/>
      <x:c r="U1023" s="23" t="str">
        <x:v>Eliete dias de souza</x:v>
      </x:c>
      <x:c r="V1023" s="22" t="str">
        <x:f>"81353146634"</x:f>
        <x:v>81353146634</x:v>
      </x:c>
      <x:c r="W1023" s="22" t="str">
        <x:f>"81353146634"</x:f>
        <x:v>81353146634</x:v>
      </x:c>
      <x:c r="X1023" s="23" t="str">
        <x:v>elietesouz53@gmail.com</x:v>
      </x:c>
      <x:c r="Y1023" s="22" t="str">
        <x:f>"+55 31 8477-7080"</x:f>
        <x:v>+55 31 8477-7080</x:v>
      </x:c>
      <x:c r="Z1023" s="30" t="str"/>
    </x:row>
    <x:row r="1024" ht="18" customHeight="1">
      <x:c r="A1024" s="22" t="str">
        <x:f>"f8c93fa8-6d67-49a9-be7e-ef77104b95b7"</x:f>
        <x:v>f8c93fa8-6d67-49a9-be7e-ef77104b95b7</x:v>
      </x:c>
      <x:c r="B1024" s="23" t="str">
        <x:v>Eliezer Leandro Machado</x:v>
      </x:c>
      <x:c r="C1024" s="23" t="str">
        <x:v>eliezer leandro machado</x:v>
      </x:c>
      <x:c r="D1024" s="22" t="str">
        <x:f>"49.430.018/0001-12"</x:f>
        <x:v>49.430.018/0001-12</x:v>
      </x:c>
      <x:c r="E1024" s="22" t="str">
        <x:f>"49430018000112"</x:f>
        <x:v>49430018000112</x:v>
      </x:c>
      <x:c r="F1024" s="22" t="str">
        <x:f>"373.550.918-59"</x:f>
        <x:v>373.550.918-59</x:v>
      </x:c>
      <x:c r="G1024" s="22" t="str">
        <x:f>"37355091859"</x:f>
        <x:v>37355091859</x:v>
      </x:c>
      <x:c r="H1024" s="23" t="str">
        <x:v>leleco011222@gmail.com</x:v>
      </x:c>
      <x:c r="I1024" s="22" t="str">
        <x:f>"(11) 978233074"</x:f>
        <x:v>(11) 978233074</x:v>
      </x:c>
      <x:c r="J1024" s="23" t="str">
        <x:v>RENTAL</x:v>
      </x:c>
      <x:c r="K1024" s="23" t="str">
        <x:v>rental_company</x:v>
      </x:c>
      <x:c r="L1024" s="24" t="b">
        <x:v>1</x:v>
      </x:c>
      <x:c r="M1024" s="23" t="n">
        <x:v>1</x:v>
      </x:c>
      <x:c r="N1024" s="28" t="n">
        <x:v>46203.921852962965</x:v>
      </x:c>
      <x:c r="O1024" s="28" t="n">
        <x:v>46205.60541355324</x:v>
      </x:c>
      <x:c r="P1024" s="23" t="str">
        <x:v>MADEIRA MADEIRA</x:v>
      </x:c>
      <x:c r="Q1024" s="30" t="n">
        <x:v>32050</x:v>
      </x:c>
      <x:c r="R1024" s="22" t="str">
        <x:f>"41904864"</x:f>
        <x:v>41904864</x:v>
      </x:c>
      <x:c r="S1024" s="23" t="str">
        <x:v>Masculino</x:v>
      </x:c>
      <x:c r="T1024" s="22" t="str"/>
      <x:c r="U1024" s="23" t="str">
        <x:v>Eliezer Leandro Machado</x:v>
      </x:c>
      <x:c r="V1024" s="22" t="str">
        <x:f>"37355091859"</x:f>
        <x:v>37355091859</x:v>
      </x:c>
      <x:c r="W1024" s="22" t="str">
        <x:f>"37355091859"</x:f>
        <x:v>37355091859</x:v>
      </x:c>
      <x:c r="X1024" s="23" t="str">
        <x:v>leleco011222@gmail.com</x:v>
      </x:c>
      <x:c r="Y1024" s="22" t="str">
        <x:f>"(11) 978233074"</x:f>
        <x:v>(11) 978233074</x:v>
      </x:c>
      <x:c r="Z1024" s="30" t="n">
        <x:v>46246</x:v>
      </x:c>
    </x:row>
    <x:row r="1025" ht="18" customHeight="1">
      <x:c r="A1025" s="22" t="str">
        <x:f>"8d2336d5-0c8f-4c44-8ec9-340a95a1d908"</x:f>
        <x:v>8d2336d5-0c8f-4c44-8ec9-340a95a1d908</x:v>
      </x:c>
      <x:c r="B1025" s="23" t="str">
        <x:v>ELINEI GONCALVES DE SOUZA DOS SANTOS</x:v>
      </x:c>
      <x:c r="C1025" s="23" t="str">
        <x:v>elinei goncalves de souza dos santos</x:v>
      </x:c>
      <x:c r="D1025" s="22" t="str">
        <x:f>"45.940.330/0001-03"</x:f>
        <x:v>45.940.330/0001-03</x:v>
      </x:c>
      <x:c r="E1025" s="22" t="str">
        <x:f>"45940330000103"</x:f>
        <x:v>45940330000103</x:v>
      </x:c>
      <x:c r="F1025" s="22" t="str">
        <x:f>"185.643.547-48"</x:f>
        <x:v>185.643.547-48</x:v>
      </x:c>
      <x:c r="G1025" s="22" t="str">
        <x:f>"18564354748"</x:f>
        <x:v>18564354748</x:v>
      </x:c>
      <x:c r="H1025" s="23" t="str">
        <x:v>BARRETOLTDA@OUTLOOK.COM</x:v>
      </x:c>
      <x:c r="I1025" s="22" t="str">
        <x:f>"22997649330"</x:f>
        <x:v>22997649330</x:v>
      </x:c>
      <x:c r="J1025" s="23" t="str">
        <x:v>SPOT</x:v>
      </x:c>
      <x:c r="K1025" s="23" t="str">
        <x:v>favored_only</x:v>
      </x:c>
      <x:c r="L1025" s="24" t="b">
        <x:v>1</x:v>
      </x:c>
      <x:c r="M1025" s="23" t="n">
        <x:v>1</x:v>
      </x:c>
      <x:c r="N1025" s="28" t="n">
        <x:v>46219.812988715275</x:v>
      </x:c>
      <x:c r="O1025" s="28" t="n">
        <x:v>46219.812988715275</x:v>
      </x:c>
      <x:c r="P1025" s="23" t="str">
        <x:v>CAMPOS DOS GOYTACAZES</x:v>
      </x:c>
      <x:c r="Q1025" s="30" t="n">
        <x:v>36365</x:v>
      </x:c>
      <x:c r="R1025" s="22" t="str">
        <x:f>"317572063"</x:f>
        <x:v>317572063</x:v>
      </x:c>
      <x:c r="S1025" s="23" t="str">
        <x:v>masculino</x:v>
      </x:c>
      <x:c r="T1025" s="22" t="str">
        <x:f>"KXT7F39"</x:f>
        <x:v>KXT7F39</x:v>
      </x:c>
      <x:c r="U1025" s="23" t="str">
        <x:v>CARLOS JEAN BARRETO PRIMO</x:v>
      </x:c>
      <x:c r="V1025" s="22" t="str">
        <x:f>"111.354.967-06"</x:f>
        <x:v>111.354.967-06</x:v>
      </x:c>
      <x:c r="W1025" s="22" t="str">
        <x:f>"11135496706"</x:f>
        <x:v>11135496706</x:v>
      </x:c>
      <x:c r="X1025" s="23" t="str">
        <x:v>BARRETOLTDA@OUTLOOK.COM</x:v>
      </x:c>
      <x:c r="Y1025" s="22" t="str">
        <x:f>"22991050761"</x:f>
        <x:v>22991050761</x:v>
      </x:c>
      <x:c r="Z1025" s="30" t="n">
        <x:v>46541</x:v>
      </x:c>
    </x:row>
    <x:row r="1026" ht="18" customHeight="1">
      <x:c r="A1026" s="22" t="str">
        <x:f>"07a25bd1-24bb-4f51-b41e-67308875f793"</x:f>
        <x:v>07a25bd1-24bb-4f51-b41e-67308875f793</x:v>
      </x:c>
      <x:c r="B1026" s="23" t="str">
        <x:v>ELIONE DOS ANJOS DE SOUZA</x:v>
      </x:c>
      <x:c r="C1026" s="23" t="str">
        <x:v>elione dos anjos de souza</x:v>
      </x:c>
      <x:c r="D1026" s="22" t="str">
        <x:f>"62.788.532/0001-92"</x:f>
        <x:v>62.788.532/0001-92</x:v>
      </x:c>
      <x:c r="E1026" s="22" t="str">
        <x:f>"62788532000192"</x:f>
        <x:v>62788532000192</x:v>
      </x:c>
      <x:c r="F1026" s="22" t="str">
        <x:f>"112.343.248-14"</x:f>
        <x:v>112.343.248-14</x:v>
      </x:c>
      <x:c r="G1026" s="22" t="str">
        <x:f>"11234324814"</x:f>
        <x:v>11234324814</x:v>
      </x:c>
      <x:c r="H1026" s="23" t="str">
        <x:v>Jelts.souza@gmail.com</x:v>
      </x:c>
      <x:c r="I1026" s="22" t="str">
        <x:f>"18 99116-1664"</x:f>
        <x:v>18 99116-1664</x:v>
      </x:c>
      <x:c r="J1026" s="23" t="str">
        <x:v>RENTAL</x:v>
      </x:c>
      <x:c r="K1026" s="23" t="str">
        <x:v>rental_company</x:v>
      </x:c>
      <x:c r="L1026" s="24" t="b">
        <x:v>1</x:v>
      </x:c>
      <x:c r="M1026" s="23" t="n">
        <x:v>1</x:v>
      </x:c>
      <x:c r="N1026" s="28" t="n">
        <x:v>46219.812988715275</x:v>
      </x:c>
      <x:c r="O1026" s="28" t="n">
        <x:v>46219.812988715275</x:v>
      </x:c>
      <x:c r="P1026" s="23" t="str">
        <x:v>PRESIDENTE PRUDENTE</x:v>
      </x:c>
      <x:c r="Q1026" s="30" t="n">
        <x:v>25243</x:v>
      </x:c>
      <x:c r="R1026" s="22" t="str">
        <x:f>"17228209"</x:f>
        <x:v>17228209</x:v>
      </x:c>
      <x:c r="S1026" s="23" t="str">
        <x:v>masculino</x:v>
      </x:c>
      <x:c r="T1026" s="22" t="str"/>
      <x:c r="U1026" s="23" t="str">
        <x:v>ELIONE DOS ANJOS DE SOUZA</x:v>
      </x:c>
      <x:c r="V1026" s="22" t="str">
        <x:f>"112.343.248-14"</x:f>
        <x:v>112.343.248-14</x:v>
      </x:c>
      <x:c r="W1026" s="22" t="str">
        <x:f>"11234324814"</x:f>
        <x:v>11234324814</x:v>
      </x:c>
      <x:c r="X1026" s="23" t="str">
        <x:v>Jelts.souza@gmail.com</x:v>
      </x:c>
      <x:c r="Y1026" s="22" t="str">
        <x:f>"18 99116-1664"</x:f>
        <x:v>18 99116-1664</x:v>
      </x:c>
      <x:c r="Z1026" s="30" t="n">
        <x:v>46469</x:v>
      </x:c>
    </x:row>
    <x:row r="1027" ht="18" customHeight="1">
      <x:c r="A1027" s="22" t="str">
        <x:f>"9fc7d241-d6a7-4270-bc6b-b3314a142b99"</x:f>
        <x:v>9fc7d241-d6a7-4270-bc6b-b3314a142b99</x:v>
      </x:c>
      <x:c r="B1027" s="23" t="str">
        <x:v>ELISANGELA ALVES VENANCIO</x:v>
      </x:c>
      <x:c r="C1027" s="23" t="str">
        <x:v>elisangela alves venancio</x:v>
      </x:c>
      <x:c r="D1027" s="22" t="str">
        <x:f>"40.552.250/0001-59"</x:f>
        <x:v>40.552.250/0001-59</x:v>
      </x:c>
      <x:c r="E1027" s="22" t="str">
        <x:f>"40552250000159"</x:f>
        <x:v>40552250000159</x:v>
      </x:c>
      <x:c r="F1027" s="22" t="str">
        <x:f>"005.283.376-37"</x:f>
        <x:v>005.283.376-37</x:v>
      </x:c>
      <x:c r="G1027" s="22" t="str">
        <x:f>"00528337637"</x:f>
        <x:v>00528337637</x:v>
      </x:c>
      <x:c r="H1027" s="23" t="str">
        <x:v>zamalves1978@gmail.com</x:v>
      </x:c>
      <x:c r="I1027" s="22" t="str">
        <x:f>"31993780770"</x:f>
        <x:v>31993780770</x:v>
      </x:c>
      <x:c r="J1027" s="23" t="str">
        <x:v>spot</x:v>
      </x:c>
      <x:c r="K1027" s="23" t="str">
        <x:v>favored_only</x:v>
      </x:c>
      <x:c r="L1027" s="24" t="b">
        <x:v>1</x:v>
      </x:c>
      <x:c r="M1027" s="23" t="n">
        <x:v>1</x:v>
      </x:c>
      <x:c r="N1027" s="28" t="n">
        <x:v>46219.812988715275</x:v>
      </x:c>
      <x:c r="O1027" s="28" t="n">
        <x:v>46219.812988715275</x:v>
      </x:c>
      <x:c r="P1027" s="23" t="str">
        <x:v>VESPASIANO</x:v>
      </x:c>
      <x:c r="Q1027" s="30" t="n">
        <x:v>28641</x:v>
      </x:c>
      <x:c r="R1027" s="22" t="str">
        <x:f>"M7915556"</x:f>
        <x:v>M7915556</x:v>
      </x:c>
      <x:c r="S1027" s="23" t="str">
        <x:v>feminino</x:v>
      </x:c>
      <x:c r="T1027" s="22" t="str">
        <x:f>"QXK7458"</x:f>
        <x:v>QXK7458</x:v>
      </x:c>
      <x:c r="U1027" s="23" t="str">
        <x:v>ELISANGELA ALVES VENANCIO</x:v>
      </x:c>
      <x:c r="V1027" s="22" t="str">
        <x:f>"005.283.376-37"</x:f>
        <x:v>005.283.376-37</x:v>
      </x:c>
      <x:c r="W1027" s="22" t="str">
        <x:f>"00528337637"</x:f>
        <x:v>00528337637</x:v>
      </x:c>
      <x:c r="X1027" s="23" t="str">
        <x:v>zamalves1978@gmail.com</x:v>
      </x:c>
      <x:c r="Y1027" s="22" t="str">
        <x:f>"31994377582"</x:f>
        <x:v>31994377582</x:v>
      </x:c>
      <x:c r="Z1027" s="30" t="n">
        <x:v>46487</x:v>
      </x:c>
    </x:row>
    <x:row r="1028" ht="18" customHeight="1">
      <x:c r="A1028" s="22" t="str">
        <x:f>"87f1843b-1077-4f5f-a006-2870ffea9976"</x:f>
        <x:v>87f1843b-1077-4f5f-a006-2870ffea9976</x:v>
      </x:c>
      <x:c r="B1028" s="23" t="str">
        <x:v>ELISANGELA APARECIDA CAMPOS</x:v>
      </x:c>
      <x:c r="C1028" s="23" t="str">
        <x:v>elisangela aparecida campos</x:v>
      </x:c>
      <x:c r="D1028" s="22" t="str">
        <x:f>"60.859.548/0001-13"</x:f>
        <x:v>60.859.548/0001-13</x:v>
      </x:c>
      <x:c r="E1028" s="22" t="str">
        <x:f>"60859548000113"</x:f>
        <x:v>60859548000113</x:v>
      </x:c>
      <x:c r="F1028" s="22" t="str">
        <x:f>"275115022879"</x:f>
        <x:v>275115022879</x:v>
      </x:c>
      <x:c r="G1028" s="22" t="str">
        <x:f>"275115022879"</x:f>
        <x:v>275115022879</x:v>
      </x:c>
      <x:c r="H1028" s="23" t="str">
        <x:v>elisangela.c.meira@gmail.com</x:v>
      </x:c>
      <x:c r="I1028" s="22" t="str">
        <x:f>"18988232258"</x:f>
        <x:v>18988232258</x:v>
      </x:c>
      <x:c r="J1028" s="23" t="str">
        <x:v>SPOT</x:v>
      </x:c>
      <x:c r="K1028" s="23" t="str">
        <x:v>favored_only</x:v>
      </x:c>
      <x:c r="L1028" s="24" t="b">
        <x:v>1</x:v>
      </x:c>
      <x:c r="M1028" s="23" t="n">
        <x:v>1</x:v>
      </x:c>
      <x:c r="N1028" s="28" t="n">
        <x:v>46203.92186462963</x:v>
      </x:c>
      <x:c r="O1028" s="28" t="n">
        <x:v>46219.812988715275</x:v>
      </x:c>
      <x:c r="P1028" s="23" t="str">
        <x:v>ARAÇATUBA</x:v>
      </x:c>
      <x:c r="Q1028" s="30" t="n">
        <x:v>27800</x:v>
      </x:c>
      <x:c r="R1028" s="22" t="str">
        <x:f>"28417246"</x:f>
        <x:v>28417246</x:v>
      </x:c>
      <x:c r="S1028" s="23" t="str">
        <x:v>feminino</x:v>
      </x:c>
      <x:c r="T1028" s="22" t="str">
        <x:f>"ERT6J04"</x:f>
        <x:v>ERT6J04</x:v>
      </x:c>
      <x:c r="U1028" s="23" t="str">
        <x:v>ELISANGELA APARECIDA CAMPOS</x:v>
      </x:c>
      <x:c r="V1028" s="22" t="str">
        <x:f>"275115022879"</x:f>
        <x:v>275115022879</x:v>
      </x:c>
      <x:c r="W1028" s="22" t="str">
        <x:f>"275115022879"</x:f>
        <x:v>275115022879</x:v>
      </x:c>
      <x:c r="X1028" s="23" t="str">
        <x:v>elisangela.c.meira@gmail.com</x:v>
      </x:c>
      <x:c r="Y1028" s="22" t="str">
        <x:f>"18988232258"</x:f>
        <x:v>18988232258</x:v>
      </x:c>
      <x:c r="Z1028" s="30" t="n">
        <x:v>46273</x:v>
      </x:c>
    </x:row>
    <x:row r="1029" ht="18" customHeight="1">
      <x:c r="A1029" s="22" t="str">
        <x:f>"edeb8360-e7be-462f-8071-6e66cc6fce52"</x:f>
        <x:v>edeb8360-e7be-462f-8071-6e66cc6fce52</x:v>
      </x:c>
      <x:c r="B1029" s="23" t="str">
        <x:v>ELISEU OLIVEIRA DA SILVA</x:v>
      </x:c>
      <x:c r="C1029" s="23" t="str">
        <x:v>eliseu oliveira da silva</x:v>
      </x:c>
      <x:c r="D1029" s="22" t="str">
        <x:f>"62.843.250/0001-40"</x:f>
        <x:v>62.843.250/0001-40</x:v>
      </x:c>
      <x:c r="E1029" s="22" t="str">
        <x:f>"62843250000140"</x:f>
        <x:v>62843250000140</x:v>
      </x:c>
      <x:c r="F1029" s="22" t="str">
        <x:f>"088.732.171-25"</x:f>
        <x:v>088.732.171-25</x:v>
      </x:c>
      <x:c r="G1029" s="22" t="str">
        <x:f>"08873217125"</x:f>
        <x:v>08873217125</x:v>
      </x:c>
      <x:c r="H1029" s="23" t="str">
        <x:v>oliveiraeliseusilva@gmail.com</x:v>
      </x:c>
      <x:c r="I1029" s="22" t="str">
        <x:f>"62 9815-3204"</x:f>
        <x:v>62 9815-3204</x:v>
      </x:c>
      <x:c r="J1029" s="23" t="str">
        <x:v>RENTAL</x:v>
      </x:c>
      <x:c r="K1029" s="23" t="str">
        <x:v>rental_company</x:v>
      </x:c>
      <x:c r="L1029" s="24" t="b">
        <x:v>1</x:v>
      </x:c>
      <x:c r="M1029" s="23" t="n">
        <x:v>1</x:v>
      </x:c>
      <x:c r="N1029" s="28" t="n">
        <x:v>46203.92189349537</x:v>
      </x:c>
      <x:c r="O1029" s="28" t="n">
        <x:v>46219.812988715275</x:v>
      </x:c>
      <x:c r="P1029" s="23" t="str">
        <x:v>GOIANIA</x:v>
      </x:c>
      <x:c r="Q1029" s="30" t="n">
        <x:v>36958</x:v>
      </x:c>
      <x:c r="R1029" s="22" t="str">
        <x:f>"8069288"</x:f>
        <x:v>8069288</x:v>
      </x:c>
      <x:c r="S1029" s="23" t="str">
        <x:v>masculino</x:v>
      </x:c>
      <x:c r="T1029" s="22" t="str"/>
      <x:c r="U1029" s="23" t="str">
        <x:v>ELISEU OLIVEIRA DA SILVA</x:v>
      </x:c>
      <x:c r="V1029" s="22" t="str">
        <x:f>"088.732.171-25"</x:f>
        <x:v>088.732.171-25</x:v>
      </x:c>
      <x:c r="W1029" s="22" t="str">
        <x:f>"08873217125"</x:f>
        <x:v>08873217125</x:v>
      </x:c>
      <x:c r="X1029" s="23" t="str">
        <x:v>oliveiraeliseusilva@gmail.com</x:v>
      </x:c>
      <x:c r="Y1029" s="22" t="str">
        <x:f>"62 9815-3204"</x:f>
        <x:v>62 9815-3204</x:v>
      </x:c>
      <x:c r="Z1029" s="30" t="n">
        <x:v>46340</x:v>
      </x:c>
    </x:row>
    <x:row r="1030" ht="18" customHeight="1">
      <x:c r="A1030" s="22" t="str">
        <x:f>"f8d9218b-35b4-4b80-b063-bb0539c209af"</x:f>
        <x:v>f8d9218b-35b4-4b80-b063-bb0539c209af</x:v>
      </x:c>
      <x:c r="B1030" s="23" t="str">
        <x:v>ELIVAINA FRANCO BARRETO</x:v>
      </x:c>
      <x:c r="C1030" s="23" t="str">
        <x:v>elivaina franco barreto</x:v>
      </x:c>
      <x:c r="D1030" s="22" t="str">
        <x:f>"63.337.477/0001-87"</x:f>
        <x:v>63.337.477/0001-87</x:v>
      </x:c>
      <x:c r="E1030" s="22" t="str">
        <x:f>"63337477000187"</x:f>
        <x:v>63337477000187</x:v>
      </x:c>
      <x:c r="F1030" s="22" t="str">
        <x:f>"032.297.961-79"</x:f>
        <x:v>032.297.961-79</x:v>
      </x:c>
      <x:c r="G1030" s="22" t="str">
        <x:f>"03229796179"</x:f>
        <x:v>03229796179</x:v>
      </x:c>
      <x:c r="H1030" s="23" t="str">
        <x:v>elivainabarreto10@gmail.com</x:v>
      </x:c>
      <x:c r="I1030" s="22" t="str">
        <x:f>"(34) 9 9727 1749"</x:f>
        <x:v>(34) 9 9727 1749</x:v>
      </x:c>
      <x:c r="J1030" s="23" t="str">
        <x:v>RENTAL</x:v>
      </x:c>
      <x:c r="K1030" s="23" t="str">
        <x:v>rental_company</x:v>
      </x:c>
      <x:c r="L1030" s="24" t="b">
        <x:v>1</x:v>
      </x:c>
      <x:c r="M1030" s="23" t="n">
        <x:v>1</x:v>
      </x:c>
      <x:c r="N1030" s="28" t="n">
        <x:v>46203.921887453704</x:v>
      </x:c>
      <x:c r="O1030" s="28" t="n">
        <x:v>46219.812988715275</x:v>
      </x:c>
      <x:c r="P1030" s="23" t="str">
        <x:v>UBERABA</x:v>
      </x:c>
      <x:c r="Q1030" s="30" t="n">
        <x:v>31333</x:v>
      </x:c>
      <x:c r="R1030" s="22" t="str">
        <x:f>"5046715"</x:f>
        <x:v>5046715</x:v>
      </x:c>
      <x:c r="S1030" s="23" t="str">
        <x:v>feminino</x:v>
      </x:c>
      <x:c r="T1030" s="22" t="str"/>
      <x:c r="U1030" s="23" t="str">
        <x:v>ELIVAINA FRANCO BARRETO</x:v>
      </x:c>
      <x:c r="V1030" s="22" t="str">
        <x:f>"032.297.961-79"</x:f>
        <x:v>032.297.961-79</x:v>
      </x:c>
      <x:c r="W1030" s="22" t="str">
        <x:f>"03229796179"</x:f>
        <x:v>03229796179</x:v>
      </x:c>
      <x:c r="X1030" s="23" t="str">
        <x:v>elivainabarreto10@gmail.com</x:v>
      </x:c>
      <x:c r="Y1030" s="22" t="str">
        <x:f>"(34) 9 9727 1749"</x:f>
        <x:v>(34) 9 9727 1749</x:v>
      </x:c>
      <x:c r="Z1030" s="30" t="n">
        <x:v>46849</x:v>
      </x:c>
    </x:row>
    <x:row r="1031" ht="18" customHeight="1">
      <x:c r="A1031" s="22" t="str">
        <x:f>"d6fbacd0-9b10-4312-8876-f1336a805cf2"</x:f>
        <x:v>d6fbacd0-9b10-4312-8876-f1336a805cf2</x:v>
      </x:c>
      <x:c r="B1031" s="23" t="str">
        <x:v>ELIZABETE FERNANDES DOS SANTOS LEMOS</x:v>
      </x:c>
      <x:c r="C1031" s="23" t="str">
        <x:v>elizabete fernandes dos santos lemos</x:v>
      </x:c>
      <x:c r="D1031" s="22" t="str">
        <x:f>"50.010.756/0001-90"</x:f>
        <x:v>50.010.756/0001-90</x:v>
      </x:c>
      <x:c r="E1031" s="22" t="str">
        <x:f>"50010756000190"</x:f>
        <x:v>50010756000190</x:v>
      </x:c>
      <x:c r="F1031" s="22" t="str">
        <x:f>"976.131.426-04"</x:f>
        <x:v>976.131.426-04</x:v>
      </x:c>
      <x:c r="G1031" s="22" t="str">
        <x:f>"97613142604"</x:f>
        <x:v>97613142604</x:v>
      </x:c>
      <x:c r="H1031" s="23" t="str">
        <x:v>LRFERNANDES21@GMAIL.COM</x:v>
      </x:c>
      <x:c r="I1031" s="22" t="str">
        <x:f>"(33) 98708-0880"</x:f>
        <x:v>(33) 98708-0880</x:v>
      </x:c>
      <x:c r="J1031" s="23" t="str">
        <x:v>SPOT</x:v>
      </x:c>
      <x:c r="K1031" s="23" t="str">
        <x:v>favored_only</x:v>
      </x:c>
      <x:c r="L1031" s="24" t="b">
        <x:v>1</x:v>
      </x:c>
      <x:c r="M1031" s="23" t="n">
        <x:v>2</x:v>
      </x:c>
      <x:c r="N1031" s="28" t="n">
        <x:v>46203.92184908565</x:v>
      </x:c>
      <x:c r="O1031" s="28" t="n">
        <x:v>46203.92184908565</x:v>
      </x:c>
      <x:c r="P1031" s="23" t="str"/>
      <x:c r="Q1031" s="30" t="str"/>
      <x:c r="R1031" s="22" t="str"/>
      <x:c r="S1031" s="23" t="str"/>
      <x:c r="T1031" s="22" t="str"/>
      <x:c r="U1031" s="23" t="str">
        <x:v>ELIZABETE FERNANDES DOS SANTOS LEMOS</x:v>
      </x:c>
      <x:c r="V1031" s="22" t="str">
        <x:f>"97613142604"</x:f>
        <x:v>97613142604</x:v>
      </x:c>
      <x:c r="W1031" s="22" t="str">
        <x:f>"97613142604"</x:f>
        <x:v>97613142604</x:v>
      </x:c>
      <x:c r="X1031" s="23" t="str">
        <x:v>ricklemes@icloud.com</x:v>
      </x:c>
      <x:c r="Y1031" s="22" t="str">
        <x:f>"33987080880"</x:f>
        <x:v>33987080880</x:v>
      </x:c>
      <x:c r="Z1031" s="30" t="str"/>
    </x:row>
    <x:row r="1032" ht="18" customHeight="1">
      <x:c r="A1032" s="22" t="str">
        <x:f>"0a9fabe2-e34e-46c9-8682-f7cc0e80e9f6"</x:f>
        <x:v>0a9fabe2-e34e-46c9-8682-f7cc0e80e9f6</x:v>
      </x:c>
      <x:c r="B1032" s="23" t="str">
        <x:v>Elizandra Quixaba da Silva</x:v>
      </x:c>
      <x:c r="C1032" s="23" t="str">
        <x:v>elizandra quixaba da silva</x:v>
      </x:c>
      <x:c r="D1032" s="22" t="str">
        <x:f>"59288518000115"</x:f>
        <x:v>59288518000115</x:v>
      </x:c>
      <x:c r="E1032" s="22" t="str">
        <x:f>"59288518000115"</x:f>
        <x:v>59288518000115</x:v>
      </x:c>
      <x:c r="F1032" s="22" t="str">
        <x:f>"979.584.681.-72"</x:f>
        <x:v>979.584.681.-72</x:v>
      </x:c>
      <x:c r="G1032" s="22" t="str">
        <x:f>"97958468172"</x:f>
        <x:v>97958468172</x:v>
      </x:c>
      <x:c r="H1032" s="23" t="str">
        <x:v>elizandraquixaba2017@gmail.com</x:v>
      </x:c>
      <x:c r="I1032" s="22" t="str">
        <x:f>"62986362111"</x:f>
        <x:v>62986362111</x:v>
      </x:c>
      <x:c r="J1032" s="23" t="str">
        <x:v>SPOT</x:v>
      </x:c>
      <x:c r="K1032" s="23" t="str">
        <x:v>favored_only</x:v>
      </x:c>
      <x:c r="L1032" s="24" t="b">
        <x:v>1</x:v>
      </x:c>
      <x:c r="M1032" s="23" t="n">
        <x:v>1</x:v>
      </x:c>
      <x:c r="N1032" s="28" t="n">
        <x:v>46203.92183332176</x:v>
      </x:c>
      <x:c r="O1032" s="28" t="n">
        <x:v>46203.92183332176</x:v>
      </x:c>
      <x:c r="P1032" s="23" t="str"/>
      <x:c r="Q1032" s="30" t="str"/>
      <x:c r="R1032" s="22" t="str"/>
      <x:c r="S1032" s="23" t="str"/>
      <x:c r="T1032" s="22" t="str"/>
      <x:c r="U1032" s="23" t="str">
        <x:v>Elizandra Quixaba da Silva</x:v>
      </x:c>
      <x:c r="V1032" s="22" t="str">
        <x:f>"979.584.681.-72"</x:f>
        <x:v>979.584.681.-72</x:v>
      </x:c>
      <x:c r="W1032" s="22" t="str">
        <x:f>"97958468172"</x:f>
        <x:v>97958468172</x:v>
      </x:c>
      <x:c r="X1032" s="23" t="str">
        <x:v>elizandraquixaba2017@gmail.com</x:v>
      </x:c>
      <x:c r="Y1032" s="22" t="str">
        <x:f>"62986362111"</x:f>
        <x:v>62986362111</x:v>
      </x:c>
      <x:c r="Z1032" s="30" t="str"/>
    </x:row>
    <x:row r="1033" ht="18" customHeight="1">
      <x:c r="A1033" s="22" t="str">
        <x:f>"cf767b90-b6c5-46bc-a30e-adc3be679d79"</x:f>
        <x:v>cf767b90-b6c5-46bc-a30e-adc3be679d79</x:v>
      </x:c>
      <x:c r="B1033" s="23" t="str">
        <x:v>ELIZANGELA NUNES FREITAS ACHILLE</x:v>
      </x:c>
      <x:c r="C1033" s="23" t="str">
        <x:v>elizangela nunes freitas achille</x:v>
      </x:c>
      <x:c r="D1033" s="22" t="str">
        <x:f>"59147592/000111"</x:f>
        <x:v>59147592/000111</x:v>
      </x:c>
      <x:c r="E1033" s="22" t="str">
        <x:f>"59147592000111"</x:f>
        <x:v>59147592000111</x:v>
      </x:c>
      <x:c r="F1033" s="22" t="str">
        <x:f>"00053607651"</x:f>
        <x:v>00053607651</x:v>
      </x:c>
      <x:c r="G1033" s="22" t="str">
        <x:f>"00053607651"</x:f>
        <x:v>00053607651</x:v>
      </x:c>
      <x:c r="H1033" s="23" t="str">
        <x:v>liliachille@hotmail.com</x:v>
      </x:c>
      <x:c r="I1033" s="22" t="str">
        <x:f>"17 99164-5961"</x:f>
        <x:v>17 99164-5961</x:v>
      </x:c>
      <x:c r="J1033" s="23" t="str">
        <x:v>SPOT</x:v>
      </x:c>
      <x:c r="K1033" s="23" t="str">
        <x:v>favored_only</x:v>
      </x:c>
      <x:c r="L1033" s="24" t="b">
        <x:v>1</x:v>
      </x:c>
      <x:c r="M1033" s="23" t="n">
        <x:v>1</x:v>
      </x:c>
      <x:c r="N1033" s="28" t="n">
        <x:v>46203.921852962965</x:v>
      </x:c>
      <x:c r="O1033" s="28" t="n">
        <x:v>46203.921852962965</x:v>
      </x:c>
      <x:c r="P1033" s="23" t="str"/>
      <x:c r="Q1033" s="30" t="str"/>
      <x:c r="R1033" s="22" t="str"/>
      <x:c r="S1033" s="23" t="str"/>
      <x:c r="T1033" s="22" t="str"/>
      <x:c r="U1033" s="23" t="str">
        <x:v>ELIZANGELA NUNES FREITAS ACHILLE</x:v>
      </x:c>
      <x:c r="V1033" s="22" t="str">
        <x:f>"00053607651"</x:f>
        <x:v>00053607651</x:v>
      </x:c>
      <x:c r="W1033" s="22" t="str">
        <x:f>"00053607651"</x:f>
        <x:v>00053607651</x:v>
      </x:c>
      <x:c r="X1033" s="23" t="str">
        <x:v>liliachille@hotmail.com</x:v>
      </x:c>
      <x:c r="Y1033" s="22" t="str">
        <x:f>"17 99164-5961"</x:f>
        <x:v>17 99164-5961</x:v>
      </x:c>
      <x:c r="Z1033" s="30" t="str"/>
    </x:row>
    <x:row r="1034" ht="18" customHeight="1">
      <x:c r="A1034" s="22" t="str">
        <x:f>"18d0f2fb-350e-4281-be15-26eaeef6d698"</x:f>
        <x:v>18d0f2fb-350e-4281-be15-26eaeef6d698</x:v>
      </x:c>
      <x:c r="B1034" s="23" t="str">
        <x:v>ELIZANGELA SOUZA DOS SANTOS</x:v>
      </x:c>
      <x:c r="C1034" s="23" t="str">
        <x:v>elizangela souza dos santos</x:v>
      </x:c>
      <x:c r="D1034" s="22" t="str">
        <x:f>"46.283.515/0001-47"</x:f>
        <x:v>46.283.515/0001-47</x:v>
      </x:c>
      <x:c r="E1034" s="22" t="str">
        <x:f>"46283515000147"</x:f>
        <x:v>46283515000147</x:v>
      </x:c>
      <x:c r="F1034" s="22" t="str">
        <x:f>"616.812.372-53"</x:f>
        <x:v>616.812.372-53</x:v>
      </x:c>
      <x:c r="G1034" s="22" t="str">
        <x:f>"61681237253"</x:f>
        <x:v>61681237253</x:v>
      </x:c>
      <x:c r="H1034" s="23" t="str">
        <x:v>elisouzasantos996141143@gmail.com</x:v>
      </x:c>
      <x:c r="I1034" s="22" t="str">
        <x:f>"65992617781"</x:f>
        <x:v>65992617781</x:v>
      </x:c>
      <x:c r="J1034" s="23" t="str">
        <x:v>SPOT</x:v>
      </x:c>
      <x:c r="K1034" s="23" t="str">
        <x:v>favored_only</x:v>
      </x:c>
      <x:c r="L1034" s="24" t="b">
        <x:v>1</x:v>
      </x:c>
      <x:c r="M1034" s="23" t="n">
        <x:v>1</x:v>
      </x:c>
      <x:c r="N1034" s="28" t="n">
        <x:v>46219.812988715275</x:v>
      </x:c>
      <x:c r="O1034" s="28" t="n">
        <x:v>46219.812988715275</x:v>
      </x:c>
      <x:c r="P1034" s="23" t="str">
        <x:v>PONTES E LACERDA</x:v>
      </x:c>
      <x:c r="Q1034" s="30" t="n">
        <x:v>27615</x:v>
      </x:c>
      <x:c r="R1034" s="22" t="str">
        <x:f>"459223"</x:f>
        <x:v>459223</x:v>
      </x:c>
      <x:c r="S1034" s="23" t="str">
        <x:v>feminino</x:v>
      </x:c>
      <x:c r="T1034" s="22" t="str">
        <x:f>"OAX5F92"</x:f>
        <x:v>OAX5F92</x:v>
      </x:c>
      <x:c r="U1034" s="23" t="str">
        <x:v>ELIZANGELA SOUZA DOS SANTOS</x:v>
      </x:c>
      <x:c r="V1034" s="22" t="str">
        <x:f>"616.812.372-53"</x:f>
        <x:v>616.812.372-53</x:v>
      </x:c>
      <x:c r="W1034" s="22" t="str">
        <x:f>"61681237253"</x:f>
        <x:v>61681237253</x:v>
      </x:c>
      <x:c r="X1034" s="23" t="str">
        <x:v>elisouzasantos996141143@gmail.com</x:v>
      </x:c>
      <x:c r="Y1034" s="22" t="str">
        <x:f>"65992617781"</x:f>
        <x:v>65992617781</x:v>
      </x:c>
      <x:c r="Z1034" s="30" t="n">
        <x:v>46494</x:v>
      </x:c>
    </x:row>
    <x:row r="1035" ht="18" customHeight="1">
      <x:c r="A1035" s="22" t="str">
        <x:f>"5ff075a8-05be-49c1-86d2-7bf300b5d045"</x:f>
        <x:v>5ff075a8-05be-49c1-86d2-7bf300b5d045</x:v>
      </x:c>
      <x:c r="B1035" s="23" t="str">
        <x:v>ELLEN CRISTINA DE OLIVEIRA THOMAS</x:v>
      </x:c>
      <x:c r="C1035" s="23" t="str">
        <x:v>ellen cristina de oliveira thomas</x:v>
      </x:c>
      <x:c r="D1035" s="22" t="str">
        <x:f>"26.827.167/0001-14"</x:f>
        <x:v>26.827.167/0001-14</x:v>
      </x:c>
      <x:c r="E1035" s="22" t="str">
        <x:f>"26827167000114"</x:f>
        <x:v>26827167000114</x:v>
      </x:c>
      <x:c r="F1035" s="22" t="str">
        <x:f>"327.589.008-58"</x:f>
        <x:v>327.589.008-58</x:v>
      </x:c>
      <x:c r="G1035" s="22" t="str">
        <x:f>"32758900858"</x:f>
        <x:v>32758900858</x:v>
      </x:c>
      <x:c r="H1035" s="23" t="str">
        <x:v>ellentomaz1@gmail.com</x:v>
      </x:c>
      <x:c r="I1035" s="22" t="str">
        <x:f>"17991330138"</x:f>
        <x:v>17991330138</x:v>
      </x:c>
      <x:c r="J1035" s="23" t="str">
        <x:v>SPOT</x:v>
      </x:c>
      <x:c r="K1035" s="23" t="str">
        <x:v>favored_only</x:v>
      </x:c>
      <x:c r="L1035" s="24" t="b">
        <x:v>1</x:v>
      </x:c>
      <x:c r="M1035" s="23" t="n">
        <x:v>1</x:v>
      </x:c>
      <x:c r="N1035" s="28" t="n">
        <x:v>46203.92183332176</x:v>
      </x:c>
      <x:c r="O1035" s="28" t="n">
        <x:v>46205.6047355787</x:v>
      </x:c>
      <x:c r="P1035" s="23" t="str">
        <x:v>SÃO JOSE DO RIO PRETO</x:v>
      </x:c>
      <x:c r="Q1035" s="30" t="n">
        <x:v>30894</x:v>
      </x:c>
      <x:c r="R1035" s="22" t="str">
        <x:f>"41383576"</x:f>
        <x:v>41383576</x:v>
      </x:c>
      <x:c r="S1035" s="23" t="str">
        <x:v>Feminino</x:v>
      </x:c>
      <x:c r="T1035" s="22" t="str">
        <x:f>"EKP5C10"</x:f>
        <x:v>EKP5C10</x:v>
      </x:c>
      <x:c r="U1035" s="23" t="str">
        <x:v>ELLEN CRISTINA DE OLIVEIRA THOMAS</x:v>
      </x:c>
      <x:c r="V1035" s="22" t="str">
        <x:f>"32758900858"</x:f>
        <x:v>32758900858</x:v>
      </x:c>
      <x:c r="W1035" s="22" t="str">
        <x:f>"32758900858"</x:f>
        <x:v>32758900858</x:v>
      </x:c>
      <x:c r="X1035" s="23" t="str">
        <x:v>ellentomaz1@gmail.com</x:v>
      </x:c>
      <x:c r="Y1035" s="22" t="str">
        <x:f>"17991330138"</x:f>
        <x:v>17991330138</x:v>
      </x:c>
      <x:c r="Z1035" s="30" t="n">
        <x:v>46210</x:v>
      </x:c>
    </x:row>
    <x:row r="1036" ht="18" customHeight="1">
      <x:c r="A1036" s="22" t="str">
        <x:f>"db2b1ace-765f-4567-b6b8-1e3a0fc36956"</x:f>
        <x:v>db2b1ace-765f-4567-b6b8-1e3a0fc36956</x:v>
      </x:c>
      <x:c r="B1036" s="23" t="str">
        <x:v>ELLEN ELOI SILVA</x:v>
      </x:c>
      <x:c r="C1036" s="23" t="str">
        <x:v>ellen eloi silva</x:v>
      </x:c>
      <x:c r="D1036" s="22" t="str">
        <x:f>"60.281.176/0001-90"</x:f>
        <x:v>60.281.176/0001-90</x:v>
      </x:c>
      <x:c r="E1036" s="22" t="str">
        <x:f>"60281176000190"</x:f>
        <x:v>60281176000190</x:v>
      </x:c>
      <x:c r="F1036" s="22" t="str">
        <x:f>"153.921.646-25"</x:f>
        <x:v>153.921.646-25</x:v>
      </x:c>
      <x:c r="G1036" s="22" t="str">
        <x:f>"15392164625"</x:f>
        <x:v>15392164625</x:v>
      </x:c>
      <x:c r="H1036" s="23" t="str">
        <x:v>elleneloi99@gmail.com</x:v>
      </x:c>
      <x:c r="I1036" s="22" t="str">
        <x:f>"31998309948"</x:f>
        <x:v>31998309948</x:v>
      </x:c>
      <x:c r="J1036" s="23" t="str">
        <x:v>RENTALS</x:v>
      </x:c>
      <x:c r="K1036" s="23" t="str">
        <x:v>rental_company</x:v>
      </x:c>
      <x:c r="L1036" s="24" t="b">
        <x:v>1</x:v>
      </x:c>
      <x:c r="M1036" s="23" t="n">
        <x:v>1</x:v>
      </x:c>
      <x:c r="N1036" s="28" t="n">
        <x:v>46219.812988715275</x:v>
      </x:c>
      <x:c r="O1036" s="28" t="n">
        <x:v>46219.812988715275</x:v>
      </x:c>
      <x:c r="P1036" s="23" t="str">
        <x:v>CONTAGEM</x:v>
      </x:c>
      <x:c r="Q1036" s="30" t="n">
        <x:v>36967</x:v>
      </x:c>
      <x:c r="R1036" s="22" t="str">
        <x:f>"20219627"</x:f>
        <x:v>20219627</x:v>
      </x:c>
      <x:c r="S1036" s="23" t="str">
        <x:v>feminino</x:v>
      </x:c>
      <x:c r="T1036" s="22" t="str"/>
      <x:c r="U1036" s="23" t="str">
        <x:v>ELLEN ELOI SILVA</x:v>
      </x:c>
      <x:c r="V1036" s="22" t="str">
        <x:f>"153.921.646-25"</x:f>
        <x:v>153.921.646-25</x:v>
      </x:c>
      <x:c r="W1036" s="22" t="str">
        <x:f>"15392164625"</x:f>
        <x:v>15392164625</x:v>
      </x:c>
      <x:c r="X1036" s="23" t="str">
        <x:v>elleneloi99@gmail.com</x:v>
      </x:c>
      <x:c r="Y1036" s="22" t="str">
        <x:f>"31998309948"</x:f>
        <x:v>31998309948</x:v>
      </x:c>
      <x:c r="Z1036" s="30" t="n">
        <x:v>46493</x:v>
      </x:c>
    </x:row>
    <x:row r="1037" ht="18" customHeight="1">
      <x:c r="A1037" s="22" t="str">
        <x:f>"11ab0fe3-aea3-4b83-8fc3-95a426672411"</x:f>
        <x:v>11ab0fe3-aea3-4b83-8fc3-95a426672411</x:v>
      </x:c>
      <x:c r="B1037" s="23" t="str">
        <x:v>ELLEN JORGE DE MORAIS</x:v>
      </x:c>
      <x:c r="C1037" s="23" t="str">
        <x:v>ellen jorge de morais</x:v>
      </x:c>
      <x:c r="D1037" s="22" t="str">
        <x:f>"58.443.039/0001-63"</x:f>
        <x:v>58.443.039/0001-63</x:v>
      </x:c>
      <x:c r="E1037" s="22" t="str">
        <x:f>"58443039000163"</x:f>
        <x:v>58443039000163</x:v>
      </x:c>
      <x:c r="F1037" s="22" t="str">
        <x:f>"142.711.916-39"</x:f>
        <x:v>142.711.916-39</x:v>
      </x:c>
      <x:c r="G1037" s="22" t="str">
        <x:f>"14271191639"</x:f>
        <x:v>14271191639</x:v>
      </x:c>
      <x:c r="H1037" s="23" t="str">
        <x:v>ellenjorge089@gmail.com</x:v>
      </x:c>
      <x:c r="I1037" s="22" t="str">
        <x:f>"31997301200"</x:f>
        <x:v>31997301200</x:v>
      </x:c>
      <x:c r="J1037" s="23" t="str">
        <x:v>SPOT</x:v>
      </x:c>
      <x:c r="K1037" s="23" t="str">
        <x:v>favored_only</x:v>
      </x:c>
      <x:c r="L1037" s="24" t="b">
        <x:v>1</x:v>
      </x:c>
      <x:c r="M1037" s="23" t="n">
        <x:v>1</x:v>
      </x:c>
      <x:c r="N1037" s="28" t="n">
        <x:v>46205.60551209491</x:v>
      </x:c>
      <x:c r="O1037" s="28" t="n">
        <x:v>46219.812988715275</x:v>
      </x:c>
      <x:c r="P1037" s="23" t="str">
        <x:v>CONCEIÇÃO DO MATO DENTRO</x:v>
      </x:c>
      <x:c r="Q1037" s="30" t="n">
        <x:v>35871</x:v>
      </x:c>
      <x:c r="R1037" s="22" t="str">
        <x:f>"MG-20738222"</x:f>
        <x:v>MG-20738222</x:v>
      </x:c>
      <x:c r="S1037" s="23" t="str">
        <x:v>feminino</x:v>
      </x:c>
      <x:c r="T1037" s="22" t="str">
        <x:f>"TEA9F16"</x:f>
        <x:v>TEA9F16</x:v>
      </x:c>
      <x:c r="U1037" s="23" t="str">
        <x:v>LUCINEIA JORGE NASCIMENTO</x:v>
      </x:c>
      <x:c r="V1037" s="22" t="str">
        <x:f>"296.659.898-04"</x:f>
        <x:v>296.659.898-04</x:v>
      </x:c>
      <x:c r="W1037" s="22" t="str">
        <x:f>"29665989804"</x:f>
        <x:v>29665989804</x:v>
      </x:c>
      <x:c r="X1037" s="23" t="str">
        <x:v>lujnascimento2007@hotmail.com</x:v>
      </x:c>
      <x:c r="Y1037" s="22" t="str">
        <x:f>"31997301200"</x:f>
        <x:v>31997301200</x:v>
      </x:c>
      <x:c r="Z1037" s="30" t="n">
        <x:v>46325</x:v>
      </x:c>
    </x:row>
    <x:row r="1038" ht="18" customHeight="1">
      <x:c r="A1038" s="22" t="str">
        <x:f>"1090d67c-0107-4f6b-a44b-1613e7410398"</x:f>
        <x:v>1090d67c-0107-4f6b-a44b-1613e7410398</x:v>
      </x:c>
      <x:c r="B1038" s="23" t="str">
        <x:v>ELSON DA SILVA</x:v>
      </x:c>
      <x:c r="C1038" s="23" t="str">
        <x:v>elson da silva</x:v>
      </x:c>
      <x:c r="D1038" s="22" t="str">
        <x:f>"62.179.727/0001-35"</x:f>
        <x:v>62.179.727/0001-35</x:v>
      </x:c>
      <x:c r="E1038" s="22" t="str">
        <x:f>"62179727000135"</x:f>
        <x:v>62179727000135</x:v>
      </x:c>
      <x:c r="F1038" s="22" t="str">
        <x:f>"061.748.554-22"</x:f>
        <x:v>061.748.554-22</x:v>
      </x:c>
      <x:c r="G1038" s="22" t="str">
        <x:f>"06174855422"</x:f>
        <x:v>06174855422</x:v>
      </x:c>
      <x:c r="H1038" s="23" t="str">
        <x:v>elsonsilva1085@gmail.com</x:v>
      </x:c>
      <x:c r="I1038" s="22" t="str">
        <x:f>"(11)945416908"</x:f>
        <x:v>(11)945416908</x:v>
      </x:c>
      <x:c r="J1038" s="23" t="str">
        <x:v>SPOT</x:v>
      </x:c>
      <x:c r="K1038" s="23" t="str">
        <x:v>favored_only</x:v>
      </x:c>
      <x:c r="L1038" s="24" t="b">
        <x:v>1</x:v>
      </x:c>
      <x:c r="M1038" s="23" t="n">
        <x:v>1</x:v>
      </x:c>
      <x:c r="N1038" s="28" t="n">
        <x:v>46203.921858726855</x:v>
      </x:c>
      <x:c r="O1038" s="28" t="n">
        <x:v>46219.812988715275</x:v>
      </x:c>
      <x:c r="P1038" s="23" t="str">
        <x:v>BARUERI</x:v>
      </x:c>
      <x:c r="Q1038" s="30" t="n">
        <x:v>31349</x:v>
      </x:c>
      <x:c r="R1038" s="22" t="str">
        <x:f>"57507053"</x:f>
        <x:v>57507053</x:v>
      </x:c>
      <x:c r="S1038" s="23" t="str">
        <x:v>masculino</x:v>
      </x:c>
      <x:c r="T1038" s="22" t="str">
        <x:f>"ATE6D19"</x:f>
        <x:v>ATE6D19</x:v>
      </x:c>
      <x:c r="U1038" s="23" t="str">
        <x:v>ELSON DA SILVA</x:v>
      </x:c>
      <x:c r="V1038" s="22" t="str">
        <x:f>"061.748.554-22"</x:f>
        <x:v>061.748.554-22</x:v>
      </x:c>
      <x:c r="W1038" s="22" t="str">
        <x:f>"06174855422"</x:f>
        <x:v>06174855422</x:v>
      </x:c>
      <x:c r="X1038" s="23" t="str">
        <x:v>elsonsilva1085@gmail.com</x:v>
      </x:c>
      <x:c r="Y1038" s="22" t="str">
        <x:f>"(11)945416908"</x:f>
        <x:v>(11)945416908</x:v>
      </x:c>
      <x:c r="Z1038" s="30" t="n">
        <x:v>46262</x:v>
      </x:c>
    </x:row>
    <x:row r="1039" ht="18" customHeight="1">
      <x:c r="A1039" s="22" t="str">
        <x:f>"800fcbc1-ad3b-43b4-8459-8e1e2260a427"</x:f>
        <x:v>800fcbc1-ad3b-43b4-8459-8e1e2260a427</x:v>
      </x:c>
      <x:c r="B1039" s="23" t="str">
        <x:v>ELTON DIAS ROCHA</x:v>
      </x:c>
      <x:c r="C1039" s="23" t="str">
        <x:v>elton dias rocha</x:v>
      </x:c>
      <x:c r="D1039" s="22" t="str">
        <x:f>"37.368.757/0001-42"</x:f>
        <x:v>37.368.757/0001-42</x:v>
      </x:c>
      <x:c r="E1039" s="22" t="str">
        <x:f>"37368757000142"</x:f>
        <x:v>37368757000142</x:v>
      </x:c>
      <x:c r="F1039" s="22" t="str">
        <x:f>"350.393.178-32"</x:f>
        <x:v>350.393.178-32</x:v>
      </x:c>
      <x:c r="G1039" s="22" t="str">
        <x:f>"35039317832"</x:f>
        <x:v>35039317832</x:v>
      </x:c>
      <x:c r="H1039" s="23" t="str">
        <x:v>rocha.granada87@gmail.com</x:v>
      </x:c>
      <x:c r="I1039" s="22" t="str">
        <x:f>"17992136555"</x:f>
        <x:v>17992136555</x:v>
      </x:c>
      <x:c r="J1039" s="23" t="str">
        <x:v>SPOT</x:v>
      </x:c>
      <x:c r="K1039" s="23" t="str">
        <x:v>favored_only</x:v>
      </x:c>
      <x:c r="L1039" s="24" t="b">
        <x:v>1</x:v>
      </x:c>
      <x:c r="M1039" s="23" t="n">
        <x:v>1</x:v>
      </x:c>
      <x:c r="N1039" s="28" t="n">
        <x:v>46203.921852962965</x:v>
      </x:c>
      <x:c r="O1039" s="28" t="n">
        <x:v>46219.812988715275</x:v>
      </x:c>
      <x:c r="P1039" s="23" t="str">
        <x:v>SÃO JOSE DO RIO PRETO</x:v>
      </x:c>
      <x:c r="Q1039" s="30" t="n">
        <x:v>32085</x:v>
      </x:c>
      <x:c r="R1039" s="22" t="str">
        <x:f>"35052178"</x:f>
        <x:v>35052178</x:v>
      </x:c>
      <x:c r="S1039" s="23" t="str">
        <x:v>masculino</x:v>
      </x:c>
      <x:c r="T1039" s="22" t="str">
        <x:f>"HBD0J16"</x:f>
        <x:v>HBD0J16</x:v>
      </x:c>
      <x:c r="U1039" s="23" t="str">
        <x:v>ELTON DIAS ROCHA</x:v>
      </x:c>
      <x:c r="V1039" s="22" t="str">
        <x:f>"350.393.178-32"</x:f>
        <x:v>350.393.178-32</x:v>
      </x:c>
      <x:c r="W1039" s="22" t="str">
        <x:f>"35039317832"</x:f>
        <x:v>35039317832</x:v>
      </x:c>
      <x:c r="X1039" s="23" t="str">
        <x:v>rocha.granada87@gmail.com</x:v>
      </x:c>
      <x:c r="Y1039" s="22" t="str">
        <x:f>"17992136555"</x:f>
        <x:v>17992136555</x:v>
      </x:c>
      <x:c r="Z1039" s="30" t="n">
        <x:v>46253</x:v>
      </x:c>
    </x:row>
    <x:row r="1040" ht="18" customHeight="1">
      <x:c r="A1040" s="22" t="str">
        <x:f>"5e2913dd-4ad5-4b89-ae63-872e25aca0f8"</x:f>
        <x:v>5e2913dd-4ad5-4b89-ae63-872e25aca0f8</x:v>
      </x:c>
      <x:c r="B1040" s="23" t="str">
        <x:v>ELTON GEORGE MENDES</x:v>
      </x:c>
      <x:c r="C1040" s="23" t="str">
        <x:v>elton george mendes</x:v>
      </x:c>
      <x:c r="D1040" s="22" t="str">
        <x:f>"31.095.678/0001-29"</x:f>
        <x:v>31.095.678/0001-29</x:v>
      </x:c>
      <x:c r="E1040" s="22" t="str">
        <x:f>"31095678000129"</x:f>
        <x:v>31095678000129</x:v>
      </x:c>
      <x:c r="F1040" s="22" t="str">
        <x:f>"293.157.508-96"</x:f>
        <x:v>293.157.508-96</x:v>
      </x:c>
      <x:c r="G1040" s="22" t="str">
        <x:f>"29315750896"</x:f>
        <x:v>29315750896</x:v>
      </x:c>
      <x:c r="H1040" s="23" t="str">
        <x:v>nathaliasilvaclara13@outlook.com</x:v>
      </x:c>
      <x:c r="I1040" s="22" t="str">
        <x:f>"34988633933"</x:f>
        <x:v>34988633933</x:v>
      </x:c>
      <x:c r="J1040" s="23" t="str">
        <x:v>SPOT</x:v>
      </x:c>
      <x:c r="K1040" s="23" t="str">
        <x:v>favored_only</x:v>
      </x:c>
      <x:c r="L1040" s="24" t="b">
        <x:v>1</x:v>
      </x:c>
      <x:c r="M1040" s="23" t="n">
        <x:v>1</x:v>
      </x:c>
      <x:c r="N1040" s="28" t="n">
        <x:v>46219.812988715275</x:v>
      </x:c>
      <x:c r="O1040" s="28" t="n">
        <x:v>46219.812988715275</x:v>
      </x:c>
      <x:c r="P1040" s="23" t="str">
        <x:v>ARAXÁ</x:v>
      </x:c>
      <x:c r="Q1040" s="30" t="n">
        <x:v>29109</x:v>
      </x:c>
      <x:c r="R1040" s="22" t="str">
        <x:f>"27822518"</x:f>
        <x:v>27822518</x:v>
      </x:c>
      <x:c r="S1040" s="23" t="str">
        <x:v>masculino</x:v>
      </x:c>
      <x:c r="T1040" s="22" t="str">
        <x:f>"EYV9A28"</x:f>
        <x:v>EYV9A28</x:v>
      </x:c>
      <x:c r="U1040" s="23" t="str">
        <x:v>NATHALIA CAROLINE GOMES DA SILVA</x:v>
      </x:c>
      <x:c r="V1040" s="22" t="str">
        <x:f>"103.851.366-92"</x:f>
        <x:v>103.851.366-92</x:v>
      </x:c>
      <x:c r="W1040" s="22" t="str">
        <x:f>"10385136692"</x:f>
        <x:v>10385136692</x:v>
      </x:c>
      <x:c r="X1040" s="23" t="str">
        <x:v>nathaliasilvaclara13@outlook.com</x:v>
      </x:c>
      <x:c r="Y1040" s="22" t="str">
        <x:f>"34988633933"</x:f>
        <x:v>34988633933</x:v>
      </x:c>
      <x:c r="Z1040" s="30" t="n">
        <x:v>46442</x:v>
      </x:c>
    </x:row>
    <x:row r="1041" ht="18" customHeight="1">
      <x:c r="A1041" s="22" t="str">
        <x:f>"355e2516-4703-4ca1-86c1-ff5548c93fdc"</x:f>
        <x:v>355e2516-4703-4ca1-86c1-ff5548c93fdc</x:v>
      </x:c>
      <x:c r="B1041" s="23" t="str">
        <x:v>ELTON GUILHERME NASCIMENTO DOS SANTOS</x:v>
      </x:c>
      <x:c r="C1041" s="23" t="str">
        <x:v>elton guilherme nascimento dos santos</x:v>
      </x:c>
      <x:c r="D1041" s="22" t="str">
        <x:f>"43.190.038/0001-87"</x:f>
        <x:v>43.190.038/0001-87</x:v>
      </x:c>
      <x:c r="E1041" s="22" t="str">
        <x:f>"43190038000187"</x:f>
        <x:v>43190038000187</x:v>
      </x:c>
      <x:c r="F1041" s="22" t="str">
        <x:f>"426.395.318-59"</x:f>
        <x:v>426.395.318-59</x:v>
      </x:c>
      <x:c r="G1041" s="22" t="str">
        <x:f>"42639531859"</x:f>
        <x:v>42639531859</x:v>
      </x:c>
      <x:c r="H1041" s="23" t="str">
        <x:v>eltonguilherme8@gmail.com</x:v>
      </x:c>
      <x:c r="I1041" s="22" t="str">
        <x:f>"18 99680-4453"</x:f>
        <x:v>18 99680-4453</x:v>
      </x:c>
      <x:c r="J1041" s="23" t="str">
        <x:v>rental</x:v>
      </x:c>
      <x:c r="K1041" s="23" t="str">
        <x:v>rental_company</x:v>
      </x:c>
      <x:c r="L1041" s="24" t="b">
        <x:v>1</x:v>
      </x:c>
      <x:c r="M1041" s="23" t="n">
        <x:v>1</x:v>
      </x:c>
      <x:c r="N1041" s="28" t="n">
        <x:v>46219.812988715275</x:v>
      </x:c>
      <x:c r="O1041" s="28" t="n">
        <x:v>46219.812988715275</x:v>
      </x:c>
      <x:c r="P1041" s="23" t="str">
        <x:v>ARAÇATUBA</x:v>
      </x:c>
      <x:c r="Q1041" s="30" t="n">
        <x:v>34206</x:v>
      </x:c>
      <x:c r="R1041" s="22" t="str">
        <x:f>"48811593"</x:f>
        <x:v>48811593</x:v>
      </x:c>
      <x:c r="S1041" s="23" t="str">
        <x:v>masculino</x:v>
      </x:c>
      <x:c r="T1041" s="22" t="str"/>
      <x:c r="U1041" s="23" t="str">
        <x:v>ELTON GUILHERME NASCIMENTO DOS SANTOS</x:v>
      </x:c>
      <x:c r="V1041" s="22" t="str">
        <x:f>"426.395.318-59"</x:f>
        <x:v>426.395.318-59</x:v>
      </x:c>
      <x:c r="W1041" s="22" t="str">
        <x:f>"42639531859"</x:f>
        <x:v>42639531859</x:v>
      </x:c>
      <x:c r="X1041" s="23" t="str">
        <x:v>eltonguilherme8@gmail.com</x:v>
      </x:c>
      <x:c r="Y1041" s="22" t="str">
        <x:f>"18 99680-4453"</x:f>
        <x:v>18 99680-4453</x:v>
      </x:c>
      <x:c r="Z1041" s="30" t="n">
        <x:v>46582</x:v>
      </x:c>
    </x:row>
    <x:row r="1042" ht="18" customHeight="1">
      <x:c r="A1042" s="22" t="str">
        <x:f>"9b1c222d-67b9-477a-98e2-ef3bac5fc074"</x:f>
        <x:v>9b1c222d-67b9-477a-98e2-ef3bac5fc074</x:v>
      </x:c>
      <x:c r="B1042" s="23" t="str">
        <x:v>ELTON HENRIQUE DA SILVA</x:v>
      </x:c>
      <x:c r="C1042" s="23" t="str">
        <x:v>elton henrique da silva</x:v>
      </x:c>
      <x:c r="D1042" s="22" t="str">
        <x:f>"38.350.604/0001-30"</x:f>
        <x:v>38.350.604/0001-30</x:v>
      </x:c>
      <x:c r="E1042" s="22" t="str">
        <x:f>"38350604000130"</x:f>
        <x:v>38350604000130</x:v>
      </x:c>
      <x:c r="F1042" s="22" t="str">
        <x:f>"021.603.451-56"</x:f>
        <x:v>021.603.451-56</x:v>
      </x:c>
      <x:c r="G1042" s="22" t="str">
        <x:f>"02160345156"</x:f>
        <x:v>02160345156</x:v>
      </x:c>
      <x:c r="H1042" s="23" t="str">
        <x:v>Eltonriq10@gmail.com</x:v>
      </x:c>
      <x:c r="I1042" s="22" t="str">
        <x:f>"+55 65 9320-6682"</x:f>
        <x:v>+55 65 9320-6682</x:v>
      </x:c>
      <x:c r="J1042" s="23" t="str">
        <x:v>SPOT</x:v>
      </x:c>
      <x:c r="K1042" s="23" t="str">
        <x:v>favored_only</x:v>
      </x:c>
      <x:c r="L1042" s="24" t="b">
        <x:v>1</x:v>
      </x:c>
      <x:c r="M1042" s="23" t="n">
        <x:v>1</x:v>
      </x:c>
      <x:c r="N1042" s="28" t="n">
        <x:v>46219.812988715275</x:v>
      </x:c>
      <x:c r="O1042" s="28" t="n">
        <x:v>46219.812988715275</x:v>
      </x:c>
      <x:c r="P1042" s="23" t="str">
        <x:v>CUIABA</x:v>
      </x:c>
      <x:c r="Q1042" s="30" t="n">
        <x:v>32468</x:v>
      </x:c>
      <x:c r="R1042" s="22" t="str">
        <x:f>"17311799"</x:f>
        <x:v>17311799</x:v>
      </x:c>
      <x:c r="S1042" s="23" t="str">
        <x:v>masculino</x:v>
      </x:c>
      <x:c r="T1042" s="22" t="str">
        <x:f>"QOZ9E87"</x:f>
        <x:v>QOZ9E87</x:v>
      </x:c>
      <x:c r="U1042" s="23" t="str">
        <x:v>ROSELI KLANN</x:v>
      </x:c>
      <x:c r="V1042" s="22" t="str">
        <x:f>"973.595.561-04"</x:f>
        <x:v>973.595.561-04</x:v>
      </x:c>
      <x:c r="W1042" s="22" t="str">
        <x:f>"97359556104"</x:f>
        <x:v>97359556104</x:v>
      </x:c>
      <x:c r="X1042" s="23" t="str">
        <x:v>roseliklann36@gmail.com</x:v>
      </x:c>
      <x:c r="Y1042" s="22" t="str">
        <x:f>"65992468971"</x:f>
        <x:v>65992468971</x:v>
      </x:c>
      <x:c r="Z1042" s="30" t="n">
        <x:v>46470</x:v>
      </x:c>
    </x:row>
    <x:row r="1043" ht="18" customHeight="1">
      <x:c r="A1043" s="22" t="str">
        <x:f>"e548bf2d-8387-4876-bb14-534a15e6db0f"</x:f>
        <x:v>e548bf2d-8387-4876-bb14-534a15e6db0f</x:v>
      </x:c>
      <x:c r="B1043" s="23" t="str">
        <x:v>ELTON HENRIQUE DA SILVA</x:v>
      </x:c>
      <x:c r="C1043" s="23" t="str">
        <x:v>elton henrique da silva</x:v>
      </x:c>
      <x:c r="D1043" s="22" t="str">
        <x:f>"67.691.032/0001-51"</x:f>
        <x:v>67.691.032/0001-51</x:v>
      </x:c>
      <x:c r="E1043" s="22" t="str">
        <x:f>"67691032000151"</x:f>
        <x:v>67691032000151</x:v>
      </x:c>
      <x:c r="F1043" s="22" t="str">
        <x:f>"021.603.451-56"</x:f>
        <x:v>021.603.451-56</x:v>
      </x:c>
      <x:c r="G1043" s="22" t="str">
        <x:f>"02160345156"</x:f>
        <x:v>02160345156</x:v>
      </x:c>
      <x:c r="H1043" s="23" t="str">
        <x:v>eltonriq10@gmail.com</x:v>
      </x:c>
      <x:c r="I1043" s="22" t="str">
        <x:f>"65993206682"</x:f>
        <x:v>65993206682</x:v>
      </x:c>
      <x:c r="J1043" s="23" t="str">
        <x:v>DESCONHECIDO</x:v>
      </x:c>
      <x:c r="K1043" s="23" t="str">
        <x:v>favored_only</x:v>
      </x:c>
      <x:c r="L1043" s="24" t="b">
        <x:v>1</x:v>
      </x:c>
      <x:c r="M1043" s="23" t="n">
        <x:v>1</x:v>
      </x:c>
      <x:c r="N1043" s="28" t="n">
        <x:v>46219.812988715275</x:v>
      </x:c>
      <x:c r="O1043" s="28" t="n">
        <x:v>46219.812988715275</x:v>
      </x:c>
      <x:c r="P1043" s="23" t="str">
        <x:v>CUIABA</x:v>
      </x:c>
      <x:c r="Q1043" s="30" t="str"/>
      <x:c r="R1043" s="22" t="str">
        <x:f>"17311799"</x:f>
        <x:v>17311799</x:v>
      </x:c>
      <x:c r="S1043" s="23" t="str">
        <x:v>masculino</x:v>
      </x:c>
      <x:c r="T1043" s="22" t="str">
        <x:f>"QOZ9E87"</x:f>
        <x:v>QOZ9E87</x:v>
      </x:c>
      <x:c r="U1043" s="23" t="str">
        <x:v>ELTON HENRIQUE DA SILVA</x:v>
      </x:c>
      <x:c r="V1043" s="22" t="str">
        <x:f>"021.603.451-56"</x:f>
        <x:v>021.603.451-56</x:v>
      </x:c>
      <x:c r="W1043" s="22" t="str">
        <x:f>"02160345156"</x:f>
        <x:v>02160345156</x:v>
      </x:c>
      <x:c r="X1043" s="23" t="str">
        <x:v>eltonriq10@gmail.com</x:v>
      </x:c>
      <x:c r="Y1043" s="22" t="str">
        <x:f>"65993206682"</x:f>
        <x:v>65993206682</x:v>
      </x:c>
      <x:c r="Z1043" s="30" t="n">
        <x:v>46583</x:v>
      </x:c>
    </x:row>
    <x:row r="1044" ht="18" customHeight="1">
      <x:c r="A1044" s="22" t="str">
        <x:f>"b1032176-5680-40c8-96ad-4f603b71b40b"</x:f>
        <x:v>b1032176-5680-40c8-96ad-4f603b71b40b</x:v>
      </x:c>
      <x:c r="B1044" s="23" t="str">
        <x:v>ELTON JOSE DE REZENDE</x:v>
      </x:c>
      <x:c r="C1044" s="23" t="str">
        <x:v>elton jose de rezende</x:v>
      </x:c>
      <x:c r="D1044" s="22" t="str">
        <x:f>"67.219.349/0001-90"</x:f>
        <x:v>67.219.349/0001-90</x:v>
      </x:c>
      <x:c r="E1044" s="22" t="str">
        <x:f>"67219349000190"</x:f>
        <x:v>67219349000190</x:v>
      </x:c>
      <x:c r="F1044" s="22" t="str">
        <x:f>"045.287.236-70"</x:f>
        <x:v>045.287.236-70</x:v>
      </x:c>
      <x:c r="G1044" s="22" t="str">
        <x:f>"04528723670"</x:f>
        <x:v>04528723670</x:v>
      </x:c>
      <x:c r="H1044" s="23" t="str">
        <x:v>eltonmgrezende@gmail.com</x:v>
      </x:c>
      <x:c r="I1044" s="22" t="str">
        <x:f>"21976673354"</x:f>
        <x:v>21976673354</x:v>
      </x:c>
      <x:c r="J1044" s="23" t="str">
        <x:v>SPOT</x:v>
      </x:c>
      <x:c r="K1044" s="23" t="str">
        <x:v>favored_only</x:v>
      </x:c>
      <x:c r="L1044" s="24" t="b">
        <x:v>1</x:v>
      </x:c>
      <x:c r="M1044" s="23" t="n">
        <x:v>1</x:v>
      </x:c>
      <x:c r="N1044" s="28" t="n">
        <x:v>46219.812988715275</x:v>
      </x:c>
      <x:c r="O1044" s="28" t="n">
        <x:v>46219.812988715275</x:v>
      </x:c>
      <x:c r="P1044" s="23" t="str">
        <x:v>QUEIMADOS</x:v>
      </x:c>
      <x:c r="Q1044" s="30" t="n">
        <x:v>29992</x:v>
      </x:c>
      <x:c r="R1044" s="22" t="str">
        <x:f>"351722905"</x:f>
        <x:v>351722905</x:v>
      </x:c>
      <x:c r="S1044" s="23" t="str">
        <x:v>masculino</x:v>
      </x:c>
      <x:c r="T1044" s="22" t="str">
        <x:f>"PXF6F51"</x:f>
        <x:v>PXF6F51</x:v>
      </x:c>
      <x:c r="U1044" s="23" t="str">
        <x:v>ELTON JOSE DE REZENDE</x:v>
      </x:c>
      <x:c r="V1044" s="22" t="str">
        <x:f>"045.287.236-70"</x:f>
        <x:v>045.287.236-70</x:v>
      </x:c>
      <x:c r="W1044" s="22" t="str">
        <x:f>"04528723670"</x:f>
        <x:v>04528723670</x:v>
      </x:c>
      <x:c r="X1044" s="23" t="str">
        <x:v>eltonmgrezende@gmail.com</x:v>
      </x:c>
      <x:c r="Y1044" s="22" t="str">
        <x:f>"21976673354"</x:f>
        <x:v>21976673354</x:v>
      </x:c>
      <x:c r="Z1044" s="30" t="n">
        <x:v>46557</x:v>
      </x:c>
    </x:row>
    <x:row r="1045" ht="18" customHeight="1">
      <x:c r="A1045" s="22" t="str">
        <x:f>"5e28715c-2b59-42f8-8ece-e69a4ed1aed2"</x:f>
        <x:v>5e28715c-2b59-42f8-8ece-e69a4ed1aed2</x:v>
      </x:c>
      <x:c r="B1045" s="23" t="str">
        <x:v>ELVIS ANTONIO CORREA</x:v>
      </x:c>
      <x:c r="C1045" s="23" t="str">
        <x:v>elvis antonio correa</x:v>
      </x:c>
      <x:c r="D1045" s="22" t="str">
        <x:f>"55.836.008/0001-84"</x:f>
        <x:v>55.836.008/0001-84</x:v>
      </x:c>
      <x:c r="E1045" s="22" t="str">
        <x:f>"55836008000184"</x:f>
        <x:v>55836008000184</x:v>
      </x:c>
      <x:c r="F1045" s="22" t="str">
        <x:f>"012.851.096-00"</x:f>
        <x:v>012.851.096-00</x:v>
      </x:c>
      <x:c r="G1045" s="22" t="str">
        <x:f>"01285109600"</x:f>
        <x:v>01285109600</x:v>
      </x:c>
      <x:c r="H1045" s="23" t="str">
        <x:v>elvisantonio@gmail.com</x:v>
      </x:c>
      <x:c r="I1045" s="22" t="str">
        <x:f>"(31) 989186-930"</x:f>
        <x:v>(31) 989186-930</x:v>
      </x:c>
      <x:c r="J1045" s="23" t="str">
        <x:v>SPOT</x:v>
      </x:c>
      <x:c r="K1045" s="23" t="str">
        <x:v>favored_only</x:v>
      </x:c>
      <x:c r="L1045" s="24" t="b">
        <x:v>1</x:v>
      </x:c>
      <x:c r="M1045" s="23" t="n">
        <x:v>1</x:v>
      </x:c>
      <x:c r="N1045" s="28" t="n">
        <x:v>46219.812988715275</x:v>
      </x:c>
      <x:c r="O1045" s="28" t="n">
        <x:v>46219.812988715275</x:v>
      </x:c>
      <x:c r="P1045" s="23" t="str">
        <x:v>VESPASIANO</x:v>
      </x:c>
      <x:c r="Q1045" s="30" t="n">
        <x:v>30151</x:v>
      </x:c>
      <x:c r="R1045" s="22" t="str">
        <x:f>"9165242"</x:f>
        <x:v>9165242</x:v>
      </x:c>
      <x:c r="S1045" s="23" t="str">
        <x:v>masculino</x:v>
      </x:c>
      <x:c r="T1045" s="22" t="str">
        <x:f>"QOD9C50"</x:f>
        <x:v>QOD9C50</x:v>
      </x:c>
      <x:c r="U1045" s="23" t="str">
        <x:v>ELVIS ANTONIO CORREA</x:v>
      </x:c>
      <x:c r="V1045" s="22" t="str">
        <x:f>"012.851.096-00"</x:f>
        <x:v>012.851.096-00</x:v>
      </x:c>
      <x:c r="W1045" s="22" t="str">
        <x:f>"01285109600"</x:f>
        <x:v>01285109600</x:v>
      </x:c>
      <x:c r="X1045" s="23" t="str">
        <x:v>elvisantonio@gmail.com</x:v>
      </x:c>
      <x:c r="Y1045" s="22" t="str">
        <x:f>"(31) 989186-930"</x:f>
        <x:v>(31) 989186-930</x:v>
      </x:c>
      <x:c r="Z1045" s="30" t="n">
        <x:v>46550</x:v>
      </x:c>
    </x:row>
    <x:row r="1046" ht="18" customHeight="1">
      <x:c r="A1046" s="22" t="str">
        <x:f>"f8da5aaa-a17a-4e9c-a3f3-b940cc9c9683"</x:f>
        <x:v>f8da5aaa-a17a-4e9c-a3f3-b940cc9c9683</x:v>
      </x:c>
      <x:c r="B1046" s="23" t="str">
        <x:v>ELVIS NUNES PORTELA</x:v>
      </x:c>
      <x:c r="C1046" s="23" t="str">
        <x:v>elvis nunes portela</x:v>
      </x:c>
      <x:c r="D1046" s="22" t="str">
        <x:f>"63.053.320/0001-01"</x:f>
        <x:v>63.053.320/0001-01</x:v>
      </x:c>
      <x:c r="E1046" s="22" t="str">
        <x:f>"63053320000101"</x:f>
        <x:v>63053320000101</x:v>
      </x:c>
      <x:c r="F1046" s="22" t="str">
        <x:f>"315.632.788-39"</x:f>
        <x:v>315.632.788-39</x:v>
      </x:c>
      <x:c r="G1046" s="22" t="str">
        <x:f>"31563278839"</x:f>
        <x:v>31563278839</x:v>
      </x:c>
      <x:c r="H1046" s="23" t="str">
        <x:v>elvis.portela1581@gmail.com</x:v>
      </x:c>
      <x:c r="I1046" s="22" t="str">
        <x:f>"315.632.788.39"</x:f>
        <x:v>315.632.788.39</x:v>
      </x:c>
      <x:c r="J1046" s="23" t="str">
        <x:v>RENTAL</x:v>
      </x:c>
      <x:c r="K1046" s="23" t="str">
        <x:v>rental_company</x:v>
      </x:c>
      <x:c r="L1046" s="24" t="b">
        <x:v>1</x:v>
      </x:c>
      <x:c r="M1046" s="23" t="n">
        <x:v>1</x:v>
      </x:c>
      <x:c r="N1046" s="28" t="n">
        <x:v>46219.812988715275</x:v>
      </x:c>
      <x:c r="O1046" s="28" t="n">
        <x:v>46219.812988715275</x:v>
      </x:c>
      <x:c r="P1046" s="23" t="str">
        <x:v>BARUERI</x:v>
      </x:c>
      <x:c r="Q1046" s="30" t="n">
        <x:v>30277</x:v>
      </x:c>
      <x:c r="R1046" s="22" t="str">
        <x:f>"41851784"</x:f>
        <x:v>41851784</x:v>
      </x:c>
      <x:c r="S1046" s="23" t="str">
        <x:v>masculino</x:v>
      </x:c>
      <x:c r="T1046" s="22" t="str"/>
      <x:c r="U1046" s="23" t="str">
        <x:v>ELVIS NUNES PORTELA</x:v>
      </x:c>
      <x:c r="V1046" s="22" t="str">
        <x:f>"315.632.788-39"</x:f>
        <x:v>315.632.788-39</x:v>
      </x:c>
      <x:c r="W1046" s="22" t="str">
        <x:f>"31563278839"</x:f>
        <x:v>31563278839</x:v>
      </x:c>
      <x:c r="X1046" s="23" t="str">
        <x:v>elvis.portela1581@gmail.com</x:v>
      </x:c>
      <x:c r="Y1046" s="22" t="str">
        <x:f>"315.632.788.39"</x:f>
        <x:v>315.632.788.39</x:v>
      </x:c>
      <x:c r="Z1046" s="30" t="n">
        <x:v>46550</x:v>
      </x:c>
    </x:row>
    <x:row r="1047" ht="18" customHeight="1">
      <x:c r="A1047" s="22" t="str">
        <x:f>"677ec082-50d4-440f-9446-ba6e44f790f9"</x:f>
        <x:v>677ec082-50d4-440f-9446-ba6e44f790f9</x:v>
      </x:c>
      <x:c r="B1047" s="23" t="str">
        <x:v>ELY VALERIANO DE MORAIS NETO</x:v>
      </x:c>
      <x:c r="C1047" s="23" t="str">
        <x:v>ely valeriano de morais neto</x:v>
      </x:c>
      <x:c r="D1047" s="22" t="str">
        <x:f>"59.308.178/0001-47"</x:f>
        <x:v>59.308.178/0001-47</x:v>
      </x:c>
      <x:c r="E1047" s="22" t="str">
        <x:f>"59308178000147"</x:f>
        <x:v>59308178000147</x:v>
      </x:c>
      <x:c r="F1047" s="22" t="str">
        <x:f>"094.249.556-00"</x:f>
        <x:v>094.249.556-00</x:v>
      </x:c>
      <x:c r="G1047" s="22" t="str">
        <x:f>"09424955600"</x:f>
        <x:v>09424955600</x:v>
      </x:c>
      <x:c r="H1047" s="23" t="str">
        <x:v>elynetoneto@gmail.com</x:v>
      </x:c>
      <x:c r="I1047" s="22" t="str">
        <x:f>"37991101326"</x:f>
        <x:v>37991101326</x:v>
      </x:c>
      <x:c r="J1047" s="23" t="str">
        <x:v>SPOT</x:v>
      </x:c>
      <x:c r="K1047" s="23" t="str">
        <x:v>favored_only</x:v>
      </x:c>
      <x:c r="L1047" s="24" t="b">
        <x:v>1</x:v>
      </x:c>
      <x:c r="M1047" s="23" t="n">
        <x:v>1</x:v>
      </x:c>
      <x:c r="N1047" s="28" t="n">
        <x:v>46205.60659524306</x:v>
      </x:c>
      <x:c r="O1047" s="28" t="n">
        <x:v>46219.812988715275</x:v>
      </x:c>
      <x:c r="P1047" s="23" t="str">
        <x:v>ARAXÁ</x:v>
      </x:c>
      <x:c r="Q1047" s="30" t="n">
        <x:v>34796</x:v>
      </x:c>
      <x:c r="R1047" s="22" t="str">
        <x:f>"16134744"</x:f>
        <x:v>16134744</x:v>
      </x:c>
      <x:c r="S1047" s="23" t="str">
        <x:v>masculino</x:v>
      </x:c>
      <x:c r="T1047" s="22" t="str">
        <x:f>"hhi5a95"</x:f>
        <x:v>hhi5a95</x:v>
      </x:c>
      <x:c r="U1047" s="23" t="str">
        <x:v>KARINE APARECIDA NUNES</x:v>
      </x:c>
      <x:c r="V1047" s="22" t="str">
        <x:f>"148.336.046-63"</x:f>
        <x:v>148.336.046-63</x:v>
      </x:c>
      <x:c r="W1047" s="22" t="str">
        <x:f>"14833604663"</x:f>
        <x:v>14833604663</x:v>
      </x:c>
      <x:c r="X1047" s="23" t="str">
        <x:v>karinenuneskz@hotmail.com</x:v>
      </x:c>
      <x:c r="Y1047" s="22" t="str">
        <x:f>"37999654308"</x:f>
        <x:v>37999654308</x:v>
      </x:c>
      <x:c r="Z1047" s="30" t="n">
        <x:v>46366</x:v>
      </x:c>
    </x:row>
    <x:row r="1048" ht="18" customHeight="1">
      <x:c r="A1048" s="22" t="str">
        <x:f>"bc20c545-f40c-4625-a4dc-fa78086c51bb"</x:f>
        <x:v>bc20c545-f40c-4625-a4dc-fa78086c51bb</x:v>
      </x:c>
      <x:c r="B1048" s="23" t="str">
        <x:v>EMANUEL CARVALHO AFONSO RIBEIRO</x:v>
      </x:c>
      <x:c r="C1048" s="23" t="str">
        <x:v>emanuel carvalho afonso ribeiro</x:v>
      </x:c>
      <x:c r="D1048" s="22" t="str">
        <x:f>"57.831.738/0001-18"</x:f>
        <x:v>57.831.738/0001-18</x:v>
      </x:c>
      <x:c r="E1048" s="22" t="str">
        <x:f>"57831738000118"</x:f>
        <x:v>57831738000118</x:v>
      </x:c>
      <x:c r="F1048" s="22" t="str">
        <x:f>"121.630.576-58"</x:f>
        <x:v>121.630.576-58</x:v>
      </x:c>
      <x:c r="G1048" s="22" t="str">
        <x:f>"12163057658"</x:f>
        <x:v>12163057658</x:v>
      </x:c>
      <x:c r="H1048" s="23" t="str">
        <x:v>emanuel972010@gmail.com</x:v>
      </x:c>
      <x:c r="I1048" s="22" t="str">
        <x:f>"(34)9865-8558"</x:f>
        <x:v>(34)9865-8558</x:v>
      </x:c>
      <x:c r="J1048" s="23" t="str">
        <x:v>RENTAL</x:v>
      </x:c>
      <x:c r="K1048" s="23" t="str">
        <x:v>rental_company</x:v>
      </x:c>
      <x:c r="L1048" s="24" t="b">
        <x:v>1</x:v>
      </x:c>
      <x:c r="M1048" s="23" t="n">
        <x:v>1</x:v>
      </x:c>
      <x:c r="N1048" s="28" t="n">
        <x:v>46203.921824756944</x:v>
      </x:c>
      <x:c r="O1048" s="28" t="n">
        <x:v>46219.812988715275</x:v>
      </x:c>
      <x:c r="P1048" s="23" t="str">
        <x:v>PATOS DE MINAS</x:v>
      </x:c>
      <x:c r="Q1048" s="30" t="n">
        <x:v>35704</x:v>
      </x:c>
      <x:c r="R1048" s="22" t="str">
        <x:f>"16964994"</x:f>
        <x:v>16964994</x:v>
      </x:c>
      <x:c r="S1048" s="23" t="str">
        <x:v>masculino</x:v>
      </x:c>
      <x:c r="T1048" s="22" t="str"/>
      <x:c r="U1048" s="23" t="str">
        <x:v>EMANUEL CARVALHO AFONSO RIBEIRO</x:v>
      </x:c>
      <x:c r="V1048" s="22" t="str">
        <x:f>"121.630.576-58"</x:f>
        <x:v>121.630.576-58</x:v>
      </x:c>
      <x:c r="W1048" s="22" t="str">
        <x:f>"12163057658"</x:f>
        <x:v>12163057658</x:v>
      </x:c>
      <x:c r="X1048" s="23" t="str">
        <x:v>emanuel972010@gmail.com</x:v>
      </x:c>
      <x:c r="Y1048" s="22" t="str">
        <x:f>"(34)9865-8558"</x:f>
        <x:v>(34)9865-8558</x:v>
      </x:c>
      <x:c r="Z1048" s="30" t="n">
        <x:v>46294</x:v>
      </x:c>
    </x:row>
    <x:row r="1049" ht="18" customHeight="1">
      <x:c r="A1049" s="22" t="str">
        <x:f>"45e9cece-6d73-4d8c-90c3-3e38cfa9cc61"</x:f>
        <x:v>45e9cece-6d73-4d8c-90c3-3e38cfa9cc61</x:v>
      </x:c>
      <x:c r="B1049" s="23" t="str">
        <x:v>EMANUEL CLEMENTE BORGES ARAUJO SILVA</x:v>
      </x:c>
      <x:c r="C1049" s="23" t="str">
        <x:v>emanuel clemente borges araujo silva</x:v>
      </x:c>
      <x:c r="D1049" s="22" t="str">
        <x:f>"55.549.731/0001-82"</x:f>
        <x:v>55.549.731/0001-82</x:v>
      </x:c>
      <x:c r="E1049" s="22" t="str">
        <x:f>"55549731000182"</x:f>
        <x:v>55549731000182</x:v>
      </x:c>
      <x:c r="F1049" s="22" t="str">
        <x:f>"412.750.868-02"</x:f>
        <x:v>412.750.868-02</x:v>
      </x:c>
      <x:c r="G1049" s="22" t="str">
        <x:f>"41275086802"</x:f>
        <x:v>41275086802</x:v>
      </x:c>
      <x:c r="H1049" s="23" t="str">
        <x:v>emanuelborges975@gmail.com</x:v>
      </x:c>
      <x:c r="I1049" s="22" t="str">
        <x:f>"17 98832-5956"</x:f>
        <x:v>17 98832-5956</x:v>
      </x:c>
      <x:c r="J1049" s="23" t="str">
        <x:v>RENTAL</x:v>
      </x:c>
      <x:c r="K1049" s="23" t="str">
        <x:v>rental_company</x:v>
      </x:c>
      <x:c r="L1049" s="24" t="b">
        <x:v>1</x:v>
      </x:c>
      <x:c r="M1049" s="23" t="n">
        <x:v>1</x:v>
      </x:c>
      <x:c r="N1049" s="28" t="n">
        <x:v>46203.92183332176</x:v>
      </x:c>
      <x:c r="O1049" s="28" t="n">
        <x:v>46205.60464146991</x:v>
      </x:c>
      <x:c r="P1049" s="23" t="str">
        <x:v>BARRETOS</x:v>
      </x:c>
      <x:c r="Q1049" s="30" t="n">
        <x:v>37928</x:v>
      </x:c>
      <x:c r="R1049" s="22" t="str">
        <x:f>"54628064"</x:f>
        <x:v>54628064</x:v>
      </x:c>
      <x:c r="S1049" s="23" t="str">
        <x:v>Masculino</x:v>
      </x:c>
      <x:c r="T1049" s="22" t="str"/>
      <x:c r="U1049" s="23" t="str">
        <x:v>EMANUEL CLEMENTE BORGES ARAUJO SILVA</x:v>
      </x:c>
      <x:c r="V1049" s="22" t="str">
        <x:f>"41275086802"</x:f>
        <x:v>41275086802</x:v>
      </x:c>
      <x:c r="W1049" s="22" t="str">
        <x:f>"41275086802"</x:f>
        <x:v>41275086802</x:v>
      </x:c>
      <x:c r="X1049" s="23" t="str">
        <x:v>emanuelborges975@gmail.com</x:v>
      </x:c>
      <x:c r="Y1049" s="22" t="str">
        <x:f>"17 98832-5956"</x:f>
        <x:v>17 98832-5956</x:v>
      </x:c>
      <x:c r="Z1049" s="30" t="n">
        <x:v>46205</x:v>
      </x:c>
    </x:row>
    <x:row r="1050" ht="18" customHeight="1">
      <x:c r="A1050" s="22" t="str">
        <x:f>"14c82ee6-2d35-4d88-b785-7a6d45f93005"</x:f>
        <x:v>14c82ee6-2d35-4d88-b785-7a6d45f93005</x:v>
      </x:c>
      <x:c r="B1050" s="23" t="str">
        <x:v>EMANUELE DE SOUZA SILVA</x:v>
      </x:c>
      <x:c r="C1050" s="23" t="str">
        <x:v>emanuele de souza silva</x:v>
      </x:c>
      <x:c r="D1050" s="22" t="str">
        <x:f>"40.244.846/0001-91"</x:f>
        <x:v>40.244.846/0001-91</x:v>
      </x:c>
      <x:c r="E1050" s="22" t="str">
        <x:f>"40244846000191"</x:f>
        <x:v>40244846000191</x:v>
      </x:c>
      <x:c r="F1050" s="22" t="str">
        <x:f>"189.199.807-21"</x:f>
        <x:v>189.199.807-21</x:v>
      </x:c>
      <x:c r="G1050" s="22" t="str">
        <x:f>"18919980721"</x:f>
        <x:v>18919980721</x:v>
      </x:c>
      <x:c r="H1050" s="23" t="str">
        <x:v>Emanuelesouza268@gmail.com</x:v>
      </x:c>
      <x:c r="I1050" s="22" t="str">
        <x:f>"22999454468"</x:f>
        <x:v>22999454468</x:v>
      </x:c>
      <x:c r="J1050" s="23" t="str">
        <x:v>SPOT</x:v>
      </x:c>
      <x:c r="K1050" s="23" t="str">
        <x:v>favored_only</x:v>
      </x:c>
      <x:c r="L1050" s="24" t="b">
        <x:v>1</x:v>
      </x:c>
      <x:c r="M1050" s="23" t="n">
        <x:v>1</x:v>
      </x:c>
      <x:c r="N1050" s="28" t="n">
        <x:v>46205.60544826389</x:v>
      </x:c>
      <x:c r="O1050" s="28" t="n">
        <x:v>46219.812988715275</x:v>
      </x:c>
      <x:c r="P1050" s="23" t="str">
        <x:v>CAMPOS DOS GOYTACAZES</x:v>
      </x:c>
      <x:c r="Q1050" s="30" t="n">
        <x:v>36974</x:v>
      </x:c>
      <x:c r="R1050" s="22" t="str">
        <x:f>"321374142"</x:f>
        <x:v>321374142</x:v>
      </x:c>
      <x:c r="S1050" s="23" t="str">
        <x:v>feminino</x:v>
      </x:c>
      <x:c r="T1050" s="22" t="str">
        <x:f>"LLP4C14"</x:f>
        <x:v>LLP4C14</x:v>
      </x:c>
      <x:c r="U1050" s="23" t="str">
        <x:v>SERGIO PEREIRA VENTURA JUNIOR</x:v>
      </x:c>
      <x:c r="V1050" s="22" t="str">
        <x:f>"162.701.557-46"</x:f>
        <x:v>162.701.557-46</x:v>
      </x:c>
      <x:c r="W1050" s="22" t="str">
        <x:f>"16270155746"</x:f>
        <x:v>16270155746</x:v>
      </x:c>
      <x:c r="X1050" s="23" t="str">
        <x:v>juniorventuratj@gmail.com</x:v>
      </x:c>
      <x:c r="Y1050" s="22" t="str">
        <x:f>"22 981640126"</x:f>
        <x:v>22 981640126</x:v>
      </x:c>
      <x:c r="Z1050" s="30" t="n">
        <x:v>46323</x:v>
      </x:c>
    </x:row>
    <x:row r="1051" ht="18" customHeight="1">
      <x:c r="A1051" s="22" t="str">
        <x:f>"bf645ec6-6244-4d8e-9c61-2feffdb9382e"</x:f>
        <x:v>bf645ec6-6244-4d8e-9c61-2feffdb9382e</x:v>
      </x:c>
      <x:c r="B1051" s="23" t="str">
        <x:v>EMANUELE DE SOUZA SILVA</x:v>
      </x:c>
      <x:c r="C1051" s="23" t="str">
        <x:v>emanuele de souza silva</x:v>
      </x:c>
      <x:c r="D1051" s="22" t="str">
        <x:f>"47.459.293/0001-33"</x:f>
        <x:v>47.459.293/0001-33</x:v>
      </x:c>
      <x:c r="E1051" s="22" t="str">
        <x:f>"47459293000133"</x:f>
        <x:v>47459293000133</x:v>
      </x:c>
      <x:c r="F1051" s="22" t="str">
        <x:f>"189.199.807-21"</x:f>
        <x:v>189.199.807-21</x:v>
      </x:c>
      <x:c r="G1051" s="22" t="str">
        <x:f>"18919980721"</x:f>
        <x:v>18919980721</x:v>
      </x:c>
      <x:c r="H1051" s="23" t="str">
        <x:v>Emanuelesouza268@gmail.com</x:v>
      </x:c>
      <x:c r="I1051" s="22" t="str">
        <x:f>"22999454468"</x:f>
        <x:v>22999454468</x:v>
      </x:c>
      <x:c r="J1051" s="23" t="str">
        <x:v>SPOT</x:v>
      </x:c>
      <x:c r="K1051" s="23" t="str">
        <x:v>favored_only</x:v>
      </x:c>
      <x:c r="L1051" s="24" t="b">
        <x:v>1</x:v>
      </x:c>
      <x:c r="M1051" s="23" t="n">
        <x:v>1</x:v>
      </x:c>
      <x:c r="N1051" s="28" t="n">
        <x:v>46219.812988715275</x:v>
      </x:c>
      <x:c r="O1051" s="28" t="n">
        <x:v>46219.812988715275</x:v>
      </x:c>
      <x:c r="P1051" s="23" t="str">
        <x:v>CAMPOS DOS GOYTACAZES</x:v>
      </x:c>
      <x:c r="Q1051" s="30" t="n">
        <x:v>36974</x:v>
      </x:c>
      <x:c r="R1051" s="22" t="str">
        <x:f>"321374142"</x:f>
        <x:v>321374142</x:v>
      </x:c>
      <x:c r="S1051" s="23" t="str">
        <x:v>feminino</x:v>
      </x:c>
      <x:c r="T1051" s="22" t="str">
        <x:f>"LLP4C14"</x:f>
        <x:v>LLP4C14</x:v>
      </x:c>
      <x:c r="U1051" s="23" t="str">
        <x:v>SERGIO VIEIRA MONNERAT JUNIOR</x:v>
      </x:c>
      <x:c r="V1051" s="22" t="str">
        <x:f>"100.877.347-61"</x:f>
        <x:v>100.877.347-61</x:v>
      </x:c>
      <x:c r="W1051" s="22" t="str">
        <x:f>"10087734761"</x:f>
        <x:v>10087734761</x:v>
      </x:c>
      <x:c r="X1051" s="23" t="str">
        <x:v>SERGIOV.MONNERATJR@GMAIL.COM</x:v>
      </x:c>
      <x:c r="Y1051" s="22" t="str">
        <x:f>"22 981380350"</x:f>
        <x:v>22 981380350</x:v>
      </x:c>
      <x:c r="Z1051" s="30" t="n">
        <x:v>46403</x:v>
      </x:c>
    </x:row>
    <x:row r="1052" ht="18" customHeight="1">
      <x:c r="A1052" s="22" t="str">
        <x:f>"bbcecc32-c379-4b6c-b48b-70cce290843f"</x:f>
        <x:v>bbcecc32-c379-4b6c-b48b-70cce290843f</x:v>
      </x:c>
      <x:c r="B1052" s="23" t="str">
        <x:v>EMANUEL MAMEDES CONCEICAO DOS SANTOS</x:v>
      </x:c>
      <x:c r="C1052" s="23" t="str">
        <x:v>emanuel mamedes conceicao dos santos</x:v>
      </x:c>
      <x:c r="D1052" s="22" t="str">
        <x:f>"61.530.339/0001-94"</x:f>
        <x:v>61.530.339/0001-94</x:v>
      </x:c>
      <x:c r="E1052" s="22" t="str">
        <x:f>"61530339000194"</x:f>
        <x:v>61530339000194</x:v>
      </x:c>
      <x:c r="F1052" s="22" t="str">
        <x:f>"126.798.466-05"</x:f>
        <x:v>126.798.466-05</x:v>
      </x:c>
      <x:c r="G1052" s="22" t="str">
        <x:f>"12679846605"</x:f>
        <x:v>12679846605</x:v>
      </x:c>
      <x:c r="H1052" s="23" t="str">
        <x:v>Guilhermeemanuel2015@gmail.com</x:v>
      </x:c>
      <x:c r="I1052" s="22" t="str">
        <x:f>"+55 31 8564-2051"</x:f>
        <x:v>+55 31 8564-2051</x:v>
      </x:c>
      <x:c r="J1052" s="23" t="str">
        <x:v>SPOT</x:v>
      </x:c>
      <x:c r="K1052" s="23" t="str">
        <x:v>favored_only</x:v>
      </x:c>
      <x:c r="L1052" s="24" t="b">
        <x:v>1</x:v>
      </x:c>
      <x:c r="M1052" s="23" t="n">
        <x:v>1</x:v>
      </x:c>
      <x:c r="N1052" s="28" t="n">
        <x:v>46205.606940046295</x:v>
      </x:c>
      <x:c r="O1052" s="28" t="n">
        <x:v>46219.812988715275</x:v>
      </x:c>
      <x:c r="P1052" s="23" t="str">
        <x:v>IPATINGA</x:v>
      </x:c>
      <x:c r="Q1052" s="30" t="n">
        <x:v>34956</x:v>
      </x:c>
      <x:c r="R1052" s="22" t="str">
        <x:f>"18953519"</x:f>
        <x:v>18953519</x:v>
      </x:c>
      <x:c r="S1052" s="23" t="str">
        <x:v>masculino</x:v>
      </x:c>
      <x:c r="T1052" s="22" t="str">
        <x:f>"MHI5I04"</x:f>
        <x:v>MHI5I04</x:v>
      </x:c>
      <x:c r="U1052" s="23" t="str">
        <x:v>GABRIEL JHONATAN NETO SILVA</x:v>
      </x:c>
      <x:c r="V1052" s="22" t="str">
        <x:f>"115.821.846-07"</x:f>
        <x:v>115.821.846-07</x:v>
      </x:c>
      <x:c r="W1052" s="22" t="str">
        <x:f>"11582184607"</x:f>
        <x:v>11582184607</x:v>
      </x:c>
      <x:c r="X1052" s="23" t="str">
        <x:v>Gabrieljhonataalc25@gmail.com</x:v>
      </x:c>
      <x:c r="Y1052" s="22" t="str">
        <x:f>"+55 31 9898-3413"</x:f>
        <x:v>+55 31 9898-3413</x:v>
      </x:c>
      <x:c r="Z1052" s="30" t="n">
        <x:v>46389</x:v>
      </x:c>
    </x:row>
    <x:row r="1053" ht="18" customHeight="1">
      <x:c r="A1053" s="22" t="str">
        <x:f>"e83052d2-f388-4b25-8038-18308621e0e0"</x:f>
        <x:v>e83052d2-f388-4b25-8038-18308621e0e0</x:v>
      </x:c>
      <x:c r="B1053" s="23" t="str">
        <x:v>EMANUEL RICARDO RIBEIRO LEITE FONSECA</x:v>
      </x:c>
      <x:c r="C1053" s="23" t="str">
        <x:v>emanuel ricardo ribeiro leite fonseca</x:v>
      </x:c>
      <x:c r="D1053" s="22" t="str">
        <x:f>"45.290.357/0001-90"</x:f>
        <x:v>45.290.357/0001-90</x:v>
      </x:c>
      <x:c r="E1053" s="22" t="str">
        <x:f>"45290357000190"</x:f>
        <x:v>45290357000190</x:v>
      </x:c>
      <x:c r="F1053" s="22" t="str">
        <x:f>"051.560.476-37"</x:f>
        <x:v>051.560.476-37</x:v>
      </x:c>
      <x:c r="G1053" s="22" t="str">
        <x:f>"05156047637"</x:f>
        <x:v>05156047637</x:v>
      </x:c>
      <x:c r="H1053" s="23" t="str">
        <x:v>emanuelleitefonseca@hotmail.com</x:v>
      </x:c>
      <x:c r="I1053" s="22" t="str">
        <x:f>"31994986352"</x:f>
        <x:v>31994986352</x:v>
      </x:c>
      <x:c r="J1053" s="23" t="str">
        <x:v>SPOT</x:v>
      </x:c>
      <x:c r="K1053" s="23" t="str">
        <x:v>favored_only</x:v>
      </x:c>
      <x:c r="L1053" s="24" t="b">
        <x:v>1</x:v>
      </x:c>
      <x:c r="M1053" s="23" t="n">
        <x:v>1</x:v>
      </x:c>
      <x:c r="N1053" s="28" t="n">
        <x:v>46219.812988715275</x:v>
      </x:c>
      <x:c r="O1053" s="28" t="n">
        <x:v>46219.812988715275</x:v>
      </x:c>
      <x:c r="P1053" s="23" t="str">
        <x:v>CONTAGEM</x:v>
      </x:c>
      <x:c r="Q1053" s="30" t="n">
        <x:v>29842</x:v>
      </x:c>
      <x:c r="R1053" s="22" t="str">
        <x:f>"11240974"</x:f>
        <x:v>11240974</x:v>
      </x:c>
      <x:c r="S1053" s="23" t="str">
        <x:v>masculino</x:v>
      </x:c>
      <x:c r="T1053" s="22" t="str">
        <x:f>"TZS0B66"</x:f>
        <x:v>TZS0B66</x:v>
      </x:c>
      <x:c r="U1053" s="23" t="str">
        <x:v>EMANUEL RICARDO RIBEIRO LEITE FONSECA</x:v>
      </x:c>
      <x:c r="V1053" s="22" t="str">
        <x:f>"051.560.476-37"</x:f>
        <x:v>051.560.476-37</x:v>
      </x:c>
      <x:c r="W1053" s="22" t="str">
        <x:f>"05156047637"</x:f>
        <x:v>05156047637</x:v>
      </x:c>
      <x:c r="X1053" s="23" t="str">
        <x:v>emanuelleitefonseca@hotmail.com</x:v>
      </x:c>
      <x:c r="Y1053" s="22" t="str">
        <x:f>"31994986352"</x:f>
        <x:v>31994986352</x:v>
      </x:c>
      <x:c r="Z1053" s="30" t="n">
        <x:v>46550</x:v>
      </x:c>
    </x:row>
    <x:row r="1054" ht="18" customHeight="1">
      <x:c r="A1054" s="22" t="str">
        <x:f>"6136a8fd-dccb-4551-8da1-cda0f3537eb4"</x:f>
        <x:v>6136a8fd-dccb-4551-8da1-cda0f3537eb4</x:v>
      </x:c>
      <x:c r="B1054" s="23" t="str">
        <x:v>EMERSON BRITO DE SOUZA</x:v>
      </x:c>
      <x:c r="C1054" s="23" t="str">
        <x:v>emerson brito de souza</x:v>
      </x:c>
      <x:c r="D1054" s="22" t="str">
        <x:f>"65.958.461/0001-17"</x:f>
        <x:v>65.958.461/0001-17</x:v>
      </x:c>
      <x:c r="E1054" s="22" t="str">
        <x:f>"65958461000117"</x:f>
        <x:v>65958461000117</x:v>
      </x:c>
      <x:c r="F1054" s="22" t="str">
        <x:f>"493.429.338-82"</x:f>
        <x:v>493.429.338-82</x:v>
      </x:c>
      <x:c r="G1054" s="22" t="str">
        <x:f>"49342933882"</x:f>
        <x:v>49342933882</x:v>
      </x:c>
      <x:c r="H1054" s="23" t="str">
        <x:v>emersombritosouza@gmail.com</x:v>
      </x:c>
      <x:c r="I1054" s="22" t="str">
        <x:f>"38997365820"</x:f>
        <x:v>38997365820</x:v>
      </x:c>
      <x:c r="J1054" s="23" t="str">
        <x:v>RENTAL</x:v>
      </x:c>
      <x:c r="K1054" s="23" t="str">
        <x:v>rental_company</x:v>
      </x:c>
      <x:c r="L1054" s="24" t="b">
        <x:v>1</x:v>
      </x:c>
      <x:c r="M1054" s="23" t="n">
        <x:v>1</x:v>
      </x:c>
      <x:c r="N1054" s="28" t="n">
        <x:v>46219.812988715275</x:v>
      </x:c>
      <x:c r="O1054" s="28" t="n">
        <x:v>46219.812988715275</x:v>
      </x:c>
      <x:c r="P1054" s="23" t="str">
        <x:v>UBERLANDIA</x:v>
      </x:c>
      <x:c r="Q1054" s="30" t="n">
        <x:v>37498</x:v>
      </x:c>
      <x:c r="R1054" s="22" t="str">
        <x:f>"595124045"</x:f>
        <x:v>595124045</x:v>
      </x:c>
      <x:c r="S1054" s="23" t="str">
        <x:v>masculino</x:v>
      </x:c>
      <x:c r="T1054" s="22" t="str"/>
      <x:c r="U1054" s="23" t="str">
        <x:v>EMERSON BRITO DE SOUZA</x:v>
      </x:c>
      <x:c r="V1054" s="22" t="str">
        <x:f>"493.429.338-82"</x:f>
        <x:v>493.429.338-82</x:v>
      </x:c>
      <x:c r="W1054" s="22" t="str">
        <x:f>"49342933882"</x:f>
        <x:v>49342933882</x:v>
      </x:c>
      <x:c r="X1054" s="23" t="str">
        <x:v>emersombritosouza@gmail.com</x:v>
      </x:c>
      <x:c r="Y1054" s="22" t="str">
        <x:f>"38997365820"</x:f>
        <x:v>38997365820</x:v>
      </x:c>
      <x:c r="Z1054" s="30" t="n">
        <x:v>46483</x:v>
      </x:c>
    </x:row>
    <x:row r="1055" ht="18" customHeight="1">
      <x:c r="A1055" s="22" t="str">
        <x:f>"55433ed8-34dc-4f20-8433-ac7304beb74a"</x:f>
        <x:v>55433ed8-34dc-4f20-8433-ac7304beb74a</x:v>
      </x:c>
      <x:c r="B1055" s="23" t="str">
        <x:v>EMERSON DOS SANTOS MOREIRA</x:v>
      </x:c>
      <x:c r="C1055" s="23" t="str">
        <x:v>emerson dos santos moreira</x:v>
      </x:c>
      <x:c r="D1055" s="22" t="str">
        <x:f>"49.316.703/0001-12"</x:f>
        <x:v>49.316.703/0001-12</x:v>
      </x:c>
      <x:c r="E1055" s="22" t="str">
        <x:f>"49316703000112"</x:f>
        <x:v>49316703000112</x:v>
      </x:c>
      <x:c r="F1055" s="22" t="str">
        <x:f>"418.091.468-95"</x:f>
        <x:v>418.091.468-95</x:v>
      </x:c>
      <x:c r="G1055" s="22" t="str">
        <x:f>"41809146895"</x:f>
        <x:v>41809146895</x:v>
      </x:c>
      <x:c r="H1055" s="23" t="str">
        <x:v>emersonsantos9103752@gmail.com</x:v>
      </x:c>
      <x:c r="I1055" s="22" t="str">
        <x:f>"17920020802"</x:f>
        <x:v>17920020802</x:v>
      </x:c>
      <x:c r="J1055" s="23" t="str">
        <x:v>RENTAL</x:v>
      </x:c>
      <x:c r="K1055" s="23" t="str">
        <x:v>rental_company</x:v>
      </x:c>
      <x:c r="L1055" s="24" t="b">
        <x:v>1</x:v>
      </x:c>
      <x:c r="M1055" s="23" t="n">
        <x:v>1</x:v>
      </x:c>
      <x:c r="N1055" s="28" t="n">
        <x:v>46203.92183017361</x:v>
      </x:c>
      <x:c r="O1055" s="28" t="n">
        <x:v>46219.812988715275</x:v>
      </x:c>
      <x:c r="P1055" s="23" t="str">
        <x:v>BARRETOS</x:v>
      </x:c>
      <x:c r="Q1055" s="30" t="n">
        <x:v>34120</x:v>
      </x:c>
      <x:c r="R1055" s="22" t="str">
        <x:f>"49067031"</x:f>
        <x:v>49067031</x:v>
      </x:c>
      <x:c r="S1055" s="23" t="str">
        <x:v>masculino</x:v>
      </x:c>
      <x:c r="T1055" s="22" t="str"/>
      <x:c r="U1055" s="23" t="str">
        <x:v>EMERSON DOS SANTOS MOREIRA</x:v>
      </x:c>
      <x:c r="V1055" s="22" t="str">
        <x:f>"418.091.468-95"</x:f>
        <x:v>418.091.468-95</x:v>
      </x:c>
      <x:c r="W1055" s="22" t="str">
        <x:f>"41809146895"</x:f>
        <x:v>41809146895</x:v>
      </x:c>
      <x:c r="X1055" s="23" t="str">
        <x:v>emersonsantos9103752@gmail.com</x:v>
      </x:c>
      <x:c r="Y1055" s="22" t="str">
        <x:f>"17920020802"</x:f>
        <x:v>17920020802</x:v>
      </x:c>
      <x:c r="Z1055" s="30" t="n">
        <x:v>46294</x:v>
      </x:c>
    </x:row>
    <x:row r="1056" ht="18" customHeight="1">
      <x:c r="A1056" s="22" t="str">
        <x:f>"52809088-61d7-4d09-890b-4c3a67606e41"</x:f>
        <x:v>52809088-61d7-4d09-890b-4c3a67606e41</x:v>
      </x:c>
      <x:c r="B1056" s="23" t="str">
        <x:v>EMERSON FELIPE SANTOS SOUZA</x:v>
      </x:c>
      <x:c r="C1056" s="23" t="str">
        <x:v>emerson felipe santos souza</x:v>
      </x:c>
      <x:c r="D1056" s="22" t="str">
        <x:f>"51.244.472/0001-20"</x:f>
        <x:v>51.244.472/0001-20</x:v>
      </x:c>
      <x:c r="E1056" s="22" t="str">
        <x:f>"51244472000120"</x:f>
        <x:v>51244472000120</x:v>
      </x:c>
      <x:c r="F1056" s="22" t="str">
        <x:f>"159.746.766-96"</x:f>
        <x:v>159.746.766-96</x:v>
      </x:c>
      <x:c r="G1056" s="22" t="str">
        <x:f>"15974676696"</x:f>
        <x:v>15974676696</x:v>
      </x:c>
      <x:c r="H1056" s="23" t="str">
        <x:v>santossouzaemersonfelipe@gmail.com</x:v>
      </x:c>
      <x:c r="I1056" s="22" t="str">
        <x:f>"31995966835"</x:f>
        <x:v>31995966835</x:v>
      </x:c>
      <x:c r="J1056" s="23" t="str">
        <x:v>RENTAL</x:v>
      </x:c>
      <x:c r="K1056" s="23" t="str">
        <x:v>rental_company</x:v>
      </x:c>
      <x:c r="L1056" s="24" t="b">
        <x:v>1</x:v>
      </x:c>
      <x:c r="M1056" s="23" t="n">
        <x:v>1</x:v>
      </x:c>
      <x:c r="N1056" s="28" t="n">
        <x:v>46219.812988715275</x:v>
      </x:c>
      <x:c r="O1056" s="28" t="n">
        <x:v>46219.812988715275</x:v>
      </x:c>
      <x:c r="P1056" s="23" t="str">
        <x:v>NOVA LIMA</x:v>
      </x:c>
      <x:c r="Q1056" s="30" t="n">
        <x:v>37621</x:v>
      </x:c>
      <x:c r="R1056" s="22" t="str">
        <x:f>"20232085"</x:f>
        <x:v>20232085</x:v>
      </x:c>
      <x:c r="S1056" s="23" t="str">
        <x:v>masculino</x:v>
      </x:c>
      <x:c r="T1056" s="22" t="str"/>
      <x:c r="U1056" s="23" t="str">
        <x:v>EMERSON FELIPE SANTOS SOUZA</x:v>
      </x:c>
      <x:c r="V1056" s="22" t="str">
        <x:f>"159.746.766-96"</x:f>
        <x:v>159.746.766-96</x:v>
      </x:c>
      <x:c r="W1056" s="22" t="str">
        <x:f>"15974676696"</x:f>
        <x:v>15974676696</x:v>
      </x:c>
      <x:c r="X1056" s="23" t="str">
        <x:v>santossouzaemersonfelipe@gmail.com</x:v>
      </x:c>
      <x:c r="Y1056" s="22" t="str">
        <x:f>"31995966835"</x:f>
        <x:v>31995966835</x:v>
      </x:c>
      <x:c r="Z1056" s="30" t="n">
        <x:v>46555</x:v>
      </x:c>
    </x:row>
    <x:row r="1057" ht="18" customHeight="1">
      <x:c r="A1057" s="22" t="str">
        <x:f>"3d58c98f-c503-4fc6-a9e2-0bf47568e02e"</x:f>
        <x:v>3d58c98f-c503-4fc6-a9e2-0bf47568e02e</x:v>
      </x:c>
      <x:c r="B1057" s="23" t="str">
        <x:v>EMERSON FERREIRA DA SILVA</x:v>
      </x:c>
      <x:c r="C1057" s="23" t="str">
        <x:v>emerson ferreira da silva</x:v>
      </x:c>
      <x:c r="D1057" s="22" t="str">
        <x:f>"54.581.498/0001-52"</x:f>
        <x:v>54.581.498/0001-52</x:v>
      </x:c>
      <x:c r="E1057" s="22" t="str">
        <x:f>"54581498000152"</x:f>
        <x:v>54581498000152</x:v>
      </x:c>
      <x:c r="F1057" s="22" t="str">
        <x:f>"029.859.581-80"</x:f>
        <x:v>029.859.581-80</x:v>
      </x:c>
      <x:c r="G1057" s="22" t="str">
        <x:f>"02985958180"</x:f>
        <x:v>02985958180</x:v>
      </x:c>
      <x:c r="H1057" s="23" t="str">
        <x:v>emersonisah26@gmail.com</x:v>
      </x:c>
      <x:c r="I1057" s="22" t="str">
        <x:f>"62984594775"</x:f>
        <x:v>62984594775</x:v>
      </x:c>
      <x:c r="J1057" s="23" t="str">
        <x:v>SPOT</x:v>
      </x:c>
      <x:c r="K1057" s="23" t="str">
        <x:v>favored_only</x:v>
      </x:c>
      <x:c r="L1057" s="24" t="b">
        <x:v>1</x:v>
      </x:c>
      <x:c r="M1057" s="23" t="n">
        <x:v>1</x:v>
      </x:c>
      <x:c r="N1057" s="28" t="n">
        <x:v>46203.92186462963</x:v>
      </x:c>
      <x:c r="O1057" s="28" t="n">
        <x:v>46219.812988715275</x:v>
      </x:c>
      <x:c r="P1057" s="23" t="str">
        <x:v>GOIANIA</x:v>
      </x:c>
      <x:c r="Q1057" s="30" t="n">
        <x:v>32740</x:v>
      </x:c>
      <x:c r="R1057" s="22" t="str">
        <x:f>"5304306"</x:f>
        <x:v>5304306</x:v>
      </x:c>
      <x:c r="S1057" s="23" t="str">
        <x:v>masculino</x:v>
      </x:c>
      <x:c r="T1057" s="22" t="str">
        <x:f>"QUB6B07"</x:f>
        <x:v>QUB6B07</x:v>
      </x:c>
      <x:c r="U1057" s="23" t="str">
        <x:v>EMERSON FERREIRA DA SILVA</x:v>
      </x:c>
      <x:c r="V1057" s="22" t="str">
        <x:f>"029.859.581-80"</x:f>
        <x:v>029.859.581-80</x:v>
      </x:c>
      <x:c r="W1057" s="22" t="str">
        <x:f>"02985958180"</x:f>
        <x:v>02985958180</x:v>
      </x:c>
      <x:c r="X1057" s="23" t="str">
        <x:v>emersonisah26@gmail.com</x:v>
      </x:c>
      <x:c r="Y1057" s="22" t="str">
        <x:f>"62984594775"</x:f>
        <x:v>62984594775</x:v>
      </x:c>
      <x:c r="Z1057" s="30" t="n">
        <x:v>46270</x:v>
      </x:c>
    </x:row>
    <x:row r="1058" ht="18" customHeight="1">
      <x:c r="A1058" s="22" t="str">
        <x:f>"11053526-4830-495f-82b5-0a4579e8e252"</x:f>
        <x:v>11053526-4830-495f-82b5-0a4579e8e252</x:v>
      </x:c>
      <x:c r="B1058" s="23" t="str">
        <x:v>EMERSON GALDINO DA SILVA</x:v>
      </x:c>
      <x:c r="C1058" s="23" t="str">
        <x:v>emerson galdino da silva</x:v>
      </x:c>
      <x:c r="D1058" s="22" t="str">
        <x:f>"64.112.321/0001-60"</x:f>
        <x:v>64.112.321/0001-60</x:v>
      </x:c>
      <x:c r="E1058" s="22" t="str">
        <x:f>"64112321000160"</x:f>
        <x:v>64112321000160</x:v>
      </x:c>
      <x:c r="F1058" s="22" t="str">
        <x:f>"134.216.607-86"</x:f>
        <x:v>134.216.607-86</x:v>
      </x:c>
      <x:c r="G1058" s="22" t="str">
        <x:f>"13421660786"</x:f>
        <x:v>13421660786</x:v>
      </x:c>
      <x:c r="H1058" s="23" t="str">
        <x:v>emersongald5.0@gmail.com</x:v>
      </x:c>
      <x:c r="I1058" s="22" t="str">
        <x:f>"21966620535"</x:f>
        <x:v>21966620535</x:v>
      </x:c>
      <x:c r="J1058" s="23" t="str">
        <x:v>SPOT</x:v>
      </x:c>
      <x:c r="K1058" s="23" t="str">
        <x:v>favored_only</x:v>
      </x:c>
      <x:c r="L1058" s="24" t="b">
        <x:v>1</x:v>
      </x:c>
      <x:c r="M1058" s="23" t="n">
        <x:v>2</x:v>
      </x:c>
      <x:c r="N1058" s="28" t="n">
        <x:v>46203.921904421295</x:v>
      </x:c>
      <x:c r="O1058" s="28" t="n">
        <x:v>46219.812988715275</x:v>
      </x:c>
      <x:c r="P1058" s="23" t="str">
        <x:v>CORDOVIL</x:v>
      </x:c>
      <x:c r="Q1058" s="30" t="n">
        <x:v>32819</x:v>
      </x:c>
      <x:c r="R1058" s="22" t="str">
        <x:f>"215246422"</x:f>
        <x:v>215246422</x:v>
      </x:c>
      <x:c r="S1058" s="23" t="str">
        <x:v>masculino</x:v>
      </x:c>
      <x:c r="T1058" s="22" t="str">
        <x:f>"LSX7F02"</x:f>
        <x:v>LSX7F02</x:v>
      </x:c>
      <x:c r="U1058" s="23" t="str">
        <x:v>EMERSON GALDINO DA SILVA</x:v>
      </x:c>
      <x:c r="V1058" s="22" t="str">
        <x:f>"134.216.607-86"</x:f>
        <x:v>134.216.607-86</x:v>
      </x:c>
      <x:c r="W1058" s="22" t="str">
        <x:f>"13421660786"</x:f>
        <x:v>13421660786</x:v>
      </x:c>
      <x:c r="X1058" s="23" t="str">
        <x:v>emersongald5.0@gmail.com</x:v>
      </x:c>
      <x:c r="Y1058" s="22" t="str">
        <x:f>"21966620535"</x:f>
        <x:v>21966620535</x:v>
      </x:c>
      <x:c r="Z1058" s="30" t="n">
        <x:v>46378</x:v>
      </x:c>
    </x:row>
    <x:row r="1059" ht="18" customHeight="1">
      <x:c r="A1059" s="22" t="str">
        <x:f>"bd8d5776-bc61-48fa-b919-2951745990e1"</x:f>
        <x:v>bd8d5776-bc61-48fa-b919-2951745990e1</x:v>
      </x:c>
      <x:c r="B1059" s="23" t="str">
        <x:v>EMERSON GALDINO DA SILVA</x:v>
      </x:c>
      <x:c r="C1059" s="23" t="str">
        <x:v>emerson galdino da silva</x:v>
      </x:c>
      <x:c r="D1059" s="22" t="str">
        <x:f>"52.947.654/0001-20"</x:f>
        <x:v>52.947.654/0001-20</x:v>
      </x:c>
      <x:c r="E1059" s="22" t="str">
        <x:f>"52947654000120"</x:f>
        <x:v>52947654000120</x:v>
      </x:c>
      <x:c r="F1059" s="22" t="str">
        <x:f>"134.216.607-86"</x:f>
        <x:v>134.216.607-86</x:v>
      </x:c>
      <x:c r="G1059" s="22" t="str">
        <x:f>"13421660786"</x:f>
        <x:v>13421660786</x:v>
      </x:c>
      <x:c r="H1059" s="23" t="str">
        <x:v>emersongald5.0@gmail.com.br</x:v>
      </x:c>
      <x:c r="I1059" s="22" t="str">
        <x:f>"21966620535"</x:f>
        <x:v>21966620535</x:v>
      </x:c>
      <x:c r="J1059" s="23" t="str">
        <x:v>SPOT</x:v>
      </x:c>
      <x:c r="K1059" s="23" t="str">
        <x:v>favored_only</x:v>
      </x:c>
      <x:c r="L1059" s="24" t="b">
        <x:v>1</x:v>
      </x:c>
      <x:c r="M1059" s="23" t="n">
        <x:v>1</x:v>
      </x:c>
      <x:c r="N1059" s="28" t="n">
        <x:v>46203.921904421295</x:v>
      </x:c>
      <x:c r="O1059" s="28" t="n">
        <x:v>46219.812988715275</x:v>
      </x:c>
      <x:c r="P1059" s="23" t="str">
        <x:v>CORDOVIL</x:v>
      </x:c>
      <x:c r="Q1059" s="30" t="n">
        <x:v>32819</x:v>
      </x:c>
      <x:c r="R1059" s="22" t="str">
        <x:f>"215246422"</x:f>
        <x:v>215246422</x:v>
      </x:c>
      <x:c r="S1059" s="23" t="str">
        <x:v>masculino</x:v>
      </x:c>
      <x:c r="T1059" s="22" t="str">
        <x:f>"LSX7F02"</x:f>
        <x:v>LSX7F02</x:v>
      </x:c>
      <x:c r="U1059" s="23" t="str">
        <x:v>EMERSON GALDINO DA SILVA</x:v>
      </x:c>
      <x:c r="V1059" s="22" t="str">
        <x:f>"134.216.607-86"</x:f>
        <x:v>134.216.607-86</x:v>
      </x:c>
      <x:c r="W1059" s="22" t="str">
        <x:f>"13421660786"</x:f>
        <x:v>13421660786</x:v>
      </x:c>
      <x:c r="X1059" s="23" t="str">
        <x:v>emersongald5.0@gmail.com.br</x:v>
      </x:c>
      <x:c r="Y1059" s="22" t="str">
        <x:f>"21966620535"</x:f>
        <x:v>21966620535</x:v>
      </x:c>
      <x:c r="Z1059" s="30" t="n">
        <x:v>46374</x:v>
      </x:c>
    </x:row>
    <x:row r="1060" ht="18" customHeight="1">
      <x:c r="A1060" s="22" t="str">
        <x:f>"26512209-f628-42de-9273-4d1e4700366f"</x:f>
        <x:v>26512209-f628-42de-9273-4d1e4700366f</x:v>
      </x:c>
      <x:c r="B1060" s="23" t="str">
        <x:v>EMERSON GONCALVES MOTA DINIZ</x:v>
      </x:c>
      <x:c r="C1060" s="23" t="str">
        <x:v>emerson goncalves mota diniz</x:v>
      </x:c>
      <x:c r="D1060" s="22" t="str">
        <x:f>"67.710.553/0001-09"</x:f>
        <x:v>67.710.553/0001-09</x:v>
      </x:c>
      <x:c r="E1060" s="22" t="str">
        <x:f>"67710553000109"</x:f>
        <x:v>67710553000109</x:v>
      </x:c>
      <x:c r="F1060" s="22" t="str">
        <x:f>"122.352.856-19"</x:f>
        <x:v>122.352.856-19</x:v>
      </x:c>
      <x:c r="G1060" s="22" t="str">
        <x:f>"12235285619"</x:f>
        <x:v>12235285619</x:v>
      </x:c>
      <x:c r="H1060" s="23" t="str">
        <x:v>emersonmotadiniz@gmail.com</x:v>
      </x:c>
      <x:c r="I1060" s="22" t="str">
        <x:f>"35 98712-7141"</x:f>
        <x:v>35 98712-7141</x:v>
      </x:c>
      <x:c r="J1060" s="23" t="str">
        <x:v>SPOT</x:v>
      </x:c>
      <x:c r="K1060" s="23" t="str">
        <x:v>favored_only</x:v>
      </x:c>
      <x:c r="L1060" s="24" t="b">
        <x:v>1</x:v>
      </x:c>
      <x:c r="M1060" s="23" t="n">
        <x:v>1</x:v>
      </x:c>
      <x:c r="N1060" s="28" t="n">
        <x:v>46219.812988715275</x:v>
      </x:c>
      <x:c r="O1060" s="28" t="n">
        <x:v>46219.812988715275</x:v>
      </x:c>
      <x:c r="P1060" s="23" t="str">
        <x:v>POCOS DE CALDAS</x:v>
      </x:c>
      <x:c r="Q1060" s="30" t="n">
        <x:v>37897</x:v>
      </x:c>
      <x:c r="R1060" s="22" t="str">
        <x:f>"672967224"</x:f>
        <x:v>672967224</x:v>
      </x:c>
      <x:c r="S1060" s="23" t="str">
        <x:v>masculino</x:v>
      </x:c>
      <x:c r="T1060" s="22" t="str">
        <x:f>"FNY5G18"</x:f>
        <x:v>FNY5G18</x:v>
      </x:c>
      <x:c r="U1060" s="23" t="str">
        <x:v>EMERSON GONCALVES MOTA DINIZ</x:v>
      </x:c>
      <x:c r="V1060" s="22" t="str">
        <x:f>"122.352.856-19"</x:f>
        <x:v>122.352.856-19</x:v>
      </x:c>
      <x:c r="W1060" s="22" t="str">
        <x:f>"12235285619"</x:f>
        <x:v>12235285619</x:v>
      </x:c>
      <x:c r="X1060" s="23" t="str">
        <x:v>emersonmotadiniz@gmail.com</x:v>
      </x:c>
      <x:c r="Y1060" s="22" t="str">
        <x:f>"35 98712-7141"</x:f>
        <x:v>35 98712-7141</x:v>
      </x:c>
      <x:c r="Z1060" s="30" t="n">
        <x:v>46428</x:v>
      </x:c>
    </x:row>
    <x:row r="1061" ht="18" customHeight="1">
      <x:c r="A1061" s="22" t="str">
        <x:f>"dff001fb-2167-47b6-8756-e44d77f574d7"</x:f>
        <x:v>dff001fb-2167-47b6-8756-e44d77f574d7</x:v>
      </x:c>
      <x:c r="B1061" s="23" t="str">
        <x:v>EMERSON GONCALVES MOTA DINIZ</x:v>
      </x:c>
      <x:c r="C1061" s="23" t="str">
        <x:v>emerson goncalves mota diniz</x:v>
      </x:c>
      <x:c r="D1061" s="22" t="str">
        <x:f>"57.261.412/0001-00"</x:f>
        <x:v>57.261.412/0001-00</x:v>
      </x:c>
      <x:c r="E1061" s="22" t="str">
        <x:f>"57261412000100"</x:f>
        <x:v>57261412000100</x:v>
      </x:c>
      <x:c r="F1061" s="22" t="str">
        <x:f>"122.352.856-19"</x:f>
        <x:v>122.352.856-19</x:v>
      </x:c>
      <x:c r="G1061" s="22" t="str">
        <x:f>"12235285619"</x:f>
        <x:v>12235285619</x:v>
      </x:c>
      <x:c r="H1061" s="23" t="str">
        <x:v>emersonmotadiniz@gmail.com</x:v>
      </x:c>
      <x:c r="I1061" s="22" t="str">
        <x:f>"35 98712-7141"</x:f>
        <x:v>35 98712-7141</x:v>
      </x:c>
      <x:c r="J1061" s="23" t="str">
        <x:v>SPOT</x:v>
      </x:c>
      <x:c r="K1061" s="23" t="str">
        <x:v>favored_only</x:v>
      </x:c>
      <x:c r="L1061" s="24" t="b">
        <x:v>1</x:v>
      </x:c>
      <x:c r="M1061" s="23" t="n">
        <x:v>2</x:v>
      </x:c>
      <x:c r="N1061" s="28" t="n">
        <x:v>46203.921824756944</x:v>
      </x:c>
      <x:c r="O1061" s="28" t="n">
        <x:v>46219.812988715275</x:v>
      </x:c>
      <x:c r="P1061" s="23" t="str">
        <x:v>POCOS DE CALDAS</x:v>
      </x:c>
      <x:c r="Q1061" s="30" t="n">
        <x:v>37897</x:v>
      </x:c>
      <x:c r="R1061" s="22" t="str">
        <x:f>"672967324"</x:f>
        <x:v>672967324</x:v>
      </x:c>
      <x:c r="S1061" s="23" t="str">
        <x:v>masculino</x:v>
      </x:c>
      <x:c r="T1061" s="22" t="str">
        <x:f>"FNY5G18"</x:f>
        <x:v>FNY5G18</x:v>
      </x:c>
      <x:c r="U1061" s="23" t="str">
        <x:v>EMERSON GONCALVES MOTA DINIZ</x:v>
      </x:c>
      <x:c r="V1061" s="22" t="str">
        <x:f>"122.352.856-19"</x:f>
        <x:v>122.352.856-19</x:v>
      </x:c>
      <x:c r="W1061" s="22" t="str">
        <x:f>"12235285619"</x:f>
        <x:v>12235285619</x:v>
      </x:c>
      <x:c r="X1061" s="23" t="str">
        <x:v>emersonmotadiniz@gmail.com</x:v>
      </x:c>
      <x:c r="Y1061" s="22" t="str">
        <x:f>"35 98712-7141"</x:f>
        <x:v>35 98712-7141</x:v>
      </x:c>
      <x:c r="Z1061" s="30" t="n">
        <x:v>46428</x:v>
      </x:c>
    </x:row>
    <x:row r="1062" ht="18" customHeight="1">
      <x:c r="A1062" s="22" t="str">
        <x:f>"1fac9720-04ef-4398-9cb1-c2a54c882967"</x:f>
        <x:v>1fac9720-04ef-4398-9cb1-c2a54c882967</x:v>
      </x:c>
      <x:c r="B1062" s="23" t="str">
        <x:v>EMERSON GUSTAVO PEREIRA DEBOSSAN</x:v>
      </x:c>
      <x:c r="C1062" s="23" t="str">
        <x:v>emerson gustavo pereira debossan</x:v>
      </x:c>
      <x:c r="D1062" s="22" t="str">
        <x:f>"60.970.367/0001-60"</x:f>
        <x:v>60.970.367/0001-60</x:v>
      </x:c>
      <x:c r="E1062" s="22" t="str">
        <x:f>"60970367000160"</x:f>
        <x:v>60970367000160</x:v>
      </x:c>
      <x:c r="F1062" s="22" t="str">
        <x:f>"130.613.796-90"</x:f>
        <x:v>130.613.796-90</x:v>
      </x:c>
      <x:c r="G1062" s="22" t="str">
        <x:f>"13061379690"</x:f>
        <x:v>13061379690</x:v>
      </x:c>
      <x:c r="H1062" s="23" t="str">
        <x:v>emersongustavop@gmail.com</x:v>
      </x:c>
      <x:c r="I1062" s="22" t="str">
        <x:f>"31989021512"</x:f>
        <x:v>31989021512</x:v>
      </x:c>
      <x:c r="J1062" s="23" t="str">
        <x:v>SPOT</x:v>
      </x:c>
      <x:c r="K1062" s="23" t="str">
        <x:v>favored_only</x:v>
      </x:c>
      <x:c r="L1062" s="24" t="b">
        <x:v>1</x:v>
      </x:c>
      <x:c r="M1062" s="23" t="n">
        <x:v>1</x:v>
      </x:c>
      <x:c r="N1062" s="28" t="n">
        <x:v>46203.921858726855</x:v>
      </x:c>
      <x:c r="O1062" s="28" t="n">
        <x:v>46219.812988715275</x:v>
      </x:c>
      <x:c r="P1062" s="23" t="str">
        <x:v>CONTAGEM</x:v>
      </x:c>
      <x:c r="Q1062" s="30" t="n">
        <x:v>34770</x:v>
      </x:c>
      <x:c r="R1062" s="22" t="str">
        <x:f>"13061379690"</x:f>
        <x:v>13061379690</x:v>
      </x:c>
      <x:c r="S1062" s="23" t="str">
        <x:v>masculino</x:v>
      </x:c>
      <x:c r="T1062" s="22" t="str">
        <x:f>"OSC0F82"</x:f>
        <x:v>OSC0F82</x:v>
      </x:c>
      <x:c r="U1062" s="23" t="str">
        <x:v>EMERSON GUSTAVO PEREIRA DEBOSSAN</x:v>
      </x:c>
      <x:c r="V1062" s="22" t="str">
        <x:f>"130.613.796-90"</x:f>
        <x:v>130.613.796-90</x:v>
      </x:c>
      <x:c r="W1062" s="22" t="str">
        <x:f>"13061379690"</x:f>
        <x:v>13061379690</x:v>
      </x:c>
      <x:c r="X1062" s="23" t="str">
        <x:v>emersongustavop@gmail.com</x:v>
      </x:c>
      <x:c r="Y1062" s="22" t="str">
        <x:f>"31989021512"</x:f>
        <x:v>31989021512</x:v>
      </x:c>
      <x:c r="Z1062" s="30" t="n">
        <x:v>46262</x:v>
      </x:c>
    </x:row>
    <x:row r="1063" ht="18" customHeight="1">
      <x:c r="A1063" s="22" t="str">
        <x:f>"d37270f7-fb1f-4dc0-9fd3-c1890e988868"</x:f>
        <x:v>d37270f7-fb1f-4dc0-9fd3-c1890e988868</x:v>
      </x:c>
      <x:c r="B1063" s="23" t="str">
        <x:v>EMERSON JANUARIO DE SOUZA</x:v>
      </x:c>
      <x:c r="C1063" s="23" t="str">
        <x:v>emerson januario de souza</x:v>
      </x:c>
      <x:c r="D1063" s="22" t="str">
        <x:f>"48.639.704/0001-35"</x:f>
        <x:v>48.639.704/0001-35</x:v>
      </x:c>
      <x:c r="E1063" s="22" t="str">
        <x:f>"48639704000135"</x:f>
        <x:v>48639704000135</x:v>
      </x:c>
      <x:c r="F1063" s="22" t="str">
        <x:f>"400.243.108-83"</x:f>
        <x:v>400.243.108-83</x:v>
      </x:c>
      <x:c r="G1063" s="22" t="str">
        <x:f>"40024310883"</x:f>
        <x:v>40024310883</x:v>
      </x:c>
      <x:c r="H1063" s="23" t="str">
        <x:v>emersoon.souuza1122@gmail.com</x:v>
      </x:c>
      <x:c r="I1063" s="22" t="str">
        <x:f>"18991556965"</x:f>
        <x:v>18991556965</x:v>
      </x:c>
      <x:c r="J1063" s="23" t="str">
        <x:v>RENTAL</x:v>
      </x:c>
      <x:c r="K1063" s="23" t="str">
        <x:v>rental_company</x:v>
      </x:c>
      <x:c r="L1063" s="24" t="b">
        <x:v>1</x:v>
      </x:c>
      <x:c r="M1063" s="23" t="n">
        <x:v>1</x:v>
      </x:c>
      <x:c r="N1063" s="28" t="n">
        <x:v>46203.92183017361</x:v>
      </x:c>
      <x:c r="O1063" s="28" t="n">
        <x:v>46219.812988715275</x:v>
      </x:c>
      <x:c r="P1063" s="23" t="str">
        <x:v>ARAÇATUBA</x:v>
      </x:c>
      <x:c r="Q1063" s="30" t="n">
        <x:v>34775</x:v>
      </x:c>
      <x:c r="R1063" s="22" t="str">
        <x:f>"455247997"</x:f>
        <x:v>455247997</x:v>
      </x:c>
      <x:c r="S1063" s="23" t="str">
        <x:v>masculino</x:v>
      </x:c>
      <x:c r="T1063" s="22" t="str"/>
      <x:c r="U1063" s="23" t="str">
        <x:v>EMERSON JANUARIO DE SOUZA</x:v>
      </x:c>
      <x:c r="V1063" s="22" t="str">
        <x:f>"400.243.108-83"</x:f>
        <x:v>400.243.108-83</x:v>
      </x:c>
      <x:c r="W1063" s="22" t="str">
        <x:f>"40024310883"</x:f>
        <x:v>40024310883</x:v>
      </x:c>
      <x:c r="X1063" s="23" t="str">
        <x:v>emersoon.souuza1122@gmail.com</x:v>
      </x:c>
      <x:c r="Y1063" s="22" t="str">
        <x:f>"18991556965"</x:f>
        <x:v>18991556965</x:v>
      </x:c>
      <x:c r="Z1063" s="30" t="n">
        <x:v>46508</x:v>
      </x:c>
    </x:row>
    <x:row r="1064" ht="18" customHeight="1">
      <x:c r="A1064" s="22" t="str">
        <x:f>"9d9d44d9-459f-4172-bb31-dfc217634111"</x:f>
        <x:v>9d9d44d9-459f-4172-bb31-dfc217634111</x:v>
      </x:c>
      <x:c r="B1064" s="23" t="str">
        <x:v>EMERSON JUNIO DE SOUZA</x:v>
      </x:c>
      <x:c r="C1064" s="23" t="str">
        <x:v>emerson junio de souza</x:v>
      </x:c>
      <x:c r="D1064" s="22" t="str">
        <x:f>"66.658.245/0001-19"</x:f>
        <x:v>66.658.245/0001-19</x:v>
      </x:c>
      <x:c r="E1064" s="22" t="str">
        <x:f>"66658245000119"</x:f>
        <x:v>66658245000119</x:v>
      </x:c>
      <x:c r="F1064" s="22" t="str">
        <x:f>"129.744.546-58"</x:f>
        <x:v>129.744.546-58</x:v>
      </x:c>
      <x:c r="G1064" s="22" t="str">
        <x:f>"12974454658"</x:f>
        <x:v>12974454658</x:v>
      </x:c>
      <x:c r="H1064" s="23" t="str">
        <x:v>emerson.junio.souza@gmail.com</x:v>
      </x:c>
      <x:c r="I1064" s="22" t="str">
        <x:f>"35 98416-7369"</x:f>
        <x:v>35 98416-7369</x:v>
      </x:c>
      <x:c r="J1064" s="23" t="str">
        <x:v>RENTAL</x:v>
      </x:c>
      <x:c r="K1064" s="23" t="str">
        <x:v>rental_company</x:v>
      </x:c>
      <x:c r="L1064" s="24" t="b">
        <x:v>1</x:v>
      </x:c>
      <x:c r="M1064" s="23" t="n">
        <x:v>1</x:v>
      </x:c>
      <x:c r="N1064" s="28" t="n">
        <x:v>46219.812988715275</x:v>
      </x:c>
      <x:c r="O1064" s="28" t="n">
        <x:v>46219.812988715275</x:v>
      </x:c>
      <x:c r="P1064" s="23" t="str">
        <x:v>POCOS DE CALDAS</x:v>
      </x:c>
      <x:c r="Q1064" s="30" t="n">
        <x:v>35489</x:v>
      </x:c>
      <x:c r="R1064" s="22" t="str">
        <x:f>"19237887"</x:f>
        <x:v>19237887</x:v>
      </x:c>
      <x:c r="S1064" s="23" t="str">
        <x:v>masculino</x:v>
      </x:c>
      <x:c r="T1064" s="22" t="str"/>
      <x:c r="U1064" s="23" t="str">
        <x:v>EMERSON JUNIO DE SOUZA</x:v>
      </x:c>
      <x:c r="V1064" s="22" t="str">
        <x:f>"129.744.546-58"</x:f>
        <x:v>129.744.546-58</x:v>
      </x:c>
      <x:c r="W1064" s="22" t="str">
        <x:f>"12974454658"</x:f>
        <x:v>12974454658</x:v>
      </x:c>
      <x:c r="X1064" s="23" t="str">
        <x:v>emerson.junio.souza@gmail.com</x:v>
      </x:c>
      <x:c r="Y1064" s="22" t="str">
        <x:f>"35 98416-7369"</x:f>
        <x:v>35 98416-7369</x:v>
      </x:c>
      <x:c r="Z1064" s="30" t="n">
        <x:v>46535</x:v>
      </x:c>
    </x:row>
    <x:row r="1065" ht="18" customHeight="1">
      <x:c r="A1065" s="22" t="str">
        <x:f>"35cfd4f3-793a-4987-a874-e8275058626b"</x:f>
        <x:v>35cfd4f3-793a-4987-a874-e8275058626b</x:v>
      </x:c>
      <x:c r="B1065" s="23" t="str">
        <x:v>EMERSON LUIS SILVA JUNIOR</x:v>
      </x:c>
      <x:c r="C1065" s="23" t="str">
        <x:v>emerson luis silva junior</x:v>
      </x:c>
      <x:c r="D1065" s="22" t="str">
        <x:f>"63.922.635/0001-66"</x:f>
        <x:v>63.922.635/0001-66</x:v>
      </x:c>
      <x:c r="E1065" s="22" t="str">
        <x:f>"63922635000166"</x:f>
        <x:v>63922635000166</x:v>
      </x:c>
      <x:c r="F1065" s="22" t="str">
        <x:f>"138.740.676-02"</x:f>
        <x:v>138.740.676-02</x:v>
      </x:c>
      <x:c r="G1065" s="22" t="str">
        <x:f>"13874067602"</x:f>
        <x:v>13874067602</x:v>
      </x:c>
      <x:c r="H1065" s="23" t="str">
        <x:v>emersonluis2241@gmail.com</x:v>
      </x:c>
      <x:c r="I1065" s="22" t="str">
        <x:f>"31985126973"</x:f>
        <x:v>31985126973</x:v>
      </x:c>
      <x:c r="J1065" s="23" t="str">
        <x:v>RENTAL</x:v>
      </x:c>
      <x:c r="K1065" s="23" t="str">
        <x:v>rental_company</x:v>
      </x:c>
      <x:c r="L1065" s="24" t="b">
        <x:v>1</x:v>
      </x:c>
      <x:c r="M1065" s="23" t="n">
        <x:v>1</x:v>
      </x:c>
      <x:c r="N1065" s="28" t="n">
        <x:v>46203.92189965278</x:v>
      </x:c>
      <x:c r="O1065" s="28" t="n">
        <x:v>46219.812988715275</x:v>
      </x:c>
      <x:c r="P1065" s="23" t="str">
        <x:v>NOVA LIMA</x:v>
      </x:c>
      <x:c r="Q1065" s="30" t="n">
        <x:v>35940</x:v>
      </x:c>
      <x:c r="R1065" s="22" t="str">
        <x:f>"20270456"</x:f>
        <x:v>20270456</x:v>
      </x:c>
      <x:c r="S1065" s="23" t="str">
        <x:v>masculino</x:v>
      </x:c>
      <x:c r="T1065" s="22" t="str"/>
      <x:c r="U1065" s="23" t="str">
        <x:v>EMERSON LUIS SILVA JUNIOR</x:v>
      </x:c>
      <x:c r="V1065" s="22" t="str">
        <x:f>"138.740.676-02"</x:f>
        <x:v>138.740.676-02</x:v>
      </x:c>
      <x:c r="W1065" s="22" t="str">
        <x:f>"13874067602"</x:f>
        <x:v>13874067602</x:v>
      </x:c>
      <x:c r="X1065" s="23" t="str">
        <x:v>emersonluis2241@gmail.com</x:v>
      </x:c>
      <x:c r="Y1065" s="22" t="str">
        <x:f>"31985126973"</x:f>
        <x:v>31985126973</x:v>
      </x:c>
      <x:c r="Z1065" s="30" t="n">
        <x:v>46360</x:v>
      </x:c>
    </x:row>
    <x:row r="1066" ht="18" customHeight="1">
      <x:c r="A1066" s="22" t="str">
        <x:f>"bed87e63-fe14-493c-b29e-4141ef3a8a38"</x:f>
        <x:v>bed87e63-fe14-493c-b29e-4141ef3a8a38</x:v>
      </x:c>
      <x:c r="B1066" s="23" t="str">
        <x:v>EMERSON MACIEL PEGO DOS SANTOS</x:v>
      </x:c>
      <x:c r="C1066" s="23" t="str">
        <x:v>emerson maciel pego dos santos</x:v>
      </x:c>
      <x:c r="D1066" s="22" t="str">
        <x:f>"32.275.494/0001-03"</x:f>
        <x:v>32.275.494/0001-03</x:v>
      </x:c>
      <x:c r="E1066" s="22" t="str">
        <x:f>"32275494000103"</x:f>
        <x:v>32275494000103</x:v>
      </x:c>
      <x:c r="F1066" s="22" t="str">
        <x:f>"350.223.428-04"</x:f>
        <x:v>350.223.428-04</x:v>
      </x:c>
      <x:c r="G1066" s="22" t="str">
        <x:f>"35022342804"</x:f>
        <x:v>35022342804</x:v>
      </x:c>
      <x:c r="H1066" s="23" t="str">
        <x:v>emersonmacielpego@gmail.com</x:v>
      </x:c>
      <x:c r="I1066" s="22" t="str">
        <x:f>"11980516263"</x:f>
        <x:v>11980516263</x:v>
      </x:c>
      <x:c r="J1066" s="23" t="str">
        <x:v>RENTAL</x:v>
      </x:c>
      <x:c r="K1066" s="23" t="str">
        <x:v>rental_company</x:v>
      </x:c>
      <x:c r="L1066" s="24" t="b">
        <x:v>1</x:v>
      </x:c>
      <x:c r="M1066" s="23" t="n">
        <x:v>1</x:v>
      </x:c>
      <x:c r="N1066" s="28" t="n">
        <x:v>46203.9218771875</x:v>
      </x:c>
      <x:c r="O1066" s="28" t="n">
        <x:v>46219.812988715275</x:v>
      </x:c>
      <x:c r="P1066" s="23" t="str">
        <x:v>BARUERI</x:v>
      </x:c>
      <x:c r="Q1066" s="30" t="n">
        <x:v>30744</x:v>
      </x:c>
      <x:c r="R1066" s="22" t="str">
        <x:f>"41917174"</x:f>
        <x:v>41917174</x:v>
      </x:c>
      <x:c r="S1066" s="23" t="str">
        <x:v>masculino</x:v>
      </x:c>
      <x:c r="T1066" s="22" t="str"/>
      <x:c r="U1066" s="23" t="str">
        <x:v>EMERSON MACIEL PEGO DOS SANTOS</x:v>
      </x:c>
      <x:c r="V1066" s="22" t="str">
        <x:f>"350.223.428-04"</x:f>
        <x:v>350.223.428-04</x:v>
      </x:c>
      <x:c r="W1066" s="22" t="str">
        <x:f>"35022342804"</x:f>
        <x:v>35022342804</x:v>
      </x:c>
      <x:c r="X1066" s="23" t="str">
        <x:v>emersonmacielpego@gmail.com</x:v>
      </x:c>
      <x:c r="Y1066" s="22" t="str">
        <x:f>"11980516263"</x:f>
        <x:v>11980516263</x:v>
      </x:c>
      <x:c r="Z1066" s="30" t="n">
        <x:v>46309</x:v>
      </x:c>
    </x:row>
    <x:row r="1067" ht="18" customHeight="1">
      <x:c r="A1067" s="22" t="str">
        <x:f>"448fe05b-f49f-454b-9689-b4d9b70055e9"</x:f>
        <x:v>448fe05b-f49f-454b-9689-b4d9b70055e9</x:v>
      </x:c>
      <x:c r="B1067" s="23" t="str">
        <x:v>EMERSON MOURA DA SILVA</x:v>
      </x:c>
      <x:c r="C1067" s="23" t="str">
        <x:v>emerson moura da silva</x:v>
      </x:c>
      <x:c r="D1067" s="22" t="str">
        <x:f>"07.872.418/0001-38"</x:f>
        <x:v>07.872.418/0001-38</x:v>
      </x:c>
      <x:c r="E1067" s="22" t="str">
        <x:f>"07872418000138"</x:f>
        <x:v>07872418000138</x:v>
      </x:c>
      <x:c r="F1067" s="22" t="str">
        <x:f>"012.068.966-98"</x:f>
        <x:v>012.068.966-98</x:v>
      </x:c>
      <x:c r="G1067" s="22" t="str">
        <x:f>"01206896698"</x:f>
        <x:v>01206896698</x:v>
      </x:c>
      <x:c r="H1067" s="23" t="str">
        <x:v>emersonhbl2009@hotmail.com</x:v>
      </x:c>
      <x:c r="I1067" s="22" t="str">
        <x:f>"(35) 99906-8446"</x:f>
        <x:v>(35) 99906-8446</x:v>
      </x:c>
      <x:c r="J1067" s="23" t="str">
        <x:v>SPOT</x:v>
      </x:c>
      <x:c r="K1067" s="23" t="str">
        <x:v>favored_only</x:v>
      </x:c>
      <x:c r="L1067" s="24" t="b">
        <x:v>1</x:v>
      </x:c>
      <x:c r="M1067" s="23" t="n">
        <x:v>1</x:v>
      </x:c>
      <x:c r="N1067" s="28" t="n">
        <x:v>46203.92186888889</x:v>
      </x:c>
      <x:c r="O1067" s="28" t="n">
        <x:v>46219.812988715275</x:v>
      </x:c>
      <x:c r="P1067" s="23" t="str">
        <x:v>POUSO ALEGRE</x:v>
      </x:c>
      <x:c r="Q1067" s="30" t="n">
        <x:v>30014</x:v>
      </x:c>
      <x:c r="R1067" s="22" t="str">
        <x:f>"MG10584611 SSP MG"</x:f>
        <x:v>MG10584611 SSP MG</x:v>
      </x:c>
      <x:c r="S1067" s="23" t="str">
        <x:v>masculino</x:v>
      </x:c>
      <x:c r="T1067" s="22" t="str">
        <x:f>"GUP6J62"</x:f>
        <x:v>GUP6J62</x:v>
      </x:c>
      <x:c r="U1067" s="23" t="str">
        <x:v>EMERSON MOURA DA SILVA</x:v>
      </x:c>
      <x:c r="V1067" s="22" t="str">
        <x:f>"012.068.966-98"</x:f>
        <x:v>012.068.966-98</x:v>
      </x:c>
      <x:c r="W1067" s="22" t="str">
        <x:f>"01206896698"</x:f>
        <x:v>01206896698</x:v>
      </x:c>
      <x:c r="X1067" s="23" t="str">
        <x:v>emersonhbl2009@hotmail.com</x:v>
      </x:c>
      <x:c r="Y1067" s="22" t="str">
        <x:f>"(35) 99906-8446"</x:f>
        <x:v>(35) 99906-8446</x:v>
      </x:c>
      <x:c r="Z1067" s="30" t="n">
        <x:v>46297</x:v>
      </x:c>
    </x:row>
    <x:row r="1068" ht="18" customHeight="1">
      <x:c r="A1068" s="22" t="str">
        <x:f>"b2c83921-2d88-4d4e-b0eb-b0f5fb19cf7e"</x:f>
        <x:v>b2c83921-2d88-4d4e-b0eb-b0f5fb19cf7e</x:v>
      </x:c>
      <x:c r="B1068" s="23" t="str">
        <x:v>EMERSON OLIVEIRA DOS SANTOS</x:v>
      </x:c>
      <x:c r="C1068" s="23" t="str">
        <x:v>emerson oliveira dos santos</x:v>
      </x:c>
      <x:c r="D1068" s="22" t="str">
        <x:f>"37.982.948/0001-08"</x:f>
        <x:v>37.982.948/0001-08</x:v>
      </x:c>
      <x:c r="E1068" s="22" t="str">
        <x:f>"37982948000108"</x:f>
        <x:v>37982948000108</x:v>
      </x:c>
      <x:c r="F1068" s="22" t="str">
        <x:f>"154.250.217-98"</x:f>
        <x:v>154.250.217-98</x:v>
      </x:c>
      <x:c r="G1068" s="22" t="str">
        <x:f>"15425021798"</x:f>
        <x:v>15425021798</x:v>
      </x:c>
      <x:c r="H1068" s="23" t="str">
        <x:v>EMERSONOLIVEIRAOLIVEIRANOPLIZ4@GMAIL.COM</x:v>
      </x:c>
      <x:c r="I1068" s="22" t="str">
        <x:f>"22998578513"</x:f>
        <x:v>22998578513</x:v>
      </x:c>
      <x:c r="J1068" s="23" t="str">
        <x:v>RENTAL</x:v>
      </x:c>
      <x:c r="K1068" s="23" t="str">
        <x:v>rental_company</x:v>
      </x:c>
      <x:c r="L1068" s="24" t="b">
        <x:v>1</x:v>
      </x:c>
      <x:c r="M1068" s="23" t="n">
        <x:v>1</x:v>
      </x:c>
      <x:c r="N1068" s="28" t="n">
        <x:v>46219.812988715275</x:v>
      </x:c>
      <x:c r="O1068" s="28" t="n">
        <x:v>46219.812988715275</x:v>
      </x:c>
      <x:c r="P1068" s="23" t="str">
        <x:v>CAMPOS DOS GOYTACAZES</x:v>
      </x:c>
      <x:c r="Q1068" s="30" t="n">
        <x:v>33969</x:v>
      </x:c>
      <x:c r="R1068" s="22" t="str">
        <x:f>"218421055"</x:f>
        <x:v>218421055</x:v>
      </x:c>
      <x:c r="S1068" s="23" t="str">
        <x:v>masculino</x:v>
      </x:c>
      <x:c r="T1068" s="22" t="str"/>
      <x:c r="U1068" s="23" t="str">
        <x:v>EMERSON OLIVEIRA DOS SANTOS</x:v>
      </x:c>
      <x:c r="V1068" s="22" t="str">
        <x:f>"154.250.217-98"</x:f>
        <x:v>154.250.217-98</x:v>
      </x:c>
      <x:c r="W1068" s="22" t="str">
        <x:f>"15425021798"</x:f>
        <x:v>15425021798</x:v>
      </x:c>
      <x:c r="X1068" s="23" t="str">
        <x:v>EMERSONOLIVEIRAOLIVEIRANOPLIZ4@GMAIL.COM</x:v>
      </x:c>
      <x:c r="Y1068" s="22" t="str">
        <x:f>"22998578513"</x:f>
        <x:v>22998578513</x:v>
      </x:c>
      <x:c r="Z1068" s="30" t="n">
        <x:v>46485</x:v>
      </x:c>
    </x:row>
    <x:row r="1069" ht="18" customHeight="1">
      <x:c r="A1069" s="22" t="str">
        <x:f>"0b1ef983-dcb0-43cd-93e7-746b884b3c76"</x:f>
        <x:v>0b1ef983-dcb0-43cd-93e7-746b884b3c76</x:v>
      </x:c>
      <x:c r="B1069" s="23" t="str">
        <x:v>EMILENE DE AZEVEDO MENEDERO</x:v>
      </x:c>
      <x:c r="C1069" s="23" t="str">
        <x:v>emilene de azevedo menedero</x:v>
      </x:c>
      <x:c r="D1069" s="22" t="str">
        <x:f>"46.809.808/0001-15"</x:f>
        <x:v>46.809.808/0001-15</x:v>
      </x:c>
      <x:c r="E1069" s="22" t="str">
        <x:f>"46809808000115"</x:f>
        <x:v>46809808000115</x:v>
      </x:c>
      <x:c r="F1069" s="22" t="str">
        <x:f>"071.247.097-25"</x:f>
        <x:v>071.247.097-25</x:v>
      </x:c>
      <x:c r="G1069" s="22" t="str">
        <x:f>"07124709725"</x:f>
        <x:v>07124709725</x:v>
      </x:c>
      <x:c r="H1069" s="23" t="str">
        <x:v>emilenedeazevedo@gmail.com</x:v>
      </x:c>
      <x:c r="I1069" s="22" t="str">
        <x:f>"2196786-1815"</x:f>
        <x:v>2196786-1815</x:v>
      </x:c>
      <x:c r="J1069" s="23" t="str">
        <x:v>SPOT</x:v>
      </x:c>
      <x:c r="K1069" s="23" t="str">
        <x:v>favored_only</x:v>
      </x:c>
      <x:c r="L1069" s="24" t="b">
        <x:v>1</x:v>
      </x:c>
      <x:c r="M1069" s="23" t="n">
        <x:v>1</x:v>
      </x:c>
      <x:c r="N1069" s="28" t="n">
        <x:v>46203.921887453704</x:v>
      </x:c>
      <x:c r="O1069" s="28" t="n">
        <x:v>46219.812988715275</x:v>
      </x:c>
      <x:c r="P1069" s="23" t="str">
        <x:v>CAMPO GRANDE</x:v>
      </x:c>
      <x:c r="Q1069" s="30" t="n">
        <x:v>27903</x:v>
      </x:c>
      <x:c r="R1069" s="22" t="str">
        <x:f>"109064790"</x:f>
        <x:v>109064790</x:v>
      </x:c>
      <x:c r="S1069" s="23" t="str">
        <x:v>feminino</x:v>
      </x:c>
      <x:c r="T1069" s="22" t="str">
        <x:f>"OXF3D46"</x:f>
        <x:v>OXF3D46</x:v>
      </x:c>
      <x:c r="U1069" s="23" t="str">
        <x:v>EMILENE DE AZEVEDO MENEDERO</x:v>
      </x:c>
      <x:c r="V1069" s="22" t="str">
        <x:f>"071.247.097-25"</x:f>
        <x:v>071.247.097-25</x:v>
      </x:c>
      <x:c r="W1069" s="22" t="str">
        <x:f>"07124709725"</x:f>
        <x:v>07124709725</x:v>
      </x:c>
      <x:c r="X1069" s="23" t="str">
        <x:v>emilenedeazevedo@gmail.com</x:v>
      </x:c>
      <x:c r="Y1069" s="22" t="str">
        <x:f>"2196786-1815"</x:f>
        <x:v>2196786-1815</x:v>
      </x:c>
      <x:c r="Z1069" s="30" t="n">
        <x:v>46326</x:v>
      </x:c>
    </x:row>
    <x:row r="1070" ht="18" customHeight="1">
      <x:c r="A1070" s="22" t="str">
        <x:f>"60cb9c62-da22-4127-ae1c-059246816938"</x:f>
        <x:v>60cb9c62-da22-4127-ae1c-059246816938</x:v>
      </x:c>
      <x:c r="B1070" s="23" t="str">
        <x:v>EMILIA FERNANDES MIRANDA</x:v>
      </x:c>
      <x:c r="C1070" s="23" t="str">
        <x:v>emilia fernandes miranda</x:v>
      </x:c>
      <x:c r="D1070" s="22" t="str">
        <x:f>"41.442.186/0001-16"</x:f>
        <x:v>41.442.186/0001-16</x:v>
      </x:c>
      <x:c r="E1070" s="22" t="str">
        <x:f>"41442186000116"</x:f>
        <x:v>41442186000116</x:v>
      </x:c>
      <x:c r="F1070" s="22" t="str">
        <x:f>"020.577.056-84"</x:f>
        <x:v>020.577.056-84</x:v>
      </x:c>
      <x:c r="G1070" s="22" t="str">
        <x:f>"02057705684"</x:f>
        <x:v>02057705684</x:v>
      </x:c>
      <x:c r="H1070" s="23" t="str">
        <x:v>eefmiranda07@gmail.com</x:v>
      </x:c>
      <x:c r="I1070" s="22" t="str">
        <x:f>"(35)99264-4526"</x:f>
        <x:v>(35)99264-4526</x:v>
      </x:c>
      <x:c r="J1070" s="23" t="str">
        <x:v>RENTAL</x:v>
      </x:c>
      <x:c r="K1070" s="23" t="str">
        <x:v>rental_company</x:v>
      </x:c>
      <x:c r="L1070" s="24" t="b">
        <x:v>1</x:v>
      </x:c>
      <x:c r="M1070" s="23" t="n">
        <x:v>2</x:v>
      </x:c>
      <x:c r="N1070" s="28" t="n">
        <x:v>46203.921852962965</x:v>
      </x:c>
      <x:c r="O1070" s="28" t="n">
        <x:v>46219.812988715275</x:v>
      </x:c>
      <x:c r="P1070" s="23" t="str">
        <x:v>POUSO ALEGRE</x:v>
      </x:c>
      <x:c r="Q1070" s="30" t="n">
        <x:v>36564</x:v>
      </x:c>
      <x:c r="R1070" s="22" t="str">
        <x:f>"25913740050 MT MG"</x:f>
        <x:v>25913740050 MT MG</x:v>
      </x:c>
      <x:c r="S1070" s="23" t="str">
        <x:v>masculino</x:v>
      </x:c>
      <x:c r="T1070" s="22" t="str"/>
      <x:c r="U1070" s="23" t="str">
        <x:v>EMILIA FERNANDES MIRANDA</x:v>
      </x:c>
      <x:c r="V1070" s="22" t="str">
        <x:f>"020.577.056-84"</x:f>
        <x:v>020.577.056-84</x:v>
      </x:c>
      <x:c r="W1070" s="22" t="str">
        <x:f>"02057705684"</x:f>
        <x:v>02057705684</x:v>
      </x:c>
      <x:c r="X1070" s="23" t="str">
        <x:v>eefmiranda07@gmail.com</x:v>
      </x:c>
      <x:c r="Y1070" s="22" t="str">
        <x:f>"(35)99264-4526"</x:f>
        <x:v>(35)99264-4526</x:v>
      </x:c>
      <x:c r="Z1070" s="30" t="n">
        <x:v>46578</x:v>
      </x:c>
    </x:row>
    <x:row r="1071" ht="18" customHeight="1">
      <x:c r="A1071" s="22" t="str">
        <x:f>"fe26980d-fefe-478d-9226-21fbb6dff673"</x:f>
        <x:v>fe26980d-fefe-478d-9226-21fbb6dff673</x:v>
      </x:c>
      <x:c r="B1071" s="23" t="str">
        <x:v>EMILIANE CONCEICAO DE JESUS PEREIRA</x:v>
      </x:c>
      <x:c r="C1071" s="23" t="str">
        <x:v>emiliane conceicao de jesus pereira</x:v>
      </x:c>
      <x:c r="D1071" s="22" t="str">
        <x:f>"57.337.638/0001-30"</x:f>
        <x:v>57.337.638/0001-30</x:v>
      </x:c>
      <x:c r="E1071" s="22" t="str">
        <x:f>"57337638000130"</x:f>
        <x:v>57337638000130</x:v>
      </x:c>
      <x:c r="F1071" s="22" t="str">
        <x:f>"095.937.877-47"</x:f>
        <x:v>095.937.877-47</x:v>
      </x:c>
      <x:c r="G1071" s="22" t="str">
        <x:f>"09593787747"</x:f>
        <x:v>09593787747</x:v>
      </x:c>
      <x:c r="H1071" s="23" t="str">
        <x:v>emilianepereira17@gmail.com</x:v>
      </x:c>
      <x:c r="I1071" s="22" t="str">
        <x:f>"21970146464"</x:f>
        <x:v>21970146464</x:v>
      </x:c>
      <x:c r="J1071" s="23" t="str">
        <x:v>SPOT</x:v>
      </x:c>
      <x:c r="K1071" s="23" t="str">
        <x:v>favored_only</x:v>
      </x:c>
      <x:c r="L1071" s="24" t="b">
        <x:v>1</x:v>
      </x:c>
      <x:c r="M1071" s="23" t="n">
        <x:v>1</x:v>
      </x:c>
      <x:c r="N1071" s="28" t="n">
        <x:v>46219.812988715275</x:v>
      </x:c>
      <x:c r="O1071" s="28" t="n">
        <x:v>46219.812988715275</x:v>
      </x:c>
      <x:c r="P1071" s="23" t="str">
        <x:v>ITABORAI</x:v>
      </x:c>
      <x:c r="Q1071" s="30" t="n">
        <x:v>30287</x:v>
      </x:c>
      <x:c r="R1071" s="22" t="str">
        <x:f>"200780351"</x:f>
        <x:v>200780351</x:v>
      </x:c>
      <x:c r="S1071" s="23" t="str">
        <x:v>feminino</x:v>
      </x:c>
      <x:c r="T1071" s="22" t="str">
        <x:f>"KQR3H91"</x:f>
        <x:v>KQR3H91</x:v>
      </x:c>
      <x:c r="U1071" s="23" t="str">
        <x:v>EMILIANE CONCEICAO</x:v>
      </x:c>
      <x:c r="V1071" s="22" t="str">
        <x:f>"095.937.877-47"</x:f>
        <x:v>095.937.877-47</x:v>
      </x:c>
      <x:c r="W1071" s="22" t="str">
        <x:f>"09593787747"</x:f>
        <x:v>09593787747</x:v>
      </x:c>
      <x:c r="X1071" s="23" t="str">
        <x:v>emilianepereira17@gmail.com</x:v>
      </x:c>
      <x:c r="Y1071" s="22" t="str">
        <x:f>"21970146464"</x:f>
        <x:v>21970146464</x:v>
      </x:c>
      <x:c r="Z1071" s="30" t="n">
        <x:v>46451</x:v>
      </x:c>
    </x:row>
    <x:row r="1072" ht="18" customHeight="1">
      <x:c r="A1072" s="22" t="str">
        <x:f>"efdfbacd-71aa-4ff5-9141-9cb8fc4702e5"</x:f>
        <x:v>efdfbacd-71aa-4ff5-9141-9cb8fc4702e5</x:v>
      </x:c>
      <x:c r="B1072" s="23" t="str">
        <x:v>EMILIO ANTONIO DE CARVALHO</x:v>
      </x:c>
      <x:c r="C1072" s="23" t="str">
        <x:v>emilio antonio de carvalho</x:v>
      </x:c>
      <x:c r="D1072" s="22" t="str">
        <x:f>"37.624.531/0001-65"</x:f>
        <x:v>37.624.531/0001-65</x:v>
      </x:c>
      <x:c r="E1072" s="22" t="str">
        <x:f>"37624531000165"</x:f>
        <x:v>37624531000165</x:v>
      </x:c>
      <x:c r="F1072" s="22" t="str">
        <x:f>"630.786.191-68"</x:f>
        <x:v>630.786.191-68</x:v>
      </x:c>
      <x:c r="G1072" s="22" t="str">
        <x:f>"63078619168"</x:f>
        <x:v>63078619168</x:v>
      </x:c>
      <x:c r="H1072" s="23" t="str">
        <x:v>emilioshow@hotmail.com</x:v>
      </x:c>
      <x:c r="I1072" s="22" t="str">
        <x:f>"65996347411"</x:f>
        <x:v>65996347411</x:v>
      </x:c>
      <x:c r="J1072" s="23" t="str">
        <x:v>spot</x:v>
      </x:c>
      <x:c r="K1072" s="23" t="str">
        <x:v>favored_only</x:v>
      </x:c>
      <x:c r="L1072" s="24" t="b">
        <x:v>1</x:v>
      </x:c>
      <x:c r="M1072" s="23" t="n">
        <x:v>2</x:v>
      </x:c>
      <x:c r="N1072" s="28" t="n">
        <x:v>46219.812988715275</x:v>
      </x:c>
      <x:c r="O1072" s="28" t="n">
        <x:v>46219.812988715275</x:v>
      </x:c>
      <x:c r="P1072" s="23" t="str">
        <x:v>CÁCERES</x:v>
      </x:c>
      <x:c r="Q1072" s="30" t="n">
        <x:v>27721</x:v>
      </x:c>
      <x:c r="R1072" s="22" t="str">
        <x:f>"10641629"</x:f>
        <x:v>10641629</x:v>
      </x:c>
      <x:c r="S1072" s="23" t="str">
        <x:v>masculino</x:v>
      </x:c>
      <x:c r="T1072" s="22" t="str">
        <x:f>"FRW8A99"</x:f>
        <x:v>FRW8A99</x:v>
      </x:c>
      <x:c r="U1072" s="23" t="str">
        <x:v>OLDAIR JOSE RIBEIRO MATOS</x:v>
      </x:c>
      <x:c r="V1072" s="22" t="str">
        <x:f>"901.012.430-49"</x:f>
        <x:v>901.012.430-49</x:v>
      </x:c>
      <x:c r="W1072" s="22" t="str">
        <x:f>"90101243049"</x:f>
        <x:v>90101243049</x:v>
      </x:c>
      <x:c r="X1072" s="23" t="str">
        <x:v>oldairmatos73@gmail.com</x:v>
      </x:c>
      <x:c r="Y1072" s="22" t="str">
        <x:f>"67996224877"</x:f>
        <x:v>67996224877</x:v>
      </x:c>
      <x:c r="Z1072" s="30" t="n">
        <x:v>46570</x:v>
      </x:c>
    </x:row>
    <x:row r="1073" ht="18" customHeight="1">
      <x:c r="A1073" s="22" t="str">
        <x:f>"51221527-98a7-4537-b8af-653c47793f9e"</x:f>
        <x:v>51221527-98a7-4537-b8af-653c47793f9e</x:v>
      </x:c>
      <x:c r="B1073" s="23" t="str">
        <x:v>ENIO JUNIOR ALMEIDA MARTINS</x:v>
      </x:c>
      <x:c r="C1073" s="23" t="str">
        <x:v>enio junior almeida martins</x:v>
      </x:c>
      <x:c r="D1073" s="22" t="str">
        <x:f>"58.999.518/0001-60"</x:f>
        <x:v>58.999.518/0001-60</x:v>
      </x:c>
      <x:c r="E1073" s="22" t="str">
        <x:f>"58999518000160"</x:f>
        <x:v>58999518000160</x:v>
      </x:c>
      <x:c r="F1073" s="22" t="str">
        <x:f>"700.860.281-20"</x:f>
        <x:v>700.860.281-20</x:v>
      </x:c>
      <x:c r="G1073" s="22" t="str">
        <x:f>"70086028120"</x:f>
        <x:v>70086028120</x:v>
      </x:c>
      <x:c r="H1073" s="23" t="str">
        <x:v>martinsenio437@gmail.com</x:v>
      </x:c>
      <x:c r="I1073" s="22" t="str">
        <x:f>"(65) 9254-7755"</x:f>
        <x:v>(65) 9254-7755</x:v>
      </x:c>
      <x:c r="J1073" s="23" t="str">
        <x:v>SPOT</x:v>
      </x:c>
      <x:c r="K1073" s="23" t="str">
        <x:v>favored_only</x:v>
      </x:c>
      <x:c r="L1073" s="24" t="b">
        <x:v>1</x:v>
      </x:c>
      <x:c r="M1073" s="23" t="n">
        <x:v>1</x:v>
      </x:c>
      <x:c r="N1073" s="28" t="n">
        <x:v>46203.92186888889</x:v>
      </x:c>
      <x:c r="O1073" s="28" t="n">
        <x:v>46219.812988715275</x:v>
      </x:c>
      <x:c r="P1073" s="23" t="str">
        <x:v>CUIABA</x:v>
      </x:c>
      <x:c r="Q1073" s="30" t="n">
        <x:v>29933</x:v>
      </x:c>
      <x:c r="R1073" s="22" t="str">
        <x:f>"13026950"</x:f>
        <x:v>13026950</x:v>
      </x:c>
      <x:c r="S1073" s="23" t="str">
        <x:v>masculino</x:v>
      </x:c>
      <x:c r="T1073" s="22" t="str">
        <x:f>"NJQ4F52"</x:f>
        <x:v>NJQ4F52</x:v>
      </x:c>
      <x:c r="U1073" s="23" t="str">
        <x:v>ENIO JUNIOR ALMEIDA MARTINS</x:v>
      </x:c>
      <x:c r="V1073" s="22" t="str">
        <x:f>"700.860.281-20"</x:f>
        <x:v>700.860.281-20</x:v>
      </x:c>
      <x:c r="W1073" s="22" t="str">
        <x:f>"70086028120"</x:f>
        <x:v>70086028120</x:v>
      </x:c>
      <x:c r="X1073" s="23" t="str">
        <x:v>martinsenio437@gmail.com</x:v>
      </x:c>
      <x:c r="Y1073" s="22" t="str">
        <x:f>"(65) 9254-7755"</x:f>
        <x:v>(65) 9254-7755</x:v>
      </x:c>
      <x:c r="Z1073" s="30" t="n">
        <x:v>46291</x:v>
      </x:c>
    </x:row>
    <x:row r="1074" ht="18" customHeight="1">
      <x:c r="A1074" s="22" t="str">
        <x:f>"811b9b26-a887-40c6-bfd2-03df7bb95d73"</x:f>
        <x:v>811b9b26-a887-40c6-bfd2-03df7bb95d73</x:v>
      </x:c>
      <x:c r="B1074" s="23" t="str">
        <x:v>ENOQUE MORAIS CARDOSO</x:v>
      </x:c>
      <x:c r="C1074" s="23" t="str">
        <x:v>enoque morais cardoso</x:v>
      </x:c>
      <x:c r="D1074" s="22" t="str">
        <x:f>"61.673.271/0001-00"</x:f>
        <x:v>61.673.271/0001-00</x:v>
      </x:c>
      <x:c r="E1074" s="22" t="str">
        <x:f>"61673271000100"</x:f>
        <x:v>61673271000100</x:v>
      </x:c>
      <x:c r="F1074" s="22" t="str">
        <x:f>"240.929.673-49"</x:f>
        <x:v>240.929.673-49</x:v>
      </x:c>
      <x:c r="G1074" s="22" t="str">
        <x:f>"24092967349"</x:f>
        <x:v>24092967349</x:v>
      </x:c>
      <x:c r="H1074" s="23" t="str">
        <x:v>enoquemoraiscardoso@gmail.com</x:v>
      </x:c>
      <x:c r="I1074" s="22" t="str">
        <x:f>"(62) 8184-8138"</x:f>
        <x:v>(62) 8184-8138</x:v>
      </x:c>
      <x:c r="J1074" s="23" t="str">
        <x:v>SPOT</x:v>
      </x:c>
      <x:c r="K1074" s="23" t="str">
        <x:v>favored_only</x:v>
      </x:c>
      <x:c r="L1074" s="24" t="b">
        <x:v>1</x:v>
      </x:c>
      <x:c r="M1074" s="23" t="n">
        <x:v>1</x:v>
      </x:c>
      <x:c r="N1074" s="28" t="n">
        <x:v>46203.921852962965</x:v>
      </x:c>
      <x:c r="O1074" s="28" t="n">
        <x:v>46219.812988715275</x:v>
      </x:c>
      <x:c r="P1074" s="23" t="str">
        <x:v>GOIANIA</x:v>
      </x:c>
      <x:c r="Q1074" s="30" t="n">
        <x:v>24227</x:v>
      </x:c>
      <x:c r="R1074" s="22" t="str">
        <x:f>"10845299"</x:f>
        <x:v>10845299</x:v>
      </x:c>
      <x:c r="S1074" s="23" t="str">
        <x:v>masculino</x:v>
      </x:c>
      <x:c r="T1074" s="22" t="str">
        <x:f>"ONG3H59"</x:f>
        <x:v>ONG3H59</x:v>
      </x:c>
      <x:c r="U1074" s="23" t="str">
        <x:v>ENOQUE MORAIS CARDOSO</x:v>
      </x:c>
      <x:c r="V1074" s="22" t="str">
        <x:f>"240.929.673-49"</x:f>
        <x:v>240.929.673-49</x:v>
      </x:c>
      <x:c r="W1074" s="22" t="str">
        <x:f>"24092967349"</x:f>
        <x:v>24092967349</x:v>
      </x:c>
      <x:c r="X1074" s="23" t="str">
        <x:v>enoquemoraiscardoso@gmail.com</x:v>
      </x:c>
      <x:c r="Y1074" s="22" t="str">
        <x:f>"(62) 8184-8138"</x:f>
        <x:v>(62) 8184-8138</x:v>
      </x:c>
      <x:c r="Z1074" s="30" t="n">
        <x:v>46316</x:v>
      </x:c>
    </x:row>
    <x:row r="1075" ht="18" customHeight="1">
      <x:c r="A1075" s="22" t="str">
        <x:f>"db87de1a-69b7-4bb8-9689-dfc9ec288641"</x:f>
        <x:v>db87de1a-69b7-4bb8-9689-dfc9ec288641</x:v>
      </x:c>
      <x:c r="B1075" s="23" t="str">
        <x:v>ENZO ALVES DE LIMA</x:v>
      </x:c>
      <x:c r="C1075" s="23" t="str">
        <x:v>enzo alves de lima</x:v>
      </x:c>
      <x:c r="D1075" s="22" t="str">
        <x:f>"64.304.559/0001-98"</x:f>
        <x:v>64.304.559/0001-98</x:v>
      </x:c>
      <x:c r="E1075" s="22" t="str">
        <x:f>"64304559000198"</x:f>
        <x:v>64304559000198</x:v>
      </x:c>
      <x:c r="F1075" s="22" t="str">
        <x:f>"708.974.791-30"</x:f>
        <x:v>708.974.791-30</x:v>
      </x:c>
      <x:c r="G1075" s="22" t="str">
        <x:f>"70897479130"</x:f>
        <x:v>70897479130</x:v>
      </x:c>
      <x:c r="H1075" s="23" t="str">
        <x:v>enzoalves0525@gmail.com</x:v>
      </x:c>
      <x:c r="I1075" s="22" t="str">
        <x:f>"62 994001518"</x:f>
        <x:v>62 994001518</x:v>
      </x:c>
      <x:c r="J1075" s="23" t="str">
        <x:v>SPOT</x:v>
      </x:c>
      <x:c r="K1075" s="23" t="str">
        <x:v>favored_only</x:v>
      </x:c>
      <x:c r="L1075" s="24" t="b">
        <x:v>1</x:v>
      </x:c>
      <x:c r="M1075" s="23" t="n">
        <x:v>1</x:v>
      </x:c>
      <x:c r="N1075" s="28" t="n">
        <x:v>46219.812988715275</x:v>
      </x:c>
      <x:c r="O1075" s="28" t="n">
        <x:v>46219.812988715275</x:v>
      </x:c>
      <x:c r="P1075" s="23" t="str">
        <x:v>GOIANIA</x:v>
      </x:c>
      <x:c r="Q1075" s="30" t="n">
        <x:v>37820</x:v>
      </x:c>
      <x:c r="R1075" s="22" t="str">
        <x:f>"7144076"</x:f>
        <x:v>7144076</x:v>
      </x:c>
      <x:c r="S1075" s="23" t="str">
        <x:v>masculino</x:v>
      </x:c>
      <x:c r="T1075" s="22" t="str">
        <x:f>"ONV9D89"</x:f>
        <x:v>ONV9D89</x:v>
      </x:c>
      <x:c r="U1075" s="23" t="str">
        <x:v>ENZO ALVES DE LIMA</x:v>
      </x:c>
      <x:c r="V1075" s="22" t="str">
        <x:f>"708.974.791-30"</x:f>
        <x:v>708.974.791-30</x:v>
      </x:c>
      <x:c r="W1075" s="22" t="str">
        <x:f>"70897479130"</x:f>
        <x:v>70897479130</x:v>
      </x:c>
      <x:c r="X1075" s="23" t="str">
        <x:v>enzoalves0525@gmail.com</x:v>
      </x:c>
      <x:c r="Y1075" s="22" t="str">
        <x:f>"62 994001518"</x:f>
        <x:v>62 994001518</x:v>
      </x:c>
      <x:c r="Z1075" s="30" t="n">
        <x:v>46420</x:v>
      </x:c>
    </x:row>
    <x:row r="1076" ht="18" customHeight="1">
      <x:c r="A1076" s="22" t="str">
        <x:f>"de13b448-a4de-4c1b-a2b1-4e8b92ba46f1"</x:f>
        <x:v>de13b448-a4de-4c1b-a2b1-4e8b92ba46f1</x:v>
      </x:c>
      <x:c r="B1076" s="23" t="str">
        <x:v>ERICA CORREA POZAN</x:v>
      </x:c>
      <x:c r="C1076" s="23" t="str">
        <x:v>erica correa pozan</x:v>
      </x:c>
      <x:c r="D1076" s="22" t="str">
        <x:f>"67.565.777/0001-74"</x:f>
        <x:v>67.565.777/0001-74</x:v>
      </x:c>
      <x:c r="E1076" s="22" t="str">
        <x:f>"67565777000174"</x:f>
        <x:v>67565777000174</x:v>
      </x:c>
      <x:c r="F1076" s="22" t="str">
        <x:f>"290.799.328-33"</x:f>
        <x:v>290.799.328-33</x:v>
      </x:c>
      <x:c r="G1076" s="22" t="str">
        <x:f>"29079932833"</x:f>
        <x:v>29079932833</x:v>
      </x:c>
      <x:c r="H1076" s="23" t="str">
        <x:v>erica.correa.pozan@gmail.com</x:v>
      </x:c>
      <x:c r="I1076" s="22" t="str">
        <x:f>"17 99768-8880"</x:f>
        <x:v>17 99768-8880</x:v>
      </x:c>
      <x:c r="J1076" s="23" t="str">
        <x:v>SPOT</x:v>
      </x:c>
      <x:c r="K1076" s="23" t="str">
        <x:v>favored_only</x:v>
      </x:c>
      <x:c r="L1076" s="24" t="b">
        <x:v>1</x:v>
      </x:c>
      <x:c r="M1076" s="23" t="n">
        <x:v>1</x:v>
      </x:c>
      <x:c r="N1076" s="28" t="n">
        <x:v>46219.812988715275</x:v>
      </x:c>
      <x:c r="O1076" s="28" t="n">
        <x:v>46219.812988715275</x:v>
      </x:c>
      <x:c r="P1076" s="23" t="str">
        <x:v>SÃO JOSE DO RIO PRETO</x:v>
      </x:c>
      <x:c r="Q1076" s="30" t="n">
        <x:v>29896</x:v>
      </x:c>
      <x:c r="R1076" s="22" t="str">
        <x:f>"30783740"</x:f>
        <x:v>30783740</x:v>
      </x:c>
      <x:c r="S1076" s="23" t="str">
        <x:v>feminino</x:v>
      </x:c>
      <x:c r="T1076" s="22" t="str">
        <x:f>"RNW8I31"</x:f>
        <x:v>RNW8I31</x:v>
      </x:c>
      <x:c r="U1076" s="23" t="str">
        <x:v>ERICA CORREA POZAN</x:v>
      </x:c>
      <x:c r="V1076" s="22" t="str">
        <x:f>"290.799.328-33"</x:f>
        <x:v>290.799.328-33</x:v>
      </x:c>
      <x:c r="W1076" s="22" t="str">
        <x:f>"29079932833"</x:f>
        <x:v>29079932833</x:v>
      </x:c>
      <x:c r="X1076" s="23" t="str">
        <x:v>erica.correa.pozan@gmail.com</x:v>
      </x:c>
      <x:c r="Y1076" s="22" t="str">
        <x:f>"17 99768-8880"</x:f>
        <x:v>17 99768-8880</x:v>
      </x:c>
      <x:c r="Z1076" s="30" t="n">
        <x:v>46556</x:v>
      </x:c>
    </x:row>
    <x:row r="1077" ht="18" customHeight="1">
      <x:c r="A1077" s="22" t="str">
        <x:f>"f5d8f3e5-7eb6-4e3e-bba0-431bab1f64a3"</x:f>
        <x:v>f5d8f3e5-7eb6-4e3e-bba0-431bab1f64a3</x:v>
      </x:c>
      <x:c r="B1077" s="23" t="str">
        <x:v>ERICA SILVA DE ARAUJO</x:v>
      </x:c>
      <x:c r="C1077" s="23" t="str">
        <x:v>erica silva de araujo</x:v>
      </x:c>
      <x:c r="D1077" s="22" t="str">
        <x:f>"54.301.071/0001-53"</x:f>
        <x:v>54.301.071/0001-53</x:v>
      </x:c>
      <x:c r="E1077" s="22" t="str">
        <x:f>"54301071000153"</x:f>
        <x:v>54301071000153</x:v>
      </x:c>
      <x:c r="F1077" s="22" t="str">
        <x:f>"057.711.017-96"</x:f>
        <x:v>057.711.017-96</x:v>
      </x:c>
      <x:c r="G1077" s="22" t="str">
        <x:f>"05771101796"</x:f>
        <x:v>05771101796</x:v>
      </x:c>
      <x:c r="H1077" s="23" t="str">
        <x:v>negraquinha@gmail.com</x:v>
      </x:c>
      <x:c r="I1077" s="22" t="str">
        <x:f>"21994336569"</x:f>
        <x:v>21994336569</x:v>
      </x:c>
      <x:c r="J1077" s="23" t="str">
        <x:v>SPOT</x:v>
      </x:c>
      <x:c r="K1077" s="23" t="str">
        <x:v>favored_only</x:v>
      </x:c>
      <x:c r="L1077" s="24" t="b">
        <x:v>1</x:v>
      </x:c>
      <x:c r="M1077" s="23" t="n">
        <x:v>1</x:v>
      </x:c>
      <x:c r="N1077" s="28" t="n">
        <x:v>46219.812988715275</x:v>
      </x:c>
      <x:c r="O1077" s="28" t="n">
        <x:v>46219.812988715275</x:v>
      </x:c>
      <x:c r="P1077" s="23" t="str">
        <x:v>CORDOVIL</x:v>
      </x:c>
      <x:c r="Q1077" s="30" t="n">
        <x:v>30460</x:v>
      </x:c>
      <x:c r="R1077" s="22" t="str">
        <x:f>"202235099"</x:f>
        <x:v>202235099</x:v>
      </x:c>
      <x:c r="S1077" s="23" t="str">
        <x:v>masculino</x:v>
      </x:c>
      <x:c r="T1077" s="22" t="str">
        <x:f>"OPN9C99"</x:f>
        <x:v>OPN9C99</x:v>
      </x:c>
      <x:c r="U1077" s="23" t="str">
        <x:v>ERICA SILVA DE ARAUJO</x:v>
      </x:c>
      <x:c r="V1077" s="22" t="str">
        <x:f>"057.711.017-96"</x:f>
        <x:v>057.711.017-96</x:v>
      </x:c>
      <x:c r="W1077" s="22" t="str">
        <x:f>"05771101796"</x:f>
        <x:v>05771101796</x:v>
      </x:c>
      <x:c r="X1077" s="23" t="str">
        <x:v>negraquinha@gmail.com</x:v>
      </x:c>
      <x:c r="Y1077" s="22" t="str">
        <x:f>"21994336569"</x:f>
        <x:v>21994336569</x:v>
      </x:c>
      <x:c r="Z1077" s="30" t="n">
        <x:v>46490</x:v>
      </x:c>
    </x:row>
    <x:row r="1078" ht="18" customHeight="1">
      <x:c r="A1078" s="22" t="str">
        <x:f>"e198f616-3fb2-46cc-b1de-22ab9493513c"</x:f>
        <x:v>e198f616-3fb2-46cc-b1de-22ab9493513c</x:v>
      </x:c>
      <x:c r="B1078" s="23" t="str">
        <x:v>ERIC DA SILVEIRA GONCALVES</x:v>
      </x:c>
      <x:c r="C1078" s="23" t="str">
        <x:v>eric da silveira goncalves</x:v>
      </x:c>
      <x:c r="D1078" s="22" t="str">
        <x:f>"57.708.389/0001-41"</x:f>
        <x:v>57.708.389/0001-41</x:v>
      </x:c>
      <x:c r="E1078" s="22" t="str">
        <x:f>"57708389000141"</x:f>
        <x:v>57708389000141</x:v>
      </x:c>
      <x:c r="F1078" s="22" t="str">
        <x:f>"023.895.210-02"</x:f>
        <x:v>023.895.210-02</x:v>
      </x:c>
      <x:c r="G1078" s="22" t="str">
        <x:f>"02389521002"</x:f>
        <x:v>02389521002</x:v>
      </x:c>
      <x:c r="H1078" s="23" t="str">
        <x:v>Sgeric66@gmail.com</x:v>
      </x:c>
      <x:c r="I1078" s="22" t="str">
        <x:f>"18997405172"</x:f>
        <x:v>18997405172</x:v>
      </x:c>
      <x:c r="J1078" s="23" t="str">
        <x:v>RENTAL</x:v>
      </x:c>
      <x:c r="K1078" s="23" t="str">
        <x:v>rental_company</x:v>
      </x:c>
      <x:c r="L1078" s="24" t="b">
        <x:v>1</x:v>
      </x:c>
      <x:c r="M1078" s="23" t="n">
        <x:v>1</x:v>
      </x:c>
      <x:c r="N1078" s="28" t="n">
        <x:v>46203.921887453704</x:v>
      </x:c>
      <x:c r="O1078" s="28" t="n">
        <x:v>46219.812988715275</x:v>
      </x:c>
      <x:c r="P1078" s="23" t="str">
        <x:v>PRESIDENTE PRUDENTE</x:v>
      </x:c>
      <x:c r="Q1078" s="30" t="n">
        <x:v>34685</x:v>
      </x:c>
      <x:c r="R1078" s="22" t="str">
        <x:f>"693818244"</x:f>
        <x:v>693818244</x:v>
      </x:c>
      <x:c r="S1078" s="23" t="str">
        <x:v>masculino</x:v>
      </x:c>
      <x:c r="T1078" s="22" t="str"/>
      <x:c r="U1078" s="23" t="str">
        <x:v>ERIC DA SILVEIRA GONCALVES</x:v>
      </x:c>
      <x:c r="V1078" s="22" t="str">
        <x:f>"023.895.210-02"</x:f>
        <x:v>023.895.210-02</x:v>
      </x:c>
      <x:c r="W1078" s="22" t="str">
        <x:f>"02389521002"</x:f>
        <x:v>02389521002</x:v>
      </x:c>
      <x:c r="X1078" s="23" t="str">
        <x:v>Sgeric66@gmail.com</x:v>
      </x:c>
      <x:c r="Y1078" s="22" t="str">
        <x:f>"18997405172"</x:f>
        <x:v>18997405172</x:v>
      </x:c>
      <x:c r="Z1078" s="30" t="n">
        <x:v>46331</x:v>
      </x:c>
    </x:row>
    <x:row r="1079" ht="18" customHeight="1">
      <x:c r="A1079" s="22" t="str">
        <x:f>"61b52874-b167-42f3-a2e3-98ff17631dd4"</x:f>
        <x:v>61b52874-b167-42f3-a2e3-98ff17631dd4</x:v>
      </x:c>
      <x:c r="B1079" s="23" t="str">
        <x:v>ERIC JHONNY DA SILVA TAUGINO</x:v>
      </x:c>
      <x:c r="C1079" s="23" t="str">
        <x:v>eric jhonny da silva taugino</x:v>
      </x:c>
      <x:c r="D1079" s="22" t="str">
        <x:f>"31.095.678/0001-29"</x:f>
        <x:v>31.095.678/0001-29</x:v>
      </x:c>
      <x:c r="E1079" s="22" t="str">
        <x:f>"31095678000129"</x:f>
        <x:v>31095678000129</x:v>
      </x:c>
      <x:c r="F1079" s="22" t="str">
        <x:f>"116.541.316-79"</x:f>
        <x:v>116.541.316-79</x:v>
      </x:c>
      <x:c r="G1079" s="22" t="str">
        <x:f>"11654131679"</x:f>
        <x:v>11654131679</x:v>
      </x:c>
      <x:c r="H1079" s="23" t="str">
        <x:v>jhonnyeric11@gmail.com</x:v>
      </x:c>
      <x:c r="I1079" s="22" t="str">
        <x:f>"34988322408"</x:f>
        <x:v>34988322408</x:v>
      </x:c>
      <x:c r="J1079" s="23" t="str">
        <x:v>SPOT</x:v>
      </x:c>
      <x:c r="K1079" s="23" t="str">
        <x:v>favored_only</x:v>
      </x:c>
      <x:c r="L1079" s="24" t="b">
        <x:v>1</x:v>
      </x:c>
      <x:c r="M1079" s="23" t="n">
        <x:v>1</x:v>
      </x:c>
      <x:c r="N1079" s="28" t="n">
        <x:v>46205.60671701389</x:v>
      </x:c>
      <x:c r="O1079" s="28" t="n">
        <x:v>46219.812988715275</x:v>
      </x:c>
      <x:c r="P1079" s="23" t="str">
        <x:v>ARAXÁ</x:v>
      </x:c>
      <x:c r="Q1079" s="30" t="n">
        <x:v>36310</x:v>
      </x:c>
      <x:c r="R1079" s="22" t="str">
        <x:f>"18126198"</x:f>
        <x:v>18126198</x:v>
      </x:c>
      <x:c r="S1079" s="23" t="str">
        <x:v>masculino</x:v>
      </x:c>
      <x:c r="T1079" s="22" t="str">
        <x:f>"PUN9D76"</x:f>
        <x:v>PUN9D76</x:v>
      </x:c>
      <x:c r="U1079" s="23" t="str">
        <x:v>NATHALIA CAROLINE GOMES DA SILVA</x:v>
      </x:c>
      <x:c r="V1079" s="22" t="str">
        <x:f>"103.851.366-92"</x:f>
        <x:v>103.851.366-92</x:v>
      </x:c>
      <x:c r="W1079" s="22" t="str">
        <x:f>"10385136692"</x:f>
        <x:v>10385136692</x:v>
      </x:c>
      <x:c r="X1079" s="23" t="str">
        <x:v>nathaliasilvaclara13@outlook.com</x:v>
      </x:c>
      <x:c r="Y1079" s="22" t="str">
        <x:f>"34988633933"</x:f>
        <x:v>34988633933</x:v>
      </x:c>
      <x:c r="Z1079" s="30" t="n">
        <x:v>46372</x:v>
      </x:c>
    </x:row>
    <x:row r="1080" ht="18" customHeight="1">
      <x:c r="A1080" s="22" t="str">
        <x:f>"da3a36fa-906b-45a7-9ac8-24a1c455c360"</x:f>
        <x:v>da3a36fa-906b-45a7-9ac8-24a1c455c360</x:v>
      </x:c>
      <x:c r="B1080" s="23" t="str">
        <x:v>ERIC JOHNSSON LIMA DE SOUZA</x:v>
      </x:c>
      <x:c r="C1080" s="23" t="str">
        <x:v>eric johnsson lima de souza</x:v>
      </x:c>
      <x:c r="D1080" s="22" t="str">
        <x:f>"62.541.566/0001-88"</x:f>
        <x:v>62.541.566/0001-88</x:v>
      </x:c>
      <x:c r="E1080" s="22" t="str">
        <x:f>"62541566000188"</x:f>
        <x:v>62541566000188</x:v>
      </x:c>
      <x:c r="F1080" s="22" t="str">
        <x:f>"435.014.388-26"</x:f>
        <x:v>435.014.388-26</x:v>
      </x:c>
      <x:c r="G1080" s="22" t="str">
        <x:f>"43501438826"</x:f>
        <x:v>43501438826</x:v>
      </x:c>
      <x:c r="H1080" s="23" t="str">
        <x:v>ericlima2777@gmail.com</x:v>
      </x:c>
      <x:c r="I1080" s="22" t="str">
        <x:f>"17 99109-2689"</x:f>
        <x:v>17 99109-2689</x:v>
      </x:c>
      <x:c r="J1080" s="23" t="str">
        <x:v>SPOT</x:v>
      </x:c>
      <x:c r="K1080" s="23" t="str">
        <x:v>favored_only</x:v>
      </x:c>
      <x:c r="L1080" s="24" t="b">
        <x:v>1</x:v>
      </x:c>
      <x:c r="M1080" s="23" t="n">
        <x:v>1</x:v>
      </x:c>
      <x:c r="N1080" s="28" t="n">
        <x:v>46203.92186462963</x:v>
      </x:c>
      <x:c r="O1080" s="28" t="n">
        <x:v>46219.812988715275</x:v>
      </x:c>
      <x:c r="P1080" s="23" t="str">
        <x:v>BARRETOS</x:v>
      </x:c>
      <x:c r="Q1080" s="30" t="n">
        <x:v>33898</x:v>
      </x:c>
      <x:c r="R1080" s="22" t="str">
        <x:f>"52141678"</x:f>
        <x:v>52141678</x:v>
      </x:c>
      <x:c r="S1080" s="23" t="str">
        <x:v>masculino</x:v>
      </x:c>
      <x:c r="T1080" s="22" t="str">
        <x:f>"FCF1J49"</x:f>
        <x:v>FCF1J49</x:v>
      </x:c>
      <x:c r="U1080" s="23" t="str">
        <x:v>ERIC JOHNSSON LIMA DE SOUZA</x:v>
      </x:c>
      <x:c r="V1080" s="22" t="str">
        <x:f>"435.014.388-26"</x:f>
        <x:v>435.014.388-26</x:v>
      </x:c>
      <x:c r="W1080" s="22" t="str">
        <x:f>"43501438826"</x:f>
        <x:v>43501438826</x:v>
      </x:c>
      <x:c r="X1080" s="23" t="str">
        <x:v>ericlima2777@gmail.com</x:v>
      </x:c>
      <x:c r="Y1080" s="22" t="str">
        <x:f>"17 99109-2689"</x:f>
        <x:v>17 99109-2689</x:v>
      </x:c>
      <x:c r="Z1080" s="30" t="n">
        <x:v>46287</x:v>
      </x:c>
    </x:row>
    <x:row r="1081" ht="18" customHeight="1">
      <x:c r="A1081" s="22" t="str">
        <x:f>"e1778239-7bd2-493e-9bc4-4c8fb487837c"</x:f>
        <x:v>e1778239-7bd2-493e-9bc4-4c8fb487837c</x:v>
      </x:c>
      <x:c r="B1081" s="23" t="str">
        <x:v>ERICK AUGUSTO DA SILVA</x:v>
      </x:c>
      <x:c r="C1081" s="23" t="str">
        <x:v>erick augusto da silva</x:v>
      </x:c>
      <x:c r="D1081" s="22" t="str">
        <x:f>"67.123.106/0001-53"</x:f>
        <x:v>67.123.106/0001-53</x:v>
      </x:c>
      <x:c r="E1081" s="22" t="str">
        <x:f>"67123106000153"</x:f>
        <x:v>67123106000153</x:v>
      </x:c>
      <x:c r="F1081" s="22" t="str">
        <x:f>"460.654.638-76"</x:f>
        <x:v>460.654.638-76</x:v>
      </x:c>
      <x:c r="G1081" s="22" t="str">
        <x:f>"46065463876"</x:f>
        <x:v>46065463876</x:v>
      </x:c>
      <x:c r="H1081" s="23" t="str">
        <x:v>erickaugusto933@gmail.com</x:v>
      </x:c>
      <x:c r="I1081" s="22" t="str">
        <x:f>"18996780784"</x:f>
        <x:v>18996780784</x:v>
      </x:c>
      <x:c r="J1081" s="23" t="str">
        <x:v>RENTAL</x:v>
      </x:c>
      <x:c r="K1081" s="23" t="str">
        <x:v>rental_company</x:v>
      </x:c>
      <x:c r="L1081" s="24" t="b">
        <x:v>1</x:v>
      </x:c>
      <x:c r="M1081" s="23" t="n">
        <x:v>1</x:v>
      </x:c>
      <x:c r="N1081" s="28" t="n">
        <x:v>46219.812988715275</x:v>
      </x:c>
      <x:c r="O1081" s="28" t="n">
        <x:v>46219.812988715275</x:v>
      </x:c>
      <x:c r="P1081" s="23" t="str">
        <x:v>PRESIDENTE PRUDENTE</x:v>
      </x:c>
      <x:c r="Q1081" s="30" t="n">
        <x:v>36173</x:v>
      </x:c>
      <x:c r="R1081" s="22" t="str">
        <x:f>"546940717"</x:f>
        <x:v>546940717</x:v>
      </x:c>
      <x:c r="S1081" s="23" t="str">
        <x:v>masculino</x:v>
      </x:c>
      <x:c r="T1081" s="22" t="str"/>
      <x:c r="U1081" s="23" t="str">
        <x:v>ERICK AUGUSTO DA SILVA</x:v>
      </x:c>
      <x:c r="V1081" s="22" t="str">
        <x:f>"460.654.638-76"</x:f>
        <x:v>460.654.638-76</x:v>
      </x:c>
      <x:c r="W1081" s="22" t="str">
        <x:f>"46065463876"</x:f>
        <x:v>46065463876</x:v>
      </x:c>
      <x:c r="X1081" s="23" t="str">
        <x:v>erickaugusto933@gmail.com</x:v>
      </x:c>
      <x:c r="Y1081" s="22" t="str">
        <x:f>"18996780784"</x:f>
        <x:v>18996780784</x:v>
      </x:c>
      <x:c r="Z1081" s="30" t="n">
        <x:v>46543</x:v>
      </x:c>
    </x:row>
    <x:row r="1082" ht="18" customHeight="1">
      <x:c r="A1082" s="22" t="str">
        <x:f>"a5563b1e-f096-4b4e-bf1b-c32d9239a8bf"</x:f>
        <x:v>a5563b1e-f096-4b4e-bf1b-c32d9239a8bf</x:v>
      </x:c>
      <x:c r="B1082" s="23" t="str">
        <x:v>ERICK EDUARDO BARBOSA SILVA</x:v>
      </x:c>
      <x:c r="C1082" s="23" t="str">
        <x:v>erick eduardo barbosa silva</x:v>
      </x:c>
      <x:c r="D1082" s="22" t="str">
        <x:f>"55.636.909/0001-22"</x:f>
        <x:v>55.636.909/0001-22</x:v>
      </x:c>
      <x:c r="E1082" s="22" t="str">
        <x:f>"55636909000122"</x:f>
        <x:v>55636909000122</x:v>
      </x:c>
      <x:c r="F1082" s="22" t="str">
        <x:f>"105.651.016-17"</x:f>
        <x:v>105.651.016-17</x:v>
      </x:c>
      <x:c r="G1082" s="22" t="str">
        <x:f>"10565101617"</x:f>
        <x:v>10565101617</x:v>
      </x:c>
      <x:c r="H1082" s="23" t="str">
        <x:v>erickuberx08@gmail.com</x:v>
      </x:c>
      <x:c r="I1082" s="22" t="str">
        <x:f>"32998383314"</x:f>
        <x:v>32998383314</x:v>
      </x:c>
      <x:c r="J1082" s="23" t="str">
        <x:v>SPOT</x:v>
      </x:c>
      <x:c r="K1082" s="23" t="str">
        <x:v>favored_only</x:v>
      </x:c>
      <x:c r="L1082" s="24" t="b">
        <x:v>1</x:v>
      </x:c>
      <x:c r="M1082" s="23" t="n">
        <x:v>1</x:v>
      </x:c>
      <x:c r="N1082" s="28" t="n">
        <x:v>46219.812988715275</x:v>
      </x:c>
      <x:c r="O1082" s="28" t="n">
        <x:v>46219.812988715275</x:v>
      </x:c>
      <x:c r="P1082" s="23" t="str">
        <x:v>IPATINGA</x:v>
      </x:c>
      <x:c r="Q1082" s="30" t="n">
        <x:v>32796</x:v>
      </x:c>
      <x:c r="R1082" s="22" t="str">
        <x:f>"72898MT"</x:f>
        <x:v>72898MT</x:v>
      </x:c>
      <x:c r="S1082" s="23" t="str">
        <x:v>masculino</x:v>
      </x:c>
      <x:c r="T1082" s="22" t="str">
        <x:f>"LLW6D92"</x:f>
        <x:v>LLW6D92</x:v>
      </x:c>
      <x:c r="U1082" s="23" t="str">
        <x:v>ERICK EDUARDO BARBOSA SILVA</x:v>
      </x:c>
      <x:c r="V1082" s="22" t="str">
        <x:f>"105.651.016-17"</x:f>
        <x:v>105.651.016-17</x:v>
      </x:c>
      <x:c r="W1082" s="22" t="str">
        <x:f>"10565101617"</x:f>
        <x:v>10565101617</x:v>
      </x:c>
      <x:c r="X1082" s="23" t="str">
        <x:v>erickuberx08@gmail.com</x:v>
      </x:c>
      <x:c r="Y1082" s="22" t="str">
        <x:f>"32998383314"</x:f>
        <x:v>32998383314</x:v>
      </x:c>
      <x:c r="Z1082" s="30" t="n">
        <x:v>46436</x:v>
      </x:c>
    </x:row>
    <x:row r="1083" ht="18" customHeight="1">
      <x:c r="A1083" s="22" t="str">
        <x:f>"9b486418-22d8-4bf0-a2d6-81fea7f3bc26"</x:f>
        <x:v>9b486418-22d8-4bf0-a2d6-81fea7f3bc26</x:v>
      </x:c>
      <x:c r="B1083" s="23" t="str">
        <x:v>ERICK GABRIEL DOS SANTOS SILVA</x:v>
      </x:c>
      <x:c r="C1083" s="23" t="str">
        <x:v>erick gabriel dos santos silva</x:v>
      </x:c>
      <x:c r="D1083" s="22" t="str">
        <x:f>"61.034.230/0001-66"</x:f>
        <x:v>61.034.230/0001-66</x:v>
      </x:c>
      <x:c r="E1083" s="22" t="str">
        <x:f>"61034230000166"</x:f>
        <x:v>61034230000166</x:v>
      </x:c>
      <x:c r="F1083" s="22" t="str">
        <x:f>"061.936.801-28"</x:f>
        <x:v>061.936.801-28</x:v>
      </x:c>
      <x:c r="G1083" s="22" t="str">
        <x:f>"06193680128"</x:f>
        <x:v>06193680128</x:v>
      </x:c>
      <x:c r="H1083" s="23" t="str">
        <x:v>erickgabriel.cba@gmail.com</x:v>
      </x:c>
      <x:c r="I1083" s="22" t="str">
        <x:f>"65999552259"</x:f>
        <x:v>65999552259</x:v>
      </x:c>
      <x:c r="J1083" s="23" t="str">
        <x:v>SPOT</x:v>
      </x:c>
      <x:c r="K1083" s="23" t="str">
        <x:v>favored_only</x:v>
      </x:c>
      <x:c r="L1083" s="24" t="b">
        <x:v>1</x:v>
      </x:c>
      <x:c r="M1083" s="23" t="n">
        <x:v>1</x:v>
      </x:c>
      <x:c r="N1083" s="28" t="n">
        <x:v>46219.812988715275</x:v>
      </x:c>
      <x:c r="O1083" s="28" t="n">
        <x:v>46219.812988715275</x:v>
      </x:c>
      <x:c r="P1083" s="23" t="str">
        <x:v>CUIABA</x:v>
      </x:c>
      <x:c r="Q1083" s="30" t="n">
        <x:v>38449</x:v>
      </x:c>
      <x:c r="R1083" s="22" t="str">
        <x:f>"30220823"</x:f>
        <x:v>30220823</x:v>
      </x:c>
      <x:c r="S1083" s="23" t="str">
        <x:v>masculino</x:v>
      </x:c>
      <x:c r="T1083" s="22" t="str">
        <x:f>"RRW5A71"</x:f>
        <x:v>RRW5A71</x:v>
      </x:c>
      <x:c r="U1083" s="23" t="str">
        <x:v>WANESSA KAROLYNE SOUZA LINO</x:v>
      </x:c>
      <x:c r="V1083" s="22" t="str">
        <x:f>"061.856.251-64"</x:f>
        <x:v>061.856.251-64</x:v>
      </x:c>
      <x:c r="W1083" s="22" t="str">
        <x:f>"06185625164"</x:f>
        <x:v>06185625164</x:v>
      </x:c>
      <x:c r="X1083" s="23" t="str">
        <x:v>wanessa.karolyne@hotmail.com</x:v>
      </x:c>
      <x:c r="Y1083" s="22" t="str">
        <x:f>"(65)99246-7563"</x:f>
        <x:v>(65)99246-7563</x:v>
      </x:c>
      <x:c r="Z1083" s="30" t="n">
        <x:v>46453</x:v>
      </x:c>
    </x:row>
    <x:row r="1084" ht="18" customHeight="1">
      <x:c r="A1084" s="22" t="str">
        <x:f>"22e392e5-14d4-48f1-a792-7bb99f78c063"</x:f>
        <x:v>22e392e5-14d4-48f1-a792-7bb99f78c063</x:v>
      </x:c>
      <x:c r="B1084" s="23" t="str">
        <x:v>ERICK MATHEUS GONCALVES PEREIRA</x:v>
      </x:c>
      <x:c r="C1084" s="23" t="str">
        <x:v>erick matheus goncalves pereira</x:v>
      </x:c>
      <x:c r="D1084" s="22" t="str">
        <x:f>"52.838.223/0001-26"</x:f>
        <x:v>52.838.223/0001-26</x:v>
      </x:c>
      <x:c r="E1084" s="22" t="str">
        <x:f>"52838223000126"</x:f>
        <x:v>52838223000126</x:v>
      </x:c>
      <x:c r="F1084" s="22" t="str">
        <x:f>"489.741.408-37"</x:f>
        <x:v>489.741.408-37</x:v>
      </x:c>
      <x:c r="G1084" s="22" t="str">
        <x:f>"48974140837"</x:f>
        <x:v>48974140837</x:v>
      </x:c>
      <x:c r="H1084" s="23" t="str">
        <x:v>testeticar@gmail.com</x:v>
      </x:c>
      <x:c r="I1084" s="22" t="str">
        <x:f>"18 99618-7108"</x:f>
        <x:v>18 99618-7108</x:v>
      </x:c>
      <x:c r="J1084" s="23" t="str">
        <x:v>RENTAL</x:v>
      </x:c>
      <x:c r="K1084" s="23" t="str">
        <x:v>rental_company</x:v>
      </x:c>
      <x:c r="L1084" s="24" t="b">
        <x:v>1</x:v>
      </x:c>
      <x:c r="M1084" s="23" t="n">
        <x:v>1</x:v>
      </x:c>
      <x:c r="N1084" s="28" t="n">
        <x:v>46219.812988715275</x:v>
      </x:c>
      <x:c r="O1084" s="28" t="n">
        <x:v>46219.812988715275</x:v>
      </x:c>
      <x:c r="P1084" s="23" t="str">
        <x:v>ARAÇATUBA</x:v>
      </x:c>
      <x:c r="Q1084" s="30" t="n">
        <x:v>37882</x:v>
      </x:c>
      <x:c r="R1084" s="22" t="str">
        <x:f>"591799583"</x:f>
        <x:v>591799583</x:v>
      </x:c>
      <x:c r="S1084" s="23" t="str">
        <x:v>masculino</x:v>
      </x:c>
      <x:c r="T1084" s="22" t="str"/>
      <x:c r="U1084" s="23" t="str">
        <x:v>ERICK MATHEUS GONCALVES PEREIRA</x:v>
      </x:c>
      <x:c r="V1084" s="22" t="str">
        <x:f>"489.741.408-37"</x:f>
        <x:v>489.741.408-37</x:v>
      </x:c>
      <x:c r="W1084" s="22" t="str">
        <x:f>"48974140837"</x:f>
        <x:v>48974140837</x:v>
      </x:c>
      <x:c r="X1084" s="23" t="str">
        <x:v>testeticar@gmail.com</x:v>
      </x:c>
      <x:c r="Y1084" s="22" t="str">
        <x:f>"18 99618-7108"</x:f>
        <x:v>18 99618-7108</x:v>
      </x:c>
      <x:c r="Z1084" s="30" t="n">
        <x:v>46465</x:v>
      </x:c>
    </x:row>
    <x:row r="1085" ht="18" customHeight="1">
      <x:c r="A1085" s="22" t="str">
        <x:f>"af59e416-75af-4e71-bef3-62ffcfbb3499"</x:f>
        <x:v>af59e416-75af-4e71-bef3-62ffcfbb3499</x:v>
      </x:c>
      <x:c r="B1085" s="23" t="str">
        <x:v>ERICK SIQUEIRA BARBOSA</x:v>
      </x:c>
      <x:c r="C1085" s="23" t="str">
        <x:v>erick siqueira barbosa</x:v>
      </x:c>
      <x:c r="D1085" s="22" t="str">
        <x:f>"54.588.446/0001-08"</x:f>
        <x:v>54.588.446/0001-08</x:v>
      </x:c>
      <x:c r="E1085" s="22" t="str">
        <x:f>"54588446000108"</x:f>
        <x:v>54588446000108</x:v>
      </x:c>
      <x:c r="F1085" s="22" t="str">
        <x:f>"434.250.778-13"</x:f>
        <x:v>434.250.778-13</x:v>
      </x:c>
      <x:c r="G1085" s="22" t="str">
        <x:f>"43425077813"</x:f>
        <x:v>43425077813</x:v>
      </x:c>
      <x:c r="H1085" s="23" t="str">
        <x:v>siqueirashopeeml@gmail.com</x:v>
      </x:c>
      <x:c r="I1085" s="22" t="str">
        <x:f>"18997705320"</x:f>
        <x:v>18997705320</x:v>
      </x:c>
      <x:c r="J1085" s="23" t="str">
        <x:v>SPOT</x:v>
      </x:c>
      <x:c r="K1085" s="23" t="str">
        <x:v>favored_only</x:v>
      </x:c>
      <x:c r="L1085" s="24" t="b">
        <x:v>1</x:v>
      </x:c>
      <x:c r="M1085" s="23" t="n">
        <x:v>1</x:v>
      </x:c>
      <x:c r="N1085" s="28" t="n">
        <x:v>46203.9219084375</x:v>
      </x:c>
      <x:c r="O1085" s="28" t="n">
        <x:v>46203.9219084375</x:v>
      </x:c>
      <x:c r="P1085" s="23" t="str"/>
      <x:c r="Q1085" s="30" t="str"/>
      <x:c r="R1085" s="22" t="str"/>
      <x:c r="S1085" s="23" t="str"/>
      <x:c r="T1085" s="22" t="str"/>
      <x:c r="U1085" s="23" t="str">
        <x:v>ERICK SIQUEIRA BARBOSA</x:v>
      </x:c>
      <x:c r="V1085" s="22" t="str">
        <x:f>"434.250.778-13"</x:f>
        <x:v>434.250.778-13</x:v>
      </x:c>
      <x:c r="W1085" s="22" t="str">
        <x:f>"43425077813"</x:f>
        <x:v>43425077813</x:v>
      </x:c>
      <x:c r="X1085" s="23" t="str">
        <x:v>siqueirashopeeml@gmail.com</x:v>
      </x:c>
      <x:c r="Y1085" s="22" t="str">
        <x:f>"18997705320"</x:f>
        <x:v>18997705320</x:v>
      </x:c>
      <x:c r="Z1085" s="30" t="str"/>
    </x:row>
    <x:row r="1086" ht="18" customHeight="1">
      <x:c r="A1086" s="22" t="str">
        <x:f>"f5126062-ebcc-48b0-9781-14ceb85221de"</x:f>
        <x:v>f5126062-ebcc-48b0-9781-14ceb85221de</x:v>
      </x:c>
      <x:c r="B1086" s="23" t="str">
        <x:v>ERICKSON SANTOS SANTANA</x:v>
      </x:c>
      <x:c r="C1086" s="23" t="str">
        <x:v>erickson santos santana</x:v>
      </x:c>
      <x:c r="D1086" s="22" t="str">
        <x:f>"45.391.413/0001-82"</x:f>
        <x:v>45.391.413/0001-82</x:v>
      </x:c>
      <x:c r="E1086" s="22" t="str">
        <x:f>"45391413000182"</x:f>
        <x:v>45391413000182</x:v>
      </x:c>
      <x:c r="F1086" s="22" t="str">
        <x:f>"063.717.596-47"</x:f>
        <x:v>063.717.596-47</x:v>
      </x:c>
      <x:c r="G1086" s="22" t="str">
        <x:f>"06371759647"</x:f>
        <x:v>06371759647</x:v>
      </x:c>
      <x:c r="H1086" s="23" t="str">
        <x:v>Ericksonpaulathor@gmail.com</x:v>
      </x:c>
      <x:c r="I1086" s="22" t="str">
        <x:f>"3197339-3233"</x:f>
        <x:v>3197339-3233</x:v>
      </x:c>
      <x:c r="J1086" s="23" t="str">
        <x:v>RENTAL</x:v>
      </x:c>
      <x:c r="K1086" s="23" t="str">
        <x:v>rental_company</x:v>
      </x:c>
      <x:c r="L1086" s="24" t="b">
        <x:v>1</x:v>
      </x:c>
      <x:c r="M1086" s="23" t="n">
        <x:v>1</x:v>
      </x:c>
      <x:c r="N1086" s="28" t="n">
        <x:v>46219.812988715275</x:v>
      </x:c>
      <x:c r="O1086" s="28" t="n">
        <x:v>46219.812988715275</x:v>
      </x:c>
      <x:c r="P1086" s="23" t="str">
        <x:v>IPATINGA</x:v>
      </x:c>
      <x:c r="Q1086" s="30" t="n">
        <x:v>30521</x:v>
      </x:c>
      <x:c r="R1086" s="22" t="str">
        <x:f>"MG10457336"</x:f>
        <x:v>MG10457336</x:v>
      </x:c>
      <x:c r="S1086" s="23" t="str">
        <x:v>masculino</x:v>
      </x:c>
      <x:c r="T1086" s="22" t="str"/>
      <x:c r="U1086" s="23" t="str">
        <x:v>ERICKSON SANTOS SANTANA</x:v>
      </x:c>
      <x:c r="V1086" s="22" t="str">
        <x:f>"063.717.596-47"</x:f>
        <x:v>063.717.596-47</x:v>
      </x:c>
      <x:c r="W1086" s="22" t="str">
        <x:f>"06371759647"</x:f>
        <x:v>06371759647</x:v>
      </x:c>
      <x:c r="X1086" s="23" t="str">
        <x:v>Ericksonpaulathor@gmail.com</x:v>
      </x:c>
      <x:c r="Y1086" s="22" t="str">
        <x:f>"3197339-3233"</x:f>
        <x:v>3197339-3233</x:v>
      </x:c>
      <x:c r="Z1086" s="30" t="n">
        <x:v>46460</x:v>
      </x:c>
    </x:row>
    <x:row r="1087" ht="18" customHeight="1">
      <x:c r="A1087" s="22" t="str">
        <x:f>"cfe30dad-f7e0-4a91-99d0-f9c9178c119e"</x:f>
        <x:v>cfe30dad-f7e0-4a91-99d0-f9c9178c119e</x:v>
      </x:c>
      <x:c r="B1087" s="23" t="str">
        <x:v>ERICLES JUNIO RODRIGUES DO CARMO</x:v>
      </x:c>
      <x:c r="C1087" s="23" t="str">
        <x:v>ericles junio rodrigues do carmo</x:v>
      </x:c>
      <x:c r="D1087" s="22" t="str">
        <x:f>"51.436.234/0001-17"</x:f>
        <x:v>51.436.234/0001-17</x:v>
      </x:c>
      <x:c r="E1087" s="22" t="str">
        <x:f>"51436234000117"</x:f>
        <x:v>51436234000117</x:v>
      </x:c>
      <x:c r="F1087" s="22" t="str">
        <x:f>"703.108.466-09"</x:f>
        <x:v>703.108.466-09</x:v>
      </x:c>
      <x:c r="G1087" s="22" t="str">
        <x:f>"70310846609"</x:f>
        <x:v>70310846609</x:v>
      </x:c>
      <x:c r="H1087" s="23" t="str">
        <x:v>trrodrigues449@gmail.com</x:v>
      </x:c>
      <x:c r="I1087" s="22" t="str">
        <x:f>"+55 31 8609-5867"</x:f>
        <x:v>+55 31 8609-5867</x:v>
      </x:c>
      <x:c r="J1087" s="23" t="str">
        <x:v>RENTAL</x:v>
      </x:c>
      <x:c r="K1087" s="23" t="str">
        <x:v>rental_company</x:v>
      </x:c>
      <x:c r="L1087" s="24" t="b">
        <x:v>1</x:v>
      </x:c>
      <x:c r="M1087" s="23" t="n">
        <x:v>1</x:v>
      </x:c>
      <x:c r="N1087" s="28" t="n">
        <x:v>46219.812988715275</x:v>
      </x:c>
      <x:c r="O1087" s="28" t="n">
        <x:v>46219.812988715275</x:v>
      </x:c>
      <x:c r="P1087" s="23" t="str">
        <x:v>GUANHAES</x:v>
      </x:c>
      <x:c r="Q1087" s="30" t="n">
        <x:v>38285</x:v>
      </x:c>
      <x:c r="R1087" s="22" t="str">
        <x:f>"MG22042600 PC MG"</x:f>
        <x:v>MG22042600 PC MG</x:v>
      </x:c>
      <x:c r="S1087" s="23" t="str">
        <x:v>masculino</x:v>
      </x:c>
      <x:c r="T1087" s="22" t="str"/>
      <x:c r="U1087" s="23" t="str">
        <x:v>ERICLES JUNIO RODRIGUES DO CARMO</x:v>
      </x:c>
      <x:c r="V1087" s="22" t="str">
        <x:f>"703.118.466-09"</x:f>
        <x:v>703.118.466-09</x:v>
      </x:c>
      <x:c r="W1087" s="22" t="str">
        <x:f>"70311846609"</x:f>
        <x:v>70311846609</x:v>
      </x:c>
      <x:c r="X1087" s="23" t="str">
        <x:v>trrodrigues449@gmail.com</x:v>
      </x:c>
      <x:c r="Y1087" s="22" t="str">
        <x:f>"+55 31 8609-5867"</x:f>
        <x:v>+55 31 8609-5867</x:v>
      </x:c>
      <x:c r="Z1087" s="30" t="n">
        <x:v>46583</x:v>
      </x:c>
    </x:row>
    <x:row r="1088" ht="18" customHeight="1">
      <x:c r="A1088" s="22" t="str">
        <x:f>"c60e8a8b-7d0d-4c5f-bacb-d7659eafac5e"</x:f>
        <x:v>c60e8a8b-7d0d-4c5f-bacb-d7659eafac5e</x:v>
      </x:c>
      <x:c r="B1088" s="23" t="str">
        <x:v>ERICLES LOPES</x:v>
      </x:c>
      <x:c r="C1088" s="23" t="str">
        <x:v>ericles lopes</x:v>
      </x:c>
      <x:c r="D1088" s="22" t="str">
        <x:f>"45.976.837/0001-09"</x:f>
        <x:v>45.976.837/0001-09</x:v>
      </x:c>
      <x:c r="E1088" s="22" t="str">
        <x:f>"45976837000109"</x:f>
        <x:v>45976837000109</x:v>
      </x:c>
      <x:c r="F1088" s="22" t="str">
        <x:f>"458.435.828-17"</x:f>
        <x:v>458.435.828-17</x:v>
      </x:c>
      <x:c r="G1088" s="22" t="str">
        <x:f>"45843582817"</x:f>
        <x:v>45843582817</x:v>
      </x:c>
      <x:c r="H1088" s="23" t="str">
        <x:v>tchulatrader007@gmail.com</x:v>
      </x:c>
      <x:c r="I1088" s="22" t="str">
        <x:f>"16992782112"</x:f>
        <x:v>16992782112</x:v>
      </x:c>
      <x:c r="J1088" s="23" t="str">
        <x:v>SPOT</x:v>
      </x:c>
      <x:c r="K1088" s="23" t="str">
        <x:v>favored_only</x:v>
      </x:c>
      <x:c r="L1088" s="24" t="b">
        <x:v>1</x:v>
      </x:c>
      <x:c r="M1088" s="23" t="n">
        <x:v>1</x:v>
      </x:c>
      <x:c r="N1088" s="28" t="n">
        <x:v>46219.812988715275</x:v>
      </x:c>
      <x:c r="O1088" s="28" t="n">
        <x:v>46219.812988715275</x:v>
      </x:c>
      <x:c r="P1088" s="23" t="str">
        <x:v>RIBEIRAO PRETO</x:v>
      </x:c>
      <x:c r="Q1088" s="30" t="n">
        <x:v>35013</x:v>
      </x:c>
      <x:c r="R1088" s="22" t="str">
        <x:f>"41107775-2"</x:f>
        <x:v>41107775-2</x:v>
      </x:c>
      <x:c r="S1088" s="23" t="str">
        <x:v>masculino</x:v>
      </x:c>
      <x:c r="T1088" s="22" t="str">
        <x:f>"EJW6I85"</x:f>
        <x:v>EJW6I85</x:v>
      </x:c>
      <x:c r="U1088" s="23" t="str">
        <x:v>ERICLES LOPES</x:v>
      </x:c>
      <x:c r="V1088" s="22" t="str">
        <x:f>"458.435.828-17"</x:f>
        <x:v>458.435.828-17</x:v>
      </x:c>
      <x:c r="W1088" s="22" t="str">
        <x:f>"45843582817"</x:f>
        <x:v>45843582817</x:v>
      </x:c>
      <x:c r="X1088" s="23" t="str">
        <x:v>tchulatrader007@gmail.com</x:v>
      </x:c>
      <x:c r="Y1088" s="22" t="str">
        <x:f>"16992782112"</x:f>
        <x:v>16992782112</x:v>
      </x:c>
      <x:c r="Z1088" s="30" t="n">
        <x:v>46449</x:v>
      </x:c>
    </x:row>
    <x:row r="1089" ht="18" customHeight="1">
      <x:c r="A1089" s="22" t="str">
        <x:f>"94a0ee3e-4593-4ab0-b2c8-8134dcd5e8ec"</x:f>
        <x:v>94a0ee3e-4593-4ab0-b2c8-8134dcd5e8ec</x:v>
      </x:c>
      <x:c r="B1089" s="23" t="str">
        <x:v>ERIC RYAN FERREIRA</x:v>
      </x:c>
      <x:c r="C1089" s="23" t="str">
        <x:v>eric ryan ferreira</x:v>
      </x:c>
      <x:c r="D1089" s="22" t="str">
        <x:f>"45.967.665/0001-07"</x:f>
        <x:v>45.967.665/0001-07</x:v>
      </x:c>
      <x:c r="E1089" s="22" t="str">
        <x:f>"45967665000107"</x:f>
        <x:v>45967665000107</x:v>
      </x:c>
      <x:c r="F1089" s="22" t="str">
        <x:f>"437.278.438-45"</x:f>
        <x:v>437.278.438-45</x:v>
      </x:c>
      <x:c r="G1089" s="22" t="str">
        <x:f>"43727843845"</x:f>
        <x:v>43727843845</x:v>
      </x:c>
      <x:c r="H1089" s="23" t="str">
        <x:v>rwbeat99@gmail.com</x:v>
      </x:c>
      <x:c r="I1089" s="22" t="str">
        <x:f>"17996173864"</x:f>
        <x:v>17996173864</x:v>
      </x:c>
      <x:c r="J1089" s="23" t="str">
        <x:v>SPOT</x:v>
      </x:c>
      <x:c r="K1089" s="23" t="str">
        <x:v>favored_only</x:v>
      </x:c>
      <x:c r="L1089" s="24" t="b">
        <x:v>1</x:v>
      </x:c>
      <x:c r="M1089" s="23" t="n">
        <x:v>1</x:v>
      </x:c>
      <x:c r="N1089" s="28" t="n">
        <x:v>46205.60723787037</x:v>
      </x:c>
      <x:c r="O1089" s="28" t="n">
        <x:v>46219.812988715275</x:v>
      </x:c>
      <x:c r="P1089" s="23" t="str">
        <x:v>SÃO JOSE DO RIO PRETO</x:v>
      </x:c>
      <x:c r="Q1089" s="30" t="n">
        <x:v>37731</x:v>
      </x:c>
      <x:c r="R1089" s="22" t="str">
        <x:f>"543773541"</x:f>
        <x:v>543773541</x:v>
      </x:c>
      <x:c r="S1089" s="23" t="str">
        <x:v>masculino</x:v>
      </x:c>
      <x:c r="T1089" s="22" t="str">
        <x:f>"FOY7G18"</x:f>
        <x:v>FOY7G18</x:v>
      </x:c>
      <x:c r="U1089" s="23" t="str">
        <x:v>LUCAS EDUARDO FELIX DIAS</x:v>
      </x:c>
      <x:c r="V1089" s="22" t="str">
        <x:f>"502.568.608-31"</x:f>
        <x:v>502.568.608-31</x:v>
      </x:c>
      <x:c r="W1089" s="22" t="str">
        <x:f>"50256860831"</x:f>
        <x:v>50256860831</x:v>
      </x:c>
      <x:c r="X1089" s="23" t="str">
        <x:v>lucasdiasfelix14@gmail.com</x:v>
      </x:c>
      <x:c r="Y1089" s="22" t="str">
        <x:f>"17981502761"</x:f>
        <x:v>17981502761</x:v>
      </x:c>
      <x:c r="Z1089" s="30" t="n">
        <x:v>46584</x:v>
      </x:c>
    </x:row>
    <x:row r="1090" ht="18" customHeight="1">
      <x:c r="A1090" s="22" t="str">
        <x:f>"afd720a7-f7d4-4792-bafe-c48fb7fd6b13"</x:f>
        <x:v>afd720a7-f7d4-4792-bafe-c48fb7fd6b13</x:v>
      </x:c>
      <x:c r="B1090" s="23" t="str">
        <x:v>ERIKA CASSIANA FERREIRA SILVA E SOUZA</x:v>
      </x:c>
      <x:c r="C1090" s="23" t="str">
        <x:v>erika cassiana ferreira silva e souza</x:v>
      </x:c>
      <x:c r="D1090" s="22" t="str">
        <x:f>"57.338.797/0001-59"</x:f>
        <x:v>57.338.797/0001-59</x:v>
      </x:c>
      <x:c r="E1090" s="22" t="str">
        <x:f>"57338797000159"</x:f>
        <x:v>57338797000159</x:v>
      </x:c>
      <x:c r="F1090" s="22" t="str">
        <x:f>"050.585.476-78"</x:f>
        <x:v>050.585.476-78</x:v>
      </x:c>
      <x:c r="G1090" s="22" t="str">
        <x:f>"05058547678"</x:f>
        <x:v>05058547678</x:v>
      </x:c>
      <x:c r="H1090" s="23" t="str">
        <x:v>erikacassianasouza@gmail.com</x:v>
      </x:c>
      <x:c r="I1090" s="22" t="str">
        <x:f>"(34) 9 8839 9929"</x:f>
        <x:v>(34) 9 8839 9929</x:v>
      </x:c>
      <x:c r="J1090" s="23" t="str">
        <x:v>SPOT</x:v>
      </x:c>
      <x:c r="K1090" s="23" t="str">
        <x:v>favored_only</x:v>
      </x:c>
      <x:c r="L1090" s="24" t="b">
        <x:v>1</x:v>
      </x:c>
      <x:c r="M1090" s="23" t="n">
        <x:v>1</x:v>
      </x:c>
      <x:c r="N1090" s="28" t="n">
        <x:v>46219.812988715275</x:v>
      </x:c>
      <x:c r="O1090" s="28" t="n">
        <x:v>46219.812988715275</x:v>
      </x:c>
      <x:c r="P1090" s="23" t="str">
        <x:v>UBERABA</x:v>
      </x:c>
      <x:c r="Q1090" s="30" t="n">
        <x:v>29483</x:v>
      </x:c>
      <x:c r="R1090" s="22" t="str">
        <x:f>"11944518"</x:f>
        <x:v>11944518</x:v>
      </x:c>
      <x:c r="S1090" s="23" t="str">
        <x:v>feminino</x:v>
      </x:c>
      <x:c r="T1090" s="22" t="str">
        <x:f>"AXJ1G31"</x:f>
        <x:v>AXJ1G31</x:v>
      </x:c>
      <x:c r="U1090" s="23" t="str">
        <x:v>ERIKA CASSIANA FERREIRA SILVA E SOUZA</x:v>
      </x:c>
      <x:c r="V1090" s="22" t="str">
        <x:f>"050.585.476-78"</x:f>
        <x:v>050.585.476-78</x:v>
      </x:c>
      <x:c r="W1090" s="22" t="str">
        <x:f>"05058547678"</x:f>
        <x:v>05058547678</x:v>
      </x:c>
      <x:c r="X1090" s="23" t="str">
        <x:v>erikacassianasouza@gmail.com</x:v>
      </x:c>
      <x:c r="Y1090" s="22" t="str">
        <x:f>"(34) 9 8839 9929"</x:f>
        <x:v>(34) 9 8839 9929</x:v>
      </x:c>
      <x:c r="Z1090" s="30" t="n">
        <x:v>46334</x:v>
      </x:c>
    </x:row>
    <x:row r="1091" ht="18" customHeight="1">
      <x:c r="A1091" s="22" t="str">
        <x:f>"0aa05568-0123-43a8-9802-f5f86f8e5729"</x:f>
        <x:v>0aa05568-0123-43a8-9802-f5f86f8e5729</x:v>
      </x:c>
      <x:c r="B1091" s="23" t="str">
        <x:v>ERIKA CORREA POZAN</x:v>
      </x:c>
      <x:c r="C1091" s="23" t="str">
        <x:v>erika correa pozan</x:v>
      </x:c>
      <x:c r="D1091" s="22" t="str">
        <x:f>"63.215.414/0001-58"</x:f>
        <x:v>63.215.414/0001-58</x:v>
      </x:c>
      <x:c r="E1091" s="22" t="str">
        <x:f>"63215414000158"</x:f>
        <x:v>63215414000158</x:v>
      </x:c>
      <x:c r="F1091" s="22" t="str">
        <x:f>"290.799.328-33"</x:f>
        <x:v>290.799.328-33</x:v>
      </x:c>
      <x:c r="G1091" s="22" t="str">
        <x:f>"29079932833"</x:f>
        <x:v>29079932833</x:v>
      </x:c>
      <x:c r="H1091" s="23" t="str">
        <x:v>erica.correa.pozan@gmail.com</x:v>
      </x:c>
      <x:c r="I1091" s="22" t="str">
        <x:f>"17997688880"</x:f>
        <x:v>17997688880</x:v>
      </x:c>
      <x:c r="J1091" s="23" t="str">
        <x:v>SPOT</x:v>
      </x:c>
      <x:c r="K1091" s="23" t="str">
        <x:v>favored_only</x:v>
      </x:c>
      <x:c r="L1091" s="24" t="b">
        <x:v>1</x:v>
      </x:c>
      <x:c r="M1091" s="23" t="n">
        <x:v>1</x:v>
      </x:c>
      <x:c r="N1091" s="28" t="n">
        <x:v>46219.812988715275</x:v>
      </x:c>
      <x:c r="O1091" s="28" t="n">
        <x:v>46219.812988715275</x:v>
      </x:c>
      <x:c r="P1091" s="23" t="str">
        <x:v>SÃO JOSE DO RIO PRETO</x:v>
      </x:c>
      <x:c r="Q1091" s="30" t="n">
        <x:v>29896</x:v>
      </x:c>
      <x:c r="R1091" s="22" t="str">
        <x:f>"30783740"</x:f>
        <x:v>30783740</x:v>
      </x:c>
      <x:c r="S1091" s="23" t="str">
        <x:v>feminino</x:v>
      </x:c>
      <x:c r="T1091" s="22" t="str">
        <x:f>"RNW8I31"</x:f>
        <x:v>RNW8I31</x:v>
      </x:c>
      <x:c r="U1091" s="23" t="str">
        <x:v>GUSTAVO CORREA GASPAR</x:v>
      </x:c>
      <x:c r="V1091" s="22" t="str">
        <x:f>"481.790.208-60"</x:f>
        <x:v>481.790.208-60</x:v>
      </x:c>
      <x:c r="W1091" s="22" t="str">
        <x:f>"48179020860"</x:f>
        <x:v>48179020860</x:v>
      </x:c>
      <x:c r="X1091" s="23" t="str">
        <x:v>erica.correa.pozan@gmail.com</x:v>
      </x:c>
      <x:c r="Y1091" s="22" t="str">
        <x:f>"17997688880"</x:f>
        <x:v>17997688880</x:v>
      </x:c>
      <x:c r="Z1091" s="30" t="n">
        <x:v>46522</x:v>
      </x:c>
    </x:row>
    <x:row r="1092" ht="18" customHeight="1">
      <x:c r="A1092" s="22" t="str">
        <x:f>"99144aae-2d4f-49aa-b1f2-eacb8e37cf03"</x:f>
        <x:v>99144aae-2d4f-49aa-b1f2-eacb8e37cf03</x:v>
      </x:c>
      <x:c r="B1092" s="23" t="str">
        <x:v>ERIKA DE SOUZA LIMA</x:v>
      </x:c>
      <x:c r="C1092" s="23" t="str">
        <x:v>erika de souza lima</x:v>
      </x:c>
      <x:c r="D1092" s="22" t="str">
        <x:f>"45.065.974/0001-91"</x:f>
        <x:v>45.065.974/0001-91</x:v>
      </x:c>
      <x:c r="E1092" s="22" t="str">
        <x:f>"45065974000191"</x:f>
        <x:v>45065974000191</x:v>
      </x:c>
      <x:c r="F1092" s="22" t="str">
        <x:f>"039.225.366-62"</x:f>
        <x:v>039.225.366-62</x:v>
      </x:c>
      <x:c r="G1092" s="22" t="str">
        <x:f>"03922536662"</x:f>
        <x:v>03922536662</x:v>
      </x:c>
      <x:c r="H1092" s="23" t="str">
        <x:v>erikalima1306@gmail.com</x:v>
      </x:c>
      <x:c r="I1092" s="22" t="str">
        <x:f>"31 98488-6180"</x:f>
        <x:v>31 98488-6180</x:v>
      </x:c>
      <x:c r="J1092" s="23" t="str">
        <x:v>spot</x:v>
      </x:c>
      <x:c r="K1092" s="23" t="str">
        <x:v>favored_only</x:v>
      </x:c>
      <x:c r="L1092" s="24" t="b">
        <x:v>1</x:v>
      </x:c>
      <x:c r="M1092" s="23" t="n">
        <x:v>1</x:v>
      </x:c>
      <x:c r="N1092" s="28" t="n">
        <x:v>46203.92191240741</x:v>
      </x:c>
      <x:c r="O1092" s="28" t="n">
        <x:v>46219.812988715275</x:v>
      </x:c>
      <x:c r="P1092" s="23" t="str">
        <x:v>VESPASIANO</x:v>
      </x:c>
      <x:c r="Q1092" s="30" t="n">
        <x:v>28654</x:v>
      </x:c>
      <x:c r="R1092" s="22" t="str">
        <x:f>"MG9084017"</x:f>
        <x:v>MG9084017</x:v>
      </x:c>
      <x:c r="S1092" s="23" t="str">
        <x:v>feminino</x:v>
      </x:c>
      <x:c r="T1092" s="22" t="str">
        <x:f>"RNT9H37"</x:f>
        <x:v>RNT9H37</x:v>
      </x:c>
      <x:c r="U1092" s="23" t="str">
        <x:v>ERIKA DE SOUZA LIMA</x:v>
      </x:c>
      <x:c r="V1092" s="22" t="str">
        <x:f>"039.225.366-62"</x:f>
        <x:v>039.225.366-62</x:v>
      </x:c>
      <x:c r="W1092" s="22" t="str">
        <x:f>"03922536662"</x:f>
        <x:v>03922536662</x:v>
      </x:c>
      <x:c r="X1092" s="23" t="str">
        <x:v>erikalima1306@gmail.com</x:v>
      </x:c>
      <x:c r="Y1092" s="22" t="str">
        <x:f>"31 98488-6180"</x:f>
        <x:v>31 98488-6180</x:v>
      </x:c>
      <x:c r="Z1092" s="30" t="n">
        <x:v>46570</x:v>
      </x:c>
    </x:row>
    <x:row r="1093" ht="18" customHeight="1">
      <x:c r="A1093" s="22" t="str">
        <x:f>"a2a985c0-9192-434c-b570-80c649259767"</x:f>
        <x:v>a2a985c0-9192-434c-b570-80c649259767</x:v>
      </x:c>
      <x:c r="B1093" s="23" t="str">
        <x:v>ERIKA MARIA DOS SANTOS</x:v>
      </x:c>
      <x:c r="C1093" s="23" t="str">
        <x:v>erika maria dos santos</x:v>
      </x:c>
      <x:c r="D1093" s="22" t="str">
        <x:f>"52.664.355/0001-89"</x:f>
        <x:v>52.664.355/0001-89</x:v>
      </x:c>
      <x:c r="E1093" s="22" t="str">
        <x:f>"52664355000189"</x:f>
        <x:v>52664355000189</x:v>
      </x:c>
      <x:c r="F1093" s="22" t="str">
        <x:f>"081.648.446-59"</x:f>
        <x:v>081.648.446-59</x:v>
      </x:c>
      <x:c r="G1093" s="22" t="str">
        <x:f>"08164844659"</x:f>
        <x:v>08164844659</x:v>
      </x:c>
      <x:c r="H1093" s="23" t="str">
        <x:v>erikasantos90@yahoo.com</x:v>
      </x:c>
      <x:c r="I1093" s="22" t="str">
        <x:f>"34991625429"</x:f>
        <x:v>34991625429</x:v>
      </x:c>
      <x:c r="J1093" s="23" t="str">
        <x:v>SPOT</x:v>
      </x:c>
      <x:c r="K1093" s="23" t="str">
        <x:v>favored_only</x:v>
      </x:c>
      <x:c r="L1093" s="24" t="b">
        <x:v>1</x:v>
      </x:c>
      <x:c r="M1093" s="23" t="n">
        <x:v>1</x:v>
      </x:c>
      <x:c r="N1093" s="28" t="n">
        <x:v>46205.60671472222</x:v>
      </x:c>
      <x:c r="O1093" s="28" t="n">
        <x:v>46219.812988715275</x:v>
      </x:c>
      <x:c r="P1093" s="23" t="str">
        <x:v>ARAXÁ</x:v>
      </x:c>
      <x:c r="Q1093" s="30" t="n">
        <x:v>32071</x:v>
      </x:c>
      <x:c r="R1093" s="22" t="str">
        <x:f>"7426755"</x:f>
        <x:v>7426755</x:v>
      </x:c>
      <x:c r="S1093" s="23" t="str">
        <x:v>feminino</x:v>
      </x:c>
      <x:c r="T1093" s="22" t="str">
        <x:f>"RMR1E90"</x:f>
        <x:v>RMR1E90</x:v>
      </x:c>
      <x:c r="U1093" s="23" t="str">
        <x:v>GIVAGO AUGUSTO REZENDE SILVA</x:v>
      </x:c>
      <x:c r="V1093" s="22" t="str">
        <x:f>"101.346.146-07"</x:f>
        <x:v>101.346.146-07</x:v>
      </x:c>
      <x:c r="W1093" s="22" t="str">
        <x:f>"10134614607"</x:f>
        <x:v>10134614607</x:v>
      </x:c>
      <x:c r="X1093" s="23" t="str">
        <x:v>givagoaugusto28@hotmail.com</x:v>
      </x:c>
      <x:c r="Y1093" s="22" t="str">
        <x:f>"34992472640"</x:f>
        <x:v>34992472640</x:v>
      </x:c>
      <x:c r="Z1093" s="30" t="n">
        <x:v>46372</x:v>
      </x:c>
    </x:row>
    <x:row r="1094" ht="18" customHeight="1">
      <x:c r="A1094" s="22" t="str">
        <x:f>"20f77c03-0953-4a59-a0e3-96ec9d28bf58"</x:f>
        <x:v>20f77c03-0953-4a59-a0e3-96ec9d28bf58</x:v>
      </x:c>
      <x:c r="B1094" s="23" t="str">
        <x:v>ERIK FAUSTINO CRUZ</x:v>
      </x:c>
      <x:c r="C1094" s="23" t="str">
        <x:v>erik faustino cruz</x:v>
      </x:c>
      <x:c r="D1094" s="22" t="str">
        <x:f>"62.528.406/0001-07"</x:f>
        <x:v>62.528.406/0001-07</x:v>
      </x:c>
      <x:c r="E1094" s="22" t="str">
        <x:f>"62528406000107"</x:f>
        <x:v>62528406000107</x:v>
      </x:c>
      <x:c r="F1094" s="22" t="str">
        <x:f>"033.908.751-07"</x:f>
        <x:v>033.908.751-07</x:v>
      </x:c>
      <x:c r="G1094" s="22" t="str">
        <x:f>"03390875107"</x:f>
        <x:v>03390875107</x:v>
      </x:c>
      <x:c r="H1094" s="23" t="str">
        <x:v>erikolegario@hotmail.com</x:v>
      </x:c>
      <x:c r="I1094" s="22" t="str">
        <x:f>"6599806-1270"</x:f>
        <x:v>6599806-1270</x:v>
      </x:c>
      <x:c r="J1094" s="23" t="str">
        <x:v>SPOT</x:v>
      </x:c>
      <x:c r="K1094" s="23" t="str">
        <x:v>favored_only</x:v>
      </x:c>
      <x:c r="L1094" s="24" t="b">
        <x:v>1</x:v>
      </x:c>
      <x:c r="M1094" s="23" t="n">
        <x:v>1</x:v>
      </x:c>
      <x:c r="N1094" s="28" t="n">
        <x:v>46203.9218771875</x:v>
      </x:c>
      <x:c r="O1094" s="28" t="n">
        <x:v>46219.812988715275</x:v>
      </x:c>
      <x:c r="P1094" s="23" t="str">
        <x:v>CUIABA</x:v>
      </x:c>
      <x:c r="Q1094" s="30" t="n">
        <x:v>33305</x:v>
      </x:c>
      <x:c r="R1094" s="22" t="str">
        <x:f>"21377766"</x:f>
        <x:v>21377766</x:v>
      </x:c>
      <x:c r="S1094" s="23" t="str">
        <x:v>masculino</x:v>
      </x:c>
      <x:c r="T1094" s="22" t="str">
        <x:f>"NPE9B23"</x:f>
        <x:v>NPE9B23</x:v>
      </x:c>
      <x:c r="U1094" s="23" t="str">
        <x:v>ERIK FAUSTINO CRUZ</x:v>
      </x:c>
      <x:c r="V1094" s="22" t="str">
        <x:f>"033.908.751-07"</x:f>
        <x:v>033.908.751-07</x:v>
      </x:c>
      <x:c r="W1094" s="22" t="str">
        <x:f>"03390875107"</x:f>
        <x:v>03390875107</x:v>
      </x:c>
      <x:c r="X1094" s="23" t="str">
        <x:v>erikolegario@hotmail.com</x:v>
      </x:c>
      <x:c r="Y1094" s="22" t="str">
        <x:f>"6599806-1270"</x:f>
        <x:v>6599806-1270</x:v>
      </x:c>
      <x:c r="Z1094" s="30" t="n">
        <x:v>46309</x:v>
      </x:c>
    </x:row>
    <x:row r="1095" ht="18" customHeight="1">
      <x:c r="A1095" s="22" t="str">
        <x:f>"a4f6f7bd-57be-4c16-8663-c4f0e6f2d3c2"</x:f>
        <x:v>a4f6f7bd-57be-4c16-8663-c4f0e6f2d3c2</x:v>
      </x:c>
      <x:c r="B1095" s="23" t="str">
        <x:v>ERIKSON CELIO FELIX SILVA</x:v>
      </x:c>
      <x:c r="C1095" s="23" t="str">
        <x:v>erikson celio felix silva</x:v>
      </x:c>
      <x:c r="D1095" s="22" t="str">
        <x:f>"66.180.843/0001-25"</x:f>
        <x:v>66.180.843/0001-25</x:v>
      </x:c>
      <x:c r="E1095" s="22" t="str">
        <x:f>"66180843000125"</x:f>
        <x:v>66180843000125</x:v>
      </x:c>
      <x:c r="F1095" s="22" t="str">
        <x:f>"127.706.936-03"</x:f>
        <x:v>127.706.936-03</x:v>
      </x:c>
      <x:c r="G1095" s="22" t="str">
        <x:f>"12770693603"</x:f>
        <x:v>12770693603</x:v>
      </x:c>
      <x:c r="H1095" s="23" t="str">
        <x:v>eriksoncelio0@gmail.com</x:v>
      </x:c>
      <x:c r="I1095" s="22" t="str">
        <x:f>"35992038266"</x:f>
        <x:v>35992038266</x:v>
      </x:c>
      <x:c r="J1095" s="23" t="str">
        <x:v>RENTAL</x:v>
      </x:c>
      <x:c r="K1095" s="23" t="str">
        <x:v>rental_company</x:v>
      </x:c>
      <x:c r="L1095" s="24" t="b">
        <x:v>1</x:v>
      </x:c>
      <x:c r="M1095" s="23" t="n">
        <x:v>1</x:v>
      </x:c>
      <x:c r="N1095" s="28" t="n">
        <x:v>46219.812988715275</x:v>
      </x:c>
      <x:c r="O1095" s="28" t="n">
        <x:v>46219.812988715275</x:v>
      </x:c>
      <x:c r="P1095" s="23" t="str">
        <x:v>POUSO ALEGRE</x:v>
      </x:c>
      <x:c r="Q1095" s="30" t="n">
        <x:v>35523</x:v>
      </x:c>
      <x:c r="R1095" s="22" t="str">
        <x:f>"19602849"</x:f>
        <x:v>19602849</x:v>
      </x:c>
      <x:c r="S1095" s="23" t="str">
        <x:v>feminino</x:v>
      </x:c>
      <x:c r="T1095" s="22" t="str"/>
      <x:c r="U1095" s="23" t="str">
        <x:v>ERIKSON CELIO FELIX SILVA</x:v>
      </x:c>
      <x:c r="V1095" s="22" t="str">
        <x:f>"127.706.936-03"</x:f>
        <x:v>127.706.936-03</x:v>
      </x:c>
      <x:c r="W1095" s="22" t="str">
        <x:f>"12770693603"</x:f>
        <x:v>12770693603</x:v>
      </x:c>
      <x:c r="X1095" s="23" t="str">
        <x:v>eriksoncelio0@gmail.com</x:v>
      </x:c>
      <x:c r="Y1095" s="22" t="str">
        <x:f>"35992038266"</x:f>
        <x:v>35992038266</x:v>
      </x:c>
      <x:c r="Z1095" s="30" t="n">
        <x:v>46513</x:v>
      </x:c>
    </x:row>
    <x:row r="1096" ht="18" customHeight="1">
      <x:c r="A1096" s="22" t="str">
        <x:f>"a3295556-a489-4072-8b54-bde50ba6e46f"</x:f>
        <x:v>a3295556-a489-4072-8b54-bde50ba6e46f</x:v>
      </x:c>
      <x:c r="B1096" s="23" t="str">
        <x:v>ERIKY SOUSA DE ALCANTARA</x:v>
      </x:c>
      <x:c r="C1096" s="23" t="str">
        <x:v>eriky sousa de alcantara</x:v>
      </x:c>
      <x:c r="D1096" s="22" t="str">
        <x:f>"37.823.997/0001-90"</x:f>
        <x:v>37.823.997/0001-90</x:v>
      </x:c>
      <x:c r="E1096" s="22" t="str">
        <x:f>"37823997000190"</x:f>
        <x:v>37823997000190</x:v>
      </x:c>
      <x:c r="F1096" s="22" t="str">
        <x:f>"079.888.161-52"</x:f>
        <x:v>079.888.161-52</x:v>
      </x:c>
      <x:c r="G1096" s="22" t="str">
        <x:f>"07988816152"</x:f>
        <x:v>07988816152</x:v>
      </x:c>
      <x:c r="H1096" s="23" t="str">
        <x:v>erikysousa74@gmail.com</x:v>
      </x:c>
      <x:c r="I1096" s="22" t="str">
        <x:f>"62 99564-3070"</x:f>
        <x:v>62 99564-3070</x:v>
      </x:c>
      <x:c r="J1096" s="23" t="str">
        <x:v>SPOT</x:v>
      </x:c>
      <x:c r="K1096" s="23" t="str">
        <x:v>favored_only</x:v>
      </x:c>
      <x:c r="L1096" s="24" t="b">
        <x:v>1</x:v>
      </x:c>
      <x:c r="M1096" s="23" t="n">
        <x:v>1</x:v>
      </x:c>
      <x:c r="N1096" s="28" t="n">
        <x:v>46205.604940289355</x:v>
      </x:c>
      <x:c r="O1096" s="28" t="n">
        <x:v>46219.812988715275</x:v>
      </x:c>
      <x:c r="P1096" s="23" t="str">
        <x:v>GOIANIA</x:v>
      </x:c>
      <x:c r="Q1096" s="30" t="n">
        <x:v>38841</x:v>
      </x:c>
      <x:c r="R1096" s="22" t="str">
        <x:f>"8099617"</x:f>
        <x:v>8099617</x:v>
      </x:c>
      <x:c r="S1096" s="23" t="str">
        <x:v>masculino</x:v>
      </x:c>
      <x:c r="T1096" s="22" t="str">
        <x:f>"NWN9i29"</x:f>
        <x:v>NWN9i29</x:v>
      </x:c>
      <x:c r="U1096" s="23" t="str">
        <x:v>DANILLO BACCIEL ALMEIDA</x:v>
      </x:c>
      <x:c r="V1096" s="22" t="str">
        <x:f>"019.928.911-50"</x:f>
        <x:v>019.928.911-50</x:v>
      </x:c>
      <x:c r="W1096" s="22" t="str">
        <x:f>"01992891150"</x:f>
        <x:v>01992891150</x:v>
      </x:c>
      <x:c r="X1096" s="23" t="str">
        <x:v>rtp.cargas@gmail.com</x:v>
      </x:c>
      <x:c r="Y1096" s="22" t="str">
        <x:f>"62 9661-0607"</x:f>
        <x:v>62 9661-0607</x:v>
      </x:c>
      <x:c r="Z1096" s="30" t="n">
        <x:v>46304</x:v>
      </x:c>
    </x:row>
    <x:row r="1097" ht="18" customHeight="1">
      <x:c r="A1097" s="22" t="str">
        <x:f>"01b97649-6895-4bb9-af45-4567018ef8eb"</x:f>
        <x:v>01b97649-6895-4bb9-af45-4567018ef8eb</x:v>
      </x:c>
      <x:c r="B1097" s="23" t="str">
        <x:v>ERINALDO DE ABREU SILVA</x:v>
      </x:c>
      <x:c r="C1097" s="23" t="str">
        <x:v>erinaldo de abreu silva</x:v>
      </x:c>
      <x:c r="D1097" s="22" t="str">
        <x:f>"62.958.895/0001-29"</x:f>
        <x:v>62.958.895/0001-29</x:v>
      </x:c>
      <x:c r="E1097" s="22" t="str">
        <x:f>"62958895000129"</x:f>
        <x:v>62958895000129</x:v>
      </x:c>
      <x:c r="F1097" s="22" t="str">
        <x:f>"057.878.697-45"</x:f>
        <x:v>057.878.697-45</x:v>
      </x:c>
      <x:c r="G1097" s="22" t="str">
        <x:f>"05787869745"</x:f>
        <x:v>05787869745</x:v>
      </x:c>
      <x:c r="H1097" s="23" t="str">
        <x:v>erinaldo228@gmail.com</x:v>
      </x:c>
      <x:c r="I1097" s="22" t="str">
        <x:f>"21 96463-4498"</x:f>
        <x:v>21 96463-4498</x:v>
      </x:c>
      <x:c r="J1097" s="23" t="str">
        <x:v>SPOT</x:v>
      </x:c>
      <x:c r="K1097" s="23" t="str">
        <x:v>favored_only</x:v>
      </x:c>
      <x:c r="L1097" s="24" t="b">
        <x:v>1</x:v>
      </x:c>
      <x:c r="M1097" s="23" t="n">
        <x:v>1</x:v>
      </x:c>
      <x:c r="N1097" s="28" t="n">
        <x:v>46219.812988715275</x:v>
      </x:c>
      <x:c r="O1097" s="28" t="n">
        <x:v>46219.812988715275</x:v>
      </x:c>
      <x:c r="P1097" s="23" t="str">
        <x:v>QUEIMADOS</x:v>
      </x:c>
      <x:c r="Q1097" s="30" t="n">
        <x:v>32456</x:v>
      </x:c>
      <x:c r="R1097" s="22" t="str">
        <x:f>"208561894"</x:f>
        <x:v>208561894</x:v>
      </x:c>
      <x:c r="S1097" s="23" t="str">
        <x:v>masculino</x:v>
      </x:c>
      <x:c r="T1097" s="22" t="str">
        <x:f>"QPI0D06"</x:f>
        <x:v>QPI0D06</x:v>
      </x:c>
      <x:c r="U1097" s="23" t="str">
        <x:v>ERINALDO DE ABREU SILVA</x:v>
      </x:c>
      <x:c r="V1097" s="22" t="str">
        <x:f>"057.878.697-45"</x:f>
        <x:v>057.878.697-45</x:v>
      </x:c>
      <x:c r="W1097" s="22" t="str">
        <x:f>"05787869745"</x:f>
        <x:v>05787869745</x:v>
      </x:c>
      <x:c r="X1097" s="23" t="str">
        <x:v>erinaldo228@gmail.com</x:v>
      </x:c>
      <x:c r="Y1097" s="22" t="str">
        <x:f>"21 96463-4498"</x:f>
        <x:v>21 96463-4498</x:v>
      </x:c>
      <x:c r="Z1097" s="30" t="n">
        <x:v>46472</x:v>
      </x:c>
    </x:row>
    <x:row r="1098" ht="18" customHeight="1">
      <x:c r="A1098" s="22" t="str">
        <x:f>"51adf3ef-28d8-4713-95fa-85f6f4de2456"</x:f>
        <x:v>51adf3ef-28d8-4713-95fa-85f6f4de2456</x:v>
      </x:c>
      <x:c r="B1098" s="23" t="str">
        <x:v>ERINEU FELIPE MOREIRA DA SILVA</x:v>
      </x:c>
      <x:c r="C1098" s="23" t="str">
        <x:v>erineu felipe moreira da silva</x:v>
      </x:c>
      <x:c r="D1098" s="22" t="str">
        <x:f>"49.925.681/0001-98"</x:f>
        <x:v>49.925.681/0001-98</x:v>
      </x:c>
      <x:c r="E1098" s="22" t="str">
        <x:f>"49925681000198"</x:f>
        <x:v>49925681000198</x:v>
      </x:c>
      <x:c r="F1098" s="22" t="str">
        <x:f>"015.985.236-60"</x:f>
        <x:v>015.985.236-60</x:v>
      </x:c>
      <x:c r="G1098" s="22" t="str">
        <x:f>"01598523660"</x:f>
        <x:v>01598523660</x:v>
      </x:c>
      <x:c r="H1098" s="23" t="str">
        <x:v>felipeerineu987@gmail.com</x:v>
      </x:c>
      <x:c r="I1098" s="22" t="str">
        <x:f>"31 991593782"</x:f>
        <x:v>31 991593782</x:v>
      </x:c>
      <x:c r="J1098" s="23" t="str">
        <x:v>RENTAL</x:v>
      </x:c>
      <x:c r="K1098" s="23" t="str">
        <x:v>rental_company</x:v>
      </x:c>
      <x:c r="L1098" s="24" t="b">
        <x:v>1</x:v>
      </x:c>
      <x:c r="M1098" s="23" t="n">
        <x:v>1</x:v>
      </x:c>
      <x:c r="N1098" s="28" t="n">
        <x:v>46203.92183332176</x:v>
      </x:c>
      <x:c r="O1098" s="28" t="n">
        <x:v>46219.812988715275</x:v>
      </x:c>
      <x:c r="P1098" s="23" t="str">
        <x:v>CONTAGEM</x:v>
      </x:c>
      <x:c r="Q1098" s="30" t="n">
        <x:v>33214</x:v>
      </x:c>
      <x:c r="R1098" s="22" t="str">
        <x:f>"11920817"</x:f>
        <x:v>11920817</x:v>
      </x:c>
      <x:c r="S1098" s="23" t="str">
        <x:v>masculino</x:v>
      </x:c>
      <x:c r="T1098" s="22" t="str"/>
      <x:c r="U1098" s="23" t="str">
        <x:v>ERINEU FELIPE MOREIRA DA SILVA</x:v>
      </x:c>
      <x:c r="V1098" s="22" t="str">
        <x:f>"015.985.236-60"</x:f>
        <x:v>015.985.236-60</x:v>
      </x:c>
      <x:c r="W1098" s="22" t="str">
        <x:f>"01598523660"</x:f>
        <x:v>01598523660</x:v>
      </x:c>
      <x:c r="X1098" s="23" t="str">
        <x:v>felipeerineu987@gmail.com</x:v>
      </x:c>
      <x:c r="Y1098" s="22" t="str">
        <x:f>"31 991593782"</x:f>
        <x:v>31 991593782</x:v>
      </x:c>
      <x:c r="Z1098" s="30" t="n">
        <x:v>46375</x:v>
      </x:c>
    </x:row>
    <x:row r="1099" ht="18" customHeight="1">
      <x:c r="A1099" s="22" t="str">
        <x:f>"fdde565f-1664-44c8-a9df-c4caa035a5ea"</x:f>
        <x:v>fdde565f-1664-44c8-a9df-c4caa035a5ea</x:v>
      </x:c>
      <x:c r="B1099" s="23" t="str">
        <x:v>ERISLAN DA SILVA LOURENCO</x:v>
      </x:c>
      <x:c r="C1099" s="23" t="str">
        <x:v>erislan da silva lourenco</x:v>
      </x:c>
      <x:c r="D1099" s="22" t="str">
        <x:f>"62.672.816/0001-19"</x:f>
        <x:v>62.672.816/0001-19</x:v>
      </x:c>
      <x:c r="E1099" s="22" t="str">
        <x:f>"62672816000119"</x:f>
        <x:v>62672816000119</x:v>
      </x:c>
      <x:c r="F1099" s="22" t="str">
        <x:f>"542.911.058-27"</x:f>
        <x:v>542.911.058-27</x:v>
      </x:c>
      <x:c r="G1099" s="22" t="str">
        <x:f>"54291105827"</x:f>
        <x:v>54291105827</x:v>
      </x:c>
      <x:c r="H1099" s="23" t="str">
        <x:v>Erislandasilvalourenco@gmail.com</x:v>
      </x:c>
      <x:c r="I1099" s="22" t="str">
        <x:f>"11 965890234"</x:f>
        <x:v>11 965890234</x:v>
      </x:c>
      <x:c r="J1099" s="23" t="str">
        <x:v>RENTAL</x:v>
      </x:c>
      <x:c r="K1099" s="23" t="str">
        <x:v>rental_company</x:v>
      </x:c>
      <x:c r="L1099" s="24" t="b">
        <x:v>1</x:v>
      </x:c>
      <x:c r="M1099" s="23" t="n">
        <x:v>1</x:v>
      </x:c>
      <x:c r="N1099" s="28" t="n">
        <x:v>46203.92186462963</x:v>
      </x:c>
      <x:c r="O1099" s="28" t="n">
        <x:v>46219.812988715275</x:v>
      </x:c>
      <x:c r="P1099" s="23" t="str">
        <x:v>MADEIRA MADEIRA</x:v>
      </x:c>
      <x:c r="Q1099" s="30" t="n">
        <x:v>37972</x:v>
      </x:c>
      <x:c r="R1099" s="22" t="str">
        <x:f>"570510338"</x:f>
        <x:v>570510338</x:v>
      </x:c>
      <x:c r="S1099" s="23" t="str">
        <x:v>masculino</x:v>
      </x:c>
      <x:c r="T1099" s="22" t="str"/>
      <x:c r="U1099" s="23" t="str">
        <x:v>ERISLAN DA SILVA LOURENCO</x:v>
      </x:c>
      <x:c r="V1099" s="22" t="str">
        <x:f>"542.911.058-27"</x:f>
        <x:v>542.911.058-27</x:v>
      </x:c>
      <x:c r="W1099" s="22" t="str">
        <x:f>"54291105827"</x:f>
        <x:v>54291105827</x:v>
      </x:c>
      <x:c r="X1099" s="23" t="str">
        <x:v>Erislandasilvalourenco@gmail.com</x:v>
      </x:c>
      <x:c r="Y1099" s="22" t="str">
        <x:f>"11 965890234"</x:f>
        <x:v>11 965890234</x:v>
      </x:c>
      <x:c r="Z1099" s="30" t="n">
        <x:v>46280</x:v>
      </x:c>
    </x:row>
    <x:row r="1100" ht="18" customHeight="1">
      <x:c r="A1100" s="22" t="str">
        <x:f>"fdcec9f0-0136-4fc5-9930-78919ad0a06c"</x:f>
        <x:v>fdcec9f0-0136-4fc5-9930-78919ad0a06c</x:v>
      </x:c>
      <x:c r="B1100" s="23" t="str">
        <x:v>ERISLENE MOREIRA FERREIRA SILVA</x:v>
      </x:c>
      <x:c r="C1100" s="23" t="str">
        <x:v>erislene moreira ferreira silva</x:v>
      </x:c>
      <x:c r="D1100" s="22" t="str">
        <x:f>"57.332.152/0001-09"</x:f>
        <x:v>57.332.152/0001-09</x:v>
      </x:c>
      <x:c r="E1100" s="22" t="str">
        <x:f>"57332152000109"</x:f>
        <x:v>57332152000109</x:v>
      </x:c>
      <x:c r="F1100" s="22" t="str">
        <x:f>"046.207.696-22"</x:f>
        <x:v>046.207.696-22</x:v>
      </x:c>
      <x:c r="G1100" s="22" t="str">
        <x:f>"04620769622"</x:f>
        <x:v>04620769622</x:v>
      </x:c>
      <x:c r="H1100" s="23" t="str">
        <x:v>emoreiraferreirasilva@gmail.com</x:v>
      </x:c>
      <x:c r="I1100" s="22" t="str">
        <x:f>"31988123285"</x:f>
        <x:v>31988123285</x:v>
      </x:c>
      <x:c r="J1100" s="23" t="str">
        <x:v>RENTALS</x:v>
      </x:c>
      <x:c r="K1100" s="23" t="str">
        <x:v>rental_company</x:v>
      </x:c>
      <x:c r="L1100" s="24" t="b">
        <x:v>1</x:v>
      </x:c>
      <x:c r="M1100" s="23" t="n">
        <x:v>1</x:v>
      </x:c>
      <x:c r="N1100" s="28" t="n">
        <x:v>46219.812988715275</x:v>
      </x:c>
      <x:c r="O1100" s="28" t="n">
        <x:v>46219.812988715275</x:v>
      </x:c>
      <x:c r="P1100" s="23" t="str">
        <x:v>IPATINGA</x:v>
      </x:c>
      <x:c r="Q1100" s="30" t="n">
        <x:v>29921</x:v>
      </x:c>
      <x:c r="R1100" s="22" t="str">
        <x:f>"MG 11803535 SSP"</x:f>
        <x:v>MG 11803535 SSP</x:v>
      </x:c>
      <x:c r="S1100" s="23" t="str">
        <x:v>feminino</x:v>
      </x:c>
      <x:c r="T1100" s="22" t="str"/>
      <x:c r="U1100" s="23" t="str">
        <x:v>ERISLENE MOREIRA FERREIRA SILVA</x:v>
      </x:c>
      <x:c r="V1100" s="22" t="str">
        <x:f>"046.207.696-22"</x:f>
        <x:v>046.207.696-22</x:v>
      </x:c>
      <x:c r="W1100" s="22" t="str">
        <x:f>"04620769622"</x:f>
        <x:v>04620769622</x:v>
      </x:c>
      <x:c r="X1100" s="23" t="str">
        <x:v>emoreiraferreirasilva@gmail.com</x:v>
      </x:c>
      <x:c r="Y1100" s="22" t="str">
        <x:f>"31988123285"</x:f>
        <x:v>31988123285</x:v>
      </x:c>
      <x:c r="Z1100" s="30" t="n">
        <x:v>46553</x:v>
      </x:c>
    </x:row>
    <x:row r="1101" ht="18" customHeight="1">
      <x:c r="A1101" s="22" t="str">
        <x:f>"1d73754d-89b2-4a63-ac82-03651bcbf46d"</x:f>
        <x:v>1d73754d-89b2-4a63-ac82-03651bcbf46d</x:v>
      </x:c>
      <x:c r="B1101" s="23" t="str">
        <x:v>ERISTON LUIS FESTRAITS</x:v>
      </x:c>
      <x:c r="C1101" s="23" t="str">
        <x:v>eriston luis festraits</x:v>
      </x:c>
      <x:c r="D1101" s="22" t="str">
        <x:f>"66.326.871/0001-08"</x:f>
        <x:v>66.326.871/0001-08</x:v>
      </x:c>
      <x:c r="E1101" s="22" t="str">
        <x:f>"66326871000108"</x:f>
        <x:v>66326871000108</x:v>
      </x:c>
      <x:c r="F1101" s="22" t="str">
        <x:f>"078.635.458-54"</x:f>
        <x:v>078.635.458-54</x:v>
      </x:c>
      <x:c r="G1101" s="22" t="str">
        <x:f>"07863545854"</x:f>
        <x:v>07863545854</x:v>
      </x:c>
      <x:c r="H1101" s="23" t="str">
        <x:v>festraits@yahoo.com.br</x:v>
      </x:c>
      <x:c r="I1101" s="22" t="str">
        <x:f>"18 99826-0714"</x:f>
        <x:v>18 99826-0714</x:v>
      </x:c>
      <x:c r="J1101" s="23" t="str">
        <x:v>RENTAL</x:v>
      </x:c>
      <x:c r="K1101" s="23" t="str">
        <x:v>rental_company</x:v>
      </x:c>
      <x:c r="L1101" s="24" t="b">
        <x:v>1</x:v>
      </x:c>
      <x:c r="M1101" s="23" t="n">
        <x:v>1</x:v>
      </x:c>
      <x:c r="N1101" s="28" t="n">
        <x:v>46219.812988715275</x:v>
      </x:c>
      <x:c r="O1101" s="28" t="n">
        <x:v>46219.812988715275</x:v>
      </x:c>
      <x:c r="P1101" s="23" t="str">
        <x:v>ARAÇATUBA</x:v>
      </x:c>
      <x:c r="Q1101" s="30" t="n">
        <x:v>26342</x:v>
      </x:c>
      <x:c r="R1101" s="22" t="str">
        <x:f>"21481366"</x:f>
        <x:v>21481366</x:v>
      </x:c>
      <x:c r="S1101" s="23" t="str">
        <x:v>masculino</x:v>
      </x:c>
      <x:c r="T1101" s="22" t="str"/>
      <x:c r="U1101" s="23" t="str">
        <x:v>ERISTON LUIS FESTRAITS</x:v>
      </x:c>
      <x:c r="V1101" s="22" t="str">
        <x:f>"078.635.458-54"</x:f>
        <x:v>078.635.458-54</x:v>
      </x:c>
      <x:c r="W1101" s="22" t="str">
        <x:f>"07863545854"</x:f>
        <x:v>07863545854</x:v>
      </x:c>
      <x:c r="X1101" s="23" t="str">
        <x:v>festraits@yahoo.com.br</x:v>
      </x:c>
      <x:c r="Y1101" s="22" t="str">
        <x:f>"18 99826-0714"</x:f>
        <x:v>18 99826-0714</x:v>
      </x:c>
      <x:c r="Z1101" s="30" t="n">
        <x:v>46582</x:v>
      </x:c>
    </x:row>
    <x:row r="1102" ht="18" customHeight="1">
      <x:c r="A1102" s="22" t="str">
        <x:f>"c19c1ae1-ce9a-42f5-bf5b-38de0a4956f2"</x:f>
        <x:v>c19c1ae1-ce9a-42f5-bf5b-38de0a4956f2</x:v>
      </x:c>
      <x:c r="B1102" s="23" t="str">
        <x:v>ERNANE CORREIA QUEIROZ</x:v>
      </x:c>
      <x:c r="C1102" s="23" t="str">
        <x:v>ernane correia queiroz</x:v>
      </x:c>
      <x:c r="D1102" s="22" t="str">
        <x:f>"54.266.639/0001-42"</x:f>
        <x:v>54.266.639/0001-42</x:v>
      </x:c>
      <x:c r="E1102" s="22" t="str">
        <x:f>"54266639000142"</x:f>
        <x:v>54266639000142</x:v>
      </x:c>
      <x:c r="F1102" s="22" t="str">
        <x:f>"108.254.246-66"</x:f>
        <x:v>108.254.246-66</x:v>
      </x:c>
      <x:c r="G1102" s="22" t="str">
        <x:f>"10825424666"</x:f>
        <x:v>10825424666</x:v>
      </x:c>
      <x:c r="H1102" s="23" t="str">
        <x:v>lampiaoernane@gmail.com</x:v>
      </x:c>
      <x:c r="I1102" s="22" t="str">
        <x:f>"31996786665"</x:f>
        <x:v>31996786665</x:v>
      </x:c>
      <x:c r="J1102" s="23" t="str">
        <x:v>SPOT</x:v>
      </x:c>
      <x:c r="K1102" s="23" t="str">
        <x:v>favored_only</x:v>
      </x:c>
      <x:c r="L1102" s="24" t="b">
        <x:v>1</x:v>
      </x:c>
      <x:c r="M1102" s="23" t="n">
        <x:v>1</x:v>
      </x:c>
      <x:c r="N1102" s="28" t="n">
        <x:v>46219.812988715275</x:v>
      </x:c>
      <x:c r="O1102" s="28" t="n">
        <x:v>46219.812988715275</x:v>
      </x:c>
      <x:c r="P1102" s="23" t="str">
        <x:v>CONTAGEM</x:v>
      </x:c>
      <x:c r="Q1102" s="30" t="n">
        <x:v>32245</x:v>
      </x:c>
      <x:c r="R1102" s="22" t="str">
        <x:f>"16353995"</x:f>
        <x:v>16353995</x:v>
      </x:c>
      <x:c r="S1102" s="23" t="str">
        <x:v>masculino</x:v>
      </x:c>
      <x:c r="T1102" s="22" t="str">
        <x:f>"STC6D23"</x:f>
        <x:v>STC6D23</x:v>
      </x:c>
      <x:c r="U1102" s="23" t="str">
        <x:v>ERNANE CORREIA QUEIROZ</x:v>
      </x:c>
      <x:c r="V1102" s="22" t="str">
        <x:f>"108.254.246-66"</x:f>
        <x:v>108.254.246-66</x:v>
      </x:c>
      <x:c r="W1102" s="22" t="str">
        <x:f>"10825424666"</x:f>
        <x:v>10825424666</x:v>
      </x:c>
      <x:c r="X1102" s="23" t="str">
        <x:v>lampiaoernane@gmail.com</x:v>
      </x:c>
      <x:c r="Y1102" s="22" t="str">
        <x:f>"31996786665"</x:f>
        <x:v>31996786665</x:v>
      </x:c>
      <x:c r="Z1102" s="30" t="n">
        <x:v>46547</x:v>
      </x:c>
    </x:row>
    <x:row r="1103" ht="18" customHeight="1">
      <x:c r="A1103" s="22" t="str">
        <x:f>"497aa03a-4d61-4677-9870-15681c14d060"</x:f>
        <x:v>497aa03a-4d61-4677-9870-15681c14d060</x:v>
      </x:c>
      <x:c r="B1103" s="23" t="str">
        <x:v>ESMERALDO RODRIGUES DA GAMA</x:v>
      </x:c>
      <x:c r="C1103" s="23" t="str">
        <x:v>esmeraldo rodrigues da gama</x:v>
      </x:c>
      <x:c r="D1103" s="22" t="str">
        <x:f>"65.554.243/0001-17"</x:f>
        <x:v>65.554.243/0001-17</x:v>
      </x:c>
      <x:c r="E1103" s="22" t="str">
        <x:f>"65554243000117"</x:f>
        <x:v>65554243000117</x:v>
      </x:c>
      <x:c r="F1103" s="22" t="str">
        <x:f>"199.891.418-60"</x:f>
        <x:v>199.891.418-60</x:v>
      </x:c>
      <x:c r="G1103" s="22" t="str">
        <x:f>"19989141860"</x:f>
        <x:v>19989141860</x:v>
      </x:c>
      <x:c r="H1103" s="23" t="str">
        <x:v>Esmeraldogama0213@gmail.com</x:v>
      </x:c>
      <x:c r="I1103" s="22" t="str">
        <x:f>"11 963872381"</x:f>
        <x:v>11 963872381</x:v>
      </x:c>
      <x:c r="J1103" s="23" t="str">
        <x:v>SPOT</x:v>
      </x:c>
      <x:c r="K1103" s="23" t="str">
        <x:v>favored_only</x:v>
      </x:c>
      <x:c r="L1103" s="24" t="b">
        <x:v>1</x:v>
      </x:c>
      <x:c r="M1103" s="23" t="n">
        <x:v>1</x:v>
      </x:c>
      <x:c r="N1103" s="28" t="n">
        <x:v>46219.812988715275</x:v>
      </x:c>
      <x:c r="O1103" s="28" t="n">
        <x:v>46219.812988715275</x:v>
      </x:c>
      <x:c r="P1103" s="23" t="str">
        <x:v>BARUERI</x:v>
      </x:c>
      <x:c r="Q1103" s="30" t="n">
        <x:v>26268</x:v>
      </x:c>
      <x:c r="R1103" s="22" t="str">
        <x:f>"20442570"</x:f>
        <x:v>20442570</x:v>
      </x:c>
      <x:c r="S1103" s="23" t="str">
        <x:v>masculino</x:v>
      </x:c>
      <x:c r="T1103" s="22" t="str">
        <x:f>"EWG5E50"</x:f>
        <x:v>EWG5E50</x:v>
      </x:c>
      <x:c r="U1103" s="23" t="str">
        <x:v>ESMERALDO RODRIGUES DA GAMA</x:v>
      </x:c>
      <x:c r="V1103" s="22" t="str">
        <x:f>"199.891.418-60"</x:f>
        <x:v>199.891.418-60</x:v>
      </x:c>
      <x:c r="W1103" s="22" t="str">
        <x:f>"19989141860"</x:f>
        <x:v>19989141860</x:v>
      </x:c>
      <x:c r="X1103" s="23" t="str">
        <x:v>esmeraldogama0213@gmail.com</x:v>
      </x:c>
      <x:c r="Y1103" s="22" t="str">
        <x:f>"11 963872381"</x:f>
        <x:v>11 963872381</x:v>
      </x:c>
      <x:c r="Z1103" s="30" t="n">
        <x:v>46456</x:v>
      </x:c>
    </x:row>
    <x:row r="1104" ht="18" customHeight="1">
      <x:c r="A1104" s="22" t="str">
        <x:f>"6ae23d5a-f5fc-4876-bbde-8d9ea890b651"</x:f>
        <x:v>6ae23d5a-f5fc-4876-bbde-8d9ea890b651</x:v>
      </x:c>
      <x:c r="B1104" s="23" t="str">
        <x:v>ESTELA HARTER</x:v>
      </x:c>
      <x:c r="C1104" s="23" t="str">
        <x:v>estela harter</x:v>
      </x:c>
      <x:c r="D1104" s="22" t="str">
        <x:f>"55.069.894/0001-68"</x:f>
        <x:v>55.069.894/0001-68</x:v>
      </x:c>
      <x:c r="E1104" s="22" t="str">
        <x:f>"55069894000168"</x:f>
        <x:v>55069894000168</x:v>
      </x:c>
      <x:c r="F1104" s="22" t="str">
        <x:f>"559.226.351-15"</x:f>
        <x:v>559.226.351-15</x:v>
      </x:c>
      <x:c r="G1104" s="22" t="str">
        <x:f>"55922635115"</x:f>
        <x:v>55922635115</x:v>
      </x:c>
      <x:c r="H1104" s="23" t="str">
        <x:v>estrelah@gmail.com</x:v>
      </x:c>
      <x:c r="I1104" s="22" t="str">
        <x:f>"(65)999832635"</x:f>
        <x:v>(65)999832635</x:v>
      </x:c>
      <x:c r="J1104" s="23" t="str">
        <x:v>SPOT</x:v>
      </x:c>
      <x:c r="K1104" s="23" t="str">
        <x:v>favored_only</x:v>
      </x:c>
      <x:c r="L1104" s="24" t="b">
        <x:v>1</x:v>
      </x:c>
      <x:c r="M1104" s="23" t="n">
        <x:v>1</x:v>
      </x:c>
      <x:c r="N1104" s="28" t="n">
        <x:v>46219.812988715275</x:v>
      </x:c>
      <x:c r="O1104" s="28" t="n">
        <x:v>46219.812988715275</x:v>
      </x:c>
      <x:c r="P1104" s="23" t="str">
        <x:v>CUIABA</x:v>
      </x:c>
      <x:c r="Q1104" s="30" t="n">
        <x:v>26634</x:v>
      </x:c>
      <x:c r="R1104" s="22" t="str">
        <x:f>"559.226.351-15"</x:f>
        <x:v>559.226.351-15</x:v>
      </x:c>
      <x:c r="S1104" s="23" t="str">
        <x:v>feminino</x:v>
      </x:c>
      <x:c r="T1104" s="22" t="str">
        <x:f>"QBV1714"</x:f>
        <x:v>QBV1714</x:v>
      </x:c>
      <x:c r="U1104" s="23" t="str">
        <x:v>ESTELA HARTER</x:v>
      </x:c>
      <x:c r="V1104" s="22" t="str">
        <x:f>"559.226.351-15"</x:f>
        <x:v>559.226.351-15</x:v>
      </x:c>
      <x:c r="W1104" s="22" t="str">
        <x:f>"55922635115"</x:f>
        <x:v>55922635115</x:v>
      </x:c>
      <x:c r="X1104" s="23" t="str">
        <x:v>estrelah@gmail.com</x:v>
      </x:c>
      <x:c r="Y1104" s="22" t="str">
        <x:f>"(65)999832635"</x:f>
        <x:v>(65)999832635</x:v>
      </x:c>
      <x:c r="Z1104" s="30" t="n">
        <x:v>46429</x:v>
      </x:c>
    </x:row>
    <x:row r="1105" ht="18" customHeight="1">
      <x:c r="A1105" s="22" t="str">
        <x:f>"12f2bc88-0dc1-431c-94b0-0de29c3f01ed"</x:f>
        <x:v>12f2bc88-0dc1-431c-94b0-0de29c3f01ed</x:v>
      </x:c>
      <x:c r="B1105" s="23" t="str">
        <x:v>ESTER RODRIGUES RIOS</x:v>
      </x:c>
      <x:c r="C1105" s="23" t="str">
        <x:v>ester rodrigues rios</x:v>
      </x:c>
      <x:c r="D1105" s="22" t="str">
        <x:f>"63.588.797/0001-00"</x:f>
        <x:v>63.588.797/0001-00</x:v>
      </x:c>
      <x:c r="E1105" s="22" t="str">
        <x:f>"63588797000100"</x:f>
        <x:v>63588797000100</x:v>
      </x:c>
      <x:c r="F1105" s="22" t="str">
        <x:f>"770.378.126-68"</x:f>
        <x:v>770.378.126-68</x:v>
      </x:c>
      <x:c r="G1105" s="22" t="str">
        <x:f>"77037812668"</x:f>
        <x:v>77037812668</x:v>
      </x:c>
      <x:c r="H1105" s="23" t="str">
        <x:v>esterrios.er.er@gmail.com</x:v>
      </x:c>
      <x:c r="I1105" s="22" t="str">
        <x:f>"+55 65 9973-9615"</x:f>
        <x:v>+55 65 9973-9615</x:v>
      </x:c>
      <x:c r="J1105" s="23" t="str">
        <x:v>SPOT</x:v>
      </x:c>
      <x:c r="K1105" s="23" t="str">
        <x:v>favored_only</x:v>
      </x:c>
      <x:c r="L1105" s="24" t="b">
        <x:v>1</x:v>
      </x:c>
      <x:c r="M1105" s="23" t="n">
        <x:v>1</x:v>
      </x:c>
      <x:c r="N1105" s="28" t="n">
        <x:v>46205.606134918984</x:v>
      </x:c>
      <x:c r="O1105" s="28" t="n">
        <x:v>46219.812988715275</x:v>
      </x:c>
      <x:c r="P1105" s="23" t="str">
        <x:v>ARAPUTANGA</x:v>
      </x:c>
      <x:c r="Q1105" s="30" t="n">
        <x:v>25530</x:v>
      </x:c>
      <x:c r="R1105" s="22" t="str">
        <x:f>"847041 SSP MT"</x:f>
        <x:v>847041 SSP MT</x:v>
      </x:c>
      <x:c r="S1105" s="23" t="str">
        <x:v>feminino</x:v>
      </x:c>
      <x:c r="T1105" s="22" t="str">
        <x:f>"SPF8I33"</x:f>
        <x:v>SPF8I33</x:v>
      </x:c>
      <x:c r="U1105" s="23" t="str">
        <x:v>ADEGILSON MOREIRA RIOS JUNIOR</x:v>
      </x:c>
      <x:c r="V1105" s="22" t="str">
        <x:f>"058.389.761-44"</x:f>
        <x:v>058.389.761-44</x:v>
      </x:c>
      <x:c r="W1105" s="22" t="str">
        <x:f>"05838976144"</x:f>
        <x:v>05838976144</x:v>
      </x:c>
      <x:c r="X1105" s="23" t="str">
        <x:v>Adegilsonjunior@hotmail.com</x:v>
      </x:c>
      <x:c r="Y1105" s="22" t="str">
        <x:f>"+55 65 9973-9615"</x:f>
        <x:v>+55 65 9973-9615</x:v>
      </x:c>
      <x:c r="Z1105" s="30" t="n">
        <x:v>46344</x:v>
      </x:c>
    </x:row>
    <x:row r="1106" ht="18" customHeight="1">
      <x:c r="A1106" s="22" t="str">
        <x:f>"a8ceff7c-c9aa-4fd0-9f0f-44aee02af9ea"</x:f>
        <x:v>a8ceff7c-c9aa-4fd0-9f0f-44aee02af9ea</x:v>
      </x:c>
      <x:c r="B1106" s="23" t="str">
        <x:v>ESTER VACNI DE FREITAS PAULA</x:v>
      </x:c>
      <x:c r="C1106" s="23" t="str">
        <x:v>ester vacni de freitas paula</x:v>
      </x:c>
      <x:c r="D1106" s="22" t="str">
        <x:f>"67.694.878/0001-45"</x:f>
        <x:v>67.694.878/0001-45</x:v>
      </x:c>
      <x:c r="E1106" s="22" t="str">
        <x:f>"67694878000145"</x:f>
        <x:v>67694878000145</x:v>
      </x:c>
      <x:c r="F1106" s="22" t="str">
        <x:f>"014.789.491-39"</x:f>
        <x:v>014.789.491-39</x:v>
      </x:c>
      <x:c r="G1106" s="22" t="str">
        <x:f>"01478949139"</x:f>
        <x:v>01478949139</x:v>
      </x:c>
      <x:c r="H1106" s="23" t="str">
        <x:v>estermiyabara@gmail.com</x:v>
      </x:c>
      <x:c r="I1106" s="22" t="str">
        <x:f>"65999523520"</x:f>
        <x:v>65999523520</x:v>
      </x:c>
      <x:c r="J1106" s="23" t="str">
        <x:v>spot</x:v>
      </x:c>
      <x:c r="K1106" s="23" t="str">
        <x:v>favored_only</x:v>
      </x:c>
      <x:c r="L1106" s="24" t="b">
        <x:v>1</x:v>
      </x:c>
      <x:c r="M1106" s="23" t="n">
        <x:v>1</x:v>
      </x:c>
      <x:c r="N1106" s="28" t="n">
        <x:v>46219.812988715275</x:v>
      </x:c>
      <x:c r="O1106" s="28" t="n">
        <x:v>46219.812988715275</x:v>
      </x:c>
      <x:c r="P1106" s="23" t="str">
        <x:v>CÁCERES</x:v>
      </x:c>
      <x:c r="Q1106" s="30" t="n">
        <x:v>33119</x:v>
      </x:c>
      <x:c r="R1106" s="22" t="str">
        <x:f>"16622774"</x:f>
        <x:v>16622774</x:v>
      </x:c>
      <x:c r="S1106" s="23" t="str">
        <x:v>feminino</x:v>
      </x:c>
      <x:c r="T1106" s="22" t="str">
        <x:f>"qcb6054"</x:f>
        <x:v>qcb6054</x:v>
      </x:c>
      <x:c r="U1106" s="23" t="str">
        <x:v>ANITA DE FREITAS PAULA</x:v>
      </x:c>
      <x:c r="V1106" s="22" t="str">
        <x:f>"061.971.471-90"</x:f>
        <x:v>061.971.471-90</x:v>
      </x:c>
      <x:c r="W1106" s="22" t="str">
        <x:f>"06197147190"</x:f>
        <x:v>06197147190</x:v>
      </x:c>
      <x:c r="X1106" s="23" t="str">
        <x:v>anitadefreitas1234@gmail.com</x:v>
      </x:c>
      <x:c r="Y1106" s="22" t="str">
        <x:f>"65996382266"</x:f>
        <x:v>65996382266</x:v>
      </x:c>
      <x:c r="Z1106" s="30" t="n">
        <x:v>46565</x:v>
      </x:c>
    </x:row>
    <x:row r="1107" ht="18" customHeight="1">
      <x:c r="A1107" s="22" t="str">
        <x:f>"345dcd05-04dd-455a-b964-cce0f4bb82a0"</x:f>
        <x:v>345dcd05-04dd-455a-b964-cce0f4bb82a0</x:v>
      </x:c>
      <x:c r="B1107" s="23" t="str">
        <x:v>ESTEVAO GRACILIANO DE CARVALHO</x:v>
      </x:c>
      <x:c r="C1107" s="23" t="str">
        <x:v>estevao graciliano de carvalho</x:v>
      </x:c>
      <x:c r="D1107" s="22" t="str">
        <x:f>"64.352.095/0001-95"</x:f>
        <x:v>64.352.095/0001-95</x:v>
      </x:c>
      <x:c r="E1107" s="22" t="str">
        <x:f>"64352095000195"</x:f>
        <x:v>64352095000195</x:v>
      </x:c>
      <x:c r="F1107" s="22" t="str">
        <x:f>"537.736.858-40"</x:f>
        <x:v>537.736.858-40</x:v>
      </x:c>
      <x:c r="G1107" s="22" t="str">
        <x:f>"53773685840"</x:f>
        <x:v>53773685840</x:v>
      </x:c>
      <x:c r="H1107" s="23" t="str">
        <x:v>estevaocarvalho2@hotmail.com</x:v>
      </x:c>
      <x:c r="I1107" s="22" t="str">
        <x:f>"14998099564"</x:f>
        <x:v>14998099564</x:v>
      </x:c>
      <x:c r="J1107" s="23" t="str">
        <x:v>RENTAL</x:v>
      </x:c>
      <x:c r="K1107" s="23" t="str">
        <x:v>rental_company</x:v>
      </x:c>
      <x:c r="L1107" s="24" t="b">
        <x:v>1</x:v>
      </x:c>
      <x:c r="M1107" s="23" t="n">
        <x:v>1</x:v>
      </x:c>
      <x:c r="N1107" s="28" t="n">
        <x:v>46203.9219084375</x:v>
      </x:c>
      <x:c r="O1107" s="28" t="n">
        <x:v>46219.812988715275</x:v>
      </x:c>
      <x:c r="P1107" s="23" t="str">
        <x:v>MARILIA</x:v>
      </x:c>
      <x:c r="Q1107" s="30" t="n">
        <x:v>38340</x:v>
      </x:c>
      <x:c r="R1107" s="22" t="str">
        <x:f>"660470068"</x:f>
        <x:v>660470068</x:v>
      </x:c>
      <x:c r="S1107" s="23" t="str">
        <x:v>masculino</x:v>
      </x:c>
      <x:c r="T1107" s="22" t="str"/>
      <x:c r="U1107" s="23" t="str">
        <x:v>ESTEVAO GRACILIANO DE CARVALHO</x:v>
      </x:c>
      <x:c r="V1107" s="22" t="str">
        <x:f>"537.736.858-40"</x:f>
        <x:v>537.736.858-40</x:v>
      </x:c>
      <x:c r="W1107" s="22" t="str">
        <x:f>"53773685840"</x:f>
        <x:v>53773685840</x:v>
      </x:c>
      <x:c r="X1107" s="23" t="str">
        <x:v>estevaocarvalho2@hotmail.com</x:v>
      </x:c>
      <x:c r="Y1107" s="22" t="str">
        <x:f>"14998099564"</x:f>
        <x:v>14998099564</x:v>
      </x:c>
      <x:c r="Z1107" s="30" t="n">
        <x:v>46395</x:v>
      </x:c>
    </x:row>
    <x:row r="1108" ht="18" customHeight="1">
      <x:c r="A1108" s="22" t="str">
        <x:f>"d77d6dff-b0d8-446b-904b-b4de68a0d2e9"</x:f>
        <x:v>d77d6dff-b0d8-446b-904b-b4de68a0d2e9</x:v>
      </x:c>
      <x:c r="B1108" s="23" t="str">
        <x:v>EUDES JESUS RAMOS JUNIOR</x:v>
      </x:c>
      <x:c r="C1108" s="23" t="str">
        <x:v>eudes jesus ramos junior</x:v>
      </x:c>
      <x:c r="D1108" s="22" t="str">
        <x:f>"63.156.126/0001-70"</x:f>
        <x:v>63.156.126/0001-70</x:v>
      </x:c>
      <x:c r="E1108" s="22" t="str">
        <x:f>"63156126000170"</x:f>
        <x:v>63156126000170</x:v>
      </x:c>
      <x:c r="F1108" s="22" t="str">
        <x:f>"701.244.591-29"</x:f>
        <x:v>701.244.591-29</x:v>
      </x:c>
      <x:c r="G1108" s="22" t="str">
        <x:f>"70124459129"</x:f>
        <x:v>70124459129</x:v>
      </x:c>
      <x:c r="H1108" s="23" t="str">
        <x:v>eudesjrgyn@gmail.com</x:v>
      </x:c>
      <x:c r="I1108" s="22" t="str">
        <x:f>"62 9459-0040"</x:f>
        <x:v>62 9459-0040</x:v>
      </x:c>
      <x:c r="J1108" s="23" t="str">
        <x:v>SPOT</x:v>
      </x:c>
      <x:c r="K1108" s="23" t="str">
        <x:v>favored_only</x:v>
      </x:c>
      <x:c r="L1108" s="24" t="b">
        <x:v>1</x:v>
      </x:c>
      <x:c r="M1108" s="23" t="n">
        <x:v>2</x:v>
      </x:c>
      <x:c r="N1108" s="28" t="n">
        <x:v>46203.9218771875</x:v>
      </x:c>
      <x:c r="O1108" s="28" t="n">
        <x:v>46203.9218771875</x:v>
      </x:c>
      <x:c r="P1108" s="23" t="str"/>
      <x:c r="Q1108" s="30" t="str"/>
      <x:c r="R1108" s="22" t="str"/>
      <x:c r="S1108" s="23" t="str"/>
      <x:c r="T1108" s="22" t="str"/>
      <x:c r="U1108" s="23" t="str">
        <x:v>EUDES JESUS RAMOS JUNIOR</x:v>
      </x:c>
      <x:c r="V1108" s="22" t="str">
        <x:f>"701.244.591-29"</x:f>
        <x:v>701.244.591-29</x:v>
      </x:c>
      <x:c r="W1108" s="22" t="str">
        <x:f>"70124459129"</x:f>
        <x:v>70124459129</x:v>
      </x:c>
      <x:c r="X1108" s="23" t="str">
        <x:v>eudesjrgyn@gmail.com</x:v>
      </x:c>
      <x:c r="Y1108" s="22" t="str">
        <x:f>"62 9459-0040"</x:f>
        <x:v>62 9459-0040</x:v>
      </x:c>
      <x:c r="Z1108" s="30" t="str"/>
    </x:row>
    <x:row r="1109" ht="18" customHeight="1">
      <x:c r="A1109" s="22" t="str">
        <x:f>"ecb1e24a-912d-43b7-a5b2-9b371d8488a3"</x:f>
        <x:v>ecb1e24a-912d-43b7-a5b2-9b371d8488a3</x:v>
      </x:c>
      <x:c r="B1109" s="23" t="str">
        <x:v>EUNICE MARTINS DA SILVA BARROS</x:v>
      </x:c>
      <x:c r="C1109" s="23" t="str">
        <x:v>eunice martins da silva barros</x:v>
      </x:c>
      <x:c r="D1109" s="22" t="str">
        <x:f>"64.132.025/0001-21"</x:f>
        <x:v>64.132.025/0001-21</x:v>
      </x:c>
      <x:c r="E1109" s="22" t="str">
        <x:f>"64132025000121"</x:f>
        <x:v>64132025000121</x:v>
      </x:c>
      <x:c r="F1109" s="22" t="str">
        <x:f>"011.696.421-95"</x:f>
        <x:v>011.696.421-95</x:v>
      </x:c>
      <x:c r="G1109" s="22" t="str">
        <x:f>"01169642195"</x:f>
        <x:v>01169642195</x:v>
      </x:c>
      <x:c r="H1109" s="23" t="str">
        <x:v>eunicemartinsmph@hotmail.com</x:v>
      </x:c>
      <x:c r="I1109" s="22" t="str">
        <x:f>"65992274412"</x:f>
        <x:v>65992274412</x:v>
      </x:c>
      <x:c r="J1109" s="23" t="str">
        <x:v>SPOT</x:v>
      </x:c>
      <x:c r="K1109" s="23" t="str">
        <x:v>favored_only</x:v>
      </x:c>
      <x:c r="L1109" s="24" t="b">
        <x:v>1</x:v>
      </x:c>
      <x:c r="M1109" s="23" t="n">
        <x:v>1</x:v>
      </x:c>
      <x:c r="N1109" s="28" t="n">
        <x:v>46219.812988715275</x:v>
      </x:c>
      <x:c r="O1109" s="28" t="n">
        <x:v>46219.812988715275</x:v>
      </x:c>
      <x:c r="P1109" s="23" t="str">
        <x:v>PONTES E LACERDA</x:v>
      </x:c>
      <x:c r="Q1109" s="30" t="n">
        <x:v>30429</x:v>
      </x:c>
      <x:c r="R1109" s="22" t="str">
        <x:f>"17018277"</x:f>
        <x:v>17018277</x:v>
      </x:c>
      <x:c r="S1109" s="23" t="str">
        <x:v>feminino</x:v>
      </x:c>
      <x:c r="T1109" s="22" t="str">
        <x:f>"HID1H74"</x:f>
        <x:v>HID1H74</x:v>
      </x:c>
      <x:c r="U1109" s="23" t="str">
        <x:v>EUNICE MARTINS DA SILVA BARROS</x:v>
      </x:c>
      <x:c r="V1109" s="22" t="str">
        <x:f>"011.696.421-95"</x:f>
        <x:v>011.696.421-95</x:v>
      </x:c>
      <x:c r="W1109" s="22" t="str">
        <x:f>"01169642195"</x:f>
        <x:v>01169642195</x:v>
      </x:c>
      <x:c r="X1109" s="23" t="str">
        <x:v>eunicemartinsmph@hotmail.com</x:v>
      </x:c>
      <x:c r="Y1109" s="22" t="str">
        <x:f>"65992274412"</x:f>
        <x:v>65992274412</x:v>
      </x:c>
      <x:c r="Z1109" s="30" t="n">
        <x:v>46506</x:v>
      </x:c>
    </x:row>
    <x:row r="1110" ht="18" customHeight="1">
      <x:c r="A1110" s="22" t="str">
        <x:f>"934e3ead-b340-44e2-b272-7ceda8be528d"</x:f>
        <x:v>934e3ead-b340-44e2-b272-7ceda8be528d</x:v>
      </x:c>
      <x:c r="B1110" s="23" t="str">
        <x:v>EURICO MARCOS BARBOSA XAVIER</x:v>
      </x:c>
      <x:c r="C1110" s="23" t="str">
        <x:v>eurico marcos barbosa xavier</x:v>
      </x:c>
      <x:c r="D1110" s="22" t="str">
        <x:f>"62.671.621/0001-54"</x:f>
        <x:v>62.671.621/0001-54</x:v>
      </x:c>
      <x:c r="E1110" s="22" t="str">
        <x:f>"62671621000154"</x:f>
        <x:v>62671621000154</x:v>
      </x:c>
      <x:c r="F1110" s="22" t="str">
        <x:f>"268.987.048-77"</x:f>
        <x:v>268.987.048-77</x:v>
      </x:c>
      <x:c r="G1110" s="22" t="str">
        <x:f>"26898704877"</x:f>
        <x:v>26898704877</x:v>
      </x:c>
      <x:c r="H1110" s="23" t="str">
        <x:v>xaviereurico989@gmail.com</x:v>
      </x:c>
      <x:c r="I1110" s="22" t="str">
        <x:f>"18 99650-2258"</x:f>
        <x:v>18 99650-2258</x:v>
      </x:c>
      <x:c r="J1110" s="23" t="str">
        <x:v>SPOT</x:v>
      </x:c>
      <x:c r="K1110" s="23" t="str">
        <x:v>favored_only</x:v>
      </x:c>
      <x:c r="L1110" s="24" t="b">
        <x:v>1</x:v>
      </x:c>
      <x:c r="M1110" s="23" t="n">
        <x:v>2</x:v>
      </x:c>
      <x:c r="N1110" s="28" t="n">
        <x:v>46203.92188238426</x:v>
      </x:c>
      <x:c r="O1110" s="28" t="n">
        <x:v>46219.812988715275</x:v>
      </x:c>
      <x:c r="P1110" s="23" t="str">
        <x:v>ARAÇATUBA</x:v>
      </x:c>
      <x:c r="Q1110" s="30" t="n">
        <x:v>28933</x:v>
      </x:c>
      <x:c r="R1110" s="22" t="str">
        <x:f>"33855168"</x:f>
        <x:v>33855168</x:v>
      </x:c>
      <x:c r="S1110" s="23" t="str">
        <x:v>masculino</x:v>
      </x:c>
      <x:c r="T1110" s="22" t="str">
        <x:f>"EPK6B55"</x:f>
        <x:v>EPK6B55</x:v>
      </x:c>
      <x:c r="U1110" s="23" t="str">
        <x:v>LUCINEIA SILVA SANTOS XAVIER</x:v>
      </x:c>
      <x:c r="V1110" s="22" t="str">
        <x:f>"043.586.928-00"</x:f>
        <x:v>043.586.928-00</x:v>
      </x:c>
      <x:c r="W1110" s="22" t="str">
        <x:f>"04358692800"</x:f>
        <x:v>04358692800</x:v>
      </x:c>
      <x:c r="X1110" s="23" t="str">
        <x:v>xaviereurico989@gmail.com</x:v>
      </x:c>
      <x:c r="Y1110" s="22" t="str">
        <x:f>"18 99650-2258"</x:f>
        <x:v>18 99650-2258</x:v>
      </x:c>
      <x:c r="Z1110" s="30" t="n">
        <x:v>46322</x:v>
      </x:c>
    </x:row>
    <x:row r="1111" ht="18" customHeight="1">
      <x:c r="A1111" s="22" t="str">
        <x:f>"33a9270f-b466-412d-a88f-777f82ea9bd5"</x:f>
        <x:v>33a9270f-b466-412d-a88f-777f82ea9bd5</x:v>
      </x:c>
      <x:c r="B1111" s="23" t="str">
        <x:v>EURIDES SOUZA SILVA VASCONCELOS</x:v>
      </x:c>
      <x:c r="C1111" s="23" t="str">
        <x:v>eurides souza silva vasconcelos</x:v>
      </x:c>
      <x:c r="D1111" s="22" t="str">
        <x:f>"63.789.775/0001-08"</x:f>
        <x:v>63.789.775/0001-08</x:v>
      </x:c>
      <x:c r="E1111" s="22" t="str">
        <x:f>"63789775000108"</x:f>
        <x:v>63789775000108</x:v>
      </x:c>
      <x:c r="F1111" s="22" t="str">
        <x:f>"40321290534"</x:f>
        <x:v>40321290534</x:v>
      </x:c>
      <x:c r="G1111" s="22" t="str">
        <x:f>"40321290534"</x:f>
        <x:v>40321290534</x:v>
      </x:c>
      <x:c r="H1111" s="23" t="str">
        <x:v>vasconcelos.alex17@gmail.com</x:v>
      </x:c>
      <x:c r="I1111" s="22" t="str">
        <x:f>"2198221-7211"</x:f>
        <x:v>2198221-7211</x:v>
      </x:c>
      <x:c r="J1111" s="23" t="str">
        <x:v>SPOT</x:v>
      </x:c>
      <x:c r="K1111" s="23" t="str">
        <x:v>favored_only</x:v>
      </x:c>
      <x:c r="L1111" s="24" t="b">
        <x:v>1</x:v>
      </x:c>
      <x:c r="M1111" s="23" t="n">
        <x:v>1</x:v>
      </x:c>
      <x:c r="N1111" s="28" t="n">
        <x:v>46203.92189965278</x:v>
      </x:c>
      <x:c r="O1111" s="28" t="n">
        <x:v>46203.92189965278</x:v>
      </x:c>
      <x:c r="P1111" s="23" t="str"/>
      <x:c r="Q1111" s="30" t="str"/>
      <x:c r="R1111" s="22" t="str"/>
      <x:c r="S1111" s="23" t="str"/>
      <x:c r="T1111" s="22" t="str"/>
      <x:c r="U1111" s="23" t="str">
        <x:v>EURIDES SOUZA SILVA VASCONCELOS</x:v>
      </x:c>
      <x:c r="V1111" s="22" t="str">
        <x:f>"40321290534"</x:f>
        <x:v>40321290534</x:v>
      </x:c>
      <x:c r="W1111" s="22" t="str">
        <x:f>"40321290534"</x:f>
        <x:v>40321290534</x:v>
      </x:c>
      <x:c r="X1111" s="23" t="str">
        <x:v>vasconcelos.alex17@gmail.com</x:v>
      </x:c>
      <x:c r="Y1111" s="22" t="str">
        <x:f>"2198221-7211"</x:f>
        <x:v>2198221-7211</x:v>
      </x:c>
      <x:c r="Z1111" s="30" t="str"/>
    </x:row>
    <x:row r="1112" ht="18" customHeight="1">
      <x:c r="A1112" s="22" t="str">
        <x:f>"01dde82f-85b3-4631-9e4a-9fa0396a0434"</x:f>
        <x:v>01dde82f-85b3-4631-9e4a-9fa0396a0434</x:v>
      </x:c>
      <x:c r="B1112" s="23" t="str">
        <x:v>EVAGNO FILHO SANTOS FERREIRA</x:v>
      </x:c>
      <x:c r="C1112" s="23" t="str">
        <x:v>evagno filho santos ferreira</x:v>
      </x:c>
      <x:c r="D1112" s="22" t="str">
        <x:f>"64.791.892/0001-79"</x:f>
        <x:v>64.791.892/0001-79</x:v>
      </x:c>
      <x:c r="E1112" s="22" t="str">
        <x:f>"64791892000179"</x:f>
        <x:v>64791892000179</x:v>
      </x:c>
      <x:c r="F1112" s="22" t="str">
        <x:f>"041.394.431-03"</x:f>
        <x:v>041.394.431-03</x:v>
      </x:c>
      <x:c r="G1112" s="22" t="str">
        <x:f>"04139443103"</x:f>
        <x:v>04139443103</x:v>
      </x:c>
      <x:c r="H1112" s="23" t="str">
        <x:v>evagnofilho77@gmail.com</x:v>
      </x:c>
      <x:c r="I1112" s="22" t="str">
        <x:f>"62985742651"</x:f>
        <x:v>62985742651</x:v>
      </x:c>
      <x:c r="J1112" s="23" t="str">
        <x:v>RENTAL</x:v>
      </x:c>
      <x:c r="K1112" s="23" t="str">
        <x:v>rental_company</x:v>
      </x:c>
      <x:c r="L1112" s="24" t="b">
        <x:v>1</x:v>
      </x:c>
      <x:c r="M1112" s="23" t="n">
        <x:v>1</x:v>
      </x:c>
      <x:c r="N1112" s="28" t="n">
        <x:v>46219.812988715275</x:v>
      </x:c>
      <x:c r="O1112" s="28" t="n">
        <x:v>46219.812988715275</x:v>
      </x:c>
      <x:c r="P1112" s="23" t="str">
        <x:v>GOIANIA</x:v>
      </x:c>
      <x:c r="Q1112" s="30" t="n">
        <x:v>38046</x:v>
      </x:c>
      <x:c r="R1112" s="22" t="str">
        <x:f>"6919304"</x:f>
        <x:v>6919304</x:v>
      </x:c>
      <x:c r="S1112" s="23" t="str">
        <x:v>masculino</x:v>
      </x:c>
      <x:c r="T1112" s="22" t="str"/>
      <x:c r="U1112" s="23" t="str">
        <x:v>EVAGNO FILHO SANTOS FERREIRA</x:v>
      </x:c>
      <x:c r="V1112" s="22" t="str">
        <x:f>"041.394.431-03"</x:f>
        <x:v>041.394.431-03</x:v>
      </x:c>
      <x:c r="W1112" s="22" t="str">
        <x:f>"04139443103"</x:f>
        <x:v>04139443103</x:v>
      </x:c>
      <x:c r="X1112" s="23" t="str">
        <x:v>evagnofilho77@gmail.com</x:v>
      </x:c>
      <x:c r="Y1112" s="22" t="str">
        <x:f>"62985742651"</x:f>
        <x:v>62985742651</x:v>
      </x:c>
      <x:c r="Z1112" s="30" t="n">
        <x:v>46583</x:v>
      </x:c>
    </x:row>
    <x:row r="1113" ht="18" customHeight="1">
      <x:c r="A1113" s="22" t="str">
        <x:f>"508008a2-18e9-4188-af5a-150b7673f5d8"</x:f>
        <x:v>508008a2-18e9-4188-af5a-150b7673f5d8</x:v>
      </x:c>
      <x:c r="B1113" s="23" t="str">
        <x:v>EVAILTON SOUZA DIAS</x:v>
      </x:c>
      <x:c r="C1113" s="23" t="str">
        <x:v>evailton souza dias</x:v>
      </x:c>
      <x:c r="D1113" s="22" t="str">
        <x:f>"61.928.244/0001-23"</x:f>
        <x:v>61.928.244/0001-23</x:v>
      </x:c>
      <x:c r="E1113" s="22" t="str">
        <x:f>"61928244000123"</x:f>
        <x:v>61928244000123</x:v>
      </x:c>
      <x:c r="F1113" s="22" t="str">
        <x:f>"414.224.735-20"</x:f>
        <x:v>414.224.735-20</x:v>
      </x:c>
      <x:c r="G1113" s="22" t="str">
        <x:f>"41422473520"</x:f>
        <x:v>41422473520</x:v>
      </x:c>
      <x:c r="H1113" s="23" t="str">
        <x:v>evailtondiasdias@gmail.com</x:v>
      </x:c>
      <x:c r="I1113" s="22" t="str">
        <x:f>"22 998008006"</x:f>
        <x:v>22 998008006</x:v>
      </x:c>
      <x:c r="J1113" s="23" t="str">
        <x:v>SPOT</x:v>
      </x:c>
      <x:c r="K1113" s="23" t="str">
        <x:v>favored_only</x:v>
      </x:c>
      <x:c r="L1113" s="24" t="b">
        <x:v>1</x:v>
      </x:c>
      <x:c r="M1113" s="23" t="n">
        <x:v>1</x:v>
      </x:c>
      <x:c r="N1113" s="28" t="n">
        <x:v>46203.92188238426</x:v>
      </x:c>
      <x:c r="O1113" s="28" t="n">
        <x:v>46203.92188238426</x:v>
      </x:c>
      <x:c r="P1113" s="23" t="str"/>
      <x:c r="Q1113" s="30" t="str"/>
      <x:c r="R1113" s="22" t="str"/>
      <x:c r="S1113" s="23" t="str"/>
      <x:c r="T1113" s="22" t="str"/>
      <x:c r="U1113" s="23" t="str">
        <x:v>EVAILTON SOUZA DIAS</x:v>
      </x:c>
      <x:c r="V1113" s="22" t="str">
        <x:f>"414.224.735-20"</x:f>
        <x:v>414.224.735-20</x:v>
      </x:c>
      <x:c r="W1113" s="22" t="str">
        <x:f>"41422473520"</x:f>
        <x:v>41422473520</x:v>
      </x:c>
      <x:c r="X1113" s="23" t="str">
        <x:v>evailtondiasdias@gmail.com</x:v>
      </x:c>
      <x:c r="Y1113" s="22" t="str">
        <x:f>"22 998008006"</x:f>
        <x:v>22 998008006</x:v>
      </x:c>
      <x:c r="Z1113" s="30" t="str"/>
    </x:row>
    <x:row r="1114" ht="18" customHeight="1">
      <x:c r="A1114" s="22" t="str">
        <x:f>"5f7bf3f5-0d34-4bbc-9579-2d01f538f491"</x:f>
        <x:v>5f7bf3f5-0d34-4bbc-9579-2d01f538f491</x:v>
      </x:c>
      <x:c r="B1114" s="23" t="str">
        <x:v>Evaldo Mendes de Carvalho</x:v>
      </x:c>
      <x:c r="C1114" s="23" t="str">
        <x:v>evaldo mendes de carvalho</x:v>
      </x:c>
      <x:c r="D1114" s="22" t="str">
        <x:f>"61.557.485/0001-03"</x:f>
        <x:v>61.557.485/0001-03</x:v>
      </x:c>
      <x:c r="E1114" s="22" t="str">
        <x:f>"61557485000103"</x:f>
        <x:v>61557485000103</x:v>
      </x:c>
      <x:c r="F1114" s="22" t="str">
        <x:f>"344.412.201-20"</x:f>
        <x:v>344.412.201-20</x:v>
      </x:c>
      <x:c r="G1114" s="22" t="str">
        <x:f>"34441220120"</x:f>
        <x:v>34441220120</x:v>
      </x:c>
      <x:c r="H1114" s="23" t="str">
        <x:v>evaldokm66manso@gmail.com</x:v>
      </x:c>
      <x:c r="I1114" s="22" t="str">
        <x:f>"65 98124-4770"</x:f>
        <x:v>65 98124-4770</x:v>
      </x:c>
      <x:c r="J1114" s="23" t="str">
        <x:v>SPOT</x:v>
      </x:c>
      <x:c r="K1114" s="23" t="str">
        <x:v>favored_only</x:v>
      </x:c>
      <x:c r="L1114" s="24" t="b">
        <x:v>1</x:v>
      </x:c>
      <x:c r="M1114" s="23" t="n">
        <x:v>2</x:v>
      </x:c>
      <x:c r="N1114" s="28" t="n">
        <x:v>46203.92183332176</x:v>
      </x:c>
      <x:c r="O1114" s="28" t="n">
        <x:v>46205.60467599537</x:v>
      </x:c>
      <x:c r="P1114" s="23" t="str">
        <x:v>CUIABA</x:v>
      </x:c>
      <x:c r="Q1114" s="30" t="n">
        <x:v>24018</x:v>
      </x:c>
      <x:c r="R1114" s="22" t="str">
        <x:f>"255643"</x:f>
        <x:v>255643</x:v>
      </x:c>
      <x:c r="S1114" s="23" t="str">
        <x:v>Masculino</x:v>
      </x:c>
      <x:c r="T1114" s="22" t="str">
        <x:f>"QCN3B13"</x:f>
        <x:v>QCN3B13</x:v>
      </x:c>
      <x:c r="U1114" s="23" t="str">
        <x:v>Evaldo Mendes de Carvalho</x:v>
      </x:c>
      <x:c r="V1114" s="22" t="str">
        <x:f>"344 412 201 -20"</x:f>
        <x:v>344 412 201 -20</x:v>
      </x:c>
      <x:c r="W1114" s="22" t="str">
        <x:f>"34441220120"</x:f>
        <x:v>34441220120</x:v>
      </x:c>
      <x:c r="X1114" s="23" t="str">
        <x:v>evaldokm66manso@gmail.com</x:v>
      </x:c>
      <x:c r="Y1114" s="22" t="str">
        <x:f>"65 98124-4770"</x:f>
        <x:v>65 98124-4770</x:v>
      </x:c>
      <x:c r="Z1114" s="30" t="n">
        <x:v>46207</x:v>
      </x:c>
    </x:row>
    <x:row r="1115" ht="18" customHeight="1">
      <x:c r="A1115" s="22" t="str">
        <x:f>"93327366-939f-40aa-826c-c34d40f9f78c"</x:f>
        <x:v>93327366-939f-40aa-826c-c34d40f9f78c</x:v>
      </x:c>
      <x:c r="B1115" s="23" t="str">
        <x:v>EVALDO QUEIROZ DA SILVA</x:v>
      </x:c>
      <x:c r="C1115" s="23" t="str">
        <x:v>evaldo queiroz da silva</x:v>
      </x:c>
      <x:c r="D1115" s="22" t="str">
        <x:f>"63.334.199/0001-04"</x:f>
        <x:v>63.334.199/0001-04</x:v>
      </x:c>
      <x:c r="E1115" s="22" t="str">
        <x:f>"63334199000104"</x:f>
        <x:v>63334199000104</x:v>
      </x:c>
      <x:c r="F1115" s="22" t="str">
        <x:f>"354.799.278-84"</x:f>
        <x:v>354.799.278-84</x:v>
      </x:c>
      <x:c r="G1115" s="22" t="str">
        <x:f>"35479927884"</x:f>
        <x:v>35479927884</x:v>
      </x:c>
      <x:c r="H1115" s="23" t="str">
        <x:v>evaldoqueirozdasilvaqueiroz22@gmail.com</x:v>
      </x:c>
      <x:c r="I1115" s="22" t="str">
        <x:f>"41997016510"</x:f>
        <x:v>41997016510</x:v>
      </x:c>
      <x:c r="J1115" s="23" t="str">
        <x:v>RENTAL</x:v>
      </x:c>
      <x:c r="K1115" s="23" t="str">
        <x:v>rental_company</x:v>
      </x:c>
      <x:c r="L1115" s="24" t="b">
        <x:v>1</x:v>
      </x:c>
      <x:c r="M1115" s="23" t="n">
        <x:v>1</x:v>
      </x:c>
      <x:c r="N1115" s="28" t="n">
        <x:v>46203.92188238426</x:v>
      </x:c>
      <x:c r="O1115" s="28" t="n">
        <x:v>46219.812988715275</x:v>
      </x:c>
      <x:c r="P1115" s="23" t="str">
        <x:v>BARRETOS</x:v>
      </x:c>
      <x:c r="Q1115" s="30" t="n">
        <x:v>35361</x:v>
      </x:c>
      <x:c r="R1115" s="22" t="str">
        <x:f>"498404845"</x:f>
        <x:v>498404845</x:v>
      </x:c>
      <x:c r="S1115" s="23" t="str">
        <x:v>masculino</x:v>
      </x:c>
      <x:c r="T1115" s="22" t="str"/>
      <x:c r="U1115" s="23" t="str">
        <x:v>EVALDO QUEIROZ DA SILVA</x:v>
      </x:c>
      <x:c r="V1115" s="22" t="str">
        <x:f>"354.799.278-84"</x:f>
        <x:v>354.799.278-84</x:v>
      </x:c>
      <x:c r="W1115" s="22" t="str">
        <x:f>"35479927884"</x:f>
        <x:v>35479927884</x:v>
      </x:c>
      <x:c r="X1115" s="23" t="str">
        <x:v>evaldoqueirozdasilvaqueiroz22@gmail.com</x:v>
      </x:c>
      <x:c r="Y1115" s="22" t="str">
        <x:f>"41997016510"</x:f>
        <x:v>41997016510</x:v>
      </x:c>
      <x:c r="Z1115" s="30" t="n">
        <x:v>46318</x:v>
      </x:c>
    </x:row>
    <x:row r="1116" ht="18" customHeight="1">
      <x:c r="A1116" s="22" t="str">
        <x:f>"386edb00-41c7-4531-8349-c6bc5f2081e7"</x:f>
        <x:v>386edb00-41c7-4531-8349-c6bc5f2081e7</x:v>
      </x:c>
      <x:c r="B1116" s="23" t="str">
        <x:v>EVANDRO DE OLIVEIRA LOURENCO</x:v>
      </x:c>
      <x:c r="C1116" s="23" t="str">
        <x:v>evandro de oliveira lourenco</x:v>
      </x:c>
      <x:c r="D1116" s="22" t="str">
        <x:f>"500732170001-08"</x:f>
        <x:v>500732170001-08</x:v>
      </x:c>
      <x:c r="E1116" s="22" t="str">
        <x:f>"50073217000108"</x:f>
        <x:v>50073217000108</x:v>
      </x:c>
      <x:c r="F1116" s="22" t="str">
        <x:f>"012957851-70"</x:f>
        <x:v>012957851-70</x:v>
      </x:c>
      <x:c r="G1116" s="22" t="str">
        <x:f>"01295785170"</x:f>
        <x:v>01295785170</x:v>
      </x:c>
      <x:c r="H1116" s="23" t="str">
        <x:v>evandromsoliveira@gmail.com</x:v>
      </x:c>
      <x:c r="I1116" s="22" t="str">
        <x:f>"65-99218-8094"</x:f>
        <x:v>65-99218-8094</x:v>
      </x:c>
      <x:c r="J1116" s="23" t="str">
        <x:v>SPOT</x:v>
      </x:c>
      <x:c r="K1116" s="23" t="str">
        <x:v>favored_only</x:v>
      </x:c>
      <x:c r="L1116" s="24" t="b">
        <x:v>1</x:v>
      </x:c>
      <x:c r="M1116" s="23" t="n">
        <x:v>13</x:v>
      </x:c>
      <x:c r="N1116" s="28" t="n">
        <x:v>46203.92183332176</x:v>
      </x:c>
      <x:c r="O1116" s="28" t="n">
        <x:v>46219.81489466435</x:v>
      </x:c>
      <x:c r="P1116" s="23" t="str"/>
      <x:c r="Q1116" s="30" t="str"/>
      <x:c r="R1116" s="22" t="str"/>
      <x:c r="S1116" s="23" t="str"/>
      <x:c r="T1116" s="22" t="str"/>
      <x:c r="U1116" s="23" t="str">
        <x:v>EVANDRO  DE OLIVEIRA LOURENÇO</x:v>
      </x:c>
      <x:c r="V1116" s="22" t="str">
        <x:f>"01295785170"</x:f>
        <x:v>01295785170</x:v>
      </x:c>
      <x:c r="W1116" s="22" t="str">
        <x:f>"01295785170"</x:f>
        <x:v>01295785170</x:v>
      </x:c>
      <x:c r="X1116" s="23" t="str">
        <x:v>evandromsoliveira@gmail.com</x:v>
      </x:c>
      <x:c r="Y1116" s="22" t="str">
        <x:f>"65992188094"</x:f>
        <x:v>65992188094</x:v>
      </x:c>
      <x:c r="Z1116" s="30" t="str"/>
    </x:row>
    <x:row r="1117" ht="18" customHeight="1">
      <x:c r="A1117" s="22" t="str">
        <x:f>"2127e420-88b2-452d-9732-f4a8cef43806"</x:f>
        <x:v>2127e420-88b2-452d-9732-f4a8cef43806</x:v>
      </x:c>
      <x:c r="B1117" s="23" t="str">
        <x:v>EVANDRO EULLER DA CRUZ SILVA</x:v>
      </x:c>
      <x:c r="C1117" s="23" t="str">
        <x:v>evandro euller da cruz silva</x:v>
      </x:c>
      <x:c r="D1117" s="22" t="str">
        <x:f>"62.402.814/0001-00"</x:f>
        <x:v>62.402.814/0001-00</x:v>
      </x:c>
      <x:c r="E1117" s="22" t="str">
        <x:f>"62402814000100"</x:f>
        <x:v>62402814000100</x:v>
      </x:c>
      <x:c r="F1117" s="22" t="str">
        <x:f>"166.971.197-80"</x:f>
        <x:v>166.971.197-80</x:v>
      </x:c>
      <x:c r="G1117" s="22" t="str">
        <x:f>"16697119780"</x:f>
        <x:v>16697119780</x:v>
      </x:c>
      <x:c r="H1117" s="23" t="str">
        <x:v>eullerevandro@gmail.com</x:v>
      </x:c>
      <x:c r="I1117" s="22" t="str">
        <x:f>"21 970993332"</x:f>
        <x:v>21 970993332</x:v>
      </x:c>
      <x:c r="J1117" s="23" t="str">
        <x:v>SPOT</x:v>
      </x:c>
      <x:c r="K1117" s="23" t="str">
        <x:v>favored_only</x:v>
      </x:c>
      <x:c r="L1117" s="24" t="b">
        <x:v>1</x:v>
      </x:c>
      <x:c r="M1117" s="23" t="n">
        <x:v>3</x:v>
      </x:c>
      <x:c r="N1117" s="28" t="n">
        <x:v>46203.921858726855</x:v>
      </x:c>
      <x:c r="O1117" s="28" t="n">
        <x:v>46219.812988715275</x:v>
      </x:c>
      <x:c r="P1117" s="23" t="str">
        <x:v>QUEIMADOS</x:v>
      </x:c>
      <x:c r="Q1117" s="30" t="n">
        <x:v>35256</x:v>
      </x:c>
      <x:c r="R1117" s="22" t="str">
        <x:f>"295508170"</x:f>
        <x:v>295508170</x:v>
      </x:c>
      <x:c r="S1117" s="23" t="str">
        <x:v>masculino</x:v>
      </x:c>
      <x:c r="T1117" s="22" t="str">
        <x:f>"QRB2A21"</x:f>
        <x:v>QRB2A21</x:v>
      </x:c>
      <x:c r="U1117" s="23" t="str">
        <x:v>EVANDRO EULLER DA CRUZ SILVA</x:v>
      </x:c>
      <x:c r="V1117" s="22" t="str">
        <x:f>"166.971.197-80"</x:f>
        <x:v>166.971.197-80</x:v>
      </x:c>
      <x:c r="W1117" s="22" t="str">
        <x:f>"16697119780"</x:f>
        <x:v>16697119780</x:v>
      </x:c>
      <x:c r="X1117" s="23" t="str">
        <x:v>eullerevandro@gmail.com</x:v>
      </x:c>
      <x:c r="Y1117" s="22" t="str">
        <x:f>"21 970993332"</x:f>
        <x:v>21 970993332</x:v>
      </x:c>
      <x:c r="Z1117" s="30" t="n">
        <x:v>46557</x:v>
      </x:c>
    </x:row>
    <x:row r="1118" ht="18" customHeight="1">
      <x:c r="A1118" s="22" t="str">
        <x:f>"44d46554-33fb-4bef-a6ab-afa6bdc2ea88"</x:f>
        <x:v>44d46554-33fb-4bef-a6ab-afa6bdc2ea88</x:v>
      </x:c>
      <x:c r="B1118" s="23" t="str">
        <x:v>EVANDRO FERREIRA DA SILVA</x:v>
      </x:c>
      <x:c r="C1118" s="23" t="str">
        <x:v>evandro ferreira da silva</x:v>
      </x:c>
      <x:c r="D1118" s="22" t="str">
        <x:f>"67.841.289/0001-42"</x:f>
        <x:v>67.841.289/0001-42</x:v>
      </x:c>
      <x:c r="E1118" s="22" t="str">
        <x:f>"67841289000142"</x:f>
        <x:v>67841289000142</x:v>
      </x:c>
      <x:c r="F1118" s="22" t="str">
        <x:f>"094.407.486-30"</x:f>
        <x:v>094.407.486-30</x:v>
      </x:c>
      <x:c r="G1118" s="22" t="str">
        <x:f>"09440748630"</x:f>
        <x:v>09440748630</x:v>
      </x:c>
      <x:c r="H1118" s="23" t="str">
        <x:v>EVANDROFERRSILVA20@GMAIL.COM</x:v>
      </x:c>
      <x:c r="I1118" s="22" t="str">
        <x:f>"38999262364"</x:f>
        <x:v>38999262364</x:v>
      </x:c>
      <x:c r="J1118" s="23" t="str">
        <x:v>rental</x:v>
      </x:c>
      <x:c r="K1118" s="23" t="str">
        <x:v>rental_company</x:v>
      </x:c>
      <x:c r="L1118" s="24" t="b">
        <x:v>1</x:v>
      </x:c>
      <x:c r="M1118" s="23" t="n">
        <x:v>1</x:v>
      </x:c>
      <x:c r="N1118" s="28" t="n">
        <x:v>46219.812988715275</x:v>
      </x:c>
      <x:c r="O1118" s="28" t="n">
        <x:v>46219.812988715275</x:v>
      </x:c>
      <x:c r="P1118" s="23" t="str">
        <x:v>UBERLANDIA</x:v>
      </x:c>
      <x:c r="Q1118" s="30" t="n">
        <x:v>32536</x:v>
      </x:c>
      <x:c r="R1118" s="22" t="str">
        <x:f>"MG16831823"</x:f>
        <x:v>MG16831823</x:v>
      </x:c>
      <x:c r="S1118" s="23" t="str">
        <x:v>masculino</x:v>
      </x:c>
      <x:c r="T1118" s="22" t="str"/>
      <x:c r="U1118" s="23" t="str">
        <x:v>EVANDRO FERREIRA DA SILVA</x:v>
      </x:c>
      <x:c r="V1118" s="22" t="str">
        <x:f>"094.407.486-30"</x:f>
        <x:v>094.407.486-30</x:v>
      </x:c>
      <x:c r="W1118" s="22" t="str">
        <x:f>"09440748630"</x:f>
        <x:v>09440748630</x:v>
      </x:c>
      <x:c r="X1118" s="23" t="str">
        <x:v>EVANDROFERRSILVA20@GMAIL.COM</x:v>
      </x:c>
      <x:c r="Y1118" s="22" t="str">
        <x:f>"38999262364"</x:f>
        <x:v>38999262364</x:v>
      </x:c>
      <x:c r="Z1118" s="30" t="n">
        <x:v>46574</x:v>
      </x:c>
    </x:row>
    <x:row r="1119" ht="18" customHeight="1">
      <x:c r="A1119" s="22" t="str">
        <x:f>"15d71bf9-8adf-4568-b374-18350ec4cc28"</x:f>
        <x:v>15d71bf9-8adf-4568-b374-18350ec4cc28</x:v>
      </x:c>
      <x:c r="B1119" s="23" t="str">
        <x:v>EVANIL DE LIMA ALVES</x:v>
      </x:c>
      <x:c r="C1119" s="23" t="str">
        <x:v>evanil de lima alves</x:v>
      </x:c>
      <x:c r="D1119" s="22" t="str">
        <x:f>"28.056.785/0001-33"</x:f>
        <x:v>28.056.785/0001-33</x:v>
      </x:c>
      <x:c r="E1119" s="22" t="str">
        <x:f>"28056785000133"</x:f>
        <x:v>28056785000133</x:v>
      </x:c>
      <x:c r="F1119" s="22" t="str">
        <x:f>"132.913.837-61"</x:f>
        <x:v>132.913.837-61</x:v>
      </x:c>
      <x:c r="G1119" s="22" t="str">
        <x:f>"13291383761"</x:f>
        <x:v>13291383761</x:v>
      </x:c>
      <x:c r="H1119" s="23" t="str">
        <x:v>evanillima93@gmail.com</x:v>
      </x:c>
      <x:c r="I1119" s="22" t="str">
        <x:f>"21976111830"</x:f>
        <x:v>21976111830</x:v>
      </x:c>
      <x:c r="J1119" s="23" t="str">
        <x:v>SPOT</x:v>
      </x:c>
      <x:c r="K1119" s="23" t="str">
        <x:v>favored_only</x:v>
      </x:c>
      <x:c r="L1119" s="24" t="b">
        <x:v>1</x:v>
      </x:c>
      <x:c r="M1119" s="23" t="n">
        <x:v>1</x:v>
      </x:c>
      <x:c r="N1119" s="28" t="n">
        <x:v>46219.812988715275</x:v>
      </x:c>
      <x:c r="O1119" s="28" t="n">
        <x:v>46219.812988715275</x:v>
      </x:c>
      <x:c r="P1119" s="23" t="str">
        <x:v>CAMPO GRANDE</x:v>
      </x:c>
      <x:c r="Q1119" s="30" t="n">
        <x:v>34095</x:v>
      </x:c>
      <x:c r="R1119" s="22" t="str">
        <x:f>"271308710"</x:f>
        <x:v>271308710</x:v>
      </x:c>
      <x:c r="S1119" s="23" t="str">
        <x:v>masculino</x:v>
      </x:c>
      <x:c r="T1119" s="22" t="str">
        <x:f>"KWI8A53"</x:f>
        <x:v>KWI8A53</x:v>
      </x:c>
      <x:c r="U1119" s="23" t="str">
        <x:v>THUANE ABRAHAO LOPES</x:v>
      </x:c>
      <x:c r="V1119" s="22" t="str">
        <x:f>"166.742.507-24"</x:f>
        <x:v>166.742.507-24</x:v>
      </x:c>
      <x:c r="W1119" s="22" t="str">
        <x:f>"16674250724"</x:f>
        <x:v>16674250724</x:v>
      </x:c>
      <x:c r="X1119" s="23" t="str">
        <x:v>thuaneabrahaolopes@gmail.com</x:v>
      </x:c>
      <x:c r="Y1119" s="22" t="str">
        <x:f>"21980965760"</x:f>
        <x:v>21980965760</x:v>
      </x:c>
      <x:c r="Z1119" s="30" t="n">
        <x:v>46549</x:v>
      </x:c>
    </x:row>
    <x:row r="1120" ht="18" customHeight="1">
      <x:c r="A1120" s="22" t="str">
        <x:f>"82b6b7e5-f225-4408-a373-9251c1e85e12"</x:f>
        <x:v>82b6b7e5-f225-4408-a373-9251c1e85e12</x:v>
      </x:c>
      <x:c r="B1120" s="23" t="str">
        <x:v>EVELIN MARTINIANO CAMPANELLA</x:v>
      </x:c>
      <x:c r="C1120" s="23" t="str">
        <x:v>evelin martiniano campanella</x:v>
      </x:c>
      <x:c r="D1120" s="22" t="str">
        <x:f>"62.865.211/0001-44"</x:f>
        <x:v>62.865.211/0001-44</x:v>
      </x:c>
      <x:c r="E1120" s="22" t="str">
        <x:f>"62865211000144"</x:f>
        <x:v>62865211000144</x:v>
      </x:c>
      <x:c r="F1120" s="22" t="str">
        <x:f>"218.587.788-75"</x:f>
        <x:v>218.587.788-75</x:v>
      </x:c>
      <x:c r="G1120" s="22" t="str">
        <x:f>"21858778875"</x:f>
        <x:v>21858778875</x:v>
      </x:c>
      <x:c r="H1120" s="23" t="str">
        <x:v>evelincampanella2019@gmail.com</x:v>
      </x:c>
      <x:c r="I1120" s="22" t="str">
        <x:f>"34992499707"</x:f>
        <x:v>34992499707</x:v>
      </x:c>
      <x:c r="J1120" s="23" t="str">
        <x:v>SPOT</x:v>
      </x:c>
      <x:c r="K1120" s="23" t="str">
        <x:v>favored_only</x:v>
      </x:c>
      <x:c r="L1120" s="24" t="b">
        <x:v>1</x:v>
      </x:c>
      <x:c r="M1120" s="23" t="n">
        <x:v>1</x:v>
      </x:c>
      <x:c r="N1120" s="28" t="n">
        <x:v>46203.92191240741</x:v>
      </x:c>
      <x:c r="O1120" s="28" t="n">
        <x:v>46219.812988715275</x:v>
      </x:c>
      <x:c r="P1120" s="23" t="str">
        <x:v>PATOS DE MINAS</x:v>
      </x:c>
      <x:c r="Q1120" s="30" t="n">
        <x:v>29943</x:v>
      </x:c>
      <x:c r="R1120" s="22" t="str">
        <x:f>"41915560 SSP"</x:f>
        <x:v>41915560 SSP</x:v>
      </x:c>
      <x:c r="S1120" s="23" t="str">
        <x:v>feminino</x:v>
      </x:c>
      <x:c r="T1120" s="22" t="str">
        <x:f>"RTQ0C34"</x:f>
        <x:v>RTQ0C34</x:v>
      </x:c>
      <x:c r="U1120" s="23" t="str">
        <x:v>EVELIN MARTINIANO CAMPANELLA</x:v>
      </x:c>
      <x:c r="V1120" s="22" t="str">
        <x:f>"218.587.788-75"</x:f>
        <x:v>218.587.788-75</x:v>
      </x:c>
      <x:c r="W1120" s="22" t="str">
        <x:f>"21858778875"</x:f>
        <x:v>21858778875</x:v>
      </x:c>
      <x:c r="X1120" s="23" t="str">
        <x:v>evelincampanella2019@gmail.com</x:v>
      </x:c>
      <x:c r="Y1120" s="22" t="str">
        <x:f>"34992499707"</x:f>
        <x:v>34992499707</x:v>
      </x:c>
      <x:c r="Z1120" s="30" t="n">
        <x:v>46212</x:v>
      </x:c>
    </x:row>
    <x:row r="1121" ht="18" customHeight="1">
      <x:c r="A1121" s="22" t="str">
        <x:f>"05938e02-59ab-47ca-ac27-04b1574f6356"</x:f>
        <x:v>05938e02-59ab-47ca-ac27-04b1574f6356</x:v>
      </x:c>
      <x:c r="B1121" s="23" t="str">
        <x:v>EVERSON APARECIDO FERNANDES CORREA</x:v>
      </x:c>
      <x:c r="C1121" s="23" t="str">
        <x:v>everson aparecido fernandes correa</x:v>
      </x:c>
      <x:c r="D1121" s="22" t="str">
        <x:f>"63.462.200/0001-86"</x:f>
        <x:v>63.462.200/0001-86</x:v>
      </x:c>
      <x:c r="E1121" s="22" t="str">
        <x:f>"63462200000186"</x:f>
        <x:v>63462200000186</x:v>
      </x:c>
      <x:c r="F1121" s="22" t="str">
        <x:f>"305.023.808-96"</x:f>
        <x:v>305.023.808-96</x:v>
      </x:c>
      <x:c r="G1121" s="22" t="str">
        <x:f>"30502380896"</x:f>
        <x:v>30502380896</x:v>
      </x:c>
      <x:c r="H1121" s="23" t="str">
        <x:v>aparecido8104@gmail.com</x:v>
      </x:c>
      <x:c r="I1121" s="22" t="str">
        <x:f>"18 991663356"</x:f>
        <x:v>18 991663356</x:v>
      </x:c>
      <x:c r="J1121" s="23" t="str">
        <x:v>RENTAL</x:v>
      </x:c>
      <x:c r="K1121" s="23" t="str">
        <x:v>rental_company</x:v>
      </x:c>
      <x:c r="L1121" s="24" t="b">
        <x:v>1</x:v>
      </x:c>
      <x:c r="M1121" s="23" t="n">
        <x:v>1</x:v>
      </x:c>
      <x:c r="N1121" s="28" t="n">
        <x:v>46203.921887453704</x:v>
      </x:c>
      <x:c r="O1121" s="28" t="n">
        <x:v>46219.812988715275</x:v>
      </x:c>
      <x:c r="P1121" s="23" t="str">
        <x:v>PRESIDENTE PRUDENTE</x:v>
      </x:c>
      <x:c r="Q1121" s="30" t="n">
        <x:v>29894</x:v>
      </x:c>
      <x:c r="R1121" s="22" t="str">
        <x:f>"45621272"</x:f>
        <x:v>45621272</x:v>
      </x:c>
      <x:c r="S1121" s="23" t="str">
        <x:v>masculino</x:v>
      </x:c>
      <x:c r="T1121" s="22" t="str"/>
      <x:c r="U1121" s="23" t="str">
        <x:v>EVERSON APARECIDO FERNANDES CORREA</x:v>
      </x:c>
      <x:c r="V1121" s="22" t="str">
        <x:f>"305.023.808-96"</x:f>
        <x:v>305.023.808-96</x:v>
      </x:c>
      <x:c r="W1121" s="22" t="str">
        <x:f>"30502380896"</x:f>
        <x:v>30502380896</x:v>
      </x:c>
      <x:c r="X1121" s="23" t="str">
        <x:v>aparecido8104@gmail.com</x:v>
      </x:c>
      <x:c r="Y1121" s="22" t="str">
        <x:f>"18 991663356"</x:f>
        <x:v>18 991663356</x:v>
      </x:c>
      <x:c r="Z1121" s="30" t="n">
        <x:v>46329</x:v>
      </x:c>
    </x:row>
    <x:row r="1122" ht="18" customHeight="1">
      <x:c r="A1122" s="22" t="str">
        <x:f>"76ef164a-408c-4b6b-af53-f8b9cedc6a3d"</x:f>
        <x:v>76ef164a-408c-4b6b-af53-f8b9cedc6a3d</x:v>
      </x:c>
      <x:c r="B1122" s="23" t="str">
        <x:v>EVERSON CAVALCANTE ROCHA</x:v>
      </x:c>
      <x:c r="C1122" s="23" t="str">
        <x:v>everson cavalcante rocha</x:v>
      </x:c>
      <x:c r="D1122" s="22" t="str">
        <x:f>"56.015.991/0001-30"</x:f>
        <x:v>56.015.991/0001-30</x:v>
      </x:c>
      <x:c r="E1122" s="22" t="str">
        <x:f>"56015991000130"</x:f>
        <x:v>56015991000130</x:v>
      </x:c>
      <x:c r="F1122" s="22" t="str">
        <x:f>"062.448.127-19"</x:f>
        <x:v>062.448.127-19</x:v>
      </x:c>
      <x:c r="G1122" s="22" t="str">
        <x:f>"06244812719"</x:f>
        <x:v>06244812719</x:v>
      </x:c>
      <x:c r="H1122" s="23" t="str">
        <x:v>eversonrocha.08@gmail.com</x:v>
      </x:c>
      <x:c r="I1122" s="22" t="str">
        <x:f>"21 97971-9037"</x:f>
        <x:v>21 97971-9037</x:v>
      </x:c>
      <x:c r="J1122" s="23" t="str">
        <x:v>SPOT</x:v>
      </x:c>
      <x:c r="K1122" s="23" t="str">
        <x:v>favored_only</x:v>
      </x:c>
      <x:c r="L1122" s="24" t="b">
        <x:v>1</x:v>
      </x:c>
      <x:c r="M1122" s="23" t="n">
        <x:v>1</x:v>
      </x:c>
      <x:c r="N1122" s="28" t="n">
        <x:v>46219.812988715275</x:v>
      </x:c>
      <x:c r="O1122" s="28" t="n">
        <x:v>46219.812988715275</x:v>
      </x:c>
      <x:c r="P1122" s="23" t="str">
        <x:v>IPATINGA</x:v>
      </x:c>
      <x:c r="Q1122" s="30" t="n">
        <x:v>33971</x:v>
      </x:c>
      <x:c r="R1122" s="22" t="str">
        <x:f>"307798140 DETR RJ"</x:f>
        <x:v>307798140 DETR RJ</x:v>
      </x:c>
      <x:c r="S1122" s="23" t="str">
        <x:v>masculino</x:v>
      </x:c>
      <x:c r="T1122" s="22" t="str">
        <x:f>"NXW0I69"</x:f>
        <x:v>NXW0I69</x:v>
      </x:c>
      <x:c r="U1122" s="23" t="str">
        <x:v>EVERSON CAVALCANTE ROCHA</x:v>
      </x:c>
      <x:c r="V1122" s="22" t="str">
        <x:f>"062.448.127-19"</x:f>
        <x:v>062.448.127-19</x:v>
      </x:c>
      <x:c r="W1122" s="22" t="str">
        <x:f>"06244812719"</x:f>
        <x:v>06244812719</x:v>
      </x:c>
      <x:c r="X1122" s="23" t="str">
        <x:v>eversonrocha.08@gmail.com</x:v>
      </x:c>
      <x:c r="Y1122" s="22" t="str">
        <x:f>"21 97971-9037"</x:f>
        <x:v>21 97971-9037</x:v>
      </x:c>
      <x:c r="Z1122" s="30" t="n">
        <x:v>46582</x:v>
      </x:c>
    </x:row>
    <x:row r="1123" ht="18" customHeight="1">
      <x:c r="A1123" s="22" t="str">
        <x:f>"cebf9345-b4d5-4cac-b8ff-c35d2d9a59b2"</x:f>
        <x:v>cebf9345-b4d5-4cac-b8ff-c35d2d9a59b2</x:v>
      </x:c>
      <x:c r="B1123" s="23" t="str">
        <x:v>Everson Fernandes De Souza</x:v>
      </x:c>
      <x:c r="C1123" s="23" t="str">
        <x:v>everson fernandes de souza</x:v>
      </x:c>
      <x:c r="D1123" s="22" t="str">
        <x:f>"61.314.272/0001-50"</x:f>
        <x:v>61.314.272/0001-50</x:v>
      </x:c>
      <x:c r="E1123" s="22" t="str">
        <x:f>"61314272000150"</x:f>
        <x:v>61314272000150</x:v>
      </x:c>
      <x:c r="F1123" s="22" t="str">
        <x:f>"140.387.216-39"</x:f>
        <x:v>140.387.216-39</x:v>
      </x:c>
      <x:c r="G1123" s="22" t="str">
        <x:f>"14038721639"</x:f>
        <x:v>14038721639</x:v>
      </x:c>
      <x:c r="H1123" s="23" t="str">
        <x:v>eversonfernandes430@gmail.com</x:v>
      </x:c>
      <x:c r="I1123" s="22" t="str">
        <x:f>"31997576015"</x:f>
        <x:v>31997576015</x:v>
      </x:c>
      <x:c r="J1123" s="23" t="str">
        <x:v>RENTAL</x:v>
      </x:c>
      <x:c r="K1123" s="23" t="str">
        <x:v>rental_company</x:v>
      </x:c>
      <x:c r="L1123" s="24" t="b">
        <x:v>1</x:v>
      </x:c>
      <x:c r="M1123" s="23" t="n">
        <x:v>1</x:v>
      </x:c>
      <x:c r="N1123" s="28" t="n">
        <x:v>46203.921840393516</x:v>
      </x:c>
      <x:c r="O1123" s="28" t="n">
        <x:v>46205.60493800926</x:v>
      </x:c>
      <x:c r="P1123" s="23" t="str">
        <x:v>CONTAGEM</x:v>
      </x:c>
      <x:c r="Q1123" s="30" t="n">
        <x:v>36807</x:v>
      </x:c>
      <x:c r="R1123" s="22" t="str">
        <x:f>"18644650"</x:f>
        <x:v>18644650</x:v>
      </x:c>
      <x:c r="S1123" s="23" t="str">
        <x:v>Masculino</x:v>
      </x:c>
      <x:c r="T1123" s="22" t="str"/>
      <x:c r="U1123" s="23" t="str">
        <x:v>Everson Fernandes De Souza</x:v>
      </x:c>
      <x:c r="V1123" s="22" t="str">
        <x:f>"14038721639"</x:f>
        <x:v>14038721639</x:v>
      </x:c>
      <x:c r="W1123" s="22" t="str">
        <x:f>"14038721639"</x:f>
        <x:v>14038721639</x:v>
      </x:c>
      <x:c r="X1123" s="23" t="str">
        <x:v>eversonfernandes430@gmail.com</x:v>
      </x:c>
      <x:c r="Y1123" s="22" t="str">
        <x:f>"31997576015"</x:f>
        <x:v>31997576015</x:v>
      </x:c>
      <x:c r="Z1123" s="30" t="n">
        <x:v>46218</x:v>
      </x:c>
    </x:row>
    <x:row r="1124" ht="18" customHeight="1">
      <x:c r="A1124" s="22" t="str">
        <x:f>"88925a75-a353-4ec6-be42-6646e40a1252"</x:f>
        <x:v>88925a75-a353-4ec6-be42-6646e40a1252</x:v>
      </x:c>
      <x:c r="B1124" s="23" t="str">
        <x:v>EVERSON MARREIROS DA COSTA E SILVA</x:v>
      </x:c>
      <x:c r="C1124" s="23" t="str">
        <x:v>everson marreiros da costa e silva</x:v>
      </x:c>
      <x:c r="D1124" s="22" t="str">
        <x:f>"40.323.179/0001-32"</x:f>
        <x:v>40.323.179/0001-32</x:v>
      </x:c>
      <x:c r="E1124" s="22" t="str">
        <x:f>"40323179000132"</x:f>
        <x:v>40323179000132</x:v>
      </x:c>
      <x:c r="F1124" s="22" t="str">
        <x:f>"041.926.553-81"</x:f>
        <x:v>041.926.553-81</x:v>
      </x:c>
      <x:c r="G1124" s="22" t="str">
        <x:f>"04192655381"</x:f>
        <x:v>04192655381</x:v>
      </x:c>
      <x:c r="H1124" s="23" t="str">
        <x:v>Isa.marreiros11@gmail.com</x:v>
      </x:c>
      <x:c r="I1124" s="22" t="str">
        <x:f>"11969143972"</x:f>
        <x:v>11969143972</x:v>
      </x:c>
      <x:c r="J1124" s="23" t="str">
        <x:v>SPOT</x:v>
      </x:c>
      <x:c r="K1124" s="23" t="str">
        <x:v>favored_only</x:v>
      </x:c>
      <x:c r="L1124" s="24" t="b">
        <x:v>1</x:v>
      </x:c>
      <x:c r="M1124" s="23" t="n">
        <x:v>1</x:v>
      </x:c>
      <x:c r="N1124" s="28" t="n">
        <x:v>46219.812988715275</x:v>
      </x:c>
      <x:c r="O1124" s="28" t="n">
        <x:v>46219.812988715275</x:v>
      </x:c>
      <x:c r="P1124" s="23" t="str">
        <x:v>BARUERI</x:v>
      </x:c>
      <x:c r="Q1124" s="30" t="n">
        <x:v>32460</x:v>
      </x:c>
      <x:c r="R1124" s="22" t="str">
        <x:f>"48394709"</x:f>
        <x:v>48394709</x:v>
      </x:c>
      <x:c r="S1124" s="23" t="str">
        <x:v>masculino</x:v>
      </x:c>
      <x:c r="T1124" s="22" t="str">
        <x:f>"PQK5535"</x:f>
        <x:v>PQK5535</x:v>
      </x:c>
      <x:c r="U1124" s="23" t="str">
        <x:v>EVERSON MARREIROS DA COSTA E SILVA</x:v>
      </x:c>
      <x:c r="V1124" s="22" t="str">
        <x:f>"041.926.553-81"</x:f>
        <x:v>041.926.553-81</x:v>
      </x:c>
      <x:c r="W1124" s="22" t="str">
        <x:f>"04192655381"</x:f>
        <x:v>04192655381</x:v>
      </x:c>
      <x:c r="X1124" s="23" t="str">
        <x:v>Isa.marreiros11@gmail.com</x:v>
      </x:c>
      <x:c r="Y1124" s="22" t="str">
        <x:f>"11969143972"</x:f>
        <x:v>11969143972</x:v>
      </x:c>
      <x:c r="Z1124" s="30" t="n">
        <x:v>46499</x:v>
      </x:c>
    </x:row>
    <x:row r="1125" ht="18" customHeight="1">
      <x:c r="A1125" s="22" t="str">
        <x:f>"2445c539-fe9d-41f1-ae09-648b44088eb5"</x:f>
        <x:v>2445c539-fe9d-41f1-ae09-648b44088eb5</x:v>
      </x:c>
      <x:c r="B1125" s="23" t="str">
        <x:v>EVERSON MATHEUS TEXEIRA</x:v>
      </x:c>
      <x:c r="C1125" s="23" t="str">
        <x:v>everson matheus texeira</x:v>
      </x:c>
      <x:c r="D1125" s="22" t="str">
        <x:f>"32.117.313/0001-10"</x:f>
        <x:v>32.117.313/0001-10</x:v>
      </x:c>
      <x:c r="E1125" s="22" t="str">
        <x:f>"32117313000110"</x:f>
        <x:v>32117313000110</x:v>
      </x:c>
      <x:c r="F1125" s="22" t="str">
        <x:f>"052.588.667-26"</x:f>
        <x:v>052.588.667-26</x:v>
      </x:c>
      <x:c r="G1125" s="22" t="str">
        <x:f>"05258866726"</x:f>
        <x:v>05258866726</x:v>
      </x:c>
      <x:c r="H1125" s="23" t="str">
        <x:v>evermatheust@gmail.com</x:v>
      </x:c>
      <x:c r="I1125" s="22" t="str">
        <x:f>"21968328107"</x:f>
        <x:v>21968328107</x:v>
      </x:c>
      <x:c r="J1125" s="23" t="str">
        <x:v>SPOT</x:v>
      </x:c>
      <x:c r="K1125" s="23" t="str">
        <x:v>favored_only</x:v>
      </x:c>
      <x:c r="L1125" s="24" t="b">
        <x:v>1</x:v>
      </x:c>
      <x:c r="M1125" s="23" t="n">
        <x:v>1</x:v>
      </x:c>
      <x:c r="N1125" s="28" t="n">
        <x:v>46203.92189349537</x:v>
      </x:c>
      <x:c r="O1125" s="28" t="n">
        <x:v>46219.812988715275</x:v>
      </x:c>
      <x:c r="P1125" s="23" t="str">
        <x:v>CORDOVIL</x:v>
      </x:c>
      <x:c r="Q1125" s="30" t="n">
        <x:v>28615</x:v>
      </x:c>
      <x:c r="R1125" s="22" t="str">
        <x:f>"116221607"</x:f>
        <x:v>116221607</x:v>
      </x:c>
      <x:c r="S1125" s="23" t="str">
        <x:v>masculino</x:v>
      </x:c>
      <x:c r="T1125" s="22" t="str">
        <x:f>"KNS6G65"</x:f>
        <x:v>KNS6G65</x:v>
      </x:c>
      <x:c r="U1125" s="23" t="str">
        <x:v>EVERSON MATHEUS TEXEIRA</x:v>
      </x:c>
      <x:c r="V1125" s="22" t="str">
        <x:f>"052.588.667-26"</x:f>
        <x:v>052.588.667-26</x:v>
      </x:c>
      <x:c r="W1125" s="22" t="str">
        <x:f>"05258866726"</x:f>
        <x:v>05258866726</x:v>
      </x:c>
      <x:c r="X1125" s="23" t="str">
        <x:v>evermatheust@gmail.com</x:v>
      </x:c>
      <x:c r="Y1125" s="22" t="str">
        <x:f>"21968328107"</x:f>
        <x:v>21968328107</x:v>
      </x:c>
      <x:c r="Z1125" s="30" t="n">
        <x:v>46344</x:v>
      </x:c>
    </x:row>
    <x:row r="1126" ht="18" customHeight="1">
      <x:c r="A1126" s="22" t="str">
        <x:f>"992196d5-09fd-4048-b510-5fe0b361d6aa"</x:f>
        <x:v>992196d5-09fd-4048-b510-5fe0b361d6aa</x:v>
      </x:c>
      <x:c r="B1126" s="23" t="str">
        <x:v>EVERTON CESAR COSTA DE SOUZA</x:v>
      </x:c>
      <x:c r="C1126" s="23" t="str">
        <x:v>everton cesar costa de souza</x:v>
      </x:c>
      <x:c r="D1126" s="22" t="str">
        <x:f>"40.419.732/0001-35"</x:f>
        <x:v>40.419.732/0001-35</x:v>
      </x:c>
      <x:c r="E1126" s="22" t="str">
        <x:f>"40419732000135"</x:f>
        <x:v>40419732000135</x:v>
      </x:c>
      <x:c r="F1126" s="22" t="str">
        <x:f>"414.359.458-75"</x:f>
        <x:v>414.359.458-75</x:v>
      </x:c>
      <x:c r="G1126" s="22" t="str">
        <x:f>"41435945875"</x:f>
        <x:v>41435945875</x:v>
      </x:c>
      <x:c r="H1126" s="23" t="str">
        <x:v>evertonpb837@gmail.com</x:v>
      </x:c>
      <x:c r="I1126" s="22" t="str">
        <x:f>"14991744269"</x:f>
        <x:v>14991744269</x:v>
      </x:c>
      <x:c r="J1126" s="23" t="str">
        <x:v>RENTAL</x:v>
      </x:c>
      <x:c r="K1126" s="23" t="str">
        <x:v>rental_company</x:v>
      </x:c>
      <x:c r="L1126" s="24" t="b">
        <x:v>1</x:v>
      </x:c>
      <x:c r="M1126" s="23" t="n">
        <x:v>1</x:v>
      </x:c>
      <x:c r="N1126" s="28" t="n">
        <x:v>46203.921904421295</x:v>
      </x:c>
      <x:c r="O1126" s="28" t="n">
        <x:v>46219.812988715275</x:v>
      </x:c>
      <x:c r="P1126" s="23" t="str">
        <x:v>BAURU</x:v>
      </x:c>
      <x:c r="Q1126" s="30" t="n">
        <x:v>35955</x:v>
      </x:c>
      <x:c r="R1126" s="22" t="str">
        <x:f>"499898825"</x:f>
        <x:v>499898825</x:v>
      </x:c>
      <x:c r="S1126" s="23" t="str">
        <x:v>masculino</x:v>
      </x:c>
      <x:c r="T1126" s="22" t="str"/>
      <x:c r="U1126" s="23" t="str">
        <x:v>EVERTON CESAR COSTA DE SOUZA</x:v>
      </x:c>
      <x:c r="V1126" s="22" t="str">
        <x:f>"414.359.458-75"</x:f>
        <x:v>414.359.458-75</x:v>
      </x:c>
      <x:c r="W1126" s="22" t="str">
        <x:f>"41435945875"</x:f>
        <x:v>41435945875</x:v>
      </x:c>
      <x:c r="X1126" s="23" t="str">
        <x:v>evertonpb837@gmail.com</x:v>
      </x:c>
      <x:c r="Y1126" s="22" t="str">
        <x:f>"14991744269"</x:f>
        <x:v>14991744269</x:v>
      </x:c>
      <x:c r="Z1126" s="30" t="n">
        <x:v>46366</x:v>
      </x:c>
    </x:row>
    <x:row r="1127" ht="18" customHeight="1">
      <x:c r="A1127" s="22" t="str">
        <x:f>"666ed778-ef9a-4357-a9d9-8e30b3f9539b"</x:f>
        <x:v>666ed778-ef9a-4357-a9d9-8e30b3f9539b</x:v>
      </x:c>
      <x:c r="B1127" s="23" t="str">
        <x:v>EVERTON LUIZ BENTO</x:v>
      </x:c>
      <x:c r="C1127" s="23" t="str">
        <x:v>everton luiz bento</x:v>
      </x:c>
      <x:c r="D1127" s="22" t="str">
        <x:f>"58.286.821/0001-16"</x:f>
        <x:v>58.286.821/0001-16</x:v>
      </x:c>
      <x:c r="E1127" s="22" t="str">
        <x:f>"58286821000116"</x:f>
        <x:v>58286821000116</x:v>
      </x:c>
      <x:c r="F1127" s="22" t="str">
        <x:f>"044.970.196-40"</x:f>
        <x:v>044.970.196-40</x:v>
      </x:c>
      <x:c r="G1127" s="22" t="str">
        <x:f>"04497019640"</x:f>
        <x:v>04497019640</x:v>
      </x:c>
      <x:c r="H1127" s="23" t="str">
        <x:v>Evertonluizbento75@gmail.com</x:v>
      </x:c>
      <x:c r="I1127" s="22" t="str">
        <x:f>"35997398253"</x:f>
        <x:v>35997398253</x:v>
      </x:c>
      <x:c r="J1127" s="23" t="str">
        <x:v>RENTAL</x:v>
      </x:c>
      <x:c r="K1127" s="23" t="str">
        <x:v>rental_company</x:v>
      </x:c>
      <x:c r="L1127" s="24" t="b">
        <x:v>1</x:v>
      </x:c>
      <x:c r="M1127" s="23" t="n">
        <x:v>1</x:v>
      </x:c>
      <x:c r="N1127" s="28" t="n">
        <x:v>46203.92183332176</x:v>
      </x:c>
      <x:c r="O1127" s="28" t="n">
        <x:v>46205.604659826386</x:v>
      </x:c>
      <x:c r="P1127" s="23" t="str">
        <x:v>POUSO ALEGRE</x:v>
      </x:c>
      <x:c r="Q1127" s="30" t="n">
        <x:v>29529</x:v>
      </x:c>
      <x:c r="R1127" s="22" t="str">
        <x:f>"11629819"</x:f>
        <x:v>11629819</x:v>
      </x:c>
      <x:c r="S1127" s="23" t="str">
        <x:v>Masculino</x:v>
      </x:c>
      <x:c r="T1127" s="22" t="str"/>
      <x:c r="U1127" s="23" t="str">
        <x:v>EVERTON LUIZ BENTO</x:v>
      </x:c>
      <x:c r="V1127" s="22" t="str">
        <x:f>"04497019640"</x:f>
        <x:v>04497019640</x:v>
      </x:c>
      <x:c r="W1127" s="22" t="str">
        <x:f>"04497019640"</x:f>
        <x:v>04497019640</x:v>
      </x:c>
      <x:c r="X1127" s="23" t="str">
        <x:v>Evertonluizbento75@gmail.com</x:v>
      </x:c>
      <x:c r="Y1127" s="22" t="str">
        <x:f>"35997398253"</x:f>
        <x:v>35997398253</x:v>
      </x:c>
      <x:c r="Z1127" s="30" t="n">
        <x:v>46206</x:v>
      </x:c>
    </x:row>
    <x:row r="1128" ht="18" customHeight="1">
      <x:c r="A1128" s="22" t="str">
        <x:f>"5ecee83f-2b72-48c8-a704-5734492835c0"</x:f>
        <x:v>5ecee83f-2b72-48c8-a704-5734492835c0</x:v>
      </x:c>
      <x:c r="B1128" s="23" t="str">
        <x:v>EVERTON LUIZ GUIMARAES SILVA</x:v>
      </x:c>
      <x:c r="C1128" s="23" t="str">
        <x:v>everton luiz guimaraes silva</x:v>
      </x:c>
      <x:c r="D1128" s="22" t="str">
        <x:f>"63.205.802/0001-58"</x:f>
        <x:v>63.205.802/0001-58</x:v>
      </x:c>
      <x:c r="E1128" s="22" t="str">
        <x:f>"63205802000158"</x:f>
        <x:v>63205802000158</x:v>
      </x:c>
      <x:c r="F1128" s="22" t="str">
        <x:f>"450.980.768-62"</x:f>
        <x:v>450.980.768-62</x:v>
      </x:c>
      <x:c r="G1128" s="22" t="str">
        <x:f>"45098076862"</x:f>
        <x:v>45098076862</x:v>
      </x:c>
      <x:c r="H1128" s="23" t="str">
        <x:v>guimaraeseverton207@gmail.com</x:v>
      </x:c>
      <x:c r="I1128" s="22" t="str">
        <x:f>"11956989916"</x:f>
        <x:v>11956989916</x:v>
      </x:c>
      <x:c r="J1128" s="23" t="str">
        <x:v>RENTAL</x:v>
      </x:c>
      <x:c r="K1128" s="23" t="str">
        <x:v>rental_company</x:v>
      </x:c>
      <x:c r="L1128" s="24" t="b">
        <x:v>1</x:v>
      </x:c>
      <x:c r="M1128" s="23" t="n">
        <x:v>1</x:v>
      </x:c>
      <x:c r="N1128" s="28" t="n">
        <x:v>46219.812988715275</x:v>
      </x:c>
      <x:c r="O1128" s="28" t="n">
        <x:v>46219.812988715275</x:v>
      </x:c>
      <x:c r="P1128" s="23" t="str">
        <x:v>MADEIRA MADEIRA</x:v>
      </x:c>
      <x:c r="Q1128" s="30" t="n">
        <x:v>35384</x:v>
      </x:c>
      <x:c r="R1128" s="22" t="str">
        <x:f>"506548740"</x:f>
        <x:v>506548740</x:v>
      </x:c>
      <x:c r="S1128" s="23" t="str">
        <x:v>masculino</x:v>
      </x:c>
      <x:c r="T1128" s="22" t="str"/>
      <x:c r="U1128" s="23" t="str">
        <x:v>EVERTON LUIZ GUIMARAES SILVA</x:v>
      </x:c>
      <x:c r="V1128" s="22" t="str">
        <x:f>"450.980.768-62"</x:f>
        <x:v>450.980.768-62</x:v>
      </x:c>
      <x:c r="W1128" s="22" t="str">
        <x:f>"45098076862"</x:f>
        <x:v>45098076862</x:v>
      </x:c>
      <x:c r="X1128" s="23" t="str">
        <x:v>guimaraeseverton207@gmail.com</x:v>
      </x:c>
      <x:c r="Y1128" s="22" t="str">
        <x:f>"11956989916"</x:f>
        <x:v>11956989916</x:v>
      </x:c>
      <x:c r="Z1128" s="30" t="n">
        <x:v>46460</x:v>
      </x:c>
    </x:row>
    <x:row r="1129" ht="18" customHeight="1">
      <x:c r="A1129" s="22" t="str">
        <x:f>"f6289d6e-4dc3-4f90-829b-70305617716d"</x:f>
        <x:v>f6289d6e-4dc3-4f90-829b-70305617716d</x:v>
      </x:c>
      <x:c r="B1129" s="23" t="str">
        <x:v>EWALDO FRANKLIN BATISTA</x:v>
      </x:c>
      <x:c r="C1129" s="23" t="str">
        <x:v>ewaldo franklin batista</x:v>
      </x:c>
      <x:c r="D1129" s="22" t="str">
        <x:f>"67.318.595/0001-07"</x:f>
        <x:v>67.318.595/0001-07</x:v>
      </x:c>
      <x:c r="E1129" s="22" t="str">
        <x:f>"67318595000107"</x:f>
        <x:v>67318595000107</x:v>
      </x:c>
      <x:c r="F1129" s="22" t="str">
        <x:f>"033.365.256-19"</x:f>
        <x:v>033.365.256-19</x:v>
      </x:c>
      <x:c r="G1129" s="22" t="str">
        <x:f>"03336525619"</x:f>
        <x:v>03336525619</x:v>
      </x:c>
      <x:c r="H1129" s="23" t="str">
        <x:v>godofb@hotmail.com</x:v>
      </x:c>
      <x:c r="I1129" s="22" t="str">
        <x:f>"31 986420739"</x:f>
        <x:v>31 986420739</x:v>
      </x:c>
      <x:c r="J1129" s="23" t="str">
        <x:v>SPOT</x:v>
      </x:c>
      <x:c r="K1129" s="23" t="str">
        <x:v>favored_only</x:v>
      </x:c>
      <x:c r="L1129" s="24" t="b">
        <x:v>1</x:v>
      </x:c>
      <x:c r="M1129" s="23" t="n">
        <x:v>1</x:v>
      </x:c>
      <x:c r="N1129" s="28" t="n">
        <x:v>46219.812988715275</x:v>
      </x:c>
      <x:c r="O1129" s="28" t="n">
        <x:v>46219.812988715275</x:v>
      </x:c>
      <x:c r="P1129" s="23" t="str">
        <x:v>CONTAGEM</x:v>
      </x:c>
      <x:c r="Q1129" s="30" t="n">
        <x:v>27428</x:v>
      </x:c>
      <x:c r="R1129" s="22" t="str">
        <x:f>"6166745"</x:f>
        <x:v>6166745</x:v>
      </x:c>
      <x:c r="S1129" s="23" t="str">
        <x:v>masculino</x:v>
      </x:c>
      <x:c r="T1129" s="22" t="str">
        <x:f>"HIR2005"</x:f>
        <x:v>HIR2005</x:v>
      </x:c>
      <x:c r="U1129" s="23" t="str">
        <x:v>EWALDO FRANKLIN BATISTA</x:v>
      </x:c>
      <x:c r="V1129" s="22" t="str">
        <x:f>"033.365.256-19"</x:f>
        <x:v>033.365.256-19</x:v>
      </x:c>
      <x:c r="W1129" s="22" t="str">
        <x:f>"03336525619"</x:f>
        <x:v>03336525619</x:v>
      </x:c>
      <x:c r="X1129" s="23" t="str">
        <x:v>godofb@hotmail.com</x:v>
      </x:c>
      <x:c r="Y1129" s="22" t="str">
        <x:f>"31 986420739"</x:f>
        <x:v>31 986420739</x:v>
      </x:c>
      <x:c r="Z1129" s="30" t="n">
        <x:v>46558</x:v>
      </x:c>
    </x:row>
    <x:row r="1130" ht="18" customHeight="1">
      <x:c r="A1130" s="22" t="str">
        <x:f>"3ef9f1a3-a4d5-4d8c-acd3-f998216b6655"</x:f>
        <x:v>3ef9f1a3-a4d5-4d8c-acd3-f998216b6655</x:v>
      </x:c>
      <x:c r="B1130" s="23" t="str">
        <x:v>EWERTON EMANUEL SILVA OLIVEIRA</x:v>
      </x:c>
      <x:c r="C1130" s="23" t="str">
        <x:v>ewerton emanuel silva oliveira</x:v>
      </x:c>
      <x:c r="D1130" s="22" t="str">
        <x:f>"61.920.929/0001-23"</x:f>
        <x:v>61.920.929/0001-23</x:v>
      </x:c>
      <x:c r="E1130" s="22" t="str">
        <x:f>"61920929000123"</x:f>
        <x:v>61920929000123</x:v>
      </x:c>
      <x:c r="F1130" s="22" t="str">
        <x:f>"019.310.316-81"</x:f>
        <x:v>019.310.316-81</x:v>
      </x:c>
      <x:c r="G1130" s="22" t="str">
        <x:f>"01931031681"</x:f>
        <x:v>01931031681</x:v>
      </x:c>
      <x:c r="H1130" s="23" t="str">
        <x:v>ewertoneroseli@gmail.com</x:v>
      </x:c>
      <x:c r="I1130" s="22" t="str">
        <x:f>"31995665241"</x:f>
        <x:v>31995665241</x:v>
      </x:c>
      <x:c r="J1130" s="23" t="str">
        <x:v>RENTAL</x:v>
      </x:c>
      <x:c r="K1130" s="23" t="str">
        <x:v>rental_company</x:v>
      </x:c>
      <x:c r="L1130" s="24" t="b">
        <x:v>1</x:v>
      </x:c>
      <x:c r="M1130" s="23" t="n">
        <x:v>1</x:v>
      </x:c>
      <x:c r="N1130" s="28" t="n">
        <x:v>46219.812988715275</x:v>
      </x:c>
      <x:c r="O1130" s="28" t="n">
        <x:v>46219.812988715275</x:v>
      </x:c>
      <x:c r="P1130" s="23" t="str">
        <x:v>NOVA LIMA</x:v>
      </x:c>
      <x:c r="Q1130" s="30" t="n">
        <x:v>37308</x:v>
      </x:c>
      <x:c r="R1130" s="22" t="str">
        <x:f>"22311529"</x:f>
        <x:v>22311529</x:v>
      </x:c>
      <x:c r="S1130" s="23" t="str">
        <x:v>masculino</x:v>
      </x:c>
      <x:c r="T1130" s="22" t="str"/>
      <x:c r="U1130" s="23" t="str">
        <x:v>EWERTON EMANUEL SILVA OLIVEIRA</x:v>
      </x:c>
      <x:c r="V1130" s="22" t="str">
        <x:f>"019.310.316-81"</x:f>
        <x:v>019.310.316-81</x:v>
      </x:c>
      <x:c r="W1130" s="22" t="str">
        <x:f>"01931031681"</x:f>
        <x:v>01931031681</x:v>
      </x:c>
      <x:c r="X1130" s="23" t="str">
        <x:v>ewertoneroseli@gmail.com</x:v>
      </x:c>
      <x:c r="Y1130" s="22" t="str">
        <x:f>"31995665241"</x:f>
        <x:v>31995665241</x:v>
      </x:c>
      <x:c r="Z1130" s="30" t="n">
        <x:v>46557</x:v>
      </x:c>
    </x:row>
    <x:row r="1131" ht="18" customHeight="1">
      <x:c r="A1131" s="22" t="str">
        <x:f>"37b39a64-6e03-4e2a-a2b4-c477e38f8a4c"</x:f>
        <x:v>37b39a64-6e03-4e2a-a2b4-c477e38f8a4c</x:v>
      </x:c>
      <x:c r="B1131" s="23" t="str">
        <x:v>EWERTON WILLIAM MATOS DOS SANTOS DANTAS</x:v>
      </x:c>
      <x:c r="C1131" s="23" t="str">
        <x:v>ewerton william matos dos santos dantas</x:v>
      </x:c>
      <x:c r="D1131" s="22" t="str">
        <x:f>"62.186.399/0001-02"</x:f>
        <x:v>62.186.399/0001-02</x:v>
      </x:c>
      <x:c r="E1131" s="22" t="str">
        <x:f>"62186399000102"</x:f>
        <x:v>62186399000102</x:v>
      </x:c>
      <x:c r="F1131" s="22" t="str">
        <x:f>"416.867.528-90"</x:f>
        <x:v>416.867.528-90</x:v>
      </x:c>
      <x:c r="G1131" s="22" t="str">
        <x:f>"41686752890"</x:f>
        <x:v>41686752890</x:v>
      </x:c>
      <x:c r="H1131" s="23" t="str">
        <x:v>ewertondantas2@gmail.com</x:v>
      </x:c>
      <x:c r="I1131" s="22" t="str">
        <x:f>"(18) 98170-4936"</x:f>
        <x:v>(18) 98170-4936</x:v>
      </x:c>
      <x:c r="J1131" s="23" t="str">
        <x:v>RENTAL</x:v>
      </x:c>
      <x:c r="K1131" s="23" t="str">
        <x:v>rental_company</x:v>
      </x:c>
      <x:c r="L1131" s="24" t="b">
        <x:v>1</x:v>
      </x:c>
      <x:c r="M1131" s="23" t="n">
        <x:v>1</x:v>
      </x:c>
      <x:c r="N1131" s="28" t="n">
        <x:v>46203.92188238426</x:v>
      </x:c>
      <x:c r="O1131" s="28" t="n">
        <x:v>46219.812988715275</x:v>
      </x:c>
      <x:c r="P1131" s="23" t="str">
        <x:v>PRESIDENTE PRUDENTE</x:v>
      </x:c>
      <x:c r="Q1131" s="30" t="n">
        <x:v>34476</x:v>
      </x:c>
      <x:c r="R1131" s="22" t="str">
        <x:f>"405415990"</x:f>
        <x:v>405415990</x:v>
      </x:c>
      <x:c r="S1131" s="23" t="str">
        <x:v>masculino</x:v>
      </x:c>
      <x:c r="T1131" s="22" t="str"/>
      <x:c r="U1131" s="23" t="str">
        <x:v>EWERTON WILLIAM MATOS DOS SANTOS DANTAS</x:v>
      </x:c>
      <x:c r="V1131" s="22" t="str">
        <x:f>"416.867.528-90"</x:f>
        <x:v>416.867.528-90</x:v>
      </x:c>
      <x:c r="W1131" s="22" t="str">
        <x:f>"41686752890"</x:f>
        <x:v>41686752890</x:v>
      </x:c>
      <x:c r="X1131" s="23" t="str">
        <x:v>ewertondantas2@gmail.com</x:v>
      </x:c>
      <x:c r="Y1131" s="22" t="str">
        <x:f>"(18) 98170-4936"</x:f>
        <x:v>(18) 98170-4936</x:v>
      </x:c>
      <x:c r="Z1131" s="30" t="n">
        <x:v>46323</x:v>
      </x:c>
    </x:row>
    <x:row r="1132" ht="18" customHeight="1">
      <x:c r="A1132" s="22" t="str">
        <x:f>"9059ec50-fec5-4eca-85b6-a6b70a85f589"</x:f>
        <x:v>9059ec50-fec5-4eca-85b6-a6b70a85f589</x:v>
      </x:c>
      <x:c r="B1132" s="23" t="str">
        <x:v>EZEQUIEL DA ROCHA SILVA</x:v>
      </x:c>
      <x:c r="C1132" s="23" t="str">
        <x:v>ezequiel da rocha silva</x:v>
      </x:c>
      <x:c r="D1132" s="22" t="str">
        <x:f>"60.198.423/0001-90"</x:f>
        <x:v>60.198.423/0001-90</x:v>
      </x:c>
      <x:c r="E1132" s="22" t="str">
        <x:f>"60198423000190"</x:f>
        <x:v>60198423000190</x:v>
      </x:c>
      <x:c r="F1132" s="22" t="str">
        <x:f>"119.941.236-80"</x:f>
        <x:v>119.941.236-80</x:v>
      </x:c>
      <x:c r="G1132" s="22" t="str">
        <x:f>"11994123680"</x:f>
        <x:v>11994123680</x:v>
      </x:c>
      <x:c r="H1132" s="23" t="str">
        <x:v>rochaezequiel417@gmail.com</x:v>
      </x:c>
      <x:c r="I1132" s="22" t="str">
        <x:f>"3199707199"</x:f>
        <x:v>3199707199</x:v>
      </x:c>
      <x:c r="J1132" s="23" t="str">
        <x:v>RENTAL</x:v>
      </x:c>
      <x:c r="K1132" s="23" t="str">
        <x:v>rental_company</x:v>
      </x:c>
      <x:c r="L1132" s="24" t="b">
        <x:v>1</x:v>
      </x:c>
      <x:c r="M1132" s="23" t="n">
        <x:v>1</x:v>
      </x:c>
      <x:c r="N1132" s="28" t="n">
        <x:v>46203.92189965278</x:v>
      </x:c>
      <x:c r="O1132" s="28" t="n">
        <x:v>46219.812988715275</x:v>
      </x:c>
      <x:c r="P1132" s="23" t="str">
        <x:v>NOVA LIMA</x:v>
      </x:c>
      <x:c r="Q1132" s="30" t="n">
        <x:v>33542</x:v>
      </x:c>
      <x:c r="R1132" s="22" t="str">
        <x:f>"15780521"</x:f>
        <x:v>15780521</x:v>
      </x:c>
      <x:c r="S1132" s="23" t="str">
        <x:v>masculino</x:v>
      </x:c>
      <x:c r="T1132" s="22" t="str"/>
      <x:c r="U1132" s="23" t="str">
        <x:v>EZEQUIEL DA ROCHA SILVA</x:v>
      </x:c>
      <x:c r="V1132" s="22" t="str">
        <x:f>"119.941.236-80"</x:f>
        <x:v>119.941.236-80</x:v>
      </x:c>
      <x:c r="W1132" s="22" t="str">
        <x:f>"11994123680"</x:f>
        <x:v>11994123680</x:v>
      </x:c>
      <x:c r="X1132" s="23" t="str">
        <x:v>rochaezequiel417@gmail.com</x:v>
      </x:c>
      <x:c r="Y1132" s="22" t="str">
        <x:f>"3199707199"</x:f>
        <x:v>3199707199</x:v>
      </x:c>
      <x:c r="Z1132" s="30" t="n">
        <x:v>46345</x:v>
      </x:c>
    </x:row>
    <x:row r="1133" ht="18" customHeight="1">
      <x:c r="A1133" s="22" t="str">
        <x:f>"701d8fa4-6a10-4d4f-928c-9cffb79f3aa0"</x:f>
        <x:v>701d8fa4-6a10-4d4f-928c-9cffb79f3aa0</x:v>
      </x:c>
      <x:c r="B1133" s="23" t="str">
        <x:v>EZEQUIEL DA SILVA JUNIOR</x:v>
      </x:c>
      <x:c r="C1133" s="23" t="str">
        <x:v>ezequiel da silva junior</x:v>
      </x:c>
      <x:c r="D1133" s="22" t="str">
        <x:f>"47.905.993/0001-04"</x:f>
        <x:v>47.905.993/0001-04</x:v>
      </x:c>
      <x:c r="E1133" s="22" t="str">
        <x:f>"47905993000104"</x:f>
        <x:v>47905993000104</x:v>
      </x:c>
      <x:c r="F1133" s="22" t="str">
        <x:f>"118.577.866-70"</x:f>
        <x:v>118.577.866-70</x:v>
      </x:c>
      <x:c r="G1133" s="22" t="str">
        <x:f>"11857786670"</x:f>
        <x:v>11857786670</x:v>
      </x:c>
      <x:c r="H1133" s="23" t="str">
        <x:v>juniormoura3005@gmail.com</x:v>
      </x:c>
      <x:c r="I1133" s="22" t="str">
        <x:f>"31993116947"</x:f>
        <x:v>31993116947</x:v>
      </x:c>
      <x:c r="J1133" s="23" t="str">
        <x:v>SPOT</x:v>
      </x:c>
      <x:c r="K1133" s="23" t="str">
        <x:v>favored_only</x:v>
      </x:c>
      <x:c r="L1133" s="24" t="b">
        <x:v>1</x:v>
      </x:c>
      <x:c r="M1133" s="23" t="n">
        <x:v>1</x:v>
      </x:c>
      <x:c r="N1133" s="28" t="n">
        <x:v>46203.921840393516</x:v>
      </x:c>
      <x:c r="O1133" s="28" t="n">
        <x:v>46219.812988715275</x:v>
      </x:c>
      <x:c r="P1133" s="23" t="str">
        <x:v>CONTAGEM</x:v>
      </x:c>
      <x:c r="Q1133" s="30" t="n">
        <x:v>36310</x:v>
      </x:c>
      <x:c r="R1133" s="22" t="str">
        <x:f>"19279016"</x:f>
        <x:v>19279016</x:v>
      </x:c>
      <x:c r="S1133" s="23" t="str">
        <x:v>masculino</x:v>
      </x:c>
      <x:c r="T1133" s="22" t="str"/>
      <x:c r="U1133" s="23" t="str">
        <x:v>EZEQUIEL DA SILVA JUNIOR</x:v>
      </x:c>
      <x:c r="V1133" s="22" t="str">
        <x:f>"118.577.866-70"</x:f>
        <x:v>118.577.866-70</x:v>
      </x:c>
      <x:c r="W1133" s="22" t="str">
        <x:f>"11857786670"</x:f>
        <x:v>11857786670</x:v>
      </x:c>
      <x:c r="X1133" s="23" t="str">
        <x:v>juniormoura3005@gmail.com</x:v>
      </x:c>
      <x:c r="Y1133" s="22" t="str">
        <x:f>"31993116947"</x:f>
        <x:v>31993116947</x:v>
      </x:c>
      <x:c r="Z1133" s="30" t="n">
        <x:v>46282</x:v>
      </x:c>
    </x:row>
    <x:row r="1134" ht="18" customHeight="1">
      <x:c r="A1134" s="22" t="str">
        <x:f>"a6251b05-faf4-4484-9c1b-01e637868ed0"</x:f>
        <x:v>a6251b05-faf4-4484-9c1b-01e637868ed0</x:v>
      </x:c>
      <x:c r="B1134" s="23" t="str">
        <x:v>EZEQUIEL DA SILVA JUNIOR</x:v>
      </x:c>
      <x:c r="C1134" s="23" t="str">
        <x:v>ezequiel da silva junior</x:v>
      </x:c>
      <x:c r="D1134" s="22" t="str">
        <x:f>"58.353.651/0001-45"</x:f>
        <x:v>58.353.651/0001-45</x:v>
      </x:c>
      <x:c r="E1134" s="22" t="str">
        <x:f>"58353651000145"</x:f>
        <x:v>58353651000145</x:v>
      </x:c>
      <x:c r="F1134" s="22" t="str">
        <x:f>"118.577.866-70"</x:f>
        <x:v>118.577.866-70</x:v>
      </x:c>
      <x:c r="G1134" s="22" t="str">
        <x:f>"11857786670"</x:f>
        <x:v>11857786670</x:v>
      </x:c>
      <x:c r="H1134" s="23" t="str">
        <x:v>juniormoura3005@gmail.com</x:v>
      </x:c>
      <x:c r="I1134" s="22" t="str">
        <x:f>"31993116947"</x:f>
        <x:v>31993116947</x:v>
      </x:c>
      <x:c r="J1134" s="23" t="str">
        <x:v>SPOT</x:v>
      </x:c>
      <x:c r="K1134" s="23" t="str">
        <x:v>favored_only</x:v>
      </x:c>
      <x:c r="L1134" s="24" t="b">
        <x:v>1</x:v>
      </x:c>
      <x:c r="M1134" s="23" t="n">
        <x:v>1</x:v>
      </x:c>
      <x:c r="N1134" s="28" t="n">
        <x:v>46205.604211956015</x:v>
      </x:c>
      <x:c r="O1134" s="28" t="n">
        <x:v>46219.812988715275</x:v>
      </x:c>
      <x:c r="P1134" s="23" t="str">
        <x:v>CONTAGEM</x:v>
      </x:c>
      <x:c r="Q1134" s="30" t="n">
        <x:v>36310</x:v>
      </x:c>
      <x:c r="R1134" s="22" t="str">
        <x:f>"19279016"</x:f>
        <x:v>19279016</x:v>
      </x:c>
      <x:c r="S1134" s="23" t="str">
        <x:v>masculino</x:v>
      </x:c>
      <x:c r="T1134" s="22" t="str">
        <x:f>"QQZ3I38"</x:f>
        <x:v>QQZ3I38</x:v>
      </x:c>
      <x:c r="U1134" s="23" t="str">
        <x:v>CARLA EDUARDA MACHADO GONCALVES</x:v>
      </x:c>
      <x:c r="V1134" s="22" t="str">
        <x:f>"116.755.856-10"</x:f>
        <x:v>116.755.856-10</x:v>
      </x:c>
      <x:c r="W1134" s="22" t="str">
        <x:f>"11675585610"</x:f>
        <x:v>11675585610</x:v>
      </x:c>
      <x:c r="X1134" s="23" t="str">
        <x:v>caeduarda251@gmail.com</x:v>
      </x:c>
      <x:c r="Y1134" s="22" t="str">
        <x:f>"31 9 9196-7964"</x:f>
        <x:v>31 9 9196-7964</x:v>
      </x:c>
      <x:c r="Z1134" s="30" t="n">
        <x:v>46262</x:v>
      </x:c>
    </x:row>
    <x:row r="1135" ht="18" customHeight="1">
      <x:c r="A1135" s="22" t="str">
        <x:f>"8494067d-2d2b-4a6e-a868-6ff70022c0db"</x:f>
        <x:v>8494067d-2d2b-4a6e-a868-6ff70022c0db</x:v>
      </x:c>
      <x:c r="B1135" s="23" t="str">
        <x:v>EZEQUIEL FERNANDO DOS SANTOS</x:v>
      </x:c>
      <x:c r="C1135" s="23" t="str">
        <x:v>ezequiel fernando dos santos</x:v>
      </x:c>
      <x:c r="D1135" s="22" t="str">
        <x:f>"67.160.172/0001-01"</x:f>
        <x:v>67.160.172/0001-01</x:v>
      </x:c>
      <x:c r="E1135" s="22" t="str">
        <x:f>"67160172000101"</x:f>
        <x:v>67160172000101</x:v>
      </x:c>
      <x:c r="F1135" s="22" t="str">
        <x:f>"312.669.178-10"</x:f>
        <x:v>312.669.178-10</x:v>
      </x:c>
      <x:c r="G1135" s="22" t="str">
        <x:f>"31266917810"</x:f>
        <x:v>31266917810</x:v>
      </x:c>
      <x:c r="H1135" s="23" t="str">
        <x:v>ezequielsantos34423@gmail.com</x:v>
      </x:c>
      <x:c r="I1135" s="22" t="str">
        <x:f>"16974063327"</x:f>
        <x:v>16974063327</x:v>
      </x:c>
      <x:c r="J1135" s="23" t="str">
        <x:v>RENTAL</x:v>
      </x:c>
      <x:c r="K1135" s="23" t="str">
        <x:v>rental_company</x:v>
      </x:c>
      <x:c r="L1135" s="24" t="b">
        <x:v>1</x:v>
      </x:c>
      <x:c r="M1135" s="23" t="n">
        <x:v>1</x:v>
      </x:c>
      <x:c r="N1135" s="28" t="n">
        <x:v>46219.812988715275</x:v>
      </x:c>
      <x:c r="O1135" s="28" t="n">
        <x:v>46219.812988715275</x:v>
      </x:c>
      <x:c r="P1135" s="23" t="str">
        <x:v>SÃO CARLOS</x:v>
      </x:c>
      <x:c r="Q1135" s="30" t="n">
        <x:v>30390</x:v>
      </x:c>
      <x:c r="R1135" s="22" t="str">
        <x:f>"40296765"</x:f>
        <x:v>40296765</x:v>
      </x:c>
      <x:c r="S1135" s="23" t="str">
        <x:v>masculino</x:v>
      </x:c>
      <x:c r="T1135" s="22" t="str"/>
      <x:c r="U1135" s="23" t="str">
        <x:v>EZEQUIEL FERNANDO DOS SANTOS</x:v>
      </x:c>
      <x:c r="V1135" s="22" t="str">
        <x:f>"312.669.178-10"</x:f>
        <x:v>312.669.178-10</x:v>
      </x:c>
      <x:c r="W1135" s="22" t="str">
        <x:f>"31266917810"</x:f>
        <x:v>31266917810</x:v>
      </x:c>
      <x:c r="X1135" s="23" t="str">
        <x:v>ezequielsantos34423@gmail.com</x:v>
      </x:c>
      <x:c r="Y1135" s="22" t="str">
        <x:f>"16974063327"</x:f>
        <x:v>16974063327</x:v>
      </x:c>
      <x:c r="Z1135" s="30" t="n">
        <x:v>46555</x:v>
      </x:c>
    </x:row>
    <x:row r="1136" ht="18" customHeight="1">
      <x:c r="A1136" s="22" t="str">
        <x:f>"f1ea1cab-1806-402c-847a-53cee02fe137"</x:f>
        <x:v>f1ea1cab-1806-402c-847a-53cee02fe137</x:v>
      </x:c>
      <x:c r="B1136" s="23" t="str">
        <x:v>EZEQUIEL RODRIGUES RIBEIRO</x:v>
      </x:c>
      <x:c r="C1136" s="23" t="str">
        <x:v>ezequiel rodrigues ribeiro</x:v>
      </x:c>
      <x:c r="D1136" s="22" t="str">
        <x:f>"57.056.872/0001-99"</x:f>
        <x:v>57.056.872/0001-99</x:v>
      </x:c>
      <x:c r="E1136" s="22" t="str">
        <x:f>"57056872000199"</x:f>
        <x:v>57056872000199</x:v>
      </x:c>
      <x:c r="F1136" s="22" t="str">
        <x:f>"068.261.406-83"</x:f>
        <x:v>068.261.406-83</x:v>
      </x:c>
      <x:c r="G1136" s="22" t="str">
        <x:f>"06826140683"</x:f>
        <x:v>06826140683</x:v>
      </x:c>
      <x:c r="H1136" s="23" t="str">
        <x:v>ezequielrodriguestelecom@yahoo.com</x:v>
      </x:c>
      <x:c r="I1136" s="22" t="str">
        <x:f>"31992440583"</x:f>
        <x:v>31992440583</x:v>
      </x:c>
      <x:c r="J1136" s="23" t="str">
        <x:v>SPOT</x:v>
      </x:c>
      <x:c r="K1136" s="23" t="str">
        <x:v>favored_only</x:v>
      </x:c>
      <x:c r="L1136" s="24" t="b">
        <x:v>1</x:v>
      </x:c>
      <x:c r="M1136" s="23" t="n">
        <x:v>1</x:v>
      </x:c>
      <x:c r="N1136" s="28" t="n">
        <x:v>46219.812988715275</x:v>
      </x:c>
      <x:c r="O1136" s="28" t="n">
        <x:v>46219.812988715275</x:v>
      </x:c>
      <x:c r="P1136" s="23" t="str">
        <x:v>CONTAGEM</x:v>
      </x:c>
      <x:c r="Q1136" s="30" t="n">
        <x:v>31506</x:v>
      </x:c>
      <x:c r="R1136" s="22" t="str">
        <x:f>"0837818 MT"</x:f>
        <x:v>0837818 MT</x:v>
      </x:c>
      <x:c r="S1136" s="23" t="str">
        <x:v>masculino</x:v>
      </x:c>
      <x:c r="T1136" s="22" t="str">
        <x:f>"RVJ2G48"</x:f>
        <x:v>RVJ2G48</x:v>
      </x:c>
      <x:c r="U1136" s="23" t="str">
        <x:v>EZEQUIEL RODRIGUES RIBEIRO</x:v>
      </x:c>
      <x:c r="V1136" s="22" t="str">
        <x:f>"068.261.406-83"</x:f>
        <x:v>068.261.406-83</x:v>
      </x:c>
      <x:c r="W1136" s="22" t="str">
        <x:f>"06826140683"</x:f>
        <x:v>06826140683</x:v>
      </x:c>
      <x:c r="X1136" s="23" t="str">
        <x:v>ezequielrodriguestelecom@yahoo.com</x:v>
      </x:c>
      <x:c r="Y1136" s="22" t="str">
        <x:f>"31992440583"</x:f>
        <x:v>31992440583</x:v>
      </x:c>
      <x:c r="Z1136" s="30" t="n">
        <x:v>46490</x:v>
      </x:c>
    </x:row>
    <x:row r="1137" ht="18" customHeight="1">
      <x:c r="A1137" s="22" t="str">
        <x:f>"5ada7faf-a425-4134-8963-3dc94c10be74"</x:f>
        <x:v>5ada7faf-a425-4134-8963-3dc94c10be74</x:v>
      </x:c>
      <x:c r="B1137" s="23" t="str">
        <x:v>EZIEL FERNANDES GONCALVES COUTINHO</x:v>
      </x:c>
      <x:c r="C1137" s="23" t="str">
        <x:v>eziel fernandes goncalves coutinho</x:v>
      </x:c>
      <x:c r="D1137" s="22" t="str">
        <x:f>"67.773.356/0001-39"</x:f>
        <x:v>67.773.356/0001-39</x:v>
      </x:c>
      <x:c r="E1137" s="22" t="str">
        <x:f>"67773356000139"</x:f>
        <x:v>67773356000139</x:v>
      </x:c>
      <x:c r="F1137" s="22" t="str">
        <x:f>"158.755.217-59"</x:f>
        <x:v>158.755.217-59</x:v>
      </x:c>
      <x:c r="G1137" s="22" t="str">
        <x:f>"15875521759"</x:f>
        <x:v>15875521759</x:v>
      </x:c>
      <x:c r="H1137" s="23" t="str">
        <x:v>ezielfernandes88@gmail.com</x:v>
      </x:c>
      <x:c r="I1137" s="22" t="str">
        <x:f>"22-99830-3460"</x:f>
        <x:v>22-99830-3460</x:v>
      </x:c>
      <x:c r="J1137" s="23" t="str">
        <x:v>SPOT</x:v>
      </x:c>
      <x:c r="K1137" s="23" t="str">
        <x:v>favored_only</x:v>
      </x:c>
      <x:c r="L1137" s="24" t="b">
        <x:v>1</x:v>
      </x:c>
      <x:c r="M1137" s="23" t="n">
        <x:v>1</x:v>
      </x:c>
      <x:c r="N1137" s="28" t="n">
        <x:v>46219.812988715275</x:v>
      </x:c>
      <x:c r="O1137" s="28" t="n">
        <x:v>46219.812988715275</x:v>
      </x:c>
      <x:c r="P1137" s="23" t="str">
        <x:v>SÃO JOAO DE MERITI</x:v>
      </x:c>
      <x:c r="Q1137" s="30" t="n">
        <x:v>33761</x:v>
      </x:c>
      <x:c r="R1137" s="22" t="str">
        <x:f>"28.431.068-7"</x:f>
        <x:v>28.431.068-7</x:v>
      </x:c>
      <x:c r="S1137" s="23" t="str">
        <x:v>masculino</x:v>
      </x:c>
      <x:c r="T1137" s="22" t="str">
        <x:f>"KOR-8D98"</x:f>
        <x:v>KOR-8D98</x:v>
      </x:c>
      <x:c r="U1137" s="23" t="str">
        <x:v>EZIEL FERNANDES GONCALVES COUTINHO</x:v>
      </x:c>
      <x:c r="V1137" s="22" t="str">
        <x:f>"158.755.217-59"</x:f>
        <x:v>158.755.217-59</x:v>
      </x:c>
      <x:c r="W1137" s="22" t="str">
        <x:f>"15875521759"</x:f>
        <x:v>15875521759</x:v>
      </x:c>
      <x:c r="X1137" s="23" t="str">
        <x:v>ezielfernandes88@gmail.com</x:v>
      </x:c>
      <x:c r="Y1137" s="22" t="str">
        <x:f>"22-99830-3460"</x:f>
        <x:v>22-99830-3460</x:v>
      </x:c>
      <x:c r="Z1137" s="30" t="n">
        <x:v>46570</x:v>
      </x:c>
    </x:row>
    <x:row r="1138" ht="18" customHeight="1">
      <x:c r="A1138" s="22" t="str">
        <x:f>"f2379267-a2b3-4724-914a-89636465c62e"</x:f>
        <x:v>f2379267-a2b3-4724-914a-89636465c62e</x:v>
      </x:c>
      <x:c r="B1138" s="23" t="str">
        <x:v>FABIANA GONTIJO AZEVEDO</x:v>
      </x:c>
      <x:c r="C1138" s="23" t="str">
        <x:v>fabiana gontijo azevedo</x:v>
      </x:c>
      <x:c r="D1138" s="22" t="str">
        <x:f>"59.752.047/0001-54"</x:f>
        <x:v>59.752.047/0001-54</x:v>
      </x:c>
      <x:c r="E1138" s="22" t="str">
        <x:f>"59752047000154"</x:f>
        <x:v>59752047000154</x:v>
      </x:c>
      <x:c r="F1138" s="22" t="str">
        <x:f>"77833929620"</x:f>
        <x:v>77833929620</x:v>
      </x:c>
      <x:c r="G1138" s="22" t="str">
        <x:f>"77833929620"</x:f>
        <x:v>77833929620</x:v>
      </x:c>
      <x:c r="H1138" s="23" t="str">
        <x:v>fabianaga007@gmail.com</x:v>
      </x:c>
      <x:c r="I1138" s="22" t="str">
        <x:f>"38 992030493"</x:f>
        <x:v>38 992030493</x:v>
      </x:c>
      <x:c r="J1138" s="23" t="str">
        <x:v>SPOT</x:v>
      </x:c>
      <x:c r="K1138" s="23" t="str">
        <x:v>favored_only</x:v>
      </x:c>
      <x:c r="L1138" s="24" t="b">
        <x:v>1</x:v>
      </x:c>
      <x:c r="M1138" s="23" t="n">
        <x:v>1</x:v>
      </x:c>
      <x:c r="N1138" s="28" t="n">
        <x:v>46218.62115420139</x:v>
      </x:c>
      <x:c r="O1138" s="28" t="n">
        <x:v>46218.62115420139</x:v>
      </x:c>
      <x:c r="P1138" s="23" t="str"/>
      <x:c r="Q1138" s="30" t="n">
        <x:v>26446</x:v>
      </x:c>
      <x:c r="R1138" s="22" t="str">
        <x:f>"67150"</x:f>
        <x:v>67150</x:v>
      </x:c>
      <x:c r="S1138" s="23" t="str">
        <x:v>Feminino</x:v>
      </x:c>
      <x:c r="T1138" s="22" t="str">
        <x:f>"FRG6F38"</x:f>
        <x:v>FRG6F38</x:v>
      </x:c>
      <x:c r="U1138" s="23" t="str">
        <x:v>Mateus Azevedo Ferreira</x:v>
      </x:c>
      <x:c r="V1138" s="22" t="str">
        <x:f>"146.685.026-16"</x:f>
        <x:v>146.685.026-16</x:v>
      </x:c>
      <x:c r="W1138" s="22" t="str">
        <x:f>"14668502616"</x:f>
        <x:v>14668502616</x:v>
      </x:c>
      <x:c r="X1138" s="23" t="str">
        <x:v>teuazevedo006@gmail.com</x:v>
      </x:c>
      <x:c r="Y1138" s="22" t="str">
        <x:f>"38 998462911"</x:f>
        <x:v>38 998462911</x:v>
      </x:c>
      <x:c r="Z1138" s="30" t="n">
        <x:v>46203</x:v>
      </x:c>
    </x:row>
    <x:row r="1139" ht="18" customHeight="1">
      <x:c r="A1139" s="22" t="str">
        <x:f>"6b80c667-6dc5-44c5-9753-5790912824df"</x:f>
        <x:v>6b80c667-6dc5-44c5-9753-5790912824df</x:v>
      </x:c>
      <x:c r="B1139" s="23" t="str">
        <x:v>Fabiane Anicesio Amorim</x:v>
      </x:c>
      <x:c r="C1139" s="23" t="str">
        <x:v>fabiane anicesio amorim</x:v>
      </x:c>
      <x:c r="D1139" s="22" t="str">
        <x:f>"30.651.383/0001-29"</x:f>
        <x:v>30.651.383/0001-29</x:v>
      </x:c>
      <x:c r="E1139" s="22" t="str">
        <x:f>"30651383000129"</x:f>
        <x:v>30651383000129</x:v>
      </x:c>
      <x:c r="F1139" s="22" t="str">
        <x:f>"003.110.931-40"</x:f>
        <x:v>003.110.931-40</x:v>
      </x:c>
      <x:c r="G1139" s="22" t="str">
        <x:f>"00311093140"</x:f>
        <x:v>00311093140</x:v>
      </x:c>
      <x:c r="H1139" s="23" t="str">
        <x:v>biaanicesio@gmail.com</x:v>
      </x:c>
      <x:c r="I1139" s="22" t="str">
        <x:f>"65 99908-8618"</x:f>
        <x:v>65 99908-8618</x:v>
      </x:c>
      <x:c r="J1139" s="23" t="str">
        <x:v>SPOT</x:v>
      </x:c>
      <x:c r="K1139" s="23" t="str">
        <x:v>favored_only</x:v>
      </x:c>
      <x:c r="L1139" s="24" t="b">
        <x:v>1</x:v>
      </x:c>
      <x:c r="M1139" s="23" t="n">
        <x:v>1</x:v>
      </x:c>
      <x:c r="N1139" s="28" t="n">
        <x:v>46203.92186462963</x:v>
      </x:c>
      <x:c r="O1139" s="28" t="n">
        <x:v>46203.92186462963</x:v>
      </x:c>
      <x:c r="P1139" s="23" t="str"/>
      <x:c r="Q1139" s="30" t="str"/>
      <x:c r="R1139" s="22" t="str"/>
      <x:c r="S1139" s="23" t="str"/>
      <x:c r="T1139" s="22" t="str"/>
      <x:c r="U1139" s="23" t="str">
        <x:v>Fabiane Anicesio Amorim</x:v>
      </x:c>
      <x:c r="V1139" s="22" t="str">
        <x:f>"003.110.931-40"</x:f>
        <x:v>003.110.931-40</x:v>
      </x:c>
      <x:c r="W1139" s="22" t="str">
        <x:f>"00311093140"</x:f>
        <x:v>00311093140</x:v>
      </x:c>
      <x:c r="X1139" s="23" t="str">
        <x:v>biaanicesio@gmail.com</x:v>
      </x:c>
      <x:c r="Y1139" s="22" t="str">
        <x:f>"65 99908-8618"</x:f>
        <x:v>65 99908-8618</x:v>
      </x:c>
      <x:c r="Z1139" s="30" t="str"/>
    </x:row>
    <x:row r="1140" ht="18" customHeight="1">
      <x:c r="A1140" s="22" t="str">
        <x:f>"e6dedc6f-5552-43b7-9ea0-3233c25c1e18"</x:f>
        <x:v>e6dedc6f-5552-43b7-9ea0-3233c25c1e18</x:v>
      </x:c>
      <x:c r="B1140" s="23" t="str">
        <x:v>FABIANO EDMUNDO ALEXANDRE DE SOUSA</x:v>
      </x:c>
      <x:c r="C1140" s="23" t="str">
        <x:v>fabiano edmundo alexandre de sousa</x:v>
      </x:c>
      <x:c r="D1140" s="22" t="str">
        <x:f>"57.883.052/0001-70"</x:f>
        <x:v>57.883.052/0001-70</x:v>
      </x:c>
      <x:c r="E1140" s="22" t="str">
        <x:f>"57883052000170"</x:f>
        <x:v>57883052000170</x:v>
      </x:c>
      <x:c r="F1140" s="22" t="str">
        <x:f>"083.965.446-46"</x:f>
        <x:v>083.965.446-46</x:v>
      </x:c>
      <x:c r="G1140" s="22" t="str">
        <x:f>"08396544646"</x:f>
        <x:v>08396544646</x:v>
      </x:c>
      <x:c r="H1140" s="23" t="str">
        <x:v>fabianoedmundo@hotmail.com</x:v>
      </x:c>
      <x:c r="I1140" s="22" t="str">
        <x:f>"33988193248"</x:f>
        <x:v>33988193248</x:v>
      </x:c>
      <x:c r="J1140" s="23" t="str">
        <x:v>SPOT</x:v>
      </x:c>
      <x:c r="K1140" s="23" t="str">
        <x:v>favored_only</x:v>
      </x:c>
      <x:c r="L1140" s="24" t="b">
        <x:v>1</x:v>
      </x:c>
      <x:c r="M1140" s="23" t="n">
        <x:v>1</x:v>
      </x:c>
      <x:c r="N1140" s="28" t="n">
        <x:v>46205.60719653935</x:v>
      </x:c>
      <x:c r="O1140" s="28" t="n">
        <x:v>46219.812988715275</x:v>
      </x:c>
      <x:c r="P1140" s="23" t="str">
        <x:v>GUANHAES</x:v>
      </x:c>
      <x:c r="Q1140" s="30" t="n">
        <x:v>31814</x:v>
      </x:c>
      <x:c r="R1140" s="22" t="str">
        <x:f>"15350507"</x:f>
        <x:v>15350507</x:v>
      </x:c>
      <x:c r="S1140" s="23" t="str">
        <x:v>masculino</x:v>
      </x:c>
      <x:c r="T1140" s="22" t="str">
        <x:f>"PUF5I60"</x:f>
        <x:v>PUF5I60</x:v>
      </x:c>
      <x:c r="U1140" s="23" t="str">
        <x:v>FARLEI ALEXANDRE DE SOUSA</x:v>
      </x:c>
      <x:c r="V1140" s="22" t="str">
        <x:f>"114.955.326-07"</x:f>
        <x:v>114.955.326-07</x:v>
      </x:c>
      <x:c r="W1140" s="22" t="str">
        <x:f>"11495532607"</x:f>
        <x:v>11495532607</x:v>
      </x:c>
      <x:c r="X1140" s="23" t="str">
        <x:v>farleisousa14@hotmail.com</x:v>
      </x:c>
      <x:c r="Y1140" s="22" t="str">
        <x:f>"3398407053"</x:f>
        <x:v>3398407053</x:v>
      </x:c>
      <x:c r="Z1140" s="30" t="n">
        <x:v>46333</x:v>
      </x:c>
    </x:row>
    <x:row r="1141" ht="18" customHeight="1">
      <x:c r="A1141" s="22" t="str">
        <x:f>"2db3b613-b171-4b12-8384-bc59b9b08866"</x:f>
        <x:v>2db3b613-b171-4b12-8384-bc59b9b08866</x:v>
      </x:c>
      <x:c r="B1141" s="23" t="str">
        <x:v>FABIANO GUSTAVO DUARTE</x:v>
      </x:c>
      <x:c r="C1141" s="23" t="str">
        <x:v>fabiano gustavo duarte</x:v>
      </x:c>
      <x:c r="D1141" s="22" t="str">
        <x:f>"60.617.134/0001-88"</x:f>
        <x:v>60.617.134/0001-88</x:v>
      </x:c>
      <x:c r="E1141" s="22" t="str">
        <x:f>"60617134000188"</x:f>
        <x:v>60617134000188</x:v>
      </x:c>
      <x:c r="F1141" s="22" t="str">
        <x:f>"278.654.078-07"</x:f>
        <x:v>278.654.078-07</x:v>
      </x:c>
      <x:c r="G1141" s="22" t="str">
        <x:f>"27865407807"</x:f>
        <x:v>27865407807</x:v>
      </x:c>
      <x:c r="H1141" s="23" t="str">
        <x:v>fabianogustavoduarte@gmail.com</x:v>
      </x:c>
      <x:c r="I1141" s="22" t="str">
        <x:f>"16996085491"</x:f>
        <x:v>16996085491</x:v>
      </x:c>
      <x:c r="J1141" s="23" t="str">
        <x:v>SPOT</x:v>
      </x:c>
      <x:c r="K1141" s="23" t="str">
        <x:v>favored_only</x:v>
      </x:c>
      <x:c r="L1141" s="24" t="b">
        <x:v>1</x:v>
      </x:c>
      <x:c r="M1141" s="23" t="n">
        <x:v>1</x:v>
      </x:c>
      <x:c r="N1141" s="28" t="n">
        <x:v>46203.92191240741</x:v>
      </x:c>
      <x:c r="O1141" s="28" t="n">
        <x:v>46219.812988715275</x:v>
      </x:c>
      <x:c r="P1141" s="23" t="str">
        <x:v>SÃO CARLOS</x:v>
      </x:c>
      <x:c r="Q1141" s="30" t="n">
        <x:v>28972</x:v>
      </x:c>
      <x:c r="R1141" s="22" t="str">
        <x:f>"289888153"</x:f>
        <x:v>289888153</x:v>
      </x:c>
      <x:c r="S1141" s="23" t="str">
        <x:v>masculino</x:v>
      </x:c>
      <x:c r="T1141" s="22" t="str">
        <x:f>"EWQ9H28"</x:f>
        <x:v>EWQ9H28</x:v>
      </x:c>
      <x:c r="U1141" s="23" t="str">
        <x:v>FABIANO GUSTAVO DUARTE</x:v>
      </x:c>
      <x:c r="V1141" s="22" t="str">
        <x:f>"278.654.078-07"</x:f>
        <x:v>278.654.078-07</x:v>
      </x:c>
      <x:c r="W1141" s="22" t="str">
        <x:f>"27865407807"</x:f>
        <x:v>27865407807</x:v>
      </x:c>
      <x:c r="X1141" s="23" t="str">
        <x:v>fabianogustavoduarte@gmail.com</x:v>
      </x:c>
      <x:c r="Y1141" s="22" t="str">
        <x:f>"16996085491"</x:f>
        <x:v>16996085491</x:v>
      </x:c>
      <x:c r="Z1141" s="30" t="n">
        <x:v>46217</x:v>
      </x:c>
    </x:row>
    <x:row r="1142" ht="18" customHeight="1">
      <x:c r="A1142" s="22" t="str">
        <x:f>"9bbf1d68-dc6b-4609-a888-b612630e956b"</x:f>
        <x:v>9bbf1d68-dc6b-4609-a888-b612630e956b</x:v>
      </x:c>
      <x:c r="B1142" s="23" t="str">
        <x:v>FABIANO RODRIGO DO NASCIMENTO</x:v>
      </x:c>
      <x:c r="C1142" s="23" t="str">
        <x:v>fabiano rodrigo do nascimento</x:v>
      </x:c>
      <x:c r="D1142" s="22" t="str">
        <x:f>"61.935.815/0001-57"</x:f>
        <x:v>61.935.815/0001-57</x:v>
      </x:c>
      <x:c r="E1142" s="22" t="str">
        <x:f>"61935815000157"</x:f>
        <x:v>61935815000157</x:v>
      </x:c>
      <x:c r="F1142" s="22" t="str">
        <x:f>"357.268.928-79"</x:f>
        <x:v>357.268.928-79</x:v>
      </x:c>
      <x:c r="G1142" s="22" t="str">
        <x:f>"35726892879"</x:f>
        <x:v>35726892879</x:v>
      </x:c>
      <x:c r="H1142" s="23" t="str">
        <x:v>fabianoor1987@gmail.com</x:v>
      </x:c>
      <x:c r="I1142" s="22" t="str">
        <x:f>"11977587661"</x:f>
        <x:v>11977587661</x:v>
      </x:c>
      <x:c r="J1142" s="23" t="str">
        <x:v>SPOT</x:v>
      </x:c>
      <x:c r="K1142" s="23" t="str">
        <x:v>favored_only</x:v>
      </x:c>
      <x:c r="L1142" s="24" t="b">
        <x:v>1</x:v>
      </x:c>
      <x:c r="M1142" s="23" t="n">
        <x:v>1</x:v>
      </x:c>
      <x:c r="N1142" s="28" t="n">
        <x:v>46203.921852962965</x:v>
      </x:c>
      <x:c r="O1142" s="28" t="n">
        <x:v>46219.812988715275</x:v>
      </x:c>
      <x:c r="P1142" s="23" t="str">
        <x:v>BARUERI</x:v>
      </x:c>
      <x:c r="Q1142" s="30" t="n">
        <x:v>31963</x:v>
      </x:c>
      <x:c r="R1142" s="22" t="str">
        <x:f>"332609662"</x:f>
        <x:v>332609662</x:v>
      </x:c>
      <x:c r="S1142" s="23" t="str">
        <x:v>masculino</x:v>
      </x:c>
      <x:c r="T1142" s="22" t="str">
        <x:f>"FDV8748"</x:f>
        <x:v>FDV8748</x:v>
      </x:c>
      <x:c r="U1142" s="23" t="str">
        <x:v>FABIANO RODRIGO DO NASCIMENTO</x:v>
      </x:c>
      <x:c r="V1142" s="22" t="str">
        <x:f>"357.268.928-79"</x:f>
        <x:v>357.268.928-79</x:v>
      </x:c>
      <x:c r="W1142" s="22" t="str">
        <x:f>"35726892879"</x:f>
        <x:v>35726892879</x:v>
      </x:c>
      <x:c r="X1142" s="23" t="str">
        <x:v>fabianoor1987@gmail.com</x:v>
      </x:c>
      <x:c r="Y1142" s="22" t="str">
        <x:f>"11977587661"</x:f>
        <x:v>11977587661</x:v>
      </x:c>
      <x:c r="Z1142" s="30" t="n">
        <x:v>46240</x:v>
      </x:c>
    </x:row>
    <x:row r="1143" ht="18" customHeight="1">
      <x:c r="A1143" s="22" t="str">
        <x:f>"c0dca033-0222-4c39-9caf-14ccd4e153ea"</x:f>
        <x:v>c0dca033-0222-4c39-9caf-14ccd4e153ea</x:v>
      </x:c>
      <x:c r="B1143" s="23" t="str">
        <x:v>FABIO CALASANS</x:v>
      </x:c>
      <x:c r="C1143" s="23" t="str">
        <x:v>fabio calasans</x:v>
      </x:c>
      <x:c r="D1143" s="22" t="str">
        <x:f>"58.172.618/0001-19"</x:f>
        <x:v>58.172.618/0001-19</x:v>
      </x:c>
      <x:c r="E1143" s="22" t="str">
        <x:f>"58172618000119"</x:f>
        <x:v>58172618000119</x:v>
      </x:c>
      <x:c r="F1143" s="22" t="str">
        <x:f>"042.012.296-61"</x:f>
        <x:v>042.012.296-61</x:v>
      </x:c>
      <x:c r="G1143" s="22" t="str">
        <x:f>"04201229661"</x:f>
        <x:v>04201229661</x:v>
      </x:c>
      <x:c r="H1143" s="23" t="str">
        <x:v>FABIOCALASANS@HOTMAIL.COM</x:v>
      </x:c>
      <x:c r="I1143" s="22" t="str">
        <x:f>"(27) 8188-5410"</x:f>
        <x:v>(27) 8188-5410</x:v>
      </x:c>
      <x:c r="J1143" s="23" t="str">
        <x:v>RENTAL</x:v>
      </x:c>
      <x:c r="K1143" s="23" t="str">
        <x:v>rental_company</x:v>
      </x:c>
      <x:c r="L1143" s="24" t="b">
        <x:v>1</x:v>
      </x:c>
      <x:c r="M1143" s="23" t="n">
        <x:v>1</x:v>
      </x:c>
      <x:c r="N1143" s="28" t="n">
        <x:v>46203.92183017361</x:v>
      </x:c>
      <x:c r="O1143" s="28" t="n">
        <x:v>46219.812988715275</x:v>
      </x:c>
      <x:c r="P1143" s="23" t="str">
        <x:v>IPATINGA</x:v>
      </x:c>
      <x:c r="Q1143" s="30" t="n">
        <x:v>29364</x:v>
      </x:c>
      <x:c r="R1143" s="22" t="str">
        <x:f>"8644088"</x:f>
        <x:v>8644088</x:v>
      </x:c>
      <x:c r="S1143" s="23" t="str">
        <x:v>masculino</x:v>
      </x:c>
      <x:c r="T1143" s="22" t="str"/>
      <x:c r="U1143" s="23" t="str">
        <x:v>FABIO CALASANS</x:v>
      </x:c>
      <x:c r="V1143" s="22" t="str">
        <x:f>"042.012.296-61"</x:f>
        <x:v>042.012.296-61</x:v>
      </x:c>
      <x:c r="W1143" s="22" t="str">
        <x:f>"04201229661"</x:f>
        <x:v>04201229661</x:v>
      </x:c>
      <x:c r="X1143" s="23" t="str">
        <x:v>FABIOCALASANS@HOTMAIL.COM</x:v>
      </x:c>
      <x:c r="Y1143" s="22" t="str">
        <x:f>"(27) 8188-5410"</x:f>
        <x:v>(27) 8188-5410</x:v>
      </x:c>
      <x:c r="Z1143" s="30" t="n">
        <x:v>46522</x:v>
      </x:c>
    </x:row>
    <x:row r="1144" ht="18" customHeight="1">
      <x:c r="A1144" s="22" t="str">
        <x:f>"1d19a12e-2dfa-41f5-96db-8800c67bed9f"</x:f>
        <x:v>1d19a12e-2dfa-41f5-96db-8800c67bed9f</x:v>
      </x:c>
      <x:c r="B1144" s="23" t="str">
        <x:v>FABIO CARDOSO TEODORO</x:v>
      </x:c>
      <x:c r="C1144" s="23" t="str">
        <x:v>fabio cardoso teodoro</x:v>
      </x:c>
      <x:c r="D1144" s="22" t="str">
        <x:f>"55.557.828/0001-37"</x:f>
        <x:v>55.557.828/0001-37</x:v>
      </x:c>
      <x:c r="E1144" s="22" t="str">
        <x:f>"55557828000137"</x:f>
        <x:v>55557828000137</x:v>
      </x:c>
      <x:c r="F1144" s="22" t="str">
        <x:f>"117.646.966-54"</x:f>
        <x:v>117.646.966-54</x:v>
      </x:c>
      <x:c r="G1144" s="22" t="str">
        <x:f>"11764696654"</x:f>
        <x:v>11764696654</x:v>
      </x:c>
      <x:c r="H1144" s="23" t="str">
        <x:v>TEODOROFABIO780@GMAIL.COM</x:v>
      </x:c>
      <x:c r="I1144" s="22" t="str">
        <x:f>"3598471176"</x:f>
        <x:v>3598471176</x:v>
      </x:c>
      <x:c r="J1144" s="23" t="str">
        <x:v>SPOT</x:v>
      </x:c>
      <x:c r="K1144" s="23" t="str">
        <x:v>favored_only</x:v>
      </x:c>
      <x:c r="L1144" s="24" t="b">
        <x:v>1</x:v>
      </x:c>
      <x:c r="M1144" s="23" t="n">
        <x:v>1</x:v>
      </x:c>
      <x:c r="N1144" s="28" t="n">
        <x:v>46205.603491828704</x:v>
      </x:c>
      <x:c r="O1144" s="28" t="n">
        <x:v>46219.812988715275</x:v>
      </x:c>
      <x:c r="P1144" s="23" t="str">
        <x:v>GUAXUPE</x:v>
      </x:c>
      <x:c r="Q1144" s="30" t="n">
        <x:v>35022</x:v>
      </x:c>
      <x:c r="R1144" s="22" t="str">
        <x:f>"18158823"</x:f>
        <x:v>18158823</x:v>
      </x:c>
      <x:c r="S1144" s="23" t="str">
        <x:v>masculino</x:v>
      </x:c>
      <x:c r="T1144" s="22" t="str">
        <x:f>"EIC9I83"</x:f>
        <x:v>EIC9I83</x:v>
      </x:c>
      <x:c r="U1144" s="23" t="str">
        <x:v>RITA APARECIDA MAGRI</x:v>
      </x:c>
      <x:c r="V1144" s="22" t="str">
        <x:f>"089.901.176-40"</x:f>
        <x:v>089.901.176-40</x:v>
      </x:c>
      <x:c r="W1144" s="22" t="str">
        <x:f>"08990117640"</x:f>
        <x:v>08990117640</x:v>
      </x:c>
      <x:c r="X1144" s="23" t="str">
        <x:v>navarroslanches@outlook.com</x:v>
      </x:c>
      <x:c r="Y1144" s="22" t="str">
        <x:f>"35 99234-8175"</x:f>
        <x:v>35 99234-8175</x:v>
      </x:c>
      <x:c r="Z1144" s="30" t="n">
        <x:v>46521</x:v>
      </x:c>
    </x:row>
    <x:row r="1145" ht="18" customHeight="1">
      <x:c r="A1145" s="22" t="str">
        <x:f>"1c4eb460-1f78-444b-959e-5f33f76ef4ec"</x:f>
        <x:v>1c4eb460-1f78-444b-959e-5f33f76ef4ec</x:v>
      </x:c>
      <x:c r="B1145" s="23" t="str">
        <x:v>FABIO CRISTIANO FRANCO</x:v>
      </x:c>
      <x:c r="C1145" s="23" t="str">
        <x:v>fabio cristiano franco</x:v>
      </x:c>
      <x:c r="D1145" s="22" t="str">
        <x:f>"67.065.994/0001-03"</x:f>
        <x:v>67.065.994/0001-03</x:v>
      </x:c>
      <x:c r="E1145" s="22" t="str">
        <x:f>"67065994000103"</x:f>
        <x:v>67065994000103</x:v>
      </x:c>
      <x:c r="F1145" s="22" t="str">
        <x:f>"000.224.786-04"</x:f>
        <x:v>000.224.786-04</x:v>
      </x:c>
      <x:c r="G1145" s="22" t="str">
        <x:f>"00022478604"</x:f>
        <x:v>00022478604</x:v>
      </x:c>
      <x:c r="H1145" s="23" t="str">
        <x:v>fabio.crfranco@gmail.com</x:v>
      </x:c>
      <x:c r="I1145" s="22" t="str">
        <x:f>"35 99939-8181"</x:f>
        <x:v>35 99939-8181</x:v>
      </x:c>
      <x:c r="J1145" s="23" t="str">
        <x:v>RENTAL</x:v>
      </x:c>
      <x:c r="K1145" s="23" t="str">
        <x:v>rental_company</x:v>
      </x:c>
      <x:c r="L1145" s="24" t="b">
        <x:v>1</x:v>
      </x:c>
      <x:c r="M1145" s="23" t="n">
        <x:v>1</x:v>
      </x:c>
      <x:c r="N1145" s="28" t="n">
        <x:v>46219.812988715275</x:v>
      </x:c>
      <x:c r="O1145" s="28" t="n">
        <x:v>46219.812988715275</x:v>
      </x:c>
      <x:c r="P1145" s="23" t="str">
        <x:v>POCOS DE CALDAS</x:v>
      </x:c>
      <x:c r="Q1145" s="30" t="n">
        <x:v>27763</x:v>
      </x:c>
      <x:c r="R1145" s="22" t="str">
        <x:f>"8994165"</x:f>
        <x:v>8994165</x:v>
      </x:c>
      <x:c r="S1145" s="23" t="str">
        <x:v>masculino</x:v>
      </x:c>
      <x:c r="T1145" s="22" t="str"/>
      <x:c r="U1145" s="23" t="str">
        <x:v>FABIO CRISTIANO FRANCO</x:v>
      </x:c>
      <x:c r="V1145" s="22" t="str">
        <x:f>"000.224.786-04"</x:f>
        <x:v>000.224.786-04</x:v>
      </x:c>
      <x:c r="W1145" s="22" t="str">
        <x:f>"00022478604"</x:f>
        <x:v>00022478604</x:v>
      </x:c>
      <x:c r="X1145" s="23" t="str">
        <x:v>fabio.crfranco@gmail.com</x:v>
      </x:c>
      <x:c r="Y1145" s="22" t="str">
        <x:f>"35 99939-8181"</x:f>
        <x:v>35 99939-8181</x:v>
      </x:c>
      <x:c r="Z1145" s="30" t="n">
        <x:v>46536</x:v>
      </x:c>
    </x:row>
    <x:row r="1146" ht="18" customHeight="1">
      <x:c r="A1146" s="22" t="str">
        <x:f>"1255e942-4618-453f-aaab-0185039ec5f6"</x:f>
        <x:v>1255e942-4618-453f-aaab-0185039ec5f6</x:v>
      </x:c>
      <x:c r="B1146" s="23" t="str">
        <x:v>FABIO DA COSTA DE FALCHI</x:v>
      </x:c>
      <x:c r="C1146" s="23" t="str">
        <x:v>fabio da costa de falchi</x:v>
      </x:c>
      <x:c r="D1146" s="22" t="str">
        <x:f>"65.682.275/0001-06"</x:f>
        <x:v>65.682.275/0001-06</x:v>
      </x:c>
      <x:c r="E1146" s="22" t="str">
        <x:f>"65682275000106"</x:f>
        <x:v>65682275000106</x:v>
      </x:c>
      <x:c r="F1146" s="22" t="str">
        <x:f>"402.623.508-40"</x:f>
        <x:v>402.623.508-40</x:v>
      </x:c>
      <x:c r="G1146" s="22" t="str">
        <x:f>"40262350840"</x:f>
        <x:v>40262350840</x:v>
      </x:c>
      <x:c r="H1146" s="23" t="str">
        <x:v>fabingarage@gmail.com</x:v>
      </x:c>
      <x:c r="I1146" s="22" t="str">
        <x:f>"(35) 99180-5126"</x:f>
        <x:v>(35) 99180-5126</x:v>
      </x:c>
      <x:c r="J1146" s="23" t="str">
        <x:v>SPOT</x:v>
      </x:c>
      <x:c r="K1146" s="23" t="str">
        <x:v>favored_only</x:v>
      </x:c>
      <x:c r="L1146" s="24" t="b">
        <x:v>1</x:v>
      </x:c>
      <x:c r="M1146" s="23" t="n">
        <x:v>1</x:v>
      </x:c>
      <x:c r="N1146" s="28" t="n">
        <x:v>46219.812988715275</x:v>
      </x:c>
      <x:c r="O1146" s="28" t="n">
        <x:v>46219.812988715275</x:v>
      </x:c>
      <x:c r="P1146" s="23" t="str">
        <x:v>POUSO ALEGRE</x:v>
      </x:c>
      <x:c r="Q1146" s="30" t="n">
        <x:v>33368</x:v>
      </x:c>
      <x:c r="R1146" s="22" t="str">
        <x:f>"47736949 SSP SP"</x:f>
        <x:v>47736949 SSP SP</x:v>
      </x:c>
      <x:c r="S1146" s="23" t="str">
        <x:v>masculino</x:v>
      </x:c>
      <x:c r="T1146" s="22" t="str">
        <x:f>"RVD4D16"</x:f>
        <x:v>RVD4D16</x:v>
      </x:c>
      <x:c r="U1146" s="23" t="str">
        <x:v>FABIO DA COSTA DE FALCHI</x:v>
      </x:c>
      <x:c r="V1146" s="22" t="str">
        <x:f>"402.623.508-40"</x:f>
        <x:v>402.623.508-40</x:v>
      </x:c>
      <x:c r="W1146" s="22" t="str">
        <x:f>"40262350840"</x:f>
        <x:v>40262350840</x:v>
      </x:c>
      <x:c r="X1146" s="23" t="str">
        <x:v>fabingarage@gmail.com</x:v>
      </x:c>
      <x:c r="Y1146" s="22" t="str">
        <x:f>"(35) 99180-5126"</x:f>
        <x:v>(35) 99180-5126</x:v>
      </x:c>
      <x:c r="Z1146" s="30" t="n">
        <x:v>46463</x:v>
      </x:c>
    </x:row>
    <x:row r="1147" ht="18" customHeight="1">
      <x:c r="A1147" s="22" t="str">
        <x:f>"a55d3e11-2a51-47a7-862b-26508792bcc3"</x:f>
        <x:v>a55d3e11-2a51-47a7-862b-26508792bcc3</x:v>
      </x:c>
      <x:c r="B1147" s="23" t="str">
        <x:v>FABIO DE OLIVEIRA CARDOSO</x:v>
      </x:c>
      <x:c r="C1147" s="23" t="str">
        <x:v>fabio de oliveira cardoso</x:v>
      </x:c>
      <x:c r="D1147" s="22" t="str">
        <x:f>"52.749.649/0001-03"</x:f>
        <x:v>52.749.649/0001-03</x:v>
      </x:c>
      <x:c r="E1147" s="22" t="str">
        <x:f>"52749649000103"</x:f>
        <x:v>52749649000103</x:v>
      </x:c>
      <x:c r="F1147" s="22" t="str">
        <x:f>"120.918.977-10"</x:f>
        <x:v>120.918.977-10</x:v>
      </x:c>
      <x:c r="G1147" s="22" t="str">
        <x:f>"12091897710"</x:f>
        <x:v>12091897710</x:v>
      </x:c>
      <x:c r="H1147" s="23" t="str">
        <x:v>fabiobrf2014@gmail.com</x:v>
      </x:c>
      <x:c r="I1147" s="22" t="str">
        <x:f>"21973959282"</x:f>
        <x:v>21973959282</x:v>
      </x:c>
      <x:c r="J1147" s="23" t="str">
        <x:v>DESCONHECIDO</x:v>
      </x:c>
      <x:c r="K1147" s="23" t="str">
        <x:v>favored_only</x:v>
      </x:c>
      <x:c r="L1147" s="24" t="b">
        <x:v>1</x:v>
      </x:c>
      <x:c r="M1147" s="23" t="n">
        <x:v>1</x:v>
      </x:c>
      <x:c r="N1147" s="28" t="n">
        <x:v>46219.812988715275</x:v>
      </x:c>
      <x:c r="O1147" s="28" t="n">
        <x:v>46219.812988715275</x:v>
      </x:c>
      <x:c r="P1147" s="23" t="str">
        <x:v>CAMPO GRANDE</x:v>
      </x:c>
      <x:c r="Q1147" s="30" t="str"/>
      <x:c r="R1147" s="22" t="str">
        <x:f>"7186445587"</x:f>
        <x:v>7186445587</x:v>
      </x:c>
      <x:c r="S1147" s="23" t="str">
        <x:v>masculino</x:v>
      </x:c>
      <x:c r="T1147" s="22" t="str">
        <x:f>"HBE0825"</x:f>
        <x:v>HBE0825</x:v>
      </x:c>
      <x:c r="U1147" s="23" t="str">
        <x:v>FABIO DE OLIVEIRA CARDOSO</x:v>
      </x:c>
      <x:c r="V1147" s="22" t="str">
        <x:f>"120.918.977-10"</x:f>
        <x:v>120.918.977-10</x:v>
      </x:c>
      <x:c r="W1147" s="22" t="str">
        <x:f>"12091897710"</x:f>
        <x:v>12091897710</x:v>
      </x:c>
      <x:c r="X1147" s="23" t="str">
        <x:v>fabiobrf2014@gmail.com</x:v>
      </x:c>
      <x:c r="Y1147" s="22" t="str">
        <x:f>"21973959282"</x:f>
        <x:v>21973959282</x:v>
      </x:c>
      <x:c r="Z1147" s="30" t="n">
        <x:v>46514</x:v>
      </x:c>
    </x:row>
    <x:row r="1148" ht="18" customHeight="1">
      <x:c r="A1148" s="22" t="str">
        <x:f>"d43f12e6-65c0-4a83-9aea-d7f81ae69e35"</x:f>
        <x:v>d43f12e6-65c0-4a83-9aea-d7f81ae69e35</x:v>
      </x:c>
      <x:c r="B1148" s="23" t="str">
        <x:v>FABIO DE VARGAS MEDEIROS</x:v>
      </x:c>
      <x:c r="C1148" s="23" t="str">
        <x:v>fabio de vargas medeiros</x:v>
      </x:c>
      <x:c r="D1148" s="22" t="str">
        <x:f>"11.518.247/0001-10"</x:f>
        <x:v>11.518.247/0001-10</x:v>
      </x:c>
      <x:c r="E1148" s="22" t="str">
        <x:f>"11518247000110"</x:f>
        <x:v>11518247000110</x:v>
      </x:c>
      <x:c r="F1148" s="22" t="str">
        <x:f>"093.237.047-09"</x:f>
        <x:v>093.237.047-09</x:v>
      </x:c>
      <x:c r="G1148" s="22" t="str">
        <x:f>"09323704709"</x:f>
        <x:v>09323704709</x:v>
      </x:c>
      <x:c r="H1148" s="23" t="str">
        <x:v>fvm66707@gmail.com</x:v>
      </x:c>
      <x:c r="I1148" s="22" t="str">
        <x:f>"21969778677"</x:f>
        <x:v>21969778677</x:v>
      </x:c>
      <x:c r="J1148" s="23" t="str">
        <x:v>SPOT</x:v>
      </x:c>
      <x:c r="K1148" s="23" t="str">
        <x:v>favored_only</x:v>
      </x:c>
      <x:c r="L1148" s="24" t="b">
        <x:v>1</x:v>
      </x:c>
      <x:c r="M1148" s="23" t="n">
        <x:v>1</x:v>
      </x:c>
      <x:c r="N1148" s="28" t="n">
        <x:v>46219.812988715275</x:v>
      </x:c>
      <x:c r="O1148" s="28" t="n">
        <x:v>46219.812988715275</x:v>
      </x:c>
      <x:c r="P1148" s="23" t="str">
        <x:v>CORDOVIL</x:v>
      </x:c>
      <x:c r="Q1148" s="30" t="n">
        <x:v>29733</x:v>
      </x:c>
      <x:c r="R1148" s="22" t="str">
        <x:f>"121907067"</x:f>
        <x:v>121907067</x:v>
      </x:c>
      <x:c r="S1148" s="23" t="str">
        <x:v>masculino</x:v>
      </x:c>
      <x:c r="T1148" s="22" t="str">
        <x:f>"RNK0G87"</x:f>
        <x:v>RNK0G87</x:v>
      </x:c>
      <x:c r="U1148" s="23" t="str">
        <x:v>TANIA MARIA DE VARGAS ALBERGARIA</x:v>
      </x:c>
      <x:c r="V1148" s="22" t="str">
        <x:f>"015.697.507-31"</x:f>
        <x:v>015.697.507-31</x:v>
      </x:c>
      <x:c r="W1148" s="22" t="str">
        <x:f>"01569750731"</x:f>
        <x:v>01569750731</x:v>
      </x:c>
      <x:c r="X1148" s="23" t="str">
        <x:v>tania110464@gmail.com</x:v>
      </x:c>
      <x:c r="Y1148" s="22" t="str">
        <x:f>"219644976934"</x:f>
        <x:v>219644976934</x:v>
      </x:c>
      <x:c r="Z1148" s="30" t="n">
        <x:v>46519</x:v>
      </x:c>
    </x:row>
    <x:row r="1149" ht="18" customHeight="1">
      <x:c r="A1149" s="22" t="str">
        <x:f>"10873902-ce94-4be0-a48f-cfebbaad5fc5"</x:f>
        <x:v>10873902-ce94-4be0-a48f-cfebbaad5fc5</x:v>
      </x:c>
      <x:c r="B1149" s="23" t="str">
        <x:v>FABIO FELIPE TAVARES VELASCO</x:v>
      </x:c>
      <x:c r="C1149" s="23" t="str">
        <x:v>fabio felipe tavares velasco</x:v>
      </x:c>
      <x:c r="D1149" s="22" t="str">
        <x:f>"61.529.747/0001-26"</x:f>
        <x:v>61.529.747/0001-26</x:v>
      </x:c>
      <x:c r="E1149" s="22" t="str">
        <x:f>"61529747000126"</x:f>
        <x:v>61529747000126</x:v>
      </x:c>
      <x:c r="F1149" s="22" t="str">
        <x:f>"194.602.247-09"</x:f>
        <x:v>194.602.247-09</x:v>
      </x:c>
      <x:c r="G1149" s="22" t="str">
        <x:f>"19460224709"</x:f>
        <x:v>19460224709</x:v>
      </x:c>
      <x:c r="H1149" s="23" t="str">
        <x:v>fabiofelipetavares@gmail.com</x:v>
      </x:c>
      <x:c r="I1149" s="22" t="str">
        <x:f>"22 997956696"</x:f>
        <x:v>22 997956696</x:v>
      </x:c>
      <x:c r="J1149" s="23" t="str">
        <x:v>SPOT</x:v>
      </x:c>
      <x:c r="K1149" s="23" t="str">
        <x:v>favored_only</x:v>
      </x:c>
      <x:c r="L1149" s="24" t="b">
        <x:v>1</x:v>
      </x:c>
      <x:c r="M1149" s="23" t="n">
        <x:v>1</x:v>
      </x:c>
      <x:c r="N1149" s="28" t="n">
        <x:v>46203.92186462963</x:v>
      </x:c>
      <x:c r="O1149" s="28" t="n">
        <x:v>46219.812988715275</x:v>
      </x:c>
      <x:c r="P1149" s="23" t="str">
        <x:v>CAMPOS DOS GOYTACAZES</x:v>
      </x:c>
      <x:c r="Q1149" s="30" t="n">
        <x:v>38072</x:v>
      </x:c>
      <x:c r="R1149" s="22" t="str">
        <x:f>"326938339"</x:f>
        <x:v>326938339</x:v>
      </x:c>
      <x:c r="S1149" s="23" t="str">
        <x:v>masculino</x:v>
      </x:c>
      <x:c r="T1149" s="22" t="str">
        <x:f>"FCM7D32"</x:f>
        <x:v>FCM7D32</x:v>
      </x:c>
      <x:c r="U1149" s="23" t="str">
        <x:v>FABIO FELIPE TAVARES VELASCO</x:v>
      </x:c>
      <x:c r="V1149" s="22" t="str">
        <x:f>"194.602.247-09"</x:f>
        <x:v>194.602.247-09</x:v>
      </x:c>
      <x:c r="W1149" s="22" t="str">
        <x:f>"19460224709"</x:f>
        <x:v>19460224709</x:v>
      </x:c>
      <x:c r="X1149" s="23" t="str">
        <x:v>fabiofelipetavares@gmail.com</x:v>
      </x:c>
      <x:c r="Y1149" s="22" t="str">
        <x:f>"22 997956696"</x:f>
        <x:v>22 997956696</x:v>
      </x:c>
      <x:c r="Z1149" s="30" t="n">
        <x:v>46431</x:v>
      </x:c>
    </x:row>
    <x:row r="1150" ht="18" customHeight="1">
      <x:c r="A1150" s="22" t="str">
        <x:f>"d6421ca3-eec9-4708-9cde-e4942767fdc1"</x:f>
        <x:v>d6421ca3-eec9-4708-9cde-e4942767fdc1</x:v>
      </x:c>
      <x:c r="B1150" s="23" t="str">
        <x:v>FABIO FERREIRA BARROS</x:v>
      </x:c>
      <x:c r="C1150" s="23" t="str">
        <x:v>fabio ferreira barros</x:v>
      </x:c>
      <x:c r="D1150" s="22" t="str">
        <x:f>"64.132.025/0001-21"</x:f>
        <x:v>64.132.025/0001-21</x:v>
      </x:c>
      <x:c r="E1150" s="22" t="str">
        <x:f>"64132025000121"</x:f>
        <x:v>64132025000121</x:v>
      </x:c>
      <x:c r="F1150" s="22" t="str">
        <x:f>"864.524.791-72"</x:f>
        <x:v>864.524.791-72</x:v>
      </x:c>
      <x:c r="G1150" s="22" t="str">
        <x:f>"86452479172"</x:f>
        <x:v>86452479172</x:v>
      </x:c>
      <x:c r="H1150" s="23" t="str">
        <x:v>fabiofbarros@live.com</x:v>
      </x:c>
      <x:c r="I1150" s="22" t="str">
        <x:f>"65981310701"</x:f>
        <x:v>65981310701</x:v>
      </x:c>
      <x:c r="J1150" s="23" t="str">
        <x:v>SPOT</x:v>
      </x:c>
      <x:c r="K1150" s="23" t="str">
        <x:v>favored_only</x:v>
      </x:c>
      <x:c r="L1150" s="24" t="b">
        <x:v>1</x:v>
      </x:c>
      <x:c r="M1150" s="23" t="n">
        <x:v>1</x:v>
      </x:c>
      <x:c r="N1150" s="28" t="n">
        <x:v>46219.812988715275</x:v>
      </x:c>
      <x:c r="O1150" s="28" t="n">
        <x:v>46219.812988715275</x:v>
      </x:c>
      <x:c r="P1150" s="23" t="str">
        <x:v>PONTES E LACERDA</x:v>
      </x:c>
      <x:c r="Q1150" s="30" t="n">
        <x:v>29661</x:v>
      </x:c>
      <x:c r="R1150" s="22" t="str">
        <x:f>"12550205"</x:f>
        <x:v>12550205</x:v>
      </x:c>
      <x:c r="S1150" s="23" t="str">
        <x:v>masculino</x:v>
      </x:c>
      <x:c r="T1150" s="22" t="str">
        <x:f>"OBS9A92"</x:f>
        <x:v>OBS9A92</x:v>
      </x:c>
      <x:c r="U1150" s="23" t="str">
        <x:v>EUNICE MARTINS DA SILVA BARROS</x:v>
      </x:c>
      <x:c r="V1150" s="22" t="str">
        <x:f>"011.696.421-95"</x:f>
        <x:v>011.696.421-95</x:v>
      </x:c>
      <x:c r="W1150" s="22" t="str">
        <x:f>"01169642195"</x:f>
        <x:v>01169642195</x:v>
      </x:c>
      <x:c r="X1150" s="23" t="str">
        <x:v>eunicemartinsmph@hotmail.com</x:v>
      </x:c>
      <x:c r="Y1150" s="22" t="str">
        <x:f>"65992274412"</x:f>
        <x:v>65992274412</x:v>
      </x:c>
      <x:c r="Z1150" s="30" t="n">
        <x:v>46508</x:v>
      </x:c>
    </x:row>
    <x:row r="1151" ht="18" customHeight="1">
      <x:c r="A1151" s="22" t="str">
        <x:f>"8f8b0103-4035-4e78-8339-766b29a831be"</x:f>
        <x:v>8f8b0103-4035-4e78-8339-766b29a831be</x:v>
      </x:c>
      <x:c r="B1151" s="23" t="str">
        <x:v>FABIO FRANCELINO CARDOSO</x:v>
      </x:c>
      <x:c r="C1151" s="23" t="str">
        <x:v>fabio francelino cardoso</x:v>
      </x:c>
      <x:c r="D1151" s="22" t="str">
        <x:f>"64.835.609/0001-63"</x:f>
        <x:v>64.835.609/0001-63</x:v>
      </x:c>
      <x:c r="E1151" s="22" t="str">
        <x:f>"64835609000163"</x:f>
        <x:v>64835609000163</x:v>
      </x:c>
      <x:c r="F1151" s="22" t="str">
        <x:f>"409.468.678-95"</x:f>
        <x:v>409.468.678-95</x:v>
      </x:c>
      <x:c r="G1151" s="22" t="str">
        <x:f>"40946867895"</x:f>
        <x:v>40946867895</x:v>
      </x:c>
      <x:c r="H1151" s="23" t="str">
        <x:v>fabiofrancelinocardoso@gmail.com</x:v>
      </x:c>
      <x:c r="I1151" s="22" t="str">
        <x:f>"17 99782-6447"</x:f>
        <x:v>17 99782-6447</x:v>
      </x:c>
      <x:c r="J1151" s="23" t="str">
        <x:v>RENTAL</x:v>
      </x:c>
      <x:c r="K1151" s="23" t="str">
        <x:v>rental_company</x:v>
      </x:c>
      <x:c r="L1151" s="24" t="b">
        <x:v>1</x:v>
      </x:c>
      <x:c r="M1151" s="23" t="n">
        <x:v>1</x:v>
      </x:c>
      <x:c r="N1151" s="28" t="n">
        <x:v>46219.812988715275</x:v>
      </x:c>
      <x:c r="O1151" s="28" t="n">
        <x:v>46219.812988715275</x:v>
      </x:c>
      <x:c r="P1151" s="23" t="str">
        <x:v>BARRETOS</x:v>
      </x:c>
      <x:c r="Q1151" s="30" t="n">
        <x:v>38170</x:v>
      </x:c>
      <x:c r="R1151" s="22" t="str">
        <x:f>"604500579"</x:f>
        <x:v>604500579</x:v>
      </x:c>
      <x:c r="S1151" s="23" t="str">
        <x:v>masculino</x:v>
      </x:c>
      <x:c r="T1151" s="22" t="str"/>
      <x:c r="U1151" s="23" t="str">
        <x:v>FABIO FRANCELINO CARDOSO</x:v>
      </x:c>
      <x:c r="V1151" s="22" t="str">
        <x:f>"409.468.678-95"</x:f>
        <x:v>409.468.678-95</x:v>
      </x:c>
      <x:c r="W1151" s="22" t="str">
        <x:f>"40946867895"</x:f>
        <x:v>40946867895</x:v>
      </x:c>
      <x:c r="X1151" s="23" t="str">
        <x:v>fabiofrancelinocardoso@gmail.com</x:v>
      </x:c>
      <x:c r="Y1151" s="22" t="str">
        <x:f>"17 99782-6447"</x:f>
        <x:v>17 99782-6447</x:v>
      </x:c>
      <x:c r="Z1151" s="30" t="n">
        <x:v>46435</x:v>
      </x:c>
    </x:row>
    <x:row r="1152" ht="18" customHeight="1">
      <x:c r="A1152" s="22" t="str">
        <x:f>"a79656e0-395f-4ecd-b08e-41c98e1d7614"</x:f>
        <x:v>a79656e0-395f-4ecd-b08e-41c98e1d7614</x:v>
      </x:c>
      <x:c r="B1152" s="23" t="str">
        <x:v>FABIO GENARO</x:v>
      </x:c>
      <x:c r="C1152" s="23" t="str">
        <x:v>fabio genaro</x:v>
      </x:c>
      <x:c r="D1152" s="22" t="str">
        <x:f>"61.415.681/0001-43"</x:f>
        <x:v>61.415.681/0001-43</x:v>
      </x:c>
      <x:c r="E1152" s="22" t="str">
        <x:f>"61415681000143"</x:f>
        <x:v>61415681000143</x:v>
      </x:c>
      <x:c r="F1152" s="22" t="str">
        <x:f>"283.517.058-88"</x:f>
        <x:v>283.517.058-88</x:v>
      </x:c>
      <x:c r="G1152" s="22" t="str">
        <x:f>"28351705888"</x:f>
        <x:v>28351705888</x:v>
      </x:c>
      <x:c r="H1152" s="23" t="str">
        <x:v>fabio.genaro1981@hotmail.com</x:v>
      </x:c>
      <x:c r="I1152" s="22" t="str">
        <x:f>"14 997362799"</x:f>
        <x:v>14 997362799</x:v>
      </x:c>
      <x:c r="J1152" s="23" t="str">
        <x:v>SPOT</x:v>
      </x:c>
      <x:c r="K1152" s="23" t="str">
        <x:v>favored_only</x:v>
      </x:c>
      <x:c r="L1152" s="24" t="b">
        <x:v>1</x:v>
      </x:c>
      <x:c r="M1152" s="23" t="n">
        <x:v>1</x:v>
      </x:c>
      <x:c r="N1152" s="28" t="n">
        <x:v>46219.812988715275</x:v>
      </x:c>
      <x:c r="O1152" s="28" t="n">
        <x:v>46219.812988715275</x:v>
      </x:c>
      <x:c r="P1152" s="23" t="str">
        <x:v>BAURU</x:v>
      </x:c>
      <x:c r="Q1152" s="30" t="n">
        <x:v>29743</x:v>
      </x:c>
      <x:c r="R1152" s="22" t="str">
        <x:f>"334748860"</x:f>
        <x:v>334748860</x:v>
      </x:c>
      <x:c r="S1152" s="23" t="str">
        <x:v>masculino</x:v>
      </x:c>
      <x:c r="T1152" s="22" t="str">
        <x:f>"LMN3I69"</x:f>
        <x:v>LMN3I69</x:v>
      </x:c>
      <x:c r="U1152" s="23" t="str">
        <x:v>FABIO GENARO</x:v>
      </x:c>
      <x:c r="V1152" s="22" t="str">
        <x:f>"283.517.058-88"</x:f>
        <x:v>283.517.058-88</x:v>
      </x:c>
      <x:c r="W1152" s="22" t="str">
        <x:f>"28351705888"</x:f>
        <x:v>28351705888</x:v>
      </x:c>
      <x:c r="X1152" s="23" t="str">
        <x:v>fabio.genaro1981@hotmail.com</x:v>
      </x:c>
      <x:c r="Y1152" s="22" t="str">
        <x:f>"14 997362799"</x:f>
        <x:v>14 997362799</x:v>
      </x:c>
      <x:c r="Z1152" s="30" t="n">
        <x:v>46563</x:v>
      </x:c>
    </x:row>
    <x:row r="1153" ht="18" customHeight="1">
      <x:c r="A1153" s="22" t="str">
        <x:f>"b8394da9-4c1b-4486-b92f-c269728d6c98"</x:f>
        <x:v>b8394da9-4c1b-4486-b92f-c269728d6c98</x:v>
      </x:c>
      <x:c r="B1153" s="23" t="str">
        <x:v>FABIO GOMES DO NASCIMENTO</x:v>
      </x:c>
      <x:c r="C1153" s="23" t="str">
        <x:v>fabio gomes do nascimento</x:v>
      </x:c>
      <x:c r="D1153" s="22" t="str">
        <x:f>"37.823.997/0001-90"</x:f>
        <x:v>37.823.997/0001-90</x:v>
      </x:c>
      <x:c r="E1153" s="22" t="str">
        <x:f>"37823997000190"</x:f>
        <x:v>37823997000190</x:v>
      </x:c>
      <x:c r="F1153" s="22" t="str">
        <x:f>"750.548.411-72"</x:f>
        <x:v>750.548.411-72</x:v>
      </x:c>
      <x:c r="G1153" s="22" t="str">
        <x:f>"75054841172"</x:f>
        <x:v>75054841172</x:v>
      </x:c>
      <x:c r="H1153" s="23" t="str">
        <x:v>gomesnascimentofgn518@gmail.com</x:v>
      </x:c>
      <x:c r="I1153" s="22" t="str">
        <x:f>"62 9101-2761"</x:f>
        <x:v>62 9101-2761</x:v>
      </x:c>
      <x:c r="J1153" s="23" t="str">
        <x:v>SPOT]</x:v>
      </x:c>
      <x:c r="K1153" s="23" t="str">
        <x:v>favored_only</x:v>
      </x:c>
      <x:c r="L1153" s="24" t="b">
        <x:v>1</x:v>
      </x:c>
      <x:c r="M1153" s="23" t="n">
        <x:v>1</x:v>
      </x:c>
      <x:c r="N1153" s="28" t="n">
        <x:v>46219.812988715275</x:v>
      </x:c>
      <x:c r="O1153" s="28" t="n">
        <x:v>46219.812988715275</x:v>
      </x:c>
      <x:c r="P1153" s="23" t="str">
        <x:v>MOZARLANDIA</x:v>
      </x:c>
      <x:c r="Q1153" s="30" t="n">
        <x:v>33688</x:v>
      </x:c>
      <x:c r="R1153" s="22" t="str">
        <x:f>"5697263"</x:f>
        <x:v>5697263</x:v>
      </x:c>
      <x:c r="S1153" s="23" t="str">
        <x:v>masculino</x:v>
      </x:c>
      <x:c r="T1153" s="22" t="str">
        <x:f>"OGH6J14"</x:f>
        <x:v>OGH6J14</x:v>
      </x:c>
      <x:c r="U1153" s="23" t="str">
        <x:v>RODOPRIME TRANSPORTES E CARGAS LTDA</x:v>
      </x:c>
      <x:c r="V1153" s="22" t="str">
        <x:f>"038.768.901-01"</x:f>
        <x:v>038.768.901-01</x:v>
      </x:c>
      <x:c r="W1153" s="22" t="str">
        <x:f>"03876890101"</x:f>
        <x:v>03876890101</x:v>
      </x:c>
      <x:c r="X1153" s="23" t="str">
        <x:v>rtp.cargas@gmail.com</x:v>
      </x:c>
      <x:c r="Y1153" s="22" t="str">
        <x:f>"62991277279"</x:f>
        <x:v>62991277279</x:v>
      </x:c>
      <x:c r="Z1153" s="30" t="n">
        <x:v>46486</x:v>
      </x:c>
    </x:row>
    <x:row r="1154" ht="18" customHeight="1">
      <x:c r="A1154" s="22" t="str">
        <x:f>"c94bce99-f995-4250-9463-95077eb2c600"</x:f>
        <x:v>c94bce99-f995-4250-9463-95077eb2c600</x:v>
      </x:c>
      <x:c r="B1154" s="23" t="str">
        <x:v>FABIO HENRIQUE SANTOS DE SOUZA JUNIOR</x:v>
      </x:c>
      <x:c r="C1154" s="23" t="str">
        <x:v>fabio henrique santos de souza junior</x:v>
      </x:c>
      <x:c r="D1154" s="22" t="str">
        <x:f>"58.353.132/0001-87"</x:f>
        <x:v>58.353.132/0001-87</x:v>
      </x:c>
      <x:c r="E1154" s="22" t="str">
        <x:f>"58353132000187"</x:f>
        <x:v>58353132000187</x:v>
      </x:c>
      <x:c r="F1154" s="22" t="str">
        <x:f>"474.865.928-94"</x:f>
        <x:v>474.865.928-94</x:v>
      </x:c>
      <x:c r="G1154" s="22" t="str">
        <x:f>"47486592894"</x:f>
        <x:v>47486592894</x:v>
      </x:c>
      <x:c r="H1154" s="23" t="str">
        <x:v>fabioata20@gmail.com</x:v>
      </x:c>
      <x:c r="I1154" s="22" t="str">
        <x:f>"18 99203-3535"</x:f>
        <x:v>18 99203-3535</x:v>
      </x:c>
      <x:c r="J1154" s="23" t="str">
        <x:v>RENTAL</x:v>
      </x:c>
      <x:c r="K1154" s="23" t="str">
        <x:v>rental_company</x:v>
      </x:c>
      <x:c r="L1154" s="24" t="b">
        <x:v>1</x:v>
      </x:c>
      <x:c r="M1154" s="23" t="n">
        <x:v>1</x:v>
      </x:c>
      <x:c r="N1154" s="28" t="n">
        <x:v>46203.92188238426</x:v>
      </x:c>
      <x:c r="O1154" s="28" t="n">
        <x:v>46219.812988715275</x:v>
      </x:c>
      <x:c r="P1154" s="23" t="str">
        <x:v>ARAÇATUBA</x:v>
      </x:c>
      <x:c r="Q1154" s="30" t="n">
        <x:v>36219</x:v>
      </x:c>
      <x:c r="R1154" s="22" t="str">
        <x:f>"53482024"</x:f>
        <x:v>53482024</x:v>
      </x:c>
      <x:c r="S1154" s="23" t="str">
        <x:v>masculino</x:v>
      </x:c>
      <x:c r="T1154" s="22" t="str"/>
      <x:c r="U1154" s="23" t="str">
        <x:v>FABIO HENRIQUE SANTOS DE SOUZA JUNIOR</x:v>
      </x:c>
      <x:c r="V1154" s="22" t="str">
        <x:f>"474.865.928-94"</x:f>
        <x:v>474.865.928-94</x:v>
      </x:c>
      <x:c r="W1154" s="22" t="str">
        <x:f>"47486592894"</x:f>
        <x:v>47486592894</x:v>
      </x:c>
      <x:c r="X1154" s="23" t="str">
        <x:v>fabioata20@gmail.com</x:v>
      </x:c>
      <x:c r="Y1154" s="22" t="str">
        <x:f>"18 99203-3535"</x:f>
        <x:v>18 99203-3535</x:v>
      </x:c>
      <x:c r="Z1154" s="30" t="n">
        <x:v>46322</x:v>
      </x:c>
    </x:row>
    <x:row r="1155" ht="18" customHeight="1">
      <x:c r="A1155" s="22" t="str">
        <x:f>"946a8d87-d135-49cc-b34e-e7674595b4c1"</x:f>
        <x:v>946a8d87-d135-49cc-b34e-e7674595b4c1</x:v>
      </x:c>
      <x:c r="B1155" s="23" t="str">
        <x:v>FABIO JORGE LEITE DA SILVA</x:v>
      </x:c>
      <x:c r="C1155" s="23" t="str">
        <x:v>fabio jorge leite da silva</x:v>
      </x:c>
      <x:c r="D1155" s="22" t="str">
        <x:f>"63.760.826/0001-79"</x:f>
        <x:v>63.760.826/0001-79</x:v>
      </x:c>
      <x:c r="E1155" s="22" t="str">
        <x:f>"63760826000179"</x:f>
        <x:v>63760826000179</x:v>
      </x:c>
      <x:c r="F1155" s="22" t="str">
        <x:f>"053.558.417-24"</x:f>
        <x:v>053.558.417-24</x:v>
      </x:c>
      <x:c r="G1155" s="22" t="str">
        <x:f>"05355841724"</x:f>
        <x:v>05355841724</x:v>
      </x:c>
      <x:c r="H1155" s="23" t="str">
        <x:v>fabiojorge.r@gmail.com</x:v>
      </x:c>
      <x:c r="I1155" s="22" t="str">
        <x:f>"21964815171"</x:f>
        <x:v>21964815171</x:v>
      </x:c>
      <x:c r="J1155" s="23" t="str">
        <x:v>SPOT</x:v>
      </x:c>
      <x:c r="K1155" s="23" t="str">
        <x:v>favored_only</x:v>
      </x:c>
      <x:c r="L1155" s="24" t="b">
        <x:v>1</x:v>
      </x:c>
      <x:c r="M1155" s="23" t="n">
        <x:v>1</x:v>
      </x:c>
      <x:c r="N1155" s="28" t="n">
        <x:v>46203.92189965278</x:v>
      </x:c>
      <x:c r="O1155" s="28" t="n">
        <x:v>46219.812988715275</x:v>
      </x:c>
      <x:c r="P1155" s="23" t="str">
        <x:v>QUEIMADOS</x:v>
      </x:c>
      <x:c r="Q1155" s="30" t="n">
        <x:v>29639</x:v>
      </x:c>
      <x:c r="R1155" s="22" t="str">
        <x:f>"113208094"</x:f>
        <x:v>113208094</x:v>
      </x:c>
      <x:c r="S1155" s="23" t="str">
        <x:v>masculino</x:v>
      </x:c>
      <x:c r="T1155" s="22" t="str">
        <x:f>"KPE8031"</x:f>
        <x:v>KPE8031</x:v>
      </x:c>
      <x:c r="U1155" s="23" t="str">
        <x:v>FABIO JORGE LEITE DA SILVA</x:v>
      </x:c>
      <x:c r="V1155" s="22" t="str">
        <x:f>"053.558.417-24"</x:f>
        <x:v>053.558.417-24</x:v>
      </x:c>
      <x:c r="W1155" s="22" t="str">
        <x:f>"05355841724"</x:f>
        <x:v>05355841724</x:v>
      </x:c>
      <x:c r="X1155" s="23" t="str">
        <x:v>fabiojorge.r@gmail.com</x:v>
      </x:c>
      <x:c r="Y1155" s="22" t="str">
        <x:f>"21964815171"</x:f>
        <x:v>21964815171</x:v>
      </x:c>
      <x:c r="Z1155" s="30" t="n">
        <x:v>46351</x:v>
      </x:c>
    </x:row>
    <x:row r="1156" ht="18" customHeight="1">
      <x:c r="A1156" s="22" t="str">
        <x:f>"107be8db-2ede-4860-9719-14c3e296cbec"</x:f>
        <x:v>107be8db-2ede-4860-9719-14c3e296cbec</x:v>
      </x:c>
      <x:c r="B1156" s="23" t="str">
        <x:v>FABIO JUNIO DA SILVA</x:v>
      </x:c>
      <x:c r="C1156" s="23" t="str">
        <x:v>fabio junio da silva</x:v>
      </x:c>
      <x:c r="D1156" s="22" t="str">
        <x:f>"67.517.841/0001-41"</x:f>
        <x:v>67.517.841/0001-41</x:v>
      </x:c>
      <x:c r="E1156" s="22" t="str">
        <x:f>"67517841000141"</x:f>
        <x:v>67517841000141</x:v>
      </x:c>
      <x:c r="F1156" s="22" t="str">
        <x:f>"055.610.976-79"</x:f>
        <x:v>055.610.976-79</x:v>
      </x:c>
      <x:c r="G1156" s="22" t="str">
        <x:f>"05561097679"</x:f>
        <x:v>05561097679</x:v>
      </x:c>
      <x:c r="H1156" s="23" t="str">
        <x:v>fabiojuniodasilva668@gmail.com</x:v>
      </x:c>
      <x:c r="I1156" s="22" t="str">
        <x:f>"31996103408"</x:f>
        <x:v>31996103408</x:v>
      </x:c>
      <x:c r="J1156" s="23" t="str">
        <x:v>RENTAL</x:v>
      </x:c>
      <x:c r="K1156" s="23" t="str">
        <x:v>rental_company</x:v>
      </x:c>
      <x:c r="L1156" s="24" t="b">
        <x:v>1</x:v>
      </x:c>
      <x:c r="M1156" s="23" t="n">
        <x:v>1</x:v>
      </x:c>
      <x:c r="N1156" s="28" t="n">
        <x:v>46219.812988715275</x:v>
      </x:c>
      <x:c r="O1156" s="28" t="n">
        <x:v>46219.812988715275</x:v>
      </x:c>
      <x:c r="P1156" s="23" t="str">
        <x:v>IPATINGA</x:v>
      </x:c>
      <x:c r="Q1156" s="30" t="n">
        <x:v>29687</x:v>
      </x:c>
      <x:c r="R1156" s="22" t="str">
        <x:f>"MG 12682124 SSP MG"</x:f>
        <x:v>MG 12682124 SSP MG</x:v>
      </x:c>
      <x:c r="S1156" s="23" t="str">
        <x:v>masculino</x:v>
      </x:c>
      <x:c r="T1156" s="22" t="str"/>
      <x:c r="U1156" s="23" t="str">
        <x:v>FABIO JUNIO DA SILVA</x:v>
      </x:c>
      <x:c r="V1156" s="22" t="str">
        <x:f>"055.610.976-79"</x:f>
        <x:v>055.610.976-79</x:v>
      </x:c>
      <x:c r="W1156" s="22" t="str">
        <x:f>"05561097679"</x:f>
        <x:v>05561097679</x:v>
      </x:c>
      <x:c r="X1156" s="23" t="str">
        <x:v>fabiojuniodasilva668@gmail.com</x:v>
      </x:c>
      <x:c r="Y1156" s="22" t="str">
        <x:f>"31996103408"</x:f>
        <x:v>31996103408</x:v>
      </x:c>
      <x:c r="Z1156" s="30" t="n">
        <x:v>46555</x:v>
      </x:c>
    </x:row>
    <x:row r="1157" ht="18" customHeight="1">
      <x:c r="A1157" s="22" t="str">
        <x:f>"8f7d97aa-0baf-458b-b7af-b3736271eff3"</x:f>
        <x:v>8f7d97aa-0baf-458b-b7af-b3736271eff3</x:v>
      </x:c>
      <x:c r="B1157" s="23" t="str">
        <x:v>FABIO JUNIOR DE OLIVEIRA LIMA</x:v>
      </x:c>
      <x:c r="C1157" s="23" t="str">
        <x:v>fabio junior de oliveira lima</x:v>
      </x:c>
      <x:c r="D1157" s="22" t="str">
        <x:f>"26.586.329/0001-70"</x:f>
        <x:v>26.586.329/0001-70</x:v>
      </x:c>
      <x:c r="E1157" s="22" t="str">
        <x:f>"26586329000170"</x:f>
        <x:v>26586329000170</x:v>
      </x:c>
      <x:c r="F1157" s="22" t="str">
        <x:f>"384.291.588-80"</x:f>
        <x:v>384.291.588-80</x:v>
      </x:c>
      <x:c r="G1157" s="22" t="str">
        <x:f>"38429158880"</x:f>
        <x:v>38429158880</x:v>
      </x:c>
      <x:c r="H1157" s="23" t="str">
        <x:v>fabimjroliveiralima@gmail.com</x:v>
      </x:c>
      <x:c r="I1157" s="22" t="str">
        <x:f>"18 997150230"</x:f>
        <x:v>18 997150230</x:v>
      </x:c>
      <x:c r="J1157" s="23" t="str">
        <x:v>RENTAL</x:v>
      </x:c>
      <x:c r="K1157" s="23" t="str">
        <x:v>rental_company</x:v>
      </x:c>
      <x:c r="L1157" s="24" t="b">
        <x:v>1</x:v>
      </x:c>
      <x:c r="M1157" s="23" t="n">
        <x:v>1</x:v>
      </x:c>
      <x:c r="N1157" s="28" t="n">
        <x:v>46203.921887453704</x:v>
      </x:c>
      <x:c r="O1157" s="28" t="n">
        <x:v>46219.812988715275</x:v>
      </x:c>
      <x:c r="P1157" s="23" t="str">
        <x:v>PRESIDENTE PRUDENTE</x:v>
      </x:c>
      <x:c r="Q1157" s="30" t="n">
        <x:v>33969</x:v>
      </x:c>
      <x:c r="R1157" s="22" t="str">
        <x:f>"483836575"</x:f>
        <x:v>483836575</x:v>
      </x:c>
      <x:c r="S1157" s="23" t="str">
        <x:v>masculino</x:v>
      </x:c>
      <x:c r="T1157" s="22" t="str"/>
      <x:c r="U1157" s="23" t="str">
        <x:v>FABIO JUNIOR DE OLIVEIRA LIMA</x:v>
      </x:c>
      <x:c r="V1157" s="22" t="str">
        <x:f>"384.291.588-80"</x:f>
        <x:v>384.291.588-80</x:v>
      </x:c>
      <x:c r="W1157" s="22" t="str">
        <x:f>"38429158880"</x:f>
        <x:v>38429158880</x:v>
      </x:c>
      <x:c r="X1157" s="23" t="str">
        <x:v>fabimjroliveiralima@gmail.com</x:v>
      </x:c>
      <x:c r="Y1157" s="22" t="str">
        <x:f>"18 997150230"</x:f>
        <x:v>18 997150230</x:v>
      </x:c>
      <x:c r="Z1157" s="30" t="n">
        <x:v>46326</x:v>
      </x:c>
    </x:row>
    <x:row r="1158" ht="18" customHeight="1">
      <x:c r="A1158" s="22" t="str">
        <x:f>"865f786c-47d6-46a5-a416-adcb4714d269"</x:f>
        <x:v>865f786c-47d6-46a5-a416-adcb4714d269</x:v>
      </x:c>
      <x:c r="B1158" s="23" t="str">
        <x:v>FABIOLA ELISANGELA DA SILVA</x:v>
      </x:c>
      <x:c r="C1158" s="23" t="str">
        <x:v>fabiola elisangela da silva</x:v>
      </x:c>
      <x:c r="D1158" s="22" t="str">
        <x:f>"33.274.533/0001-10"</x:f>
        <x:v>33.274.533/0001-10</x:v>
      </x:c>
      <x:c r="E1158" s="22" t="str">
        <x:f>"33274533000110"</x:f>
        <x:v>33274533000110</x:v>
      </x:c>
      <x:c r="F1158" s="22" t="str">
        <x:f>"060.622.916-75"</x:f>
        <x:v>060.622.916-75</x:v>
      </x:c>
      <x:c r="G1158" s="22" t="str">
        <x:f>"06062291675"</x:f>
        <x:v>06062291675</x:v>
      </x:c>
      <x:c r="H1158" s="23" t="str">
        <x:v>fabill2026@gmail.com</x:v>
      </x:c>
      <x:c r="I1158" s="22" t="str">
        <x:f>"31971280826"</x:f>
        <x:v>31971280826</x:v>
      </x:c>
      <x:c r="J1158" s="23" t="str">
        <x:v>SPOT</x:v>
      </x:c>
      <x:c r="K1158" s="23" t="str">
        <x:v>favored_only</x:v>
      </x:c>
      <x:c r="L1158" s="24" t="b">
        <x:v>1</x:v>
      </x:c>
      <x:c r="M1158" s="23" t="n">
        <x:v>1</x:v>
      </x:c>
      <x:c r="N1158" s="28" t="n">
        <x:v>46219.812988715275</x:v>
      </x:c>
      <x:c r="O1158" s="28" t="n">
        <x:v>46219.812988715275</x:v>
      </x:c>
      <x:c r="P1158" s="23" t="str">
        <x:v>NOVA LIMA</x:v>
      </x:c>
      <x:c r="Q1158" s="30" t="n">
        <x:v>30132</x:v>
      </x:c>
      <x:c r="R1158" s="22" t="str">
        <x:f>"10805905"</x:f>
        <x:v>10805905</x:v>
      </x:c>
      <x:c r="S1158" s="23" t="str">
        <x:v>feminino</x:v>
      </x:c>
      <x:c r="T1158" s="22" t="str">
        <x:f>"SYB7A96"</x:f>
        <x:v>SYB7A96</x:v>
      </x:c>
      <x:c r="U1158" s="23" t="str">
        <x:v>FABIOLA ELISANGELA DA SILVA</x:v>
      </x:c>
      <x:c r="V1158" s="22" t="str">
        <x:f>"060.622.916-75"</x:f>
        <x:v>060.622.916-75</x:v>
      </x:c>
      <x:c r="W1158" s="22" t="str">
        <x:f>"06062291675"</x:f>
        <x:v>06062291675</x:v>
      </x:c>
      <x:c r="X1158" s="23" t="str">
        <x:v>fabill2026@gmail.com</x:v>
      </x:c>
      <x:c r="Y1158" s="22" t="str">
        <x:f>"31971280826"</x:f>
        <x:v>31971280826</x:v>
      </x:c>
      <x:c r="Z1158" s="30" t="n">
        <x:v>46409</x:v>
      </x:c>
    </x:row>
    <x:row r="1159" ht="18" customHeight="1">
      <x:c r="A1159" s="22" t="str">
        <x:f>"5252c4ce-04e4-4ee7-8396-f81789069067"</x:f>
        <x:v>5252c4ce-04e4-4ee7-8396-f81789069067</x:v>
      </x:c>
      <x:c r="B1159" s="23" t="str">
        <x:v>FABIOLA REGINA PERES MESCHIARI</x:v>
      </x:c>
      <x:c r="C1159" s="23" t="str">
        <x:v>fabiola regina peres meschiari</x:v>
      </x:c>
      <x:c r="D1159" s="22" t="str">
        <x:f>"65.880.192/0001-13"</x:f>
        <x:v>65.880.192/0001-13</x:v>
      </x:c>
      <x:c r="E1159" s="22" t="str">
        <x:f>"65880192000113"</x:f>
        <x:v>65880192000113</x:v>
      </x:c>
      <x:c r="F1159" s="22" t="str">
        <x:f>"218.191.838-40"</x:f>
        <x:v>218.191.838-40</x:v>
      </x:c>
      <x:c r="G1159" s="22" t="str">
        <x:f>"21819183840"</x:f>
        <x:v>21819183840</x:v>
      </x:c>
      <x:c r="H1159" s="23" t="str">
        <x:v>fabiolaeleonardo@hotmail.com</x:v>
      </x:c>
      <x:c r="I1159" s="22" t="str">
        <x:f>"17 99164-4472"</x:f>
        <x:v>17 99164-4472</x:v>
      </x:c>
      <x:c r="J1159" s="23" t="str">
        <x:v>SPOT</x:v>
      </x:c>
      <x:c r="K1159" s="23" t="str">
        <x:v>favored_only</x:v>
      </x:c>
      <x:c r="L1159" s="24" t="b">
        <x:v>1</x:v>
      </x:c>
      <x:c r="M1159" s="23" t="n">
        <x:v>1</x:v>
      </x:c>
      <x:c r="N1159" s="28" t="n">
        <x:v>46219.812988715275</x:v>
      </x:c>
      <x:c r="O1159" s="28" t="n">
        <x:v>46219.812988715275</x:v>
      </x:c>
      <x:c r="P1159" s="23" t="str">
        <x:v>SÃO JOSE DO RIO PRETO</x:v>
      </x:c>
      <x:c r="Q1159" s="30" t="n">
        <x:v>30153</x:v>
      </x:c>
      <x:c r="R1159" s="22" t="str">
        <x:f>"430256639"</x:f>
        <x:v>430256639</x:v>
      </x:c>
      <x:c r="S1159" s="23" t="str">
        <x:v>feminino</x:v>
      </x:c>
      <x:c r="T1159" s="22" t="str">
        <x:f>"RUS0E46"</x:f>
        <x:v>RUS0E46</x:v>
      </x:c>
      <x:c r="U1159" s="23" t="str">
        <x:v>FABIOLA REGINA PERES MESCHIARI</x:v>
      </x:c>
      <x:c r="V1159" s="22" t="str">
        <x:f>"218.191.838-40"</x:f>
        <x:v>218.191.838-40</x:v>
      </x:c>
      <x:c r="W1159" s="22" t="str">
        <x:f>"21819183840"</x:f>
        <x:v>21819183840</x:v>
      </x:c>
      <x:c r="X1159" s="23" t="str">
        <x:v>fabiolaeleonardo@hotmail.com</x:v>
      </x:c>
      <x:c r="Y1159" s="22" t="str">
        <x:f>"17 99164-4472"</x:f>
        <x:v>17 99164-4472</x:v>
      </x:c>
      <x:c r="Z1159" s="30" t="n">
        <x:v>46550</x:v>
      </x:c>
    </x:row>
    <x:row r="1160" ht="18" customHeight="1">
      <x:c r="A1160" s="22" t="str">
        <x:f>"73455df2-f4ec-42b9-9071-832c5c8557b6"</x:f>
        <x:v>73455df2-f4ec-42b9-9071-832c5c8557b6</x:v>
      </x:c>
      <x:c r="B1160" s="23" t="str">
        <x:v>FABIO LEANDRO DOS SANTOS LIMA</x:v>
      </x:c>
      <x:c r="C1160" s="23" t="str">
        <x:v>fabio leandro dos santos lima</x:v>
      </x:c>
      <x:c r="D1160" s="22" t="str">
        <x:f>"64.008.163/0001-01"</x:f>
        <x:v>64.008.163/0001-01</x:v>
      </x:c>
      <x:c r="E1160" s="22" t="str">
        <x:f>"64008163000101"</x:f>
        <x:v>64008163000101</x:v>
      </x:c>
      <x:c r="F1160" s="22" t="str">
        <x:f>"129.915.774-28"</x:f>
        <x:v>129.915.774-28</x:v>
      </x:c>
      <x:c r="G1160" s="22" t="str">
        <x:f>"12991577428"</x:f>
        <x:v>12991577428</x:v>
      </x:c>
      <x:c r="H1160" s="23" t="str">
        <x:v>fabioleandrosantoslima@gmail.com</x:v>
      </x:c>
      <x:c r="I1160" s="22" t="str">
        <x:f>"31994176167"</x:f>
        <x:v>31994176167</x:v>
      </x:c>
      <x:c r="J1160" s="23" t="str">
        <x:v>SPOT</x:v>
      </x:c>
      <x:c r="K1160" s="23" t="str">
        <x:v>favored_only</x:v>
      </x:c>
      <x:c r="L1160" s="24" t="b">
        <x:v>1</x:v>
      </x:c>
      <x:c r="M1160" s="23" t="n">
        <x:v>1</x:v>
      </x:c>
      <x:c r="N1160" s="28" t="n">
        <x:v>46205.6066250463</x:v>
      </x:c>
      <x:c r="O1160" s="28" t="n">
        <x:v>46219.812988715275</x:v>
      </x:c>
      <x:c r="P1160" s="23" t="str">
        <x:v>CONTAGEM</x:v>
      </x:c>
      <x:c r="Q1160" s="30" t="n">
        <x:v>36082</x:v>
      </x:c>
      <x:c r="R1160" s="22" t="str">
        <x:f>"10049955"</x:f>
        <x:v>10049955</x:v>
      </x:c>
      <x:c r="S1160" s="23" t="str">
        <x:v>masculino</x:v>
      </x:c>
      <x:c r="T1160" s="22" t="str">
        <x:f>"SYS1J41"</x:f>
        <x:v>SYS1J41</x:v>
      </x:c>
      <x:c r="U1160" s="23" t="str">
        <x:v>FABIOLEANDROSANTOSLIMA@GMAIL.COM</x:v>
      </x:c>
      <x:c r="V1160" s="22" t="str">
        <x:f>"129.915.774-28"</x:f>
        <x:v>129.915.774-28</x:v>
      </x:c>
      <x:c r="W1160" s="22" t="str">
        <x:f>"12991577428"</x:f>
        <x:v>12991577428</x:v>
      </x:c>
      <x:c r="X1160" s="23" t="str">
        <x:v>fabioleandrosantoslima@gmail.com</x:v>
      </x:c>
      <x:c r="Y1160" s="22" t="str">
        <x:f>"31994176167"</x:f>
        <x:v>31994176167</x:v>
      </x:c>
      <x:c r="Z1160" s="30" t="n">
        <x:v>46367</x:v>
      </x:c>
    </x:row>
    <x:row r="1161" ht="18" customHeight="1">
      <x:c r="A1161" s="22" t="str">
        <x:f>"e6438672-2766-4748-b980-910db4232395"</x:f>
        <x:v>e6438672-2766-4748-b980-910db4232395</x:v>
      </x:c>
      <x:c r="B1161" s="23" t="str">
        <x:v>FABIO LUCIO SILVA MONSERI</x:v>
      </x:c>
      <x:c r="C1161" s="23" t="str">
        <x:v>fabio lucio silva monseri</x:v>
      </x:c>
      <x:c r="D1161" s="22" t="str">
        <x:f>"51.952.357/0001-00"</x:f>
        <x:v>51.952.357/0001-00</x:v>
      </x:c>
      <x:c r="E1161" s="22" t="str">
        <x:f>"51952357000100"</x:f>
        <x:v>51952357000100</x:v>
      </x:c>
      <x:c r="F1161" s="22" t="str">
        <x:f>"087.604.537-96"</x:f>
        <x:v>087.604.537-96</x:v>
      </x:c>
      <x:c r="G1161" s="22" t="str">
        <x:f>"08760453796"</x:f>
        <x:v>08760453796</x:v>
      </x:c>
      <x:c r="H1161" s="23" t="str">
        <x:v>silvamonseri03@gmail.com</x:v>
      </x:c>
      <x:c r="I1161" s="22" t="str">
        <x:f>"21959258360"</x:f>
        <x:v>21959258360</x:v>
      </x:c>
      <x:c r="J1161" s="23" t="str">
        <x:v>SPOT</x:v>
      </x:c>
      <x:c r="K1161" s="23" t="str">
        <x:v>favored_only</x:v>
      </x:c>
      <x:c r="L1161" s="24" t="b">
        <x:v>1</x:v>
      </x:c>
      <x:c r="M1161" s="23" t="n">
        <x:v>2</x:v>
      </x:c>
      <x:c r="N1161" s="28" t="n">
        <x:v>46205.605684236114</x:v>
      </x:c>
      <x:c r="O1161" s="28" t="n">
        <x:v>46219.812988715275</x:v>
      </x:c>
      <x:c r="P1161" s="23" t="str">
        <x:v>QUEIMADOS</x:v>
      </x:c>
      <x:c r="Q1161" s="30" t="n">
        <x:v>29202</x:v>
      </x:c>
      <x:c r="R1161" s="22" t="str">
        <x:f>"123473969"</x:f>
        <x:v>123473969</x:v>
      </x:c>
      <x:c r="S1161" s="23" t="str">
        <x:v>masculino</x:v>
      </x:c>
      <x:c r="T1161" s="22" t="str">
        <x:f>"KXK9C12"</x:f>
        <x:v>KXK9C12</x:v>
      </x:c>
      <x:c r="U1161" s="23" t="str">
        <x:v>MARIA RITA DE OLIVEIRA MENDES</x:v>
      </x:c>
      <x:c r="V1161" s="22" t="str">
        <x:f>"228.972.337-10"</x:f>
        <x:v>228.972.337-10</x:v>
      </x:c>
      <x:c r="W1161" s="22" t="str">
        <x:f>"22897233710"</x:f>
        <x:v>22897233710</x:v>
      </x:c>
      <x:c r="X1161" s="23" t="str">
        <x:v>silvamonseri03@gmail.com</x:v>
      </x:c>
      <x:c r="Y1161" s="22" t="str">
        <x:f>"21959258360"</x:f>
        <x:v>21959258360</x:v>
      </x:c>
      <x:c r="Z1161" s="30" t="n">
        <x:v>46331</x:v>
      </x:c>
    </x:row>
    <x:row r="1162" ht="18" customHeight="1">
      <x:c r="A1162" s="22" t="str">
        <x:f>"f5c748cd-8f97-4618-816e-06a92cb753b1"</x:f>
        <x:v>f5c748cd-8f97-4618-816e-06a92cb753b1</x:v>
      </x:c>
      <x:c r="B1162" s="23" t="str">
        <x:v>FABIO LUIZ DE SOUZA LIMA</x:v>
      </x:c>
      <x:c r="C1162" s="23" t="str">
        <x:v>fabio luiz de souza lima</x:v>
      </x:c>
      <x:c r="D1162" s="22" t="str">
        <x:f>"62.752.369/0001-08"</x:f>
        <x:v>62.752.369/0001-08</x:v>
      </x:c>
      <x:c r="E1162" s="22" t="str">
        <x:f>"62752369000108"</x:f>
        <x:v>62752369000108</x:v>
      </x:c>
      <x:c r="F1162" s="22" t="str">
        <x:f>"028.388.637-46"</x:f>
        <x:v>028.388.637-46</x:v>
      </x:c>
      <x:c r="G1162" s="22" t="str">
        <x:f>"02838863746"</x:f>
        <x:v>02838863746</x:v>
      </x:c>
      <x:c r="H1162" s="23" t="str">
        <x:v>fabioslima2k16@gmail.com</x:v>
      </x:c>
      <x:c r="I1162" s="22" t="str">
        <x:f>"21995039118"</x:f>
        <x:v>21995039118</x:v>
      </x:c>
      <x:c r="J1162" s="23" t="str">
        <x:v>SPOT</x:v>
      </x:c>
      <x:c r="K1162" s="23" t="str">
        <x:v>favored_only</x:v>
      </x:c>
      <x:c r="L1162" s="24" t="b">
        <x:v>1</x:v>
      </x:c>
      <x:c r="M1162" s="23" t="n">
        <x:v>1</x:v>
      </x:c>
      <x:c r="N1162" s="28" t="n">
        <x:v>46203.92189349537</x:v>
      </x:c>
      <x:c r="O1162" s="28" t="n">
        <x:v>46219.812988715275</x:v>
      </x:c>
      <x:c r="P1162" s="23" t="str">
        <x:v>CORDOVIL</x:v>
      </x:c>
      <x:c r="Q1162" s="30" t="n">
        <x:v>28351</x:v>
      </x:c>
      <x:c r="R1162" s="22" t="str">
        <x:f>"100341361"</x:f>
        <x:v>100341361</x:v>
      </x:c>
      <x:c r="S1162" s="23" t="str">
        <x:v>masculino</x:v>
      </x:c>
      <x:c r="T1162" s="22" t="str">
        <x:f>"QPQ1H67"</x:f>
        <x:v>QPQ1H67</x:v>
      </x:c>
      <x:c r="U1162" s="23" t="str">
        <x:v>FABIO LUIZ DE SOUZA LIMA</x:v>
      </x:c>
      <x:c r="V1162" s="22" t="str">
        <x:f>"028.388.637-46"</x:f>
        <x:v>028.388.637-46</x:v>
      </x:c>
      <x:c r="W1162" s="22" t="str">
        <x:f>"02838863746"</x:f>
        <x:v>02838863746</x:v>
      </x:c>
      <x:c r="X1162" s="23" t="str">
        <x:v>fabioslima2k16@gmail.com</x:v>
      </x:c>
      <x:c r="Y1162" s="22" t="str">
        <x:f>"21995039118"</x:f>
        <x:v>21995039118</x:v>
      </x:c>
      <x:c r="Z1162" s="30" t="n">
        <x:v>46337</x:v>
      </x:c>
    </x:row>
    <x:row r="1163" ht="18" customHeight="1">
      <x:c r="A1163" s="22" t="str">
        <x:f>"d40b12e8-35fb-412f-9608-9efc8c48c550"</x:f>
        <x:v>d40b12e8-35fb-412f-9608-9efc8c48c550</x:v>
      </x:c>
      <x:c r="B1163" s="23" t="str">
        <x:v>FABIO LUIZ FARIAS</x:v>
      </x:c>
      <x:c r="C1163" s="23" t="str">
        <x:v>fabio luiz farias</x:v>
      </x:c>
      <x:c r="D1163" s="22" t="str">
        <x:f>"67.625.666/0001-06"</x:f>
        <x:v>67.625.666/0001-06</x:v>
      </x:c>
      <x:c r="E1163" s="22" t="str">
        <x:f>"67625666000106"</x:f>
        <x:v>67625666000106</x:v>
      </x:c>
      <x:c r="F1163" s="22" t="str">
        <x:f>"029.130.261-09"</x:f>
        <x:v>029.130.261-09</x:v>
      </x:c>
      <x:c r="G1163" s="22" t="str">
        <x:f>"02913026109"</x:f>
        <x:v>02913026109</x:v>
      </x:c>
      <x:c r="H1163" s="23" t="str">
        <x:v>Fabioluizfarias471@gmail.com</x:v>
      </x:c>
      <x:c r="I1163" s="22" t="str">
        <x:f>"65 99850-4770"</x:f>
        <x:v>65 99850-4770</x:v>
      </x:c>
      <x:c r="J1163" s="23" t="str">
        <x:v>SPOT</x:v>
      </x:c>
      <x:c r="K1163" s="23" t="str">
        <x:v>favored_only</x:v>
      </x:c>
      <x:c r="L1163" s="24" t="b">
        <x:v>1</x:v>
      </x:c>
      <x:c r="M1163" s="23" t="n">
        <x:v>1</x:v>
      </x:c>
      <x:c r="N1163" s="28" t="n">
        <x:v>46219.812988715275</x:v>
      </x:c>
      <x:c r="O1163" s="28" t="n">
        <x:v>46219.812988715275</x:v>
      </x:c>
      <x:c r="P1163" s="23" t="str">
        <x:v>PONTES E LACERDA</x:v>
      </x:c>
      <x:c r="Q1163" s="30" t="n">
        <x:v>32138</x:v>
      </x:c>
      <x:c r="R1163" s="22" t="str">
        <x:f>"18632580"</x:f>
        <x:v>18632580</x:v>
      </x:c>
      <x:c r="S1163" s="23" t="str">
        <x:v>masculino</x:v>
      </x:c>
      <x:c r="T1163" s="22" t="str">
        <x:f>"NUB9678"</x:f>
        <x:v>NUB9678</x:v>
      </x:c>
      <x:c r="U1163" s="23" t="str">
        <x:v>FABIO LUIZ FARIAS</x:v>
      </x:c>
      <x:c r="V1163" s="22" t="str">
        <x:f>"029.130.261-09"</x:f>
        <x:v>029.130.261-09</x:v>
      </x:c>
      <x:c r="W1163" s="22" t="str">
        <x:f>"02913026109"</x:f>
        <x:v>02913026109</x:v>
      </x:c>
      <x:c r="X1163" s="23" t="str">
        <x:v>Fabioluizfarias471@gmail.com</x:v>
      </x:c>
      <x:c r="Y1163" s="22" t="str">
        <x:f>"65 99850-4770"</x:f>
        <x:v>65 99850-4770</x:v>
      </x:c>
      <x:c r="Z1163" s="30" t="n">
        <x:v>46581</x:v>
      </x:c>
    </x:row>
    <x:row r="1164" ht="18" customHeight="1">
      <x:c r="A1164" s="22" t="str">
        <x:f>"9c85aeb0-bcd2-407a-9929-3cddaf03342e"</x:f>
        <x:v>9c85aeb0-bcd2-407a-9929-3cddaf03342e</x:v>
      </x:c>
      <x:c r="B1164" s="23" t="str">
        <x:v>FABIO LUIZ SILVA BARROS</x:v>
      </x:c>
      <x:c r="C1164" s="23" t="str">
        <x:v>fabio luiz silva barros</x:v>
      </x:c>
      <x:c r="D1164" s="22" t="str">
        <x:f>"33.154.025/0001-07"</x:f>
        <x:v>33.154.025/0001-07</x:v>
      </x:c>
      <x:c r="E1164" s="22" t="str">
        <x:f>"33154025000107"</x:f>
        <x:v>33154025000107</x:v>
      </x:c>
      <x:c r="F1164" s="22" t="str">
        <x:f>"103.817.977-75"</x:f>
        <x:v>103.817.977-75</x:v>
      </x:c>
      <x:c r="G1164" s="22" t="str">
        <x:f>"10381797775"</x:f>
        <x:v>10381797775</x:v>
      </x:c>
      <x:c r="H1164" s="23" t="str">
        <x:v>fabiobarroskje014@gmail.com</x:v>
      </x:c>
      <x:c r="I1164" s="22" t="str">
        <x:f>"21979526535"</x:f>
        <x:v>21979526535</x:v>
      </x:c>
      <x:c r="J1164" s="23" t="str">
        <x:v>SPOT</x:v>
      </x:c>
      <x:c r="K1164" s="23" t="str">
        <x:v>favored_only</x:v>
      </x:c>
      <x:c r="L1164" s="24" t="b">
        <x:v>1</x:v>
      </x:c>
      <x:c r="M1164" s="23" t="n">
        <x:v>1</x:v>
      </x:c>
      <x:c r="N1164" s="28" t="n">
        <x:v>46203.9219084375</x:v>
      </x:c>
      <x:c r="O1164" s="28" t="n">
        <x:v>46219.812988715275</x:v>
      </x:c>
      <x:c r="P1164" s="23" t="str">
        <x:v>CORDOVIL</x:v>
      </x:c>
      <x:c r="Q1164" s="30" t="n">
        <x:v>30238</x:v>
      </x:c>
      <x:c r="R1164" s="22" t="str">
        <x:f>"207375387"</x:f>
        <x:v>207375387</x:v>
      </x:c>
      <x:c r="S1164" s="23" t="str">
        <x:v>masculino</x:v>
      </x:c>
      <x:c r="T1164" s="22" t="str">
        <x:f>"LSG3744"</x:f>
        <x:v>LSG3744</x:v>
      </x:c>
      <x:c r="U1164" s="23" t="str">
        <x:v>FABIO LUIZ SILVA BARROS</x:v>
      </x:c>
      <x:c r="V1164" s="22" t="str">
        <x:f>"103.817.977-75"</x:f>
        <x:v>103.817.977-75</x:v>
      </x:c>
      <x:c r="W1164" s="22" t="str">
        <x:f>"10381797775"</x:f>
        <x:v>10381797775</x:v>
      </x:c>
      <x:c r="X1164" s="23" t="str">
        <x:v>fabiobarroskje014@gmail.com</x:v>
      </x:c>
      <x:c r="Y1164" s="22" t="str">
        <x:f>"21979526535"</x:f>
        <x:v>21979526535</x:v>
      </x:c>
      <x:c r="Z1164" s="30" t="n">
        <x:v>46390</x:v>
      </x:c>
    </x:row>
    <x:row r="1165" ht="18" customHeight="1">
      <x:c r="A1165" s="22" t="str">
        <x:f>"ad3fbdfa-4204-4064-9a25-e19121f16cc3"</x:f>
        <x:v>ad3fbdfa-4204-4064-9a25-e19121f16cc3</x:v>
      </x:c>
      <x:c r="B1165" s="23" t="str">
        <x:v>FABIO MOREIRA SILVA</x:v>
      </x:c>
      <x:c r="C1165" s="23" t="str">
        <x:v>fabio moreira silva</x:v>
      </x:c>
      <x:c r="D1165" s="22" t="str">
        <x:f>"53.264.533/0001-47"</x:f>
        <x:v>53.264.533/0001-47</x:v>
      </x:c>
      <x:c r="E1165" s="22" t="str">
        <x:f>"53264533000147"</x:f>
        <x:v>53264533000147</x:v>
      </x:c>
      <x:c r="F1165" s="22" t="str">
        <x:f>"034.897.666-60"</x:f>
        <x:v>034.897.666-60</x:v>
      </x:c>
      <x:c r="G1165" s="22" t="str">
        <x:f>"03489766660"</x:f>
        <x:v>03489766660</x:v>
      </x:c>
      <x:c r="H1165" s="23" t="str">
        <x:v>Fabiomoreirasilva62@gmail.com</x:v>
      </x:c>
      <x:c r="I1165" s="22" t="str">
        <x:f>"+55 65 9648-6204"</x:f>
        <x:v>+55 65 9648-6204</x:v>
      </x:c>
      <x:c r="J1165" s="23" t="str">
        <x:v>SPOT</x:v>
      </x:c>
      <x:c r="K1165" s="23" t="str">
        <x:v>favored_only</x:v>
      </x:c>
      <x:c r="L1165" s="24" t="b">
        <x:v>1</x:v>
      </x:c>
      <x:c r="M1165" s="23" t="n">
        <x:v>1</x:v>
      </x:c>
      <x:c r="N1165" s="28" t="n">
        <x:v>46219.812988715275</x:v>
      </x:c>
      <x:c r="O1165" s="28" t="n">
        <x:v>46219.812988715275</x:v>
      </x:c>
      <x:c r="P1165" s="23" t="str">
        <x:v>PONTES E LACERDA</x:v>
      </x:c>
      <x:c r="Q1165" s="30" t="n">
        <x:v>28740</x:v>
      </x:c>
      <x:c r="R1165" s="22" t="str">
        <x:f>"M9265881"</x:f>
        <x:v>M9265881</x:v>
      </x:c>
      <x:c r="S1165" s="23" t="str">
        <x:v>masculino</x:v>
      </x:c>
      <x:c r="T1165" s="22" t="str">
        <x:f>"SPT1G21"</x:f>
        <x:v>SPT1G21</x:v>
      </x:c>
      <x:c r="U1165" s="23" t="str">
        <x:v>LEONIDAS DE PINHO E SILVA</x:v>
      </x:c>
      <x:c r="V1165" s="22" t="str">
        <x:f>"692.451.851-68"</x:f>
        <x:v>692.451.851-68</x:v>
      </x:c>
      <x:c r="W1165" s="22" t="str">
        <x:f>"69245185168"</x:f>
        <x:v>69245185168</x:v>
      </x:c>
      <x:c r="X1165" s="23" t="str">
        <x:v>veloxlogisticamt@gmail.com</x:v>
      </x:c>
      <x:c r="Y1165" s="22" t="str">
        <x:f>"6596790317"</x:f>
        <x:v>6596790317</x:v>
      </x:c>
      <x:c r="Z1165" s="30" t="n">
        <x:v>46457</x:v>
      </x:c>
    </x:row>
    <x:row r="1166" ht="18" customHeight="1">
      <x:c r="A1166" s="22" t="str">
        <x:f>"be0da789-f1e7-48df-8029-9ab3a077274e"</x:f>
        <x:v>be0da789-f1e7-48df-8029-9ab3a077274e</x:v>
      </x:c>
      <x:c r="B1166" s="23" t="str">
        <x:v>FABIO PENARIOL</x:v>
      </x:c>
      <x:c r="C1166" s="23" t="str">
        <x:v>fabio penariol</x:v>
      </x:c>
      <x:c r="D1166" s="22" t="str">
        <x:f>"61.108.365/0001-29"</x:f>
        <x:v>61.108.365/0001-29</x:v>
      </x:c>
      <x:c r="E1166" s="22" t="str">
        <x:f>"61108365000129"</x:f>
        <x:v>61108365000129</x:v>
      </x:c>
      <x:c r="F1166" s="22" t="str">
        <x:f>"322.415.798-40"</x:f>
        <x:v>322.415.798-40</x:v>
      </x:c>
      <x:c r="G1166" s="22" t="str">
        <x:f>"32241579840"</x:f>
        <x:v>32241579840</x:v>
      </x:c>
      <x:c r="H1166" s="23" t="str">
        <x:v>fabio.penariol11@gmail.com</x:v>
      </x:c>
      <x:c r="I1166" s="22" t="str">
        <x:f>"17991380720"</x:f>
        <x:v>17991380720</x:v>
      </x:c>
      <x:c r="J1166" s="23" t="str">
        <x:v>SPOT</x:v>
      </x:c>
      <x:c r="K1166" s="23" t="str">
        <x:v>favored_only</x:v>
      </x:c>
      <x:c r="L1166" s="24" t="b">
        <x:v>1</x:v>
      </x:c>
      <x:c r="M1166" s="23" t="n">
        <x:v>1</x:v>
      </x:c>
      <x:c r="N1166" s="28" t="n">
        <x:v>46219.812988715275</x:v>
      </x:c>
      <x:c r="O1166" s="28" t="n">
        <x:v>46219.812988715275</x:v>
      </x:c>
      <x:c r="P1166" s="23" t="str">
        <x:v>SÃO JOSE DO RIO PRETO</x:v>
      </x:c>
      <x:c r="Q1166" s="30" t="n">
        <x:v>31148</x:v>
      </x:c>
      <x:c r="R1166" s="22" t="str">
        <x:f>"40482866"</x:f>
        <x:v>40482866</x:v>
      </x:c>
      <x:c r="S1166" s="23" t="str">
        <x:v>masculino</x:v>
      </x:c>
      <x:c r="T1166" s="22" t="str">
        <x:f>"OWO5F13"</x:f>
        <x:v>OWO5F13</x:v>
      </x:c>
      <x:c r="U1166" s="23" t="str">
        <x:v>FABIO PENARIOL</x:v>
      </x:c>
      <x:c r="V1166" s="22" t="str">
        <x:f>"322.415.798-40"</x:f>
        <x:v>322.415.798-40</x:v>
      </x:c>
      <x:c r="W1166" s="22" t="str">
        <x:f>"32241579840"</x:f>
        <x:v>32241579840</x:v>
      </x:c>
      <x:c r="X1166" s="23" t="str">
        <x:v>fabio.penariol11@gmail.com</x:v>
      </x:c>
      <x:c r="Y1166" s="22" t="str">
        <x:f>"17991380720"</x:f>
        <x:v>17991380720</x:v>
      </x:c>
      <x:c r="Z1166" s="30" t="n">
        <x:v>46522</x:v>
      </x:c>
    </x:row>
    <x:row r="1167" ht="18" customHeight="1">
      <x:c r="A1167" s="22" t="str">
        <x:f>"e5882295-4178-48f4-9b71-de66f53256ee"</x:f>
        <x:v>e5882295-4178-48f4-9b71-de66f53256ee</x:v>
      </x:c>
      <x:c r="B1167" s="23" t="str">
        <x:v>FABIO ROBERTO BARBOSA ORMOND</x:v>
      </x:c>
      <x:c r="C1167" s="23" t="str">
        <x:v>fabio roberto barbosa ormond</x:v>
      </x:c>
      <x:c r="D1167" s="22" t="str">
        <x:f>"37.823.997/0001-90"</x:f>
        <x:v>37.823.997/0001-90</x:v>
      </x:c>
      <x:c r="E1167" s="22" t="str">
        <x:f>"37823997000190"</x:f>
        <x:v>37823997000190</x:v>
      </x:c>
      <x:c r="F1167" s="22" t="str">
        <x:f>"581.691.561-49"</x:f>
        <x:v>581.691.561-49</x:v>
      </x:c>
      <x:c r="G1167" s="22" t="str">
        <x:f>"58169156149"</x:f>
        <x:v>58169156149</x:v>
      </x:c>
      <x:c r="H1167" s="23" t="str">
        <x:v>Praqueissocba@hotmail.com</x:v>
      </x:c>
      <x:c r="I1167" s="22" t="str">
        <x:f>"+55 65 8422-6010"</x:f>
        <x:v>+55 65 8422-6010</x:v>
      </x:c>
      <x:c r="J1167" s="23" t="str">
        <x:v>SPOT</x:v>
      </x:c>
      <x:c r="K1167" s="23" t="str">
        <x:v>favored_only</x:v>
      </x:c>
      <x:c r="L1167" s="24" t="b">
        <x:v>1</x:v>
      </x:c>
      <x:c r="M1167" s="23" t="n">
        <x:v>1</x:v>
      </x:c>
      <x:c r="N1167" s="28" t="n">
        <x:v>46219.812988715275</x:v>
      </x:c>
      <x:c r="O1167" s="28" t="n">
        <x:v>46219.812988715275</x:v>
      </x:c>
      <x:c r="P1167" s="23" t="str">
        <x:v>CÁCERES</x:v>
      </x:c>
      <x:c r="Q1167" s="30" t="n">
        <x:v>28747</x:v>
      </x:c>
      <x:c r="R1167" s="22" t="str">
        <x:f>"4765461"</x:f>
        <x:v>4765461</x:v>
      </x:c>
      <x:c r="S1167" s="23" t="str">
        <x:v>masculino</x:v>
      </x:c>
      <x:c r="T1167" s="22" t="str">
        <x:f>"nud9j95"</x:f>
        <x:v>nud9j95</x:v>
      </x:c>
      <x:c r="U1167" s="23" t="str">
        <x:v>RODOPRIME TRANSPORTES E CARGAS LTDA</x:v>
      </x:c>
      <x:c r="V1167" s="22" t="str">
        <x:f>"038.768.901-01"</x:f>
        <x:v>038.768.901-01</x:v>
      </x:c>
      <x:c r="W1167" s="22" t="str">
        <x:f>"03876890101"</x:f>
        <x:v>03876890101</x:v>
      </x:c>
      <x:c r="X1167" s="23" t="str">
        <x:v>rtp.cargas@gmail.com</x:v>
      </x:c>
      <x:c r="Y1167" s="22" t="str">
        <x:f>"62991277279"</x:f>
        <x:v>62991277279</x:v>
      </x:c>
      <x:c r="Z1167" s="30" t="n">
        <x:v>46505</x:v>
      </x:c>
    </x:row>
    <x:row r="1168" ht="18" customHeight="1">
      <x:c r="A1168" s="22" t="str">
        <x:f>"1fa98cfd-2a96-4f2b-87dd-627b58cd8b62"</x:f>
        <x:v>1fa98cfd-2a96-4f2b-87dd-627b58cd8b62</x:v>
      </x:c>
      <x:c r="B1168" s="23" t="str">
        <x:v>FABIO RODRIGUES DE OLIVEIRA</x:v>
      </x:c>
      <x:c r="C1168" s="23" t="str">
        <x:v>fabio rodrigues de oliveira</x:v>
      </x:c>
      <x:c r="D1168" s="22" t="str">
        <x:f>"65.124.503/0001-14"</x:f>
        <x:v>65.124.503/0001-14</x:v>
      </x:c>
      <x:c r="E1168" s="22" t="str">
        <x:f>"65124503000114"</x:f>
        <x:v>65124503000114</x:v>
      </x:c>
      <x:c r="F1168" s="22" t="str">
        <x:f>"015.505.296-92"</x:f>
        <x:v>015.505.296-92</x:v>
      </x:c>
      <x:c r="G1168" s="22" t="str">
        <x:f>"01550529692"</x:f>
        <x:v>01550529692</x:v>
      </x:c>
      <x:c r="H1168" s="23" t="str">
        <x:v>fabiorodriguedeoliveira@gmail.com</x:v>
      </x:c>
      <x:c r="I1168" s="22" t="str">
        <x:f>"31986207580"</x:f>
        <x:v>31986207580</x:v>
      </x:c>
      <x:c r="J1168" s="23" t="str">
        <x:v>RENTAL</x:v>
      </x:c>
      <x:c r="K1168" s="23" t="str">
        <x:v>rental_company</x:v>
      </x:c>
      <x:c r="L1168" s="24" t="b">
        <x:v>1</x:v>
      </x:c>
      <x:c r="M1168" s="23" t="n">
        <x:v>2</x:v>
      </x:c>
      <x:c r="N1168" s="28" t="n">
        <x:v>46219.812988715275</x:v>
      </x:c>
      <x:c r="O1168" s="28" t="n">
        <x:v>46219.812988715275</x:v>
      </x:c>
      <x:c r="P1168" s="23" t="str">
        <x:v>CONTAGEM</x:v>
      </x:c>
      <x:c r="Q1168" s="30" t="n">
        <x:v>31499</x:v>
      </x:c>
      <x:c r="R1168" s="22" t="str">
        <x:f>"MG10501326"</x:f>
        <x:v>MG10501326</x:v>
      </x:c>
      <x:c r="S1168" s="23" t="str">
        <x:v>masculino</x:v>
      </x:c>
      <x:c r="T1168" s="22" t="str"/>
      <x:c r="U1168" s="23" t="str">
        <x:v>FABIO RODRIGUES DE OLIVEIRA</x:v>
      </x:c>
      <x:c r="V1168" s="22" t="str">
        <x:f>"015.505.296-92"</x:f>
        <x:v>015.505.296-92</x:v>
      </x:c>
      <x:c r="W1168" s="22" t="str">
        <x:f>"01550529692"</x:f>
        <x:v>01550529692</x:v>
      </x:c>
      <x:c r="X1168" s="23" t="str">
        <x:v>fabiorodriguedeoliveira@gmail.com</x:v>
      </x:c>
      <x:c r="Y1168" s="22" t="str">
        <x:f>"31986207580"</x:f>
        <x:v>31986207580</x:v>
      </x:c>
      <x:c r="Z1168" s="30" t="n">
        <x:v>46462</x:v>
      </x:c>
    </x:row>
    <x:row r="1169" ht="18" customHeight="1">
      <x:c r="A1169" s="22" t="str">
        <x:f>"1a254bb2-7319-4f07-9191-110df3e67e9c"</x:f>
        <x:v>1a254bb2-7319-4f07-9191-110df3e67e9c</x:v>
      </x:c>
      <x:c r="B1169" s="23" t="str">
        <x:v>FABIO ROGERIO SILVA</x:v>
      </x:c>
      <x:c r="C1169" s="23" t="str">
        <x:v>fabio rogerio silva</x:v>
      </x:c>
      <x:c r="D1169" s="22" t="str">
        <x:f>"40.081.400/0001-93"</x:f>
        <x:v>40.081.400/0001-93</x:v>
      </x:c>
      <x:c r="E1169" s="22" t="str">
        <x:f>"40081400000193"</x:f>
        <x:v>40081400000193</x:v>
      </x:c>
      <x:c r="F1169" s="22" t="str">
        <x:f>"344.869.328-62"</x:f>
        <x:v>344.869.328-62</x:v>
      </x:c>
      <x:c r="G1169" s="22" t="str">
        <x:f>"34486932862"</x:f>
        <x:v>34486932862</x:v>
      </x:c>
      <x:c r="H1169" s="23" t="str">
        <x:v>fabiorogerio252211@gmail.com</x:v>
      </x:c>
      <x:c r="I1169" s="22" t="str">
        <x:f>"19 98781-1083"</x:f>
        <x:v>19 98781-1083</x:v>
      </x:c>
      <x:c r="J1169" s="23" t="str">
        <x:v>SPOT</x:v>
      </x:c>
      <x:c r="K1169" s="23" t="str">
        <x:v>favored_only</x:v>
      </x:c>
      <x:c r="L1169" s="24" t="b">
        <x:v>1</x:v>
      </x:c>
      <x:c r="M1169" s="23" t="n">
        <x:v>1</x:v>
      </x:c>
      <x:c r="N1169" s="28" t="n">
        <x:v>46203.921852962965</x:v>
      </x:c>
      <x:c r="O1169" s="28" t="n">
        <x:v>46219.812988715275</x:v>
      </x:c>
      <x:c r="P1169" s="23" t="str">
        <x:v>POCOS DE CALDAS</x:v>
      </x:c>
      <x:c r="Q1169" s="30" t="n">
        <x:v>31377</x:v>
      </x:c>
      <x:c r="R1169" s="22" t="str">
        <x:f>"42.204.920-7"</x:f>
        <x:v>42.204.920-7</x:v>
      </x:c>
      <x:c r="S1169" s="23" t="str">
        <x:v>masculino</x:v>
      </x:c>
      <x:c r="T1169" s="22" t="str">
        <x:f>"PYV5B63"</x:f>
        <x:v>PYV5B63</x:v>
      </x:c>
      <x:c r="U1169" s="23" t="str">
        <x:v>FABIO ROGERIO SILVA</x:v>
      </x:c>
      <x:c r="V1169" s="22" t="str">
        <x:f>"344.869.328-62"</x:f>
        <x:v>344.869.328-62</x:v>
      </x:c>
      <x:c r="W1169" s="22" t="str">
        <x:f>"34486932862"</x:f>
        <x:v>34486932862</x:v>
      </x:c>
      <x:c r="X1169" s="23" t="str">
        <x:v>fabiorogerio252211@gmail.com</x:v>
      </x:c>
      <x:c r="Y1169" s="22" t="str">
        <x:f>"19 98781-1083"</x:f>
        <x:v>19 98781-1083</x:v>
      </x:c>
      <x:c r="Z1169" s="30" t="n">
        <x:v>46247</x:v>
      </x:c>
    </x:row>
    <x:row r="1170" ht="18" customHeight="1">
      <x:c r="A1170" s="22" t="str">
        <x:f>"9a1d4ef7-235e-476f-b5e5-14d98af3bfdd"</x:f>
        <x:v>9a1d4ef7-235e-476f-b5e5-14d98af3bfdd</x:v>
      </x:c>
      <x:c r="B1170" s="23" t="str">
        <x:v>FABIO SAMPAIO DE MORAIS</x:v>
      </x:c>
      <x:c r="C1170" s="23" t="str">
        <x:v>fabio sampaio de morais</x:v>
      </x:c>
      <x:c r="D1170" s="22" t="str">
        <x:f>"63.242.495/0001-85"</x:f>
        <x:v>63.242.495/0001-85</x:v>
      </x:c>
      <x:c r="E1170" s="22" t="str">
        <x:f>"63242495000185"</x:f>
        <x:v>63242495000185</x:v>
      </x:c>
      <x:c r="F1170" s="22" t="str">
        <x:f>"082.013.377-94"</x:f>
        <x:v>082.013.377-94</x:v>
      </x:c>
      <x:c r="G1170" s="22" t="str">
        <x:f>"08201337794"</x:f>
        <x:v>08201337794</x:v>
      </x:c>
      <x:c r="H1170" s="23" t="str">
        <x:v>fabio.s.demorais1980@gmail.com</x:v>
      </x:c>
      <x:c r="I1170" s="22" t="str">
        <x:f>"21986998520"</x:f>
        <x:v>21986998520</x:v>
      </x:c>
      <x:c r="J1170" s="23" t="str">
        <x:v>SPOT</x:v>
      </x:c>
      <x:c r="K1170" s="23" t="str">
        <x:v>favored_only</x:v>
      </x:c>
      <x:c r="L1170" s="24" t="b">
        <x:v>1</x:v>
      </x:c>
      <x:c r="M1170" s="23" t="n">
        <x:v>1</x:v>
      </x:c>
      <x:c r="N1170" s="28" t="n">
        <x:v>46219.812988715275</x:v>
      </x:c>
      <x:c r="O1170" s="28" t="n">
        <x:v>46219.812988715275</x:v>
      </x:c>
      <x:c r="P1170" s="23" t="str">
        <x:v>CORDOVIL</x:v>
      </x:c>
      <x:c r="Q1170" s="30" t="n">
        <x:v>29255</x:v>
      </x:c>
      <x:c r="R1170" s="22" t="str">
        <x:f>"110271798"</x:f>
        <x:v>110271798</x:v>
      </x:c>
      <x:c r="S1170" s="23" t="str">
        <x:v>masculino</x:v>
      </x:c>
      <x:c r="T1170" s="22" t="str">
        <x:f>"LPE7251"</x:f>
        <x:v>LPE7251</x:v>
      </x:c>
      <x:c r="U1170" s="23" t="str">
        <x:v>FABIO SAMPAIO DE MORAIS</x:v>
      </x:c>
      <x:c r="V1170" s="22" t="str">
        <x:f>"082.013.377-94"</x:f>
        <x:v>082.013.377-94</x:v>
      </x:c>
      <x:c r="W1170" s="22" t="str">
        <x:f>"08201337794"</x:f>
        <x:v>08201337794</x:v>
      </x:c>
      <x:c r="X1170" s="23" t="str">
        <x:v>fabio.s.demorais1980@gmail.com</x:v>
      </x:c>
      <x:c r="Y1170" s="22" t="str">
        <x:f>"21986998520"</x:f>
        <x:v>21986998520</x:v>
      </x:c>
      <x:c r="Z1170" s="30" t="n">
        <x:v>46571</x:v>
      </x:c>
    </x:row>
    <x:row r="1171" ht="18" customHeight="1">
      <x:c r="A1171" s="22" t="str">
        <x:f>"7611768a-1346-4ab7-8603-db31b792e953"</x:f>
        <x:v>7611768a-1346-4ab7-8603-db31b792e953</x:v>
      </x:c>
      <x:c r="B1171" s="23" t="str">
        <x:v>FABIO SANTOS DE SOUZA LIMA</x:v>
      </x:c>
      <x:c r="C1171" s="23" t="str">
        <x:v>fabio santos de souza lima</x:v>
      </x:c>
      <x:c r="D1171" s="22" t="str">
        <x:f>"65.110.521/0001-47"</x:f>
        <x:v>65.110.521/0001-47</x:v>
      </x:c>
      <x:c r="E1171" s="22" t="str">
        <x:f>"65110521000147"</x:f>
        <x:v>65110521000147</x:v>
      </x:c>
      <x:c r="F1171" s="22" t="str">
        <x:f>"538.278.908-88"</x:f>
        <x:v>538.278.908-88</x:v>
      </x:c>
      <x:c r="G1171" s="22" t="str">
        <x:f>"53827890888"</x:f>
        <x:v>53827890888</x:v>
      </x:c>
      <x:c r="H1171" s="23" t="str">
        <x:v>fabio240405santosdelima@gmail.com</x:v>
      </x:c>
      <x:c r="I1171" s="22" t="str">
        <x:f>"11912842187"</x:f>
        <x:v>11912842187</x:v>
      </x:c>
      <x:c r="J1171" s="23" t="str">
        <x:v>RENTAL</x:v>
      </x:c>
      <x:c r="K1171" s="23" t="str">
        <x:v>rental_company</x:v>
      </x:c>
      <x:c r="L1171" s="24" t="b">
        <x:v>1</x:v>
      </x:c>
      <x:c r="M1171" s="23" t="n">
        <x:v>1</x:v>
      </x:c>
      <x:c r="N1171" s="28" t="n">
        <x:v>46219.812988715275</x:v>
      </x:c>
      <x:c r="O1171" s="28" t="n">
        <x:v>46219.812988715275</x:v>
      </x:c>
      <x:c r="P1171" s="23" t="str">
        <x:v>BARUERI</x:v>
      </x:c>
      <x:c r="Q1171" s="30" t="n">
        <x:v>38466</x:v>
      </x:c>
      <x:c r="R1171" s="22" t="str">
        <x:f>"624179801"</x:f>
        <x:v>624179801</x:v>
      </x:c>
      <x:c r="S1171" s="23" t="str">
        <x:v>masculino</x:v>
      </x:c>
      <x:c r="T1171" s="22" t="str"/>
      <x:c r="U1171" s="23" t="str">
        <x:v>FABIO SANTOS DE SOUZA LIMA</x:v>
      </x:c>
      <x:c r="V1171" s="22" t="str">
        <x:f>"538.278.908-88"</x:f>
        <x:v>538.278.908-88</x:v>
      </x:c>
      <x:c r="W1171" s="22" t="str">
        <x:f>"53827890888"</x:f>
        <x:v>53827890888</x:v>
      </x:c>
      <x:c r="X1171" s="23" t="str">
        <x:v>fabio240405santosdelima@gmail.com</x:v>
      </x:c>
      <x:c r="Y1171" s="22" t="str">
        <x:f>"11912842187"</x:f>
        <x:v>11912842187</x:v>
      </x:c>
      <x:c r="Z1171" s="30" t="n">
        <x:v>46462</x:v>
      </x:c>
    </x:row>
    <x:row r="1172" ht="18" customHeight="1">
      <x:c r="A1172" s="22" t="str">
        <x:f>"df63a16b-af18-49c4-b9d1-2349a79c8dfd"</x:f>
        <x:v>df63a16b-af18-49c4-b9d1-2349a79c8dfd</x:v>
      </x:c>
      <x:c r="B1172" s="23" t="str">
        <x:v>FABIO THOMAS MUNIZ</x:v>
      </x:c>
      <x:c r="C1172" s="23" t="str">
        <x:v>fabio thomas muniz</x:v>
      </x:c>
      <x:c r="D1172" s="22" t="str">
        <x:f>"63.882.264/0001-36"</x:f>
        <x:v>63.882.264/0001-36</x:v>
      </x:c>
      <x:c r="E1172" s="22" t="str">
        <x:f>"63882264000136"</x:f>
        <x:v>63882264000136</x:v>
      </x:c>
      <x:c r="F1172" s="22" t="str">
        <x:f>"716.933.511-53"</x:f>
        <x:v>716.933.511-53</x:v>
      </x:c>
      <x:c r="G1172" s="22" t="str">
        <x:f>"71693351153"</x:f>
        <x:v>71693351153</x:v>
      </x:c>
      <x:c r="H1172" s="23" t="str">
        <x:v>ftmms@hotmail.com</x:v>
      </x:c>
      <x:c r="I1172" s="22" t="str">
        <x:f>"67998011783"</x:f>
        <x:v>67998011783</x:v>
      </x:c>
      <x:c r="J1172" s="23" t="str">
        <x:v>spot</x:v>
      </x:c>
      <x:c r="K1172" s="23" t="str">
        <x:v>favored_only</x:v>
      </x:c>
      <x:c r="L1172" s="24" t="b">
        <x:v>1</x:v>
      </x:c>
      <x:c r="M1172" s="23" t="n">
        <x:v>2</x:v>
      </x:c>
      <x:c r="N1172" s="28" t="n">
        <x:v>46219.812988715275</x:v>
      </x:c>
      <x:c r="O1172" s="28" t="n">
        <x:v>46219.812988715275</x:v>
      </x:c>
      <x:c r="P1172" s="23" t="str">
        <x:v>CHAPADÃO DO SUL</x:v>
      </x:c>
      <x:c r="Q1172" s="30" t="n">
        <x:v>30584</x:v>
      </x:c>
      <x:c r="R1172" s="22" t="str">
        <x:f>"1254700"</x:f>
        <x:v>1254700</x:v>
      </x:c>
      <x:c r="S1172" s="23" t="str">
        <x:v>masculino</x:v>
      </x:c>
      <x:c r="T1172" s="22" t="str">
        <x:f>"FHA1H28"</x:f>
        <x:v>FHA1H28</x:v>
      </x:c>
      <x:c r="U1172" s="23" t="str">
        <x:v>FABIO THOMAS MUNIZ</x:v>
      </x:c>
      <x:c r="V1172" s="22" t="str">
        <x:f>"716.933.511-53"</x:f>
        <x:v>716.933.511-53</x:v>
      </x:c>
      <x:c r="W1172" s="22" t="str">
        <x:f>"71693351153"</x:f>
        <x:v>71693351153</x:v>
      </x:c>
      <x:c r="X1172" s="23" t="str">
        <x:v>ftmms@hotmail.com</x:v>
      </x:c>
      <x:c r="Y1172" s="22" t="str">
        <x:f>"67998011783"</x:f>
        <x:v>67998011783</x:v>
      </x:c>
      <x:c r="Z1172" s="30" t="n">
        <x:v>46571</x:v>
      </x:c>
    </x:row>
    <x:row r="1173" ht="18" customHeight="1">
      <x:c r="A1173" s="22" t="str">
        <x:f>"cb4b3cb6-d076-4066-8af5-229098d9a5d6"</x:f>
        <x:v>cb4b3cb6-d076-4066-8af5-229098d9a5d6</x:v>
      </x:c>
      <x:c r="B1173" s="23" t="str">
        <x:v>FABRICIO CARDOSO RODRIGUES</x:v>
      </x:c>
      <x:c r="C1173" s="23" t="str">
        <x:v>fabricio cardoso rodrigues</x:v>
      </x:c>
      <x:c r="D1173" s="22" t="str">
        <x:f>"63.999.422/0001-32"</x:f>
        <x:v>63.999.422/0001-32</x:v>
      </x:c>
      <x:c r="E1173" s="22" t="str">
        <x:f>"63999422000132"</x:f>
        <x:v>63999422000132</x:v>
      </x:c>
      <x:c r="F1173" s="22" t="str">
        <x:f>"182.459.767-33"</x:f>
        <x:v>182.459.767-33</x:v>
      </x:c>
      <x:c r="G1173" s="22" t="str">
        <x:f>"18245976733"</x:f>
        <x:v>18245976733</x:v>
      </x:c>
      <x:c r="H1173" s="23" t="str">
        <x:v>eletricistafabricio02@gmail.com</x:v>
      </x:c>
      <x:c r="I1173" s="22" t="str">
        <x:f>"21 97721-3332"</x:f>
        <x:v>21 97721-3332</x:v>
      </x:c>
      <x:c r="J1173" s="23" t="str">
        <x:v>SPOT</x:v>
      </x:c>
      <x:c r="K1173" s="23" t="str">
        <x:v>favored_only</x:v>
      </x:c>
      <x:c r="L1173" s="24" t="b">
        <x:v>1</x:v>
      </x:c>
      <x:c r="M1173" s="23" t="n">
        <x:v>2</x:v>
      </x:c>
      <x:c r="N1173" s="28" t="n">
        <x:v>46219.812988715275</x:v>
      </x:c>
      <x:c r="O1173" s="28" t="n">
        <x:v>46219.812988715275</x:v>
      </x:c>
      <x:c r="P1173" s="23" t="str">
        <x:v>CORDOVIL</x:v>
      </x:c>
      <x:c r="Q1173" s="30" t="n">
        <x:v>36280</x:v>
      </x:c>
      <x:c r="R1173" s="22" t="str">
        <x:f>"295672380"</x:f>
        <x:v>295672380</x:v>
      </x:c>
      <x:c r="S1173" s="23" t="str">
        <x:v>masculino</x:v>
      </x:c>
      <x:c r="T1173" s="22" t="str">
        <x:f>"LMH4G15"</x:f>
        <x:v>LMH4G15</x:v>
      </x:c>
      <x:c r="U1173" s="23" t="str">
        <x:v>THIAGO JANSEN DE FREITAS</x:v>
      </x:c>
      <x:c r="V1173" s="22" t="str">
        <x:f>"057.738.437-65"</x:f>
        <x:v>057.738.437-65</x:v>
      </x:c>
      <x:c r="W1173" s="22" t="str">
        <x:f>"05773843765"</x:f>
        <x:v>05773843765</x:v>
      </x:c>
      <x:c r="X1173" s="23" t="str">
        <x:v>eletricistafabricio02@gmail.com</x:v>
      </x:c>
      <x:c r="Y1173" s="22" t="str">
        <x:f>"21 99444-4474"</x:f>
        <x:v>21 99444-4474</x:v>
      </x:c>
      <x:c r="Z1173" s="30" t="n">
        <x:v>46563</x:v>
      </x:c>
    </x:row>
    <x:row r="1174" ht="18" customHeight="1">
      <x:c r="A1174" s="22" t="str">
        <x:f>"88628342-c921-47d6-a5e2-4dcc6dd1dead"</x:f>
        <x:v>88628342-c921-47d6-a5e2-4dcc6dd1dead</x:v>
      </x:c>
      <x:c r="B1174" s="23" t="str">
        <x:v>FABRICIO DANIEL GALEGO DA SILVA</x:v>
      </x:c>
      <x:c r="C1174" s="23" t="str">
        <x:v>fabricio daniel galego da silva</x:v>
      </x:c>
      <x:c r="D1174" s="22" t="str">
        <x:f>"67.860.661/0001-68"</x:f>
        <x:v>67.860.661/0001-68</x:v>
      </x:c>
      <x:c r="E1174" s="22" t="str">
        <x:f>"67860661000168"</x:f>
        <x:v>67860661000168</x:v>
      </x:c>
      <x:c r="F1174" s="22" t="str">
        <x:f>"466.593.508-45"</x:f>
        <x:v>466.593.508-45</x:v>
      </x:c>
      <x:c r="G1174" s="22" t="str">
        <x:f>"46659350845"</x:f>
        <x:v>46659350845</x:v>
      </x:c>
      <x:c r="H1174" s="23" t="str">
        <x:v>fabriciogalego01@gmail.com</x:v>
      </x:c>
      <x:c r="I1174" s="22" t="str">
        <x:f>"17 99186-4233"</x:f>
        <x:v>17 99186-4233</x:v>
      </x:c>
      <x:c r="J1174" s="23" t="str">
        <x:v>RENTAL</x:v>
      </x:c>
      <x:c r="K1174" s="23" t="str">
        <x:v>rental_company</x:v>
      </x:c>
      <x:c r="L1174" s="24" t="b">
        <x:v>1</x:v>
      </x:c>
      <x:c r="M1174" s="23" t="n">
        <x:v>1</x:v>
      </x:c>
      <x:c r="N1174" s="28" t="n">
        <x:v>46219.812988715275</x:v>
      </x:c>
      <x:c r="O1174" s="28" t="n">
        <x:v>46219.812988715275</x:v>
      </x:c>
      <x:c r="P1174" s="23" t="str">
        <x:v>SÃO JOSE DO RIO PRETO</x:v>
      </x:c>
      <x:c r="Q1174" s="30" t="n">
        <x:v>38780</x:v>
      </x:c>
      <x:c r="R1174" s="22" t="str">
        <x:f>"628706753"</x:f>
        <x:v>628706753</x:v>
      </x:c>
      <x:c r="S1174" s="23" t="str">
        <x:v>masculino</x:v>
      </x:c>
      <x:c r="T1174" s="22" t="str"/>
      <x:c r="U1174" s="23" t="str">
        <x:v>FABRICIO DANIEL GALEGO DA SILVA</x:v>
      </x:c>
      <x:c r="V1174" s="22" t="str">
        <x:f>"466.593.508-45"</x:f>
        <x:v>466.593.508-45</x:v>
      </x:c>
      <x:c r="W1174" s="22" t="str">
        <x:f>"46659350845"</x:f>
        <x:v>46659350845</x:v>
      </x:c>
      <x:c r="X1174" s="23" t="str">
        <x:v>fabriciogalego01@gmail.com</x:v>
      </x:c>
      <x:c r="Y1174" s="22" t="str">
        <x:f>"17 99186-4233"</x:f>
        <x:v>17 99186-4233</x:v>
      </x:c>
      <x:c r="Z1174" s="30" t="n">
        <x:v>46574</x:v>
      </x:c>
    </x:row>
    <x:row r="1175" ht="18" customHeight="1">
      <x:c r="A1175" s="22" t="str">
        <x:f>"2b53119a-a92a-4ac4-8365-8534300c24f7"</x:f>
        <x:v>2b53119a-a92a-4ac4-8365-8534300c24f7</x:v>
      </x:c>
      <x:c r="B1175" s="23" t="str">
        <x:v>FABRICIO DA SILVA GONCALVES</x:v>
      </x:c>
      <x:c r="C1175" s="23" t="str">
        <x:v>fabricio da silva goncalves</x:v>
      </x:c>
      <x:c r="D1175" s="22" t="str">
        <x:f>"63.249.290/0001-21"</x:f>
        <x:v>63.249.290/0001-21</x:v>
      </x:c>
      <x:c r="E1175" s="22" t="str">
        <x:f>"63249290000121"</x:f>
        <x:v>63249290000121</x:v>
      </x:c>
      <x:c r="F1175" s="22" t="str">
        <x:f>"040.902.296-93"</x:f>
        <x:v>040.902.296-93</x:v>
      </x:c>
      <x:c r="G1175" s="22" t="str">
        <x:f>"04090229693"</x:f>
        <x:v>04090229693</x:v>
      </x:c>
      <x:c r="H1175" s="23" t="str">
        <x:v>fabriciusline@gmail.com</x:v>
      </x:c>
      <x:c r="I1175" s="22" t="str">
        <x:f>"(31)9 9666-5326"</x:f>
        <x:v>(31)9 9666-5326</x:v>
      </x:c>
      <x:c r="J1175" s="23" t="str">
        <x:v>SPOT</x:v>
      </x:c>
      <x:c r="K1175" s="23" t="str">
        <x:v>favored_only</x:v>
      </x:c>
      <x:c r="L1175" s="24" t="b">
        <x:v>1</x:v>
      </x:c>
      <x:c r="M1175" s="23" t="n">
        <x:v>1</x:v>
      </x:c>
      <x:c r="N1175" s="28" t="n">
        <x:v>46203.9219084375</x:v>
      </x:c>
      <x:c r="O1175" s="28" t="n">
        <x:v>46219.812988715275</x:v>
      </x:c>
      <x:c r="P1175" s="23" t="str">
        <x:v>VESPASIANO</x:v>
      </x:c>
      <x:c r="Q1175" s="30" t="n">
        <x:v>28887</x:v>
      </x:c>
      <x:c r="R1175" s="22" t="str">
        <x:f>"RG: MG8682918"</x:f>
        <x:v>RG: MG8682918</x:v>
      </x:c>
      <x:c r="S1175" s="23" t="str">
        <x:v>masculino</x:v>
      </x:c>
      <x:c r="T1175" s="22" t="str">
        <x:f>"SYH2C37"</x:f>
        <x:v>SYH2C37</x:v>
      </x:c>
      <x:c r="U1175" s="23" t="str">
        <x:v>FABRICIO DA SILVA GONCALVES</x:v>
      </x:c>
      <x:c r="V1175" s="22" t="str">
        <x:f>"040.902.296-93"</x:f>
        <x:v>040.902.296-93</x:v>
      </x:c>
      <x:c r="W1175" s="22" t="str">
        <x:f>"04090229693"</x:f>
        <x:v>04090229693</x:v>
      </x:c>
      <x:c r="X1175" s="23" t="str">
        <x:v>fabriciusline@gmail.com</x:v>
      </x:c>
      <x:c r="Y1175" s="22" t="str">
        <x:f>"(31)9 9666-5326"</x:f>
        <x:v>(31)9 9666-5326</x:v>
      </x:c>
      <x:c r="Z1175" s="30" t="n">
        <x:v>46385</x:v>
      </x:c>
    </x:row>
    <x:row r="1176" ht="18" customHeight="1">
      <x:c r="A1176" s="22" t="str">
        <x:f>"9503d9a1-5459-47f6-b8df-e49fb25e3773"</x:f>
        <x:v>9503d9a1-5459-47f6-b8df-e49fb25e3773</x:v>
      </x:c>
      <x:c r="B1176" s="23" t="str">
        <x:v>FABRICIO DE OLIVEIRA BRASILEIRO</x:v>
      </x:c>
      <x:c r="C1176" s="23" t="str">
        <x:v>fabricio de oliveira brasileiro</x:v>
      </x:c>
      <x:c r="D1176" s="22" t="str">
        <x:f>"52.490.800/0001-31"</x:f>
        <x:v>52.490.800/0001-31</x:v>
      </x:c>
      <x:c r="E1176" s="22" t="str">
        <x:f>"52490800000131"</x:f>
        <x:v>52490800000131</x:v>
      </x:c>
      <x:c r="F1176" s="22" t="str">
        <x:f>"128.256.137-54"</x:f>
        <x:v>128.256.137-54</x:v>
      </x:c>
      <x:c r="G1176" s="22" t="str">
        <x:f>"12825613754"</x:f>
        <x:v>12825613754</x:v>
      </x:c>
      <x:c r="H1176" s="23" t="str">
        <x:v>FABRICIOBRASILEIRO16@GMAIL.COM</x:v>
      </x:c>
      <x:c r="I1176" s="22" t="str">
        <x:f>"22998673445"</x:f>
        <x:v>22998673445</x:v>
      </x:c>
      <x:c r="J1176" s="23" t="str">
        <x:v>SPOT</x:v>
      </x:c>
      <x:c r="K1176" s="23" t="str">
        <x:v>favored_only</x:v>
      </x:c>
      <x:c r="L1176" s="24" t="b">
        <x:v>1</x:v>
      </x:c>
      <x:c r="M1176" s="23" t="n">
        <x:v>1</x:v>
      </x:c>
      <x:c r="N1176" s="28" t="n">
        <x:v>46203.921887453704</x:v>
      </x:c>
      <x:c r="O1176" s="28" t="n">
        <x:v>46219.812988715275</x:v>
      </x:c>
      <x:c r="P1176" s="23" t="str">
        <x:v>CAMPOS DOS GOYTACAZES</x:v>
      </x:c>
      <x:c r="Q1176" s="30" t="n">
        <x:v>32715</x:v>
      </x:c>
      <x:c r="R1176" s="22" t="str">
        <x:f>"240632786"</x:f>
        <x:v>240632786</x:v>
      </x:c>
      <x:c r="S1176" s="23" t="str">
        <x:v>masculino</x:v>
      </x:c>
      <x:c r="T1176" s="22" t="str">
        <x:f>"TTT9C03"</x:f>
        <x:v>TTT9C03</x:v>
      </x:c>
      <x:c r="U1176" s="23" t="str">
        <x:v>FABRICIO DE OLIVEIRA BRASILEIRO</x:v>
      </x:c>
      <x:c r="V1176" s="22" t="str">
        <x:f>"128.256.137-54"</x:f>
        <x:v>128.256.137-54</x:v>
      </x:c>
      <x:c r="W1176" s="22" t="str">
        <x:f>"12825613754"</x:f>
        <x:v>12825613754</x:v>
      </x:c>
      <x:c r="X1176" s="23" t="str">
        <x:v>FABRICIOBRASILEIRO16@GMAIL.COM</x:v>
      </x:c>
      <x:c r="Y1176" s="22" t="str">
        <x:f>"22998673445"</x:f>
        <x:v>22998673445</x:v>
      </x:c>
      <x:c r="Z1176" s="30" t="n">
        <x:v>46550</x:v>
      </x:c>
    </x:row>
    <x:row r="1177" ht="18" customHeight="1">
      <x:c r="A1177" s="22" t="str">
        <x:f>"b53bc1ce-90cf-4783-8ab7-26c260cb1936"</x:f>
        <x:v>b53bc1ce-90cf-4783-8ab7-26c260cb1936</x:v>
      </x:c>
      <x:c r="B1177" s="23" t="str">
        <x:v>FABRICIO DE OLIVEIRA BRASILEIRO</x:v>
      </x:c>
      <x:c r="C1177" s="23" t="str">
        <x:v>fabricio de oliveira brasileiro</x:v>
      </x:c>
      <x:c r="D1177" s="22" t="str">
        <x:f>"67.650.475/0001-02"</x:f>
        <x:v>67.650.475/0001-02</x:v>
      </x:c>
      <x:c r="E1177" s="22" t="str">
        <x:f>"67650475000102"</x:f>
        <x:v>67650475000102</x:v>
      </x:c>
      <x:c r="F1177" s="22" t="str">
        <x:f>"128.256.137-54"</x:f>
        <x:v>128.256.137-54</x:v>
      </x:c>
      <x:c r="G1177" s="22" t="str">
        <x:f>"12825613754"</x:f>
        <x:v>12825613754</x:v>
      </x:c>
      <x:c r="H1177" s="23" t="str">
        <x:v>fabriciobrasileiro16@gmail.com</x:v>
      </x:c>
      <x:c r="I1177" s="22" t="str">
        <x:f>"22998673445"</x:f>
        <x:v>22998673445</x:v>
      </x:c>
      <x:c r="J1177" s="23" t="str">
        <x:v>SPOT</x:v>
      </x:c>
      <x:c r="K1177" s="23" t="str">
        <x:v>favored_only</x:v>
      </x:c>
      <x:c r="L1177" s="24" t="b">
        <x:v>1</x:v>
      </x:c>
      <x:c r="M1177" s="23" t="n">
        <x:v>1</x:v>
      </x:c>
      <x:c r="N1177" s="28" t="n">
        <x:v>46219.812988715275</x:v>
      </x:c>
      <x:c r="O1177" s="28" t="n">
        <x:v>46219.812988715275</x:v>
      </x:c>
      <x:c r="P1177" s="23" t="str">
        <x:v>CAMPOS DOS GOYTACAZES</x:v>
      </x:c>
      <x:c r="Q1177" s="30" t="n">
        <x:v>32715</x:v>
      </x:c>
      <x:c r="R1177" s="22" t="str">
        <x:f>"240632786"</x:f>
        <x:v>240632786</x:v>
      </x:c>
      <x:c r="S1177" s="23" t="str">
        <x:v>masculino</x:v>
      </x:c>
      <x:c r="T1177" s="22" t="str">
        <x:f>"fcb1c14"</x:f>
        <x:v>fcb1c14</x:v>
      </x:c>
      <x:c r="U1177" s="23" t="str">
        <x:v>BARBARA OLIVEIRA SIQUEIRA</x:v>
      </x:c>
      <x:c r="V1177" s="22" t="str">
        <x:f>"257.830.367-23"</x:f>
        <x:v>257.830.367-23</x:v>
      </x:c>
      <x:c r="W1177" s="22" t="str">
        <x:f>"25783036723"</x:f>
        <x:v>25783036723</x:v>
      </x:c>
      <x:c r="X1177" s="23" t="str">
        <x:v>barbaraosiqueira4@gmail.com</x:v>
      </x:c>
      <x:c r="Y1177" s="22" t="str">
        <x:f>"22998834004"</x:f>
        <x:v>22998834004</x:v>
      </x:c>
      <x:c r="Z1177" s="30" t="n">
        <x:v>46568</x:v>
      </x:c>
    </x:row>
    <x:row r="1178" ht="18" customHeight="1">
      <x:c r="A1178" s="22" t="str">
        <x:f>"cf3970a2-3916-44e9-ad91-6a4932520152"</x:f>
        <x:v>cf3970a2-3916-44e9-ad91-6a4932520152</x:v>
      </x:c>
      <x:c r="B1178" s="23" t="str">
        <x:v>FABRICIO MARCONDES MACHADO ROSSI</x:v>
      </x:c>
      <x:c r="C1178" s="23" t="str">
        <x:v>fabricio marcondes machado rossi</x:v>
      </x:c>
      <x:c r="D1178" s="22" t="str">
        <x:f>"62.803.828/0001-35"</x:f>
        <x:v>62.803.828/0001-35</x:v>
      </x:c>
      <x:c r="E1178" s="22" t="str">
        <x:f>"62803828000135"</x:f>
        <x:v>62803828000135</x:v>
      </x:c>
      <x:c r="F1178" s="22" t="str">
        <x:f>"178.612.818-76"</x:f>
        <x:v>178.612.818-76</x:v>
      </x:c>
      <x:c r="G1178" s="22" t="str">
        <x:f>"17861281876"</x:f>
        <x:v>17861281876</x:v>
      </x:c>
      <x:c r="H1178" s="23" t="str">
        <x:v>fabriciomm.rossi@hotmail.com</x:v>
      </x:c>
      <x:c r="I1178" s="22" t="str">
        <x:f>"16 99715-8677"</x:f>
        <x:v>16 99715-8677</x:v>
      </x:c>
      <x:c r="J1178" s="23" t="str">
        <x:v>RENTAL</x:v>
      </x:c>
      <x:c r="K1178" s="23" t="str">
        <x:v>rental_company</x:v>
      </x:c>
      <x:c r="L1178" s="24" t="b">
        <x:v>1</x:v>
      </x:c>
      <x:c r="M1178" s="23" t="n">
        <x:v>1</x:v>
      </x:c>
      <x:c r="N1178" s="28" t="n">
        <x:v>46203.921887453704</x:v>
      </x:c>
      <x:c r="O1178" s="28" t="n">
        <x:v>46219.812988715275</x:v>
      </x:c>
      <x:c r="P1178" s="23" t="str">
        <x:v>RIBEIRAO PRETO</x:v>
      </x:c>
      <x:c r="Q1178" s="30" t="n">
        <x:v>26893</x:v>
      </x:c>
      <x:c r="R1178" s="22" t="str">
        <x:f>"20998122"</x:f>
        <x:v>20998122</x:v>
      </x:c>
      <x:c r="S1178" s="23" t="str">
        <x:v>masculino</x:v>
      </x:c>
      <x:c r="T1178" s="22" t="str"/>
      <x:c r="U1178" s="23" t="str">
        <x:v>FABRICIO MARCONDES MACHADO ROSSI</x:v>
      </x:c>
      <x:c r="V1178" s="22" t="str">
        <x:f>"178.612.818-76"</x:f>
        <x:v>178.612.818-76</x:v>
      </x:c>
      <x:c r="W1178" s="22" t="str">
        <x:f>"17861281876"</x:f>
        <x:v>17861281876</x:v>
      </x:c>
      <x:c r="X1178" s="23" t="str">
        <x:v>fabriciomm.rossi@hotmail.com</x:v>
      </x:c>
      <x:c r="Y1178" s="22" t="str">
        <x:f>"16 99715-8677"</x:f>
        <x:v>16 99715-8677</x:v>
      </x:c>
      <x:c r="Z1178" s="30" t="n">
        <x:v>46329</x:v>
      </x:c>
    </x:row>
    <x:row r="1179" ht="18" customHeight="1">
      <x:c r="A1179" s="22" t="str">
        <x:f>"df9f9e94-99a9-4e84-8a71-7d901a69b172"</x:f>
        <x:v>df9f9e94-99a9-4e84-8a71-7d901a69b172</x:v>
      </x:c>
      <x:c r="B1179" s="23" t="str">
        <x:v>FABRICIO PEREIRA DA SILVA</x:v>
      </x:c>
      <x:c r="C1179" s="23" t="str">
        <x:v>fabricio pereira da silva</x:v>
      </x:c>
      <x:c r="D1179" s="22" t="str">
        <x:f>"63.096.732/0001-47"</x:f>
        <x:v>63.096.732/0001-47</x:v>
      </x:c>
      <x:c r="E1179" s="22" t="str">
        <x:f>"63096732000147"</x:f>
        <x:v>63096732000147</x:v>
      </x:c>
      <x:c r="F1179" s="22" t="str">
        <x:f>"315.826.678-45"</x:f>
        <x:v>315.826.678-45</x:v>
      </x:c>
      <x:c r="G1179" s="22" t="str">
        <x:f>"31582667845"</x:f>
        <x:v>31582667845</x:v>
      </x:c>
      <x:c r="H1179" s="23" t="str">
        <x:v>fmhf_transporte4@outlook.com</x:v>
      </x:c>
      <x:c r="I1179" s="22" t="str">
        <x:f>"18 99169-4814"</x:f>
        <x:v>18 99169-4814</x:v>
      </x:c>
      <x:c r="J1179" s="23" t="str">
        <x:v>SPOT</x:v>
      </x:c>
      <x:c r="K1179" s="23" t="str">
        <x:v>favored_only</x:v>
      </x:c>
      <x:c r="L1179" s="24" t="b">
        <x:v>1</x:v>
      </x:c>
      <x:c r="M1179" s="23" t="n">
        <x:v>1</x:v>
      </x:c>
      <x:c r="N1179" s="28" t="n">
        <x:v>46203.92188238426</x:v>
      </x:c>
      <x:c r="O1179" s="28" t="n">
        <x:v>46203.92188238426</x:v>
      </x:c>
      <x:c r="P1179" s="23" t="str"/>
      <x:c r="Q1179" s="30" t="str"/>
      <x:c r="R1179" s="22" t="str"/>
      <x:c r="S1179" s="23" t="str"/>
      <x:c r="T1179" s="22" t="str"/>
      <x:c r="U1179" s="23" t="str">
        <x:v>FABRICIO PEREIRA DA SILVA</x:v>
      </x:c>
      <x:c r="V1179" s="22" t="str">
        <x:f>"315.826.678-45"</x:f>
        <x:v>315.826.678-45</x:v>
      </x:c>
      <x:c r="W1179" s="22" t="str">
        <x:f>"31582667845"</x:f>
        <x:v>31582667845</x:v>
      </x:c>
      <x:c r="X1179" s="23" t="str">
        <x:v>fmhf_transporte4@outlook.com</x:v>
      </x:c>
      <x:c r="Y1179" s="22" t="str">
        <x:f>"18 99169-4814"</x:f>
        <x:v>18 99169-4814</x:v>
      </x:c>
      <x:c r="Z1179" s="30" t="str"/>
    </x:row>
    <x:row r="1180" ht="18" customHeight="1">
      <x:c r="A1180" s="22" t="str">
        <x:f>"31bc1521-afa8-4a5e-adc2-41e8346c9a02"</x:f>
        <x:v>31bc1521-afa8-4a5e-adc2-41e8346c9a02</x:v>
      </x:c>
      <x:c r="B1180" s="23" t="str">
        <x:v>FABRICIO PEREIRA LUCIANO</x:v>
      </x:c>
      <x:c r="C1180" s="23" t="str">
        <x:v>fabricio pereira luciano</x:v>
      </x:c>
      <x:c r="D1180" s="22" t="str">
        <x:f>"61.724.699/0001-27"</x:f>
        <x:v>61.724.699/0001-27</x:v>
      </x:c>
      <x:c r="E1180" s="22" t="str">
        <x:f>"61724699000127"</x:f>
        <x:v>61724699000127</x:v>
      </x:c>
      <x:c r="F1180" s="22" t="str">
        <x:f>"214.621.828-28"</x:f>
        <x:v>214.621.828-28</x:v>
      </x:c>
      <x:c r="G1180" s="22" t="str">
        <x:f>"21462182828"</x:f>
        <x:v>21462182828</x:v>
      </x:c>
      <x:c r="H1180" s="23" t="str">
        <x:v>fabriciolubarretos7@gmail.com</x:v>
      </x:c>
      <x:c r="I1180" s="22" t="str">
        <x:f>"17933004100"</x:f>
        <x:v>17933004100</x:v>
      </x:c>
      <x:c r="J1180" s="23" t="str">
        <x:v>DESCONHECIDO</x:v>
      </x:c>
      <x:c r="K1180" s="23" t="str">
        <x:v>favored_only</x:v>
      </x:c>
      <x:c r="L1180" s="24" t="b">
        <x:v>1</x:v>
      </x:c>
      <x:c r="M1180" s="23" t="n">
        <x:v>1</x:v>
      </x:c>
      <x:c r="N1180" s="28" t="n">
        <x:v>46203.92191240741</x:v>
      </x:c>
      <x:c r="O1180" s="28" t="n">
        <x:v>46219.812988715275</x:v>
      </x:c>
      <x:c r="P1180" s="23" t="str">
        <x:v>BARRETOS</x:v>
      </x:c>
      <x:c r="Q1180" s="30" t="str"/>
      <x:c r="R1180" s="22" t="str">
        <x:f>"28015745"</x:f>
        <x:v>28015745</x:v>
      </x:c>
      <x:c r="S1180" s="23" t="str">
        <x:v>masculino</x:v>
      </x:c>
      <x:c r="T1180" s="22" t="str">
        <x:f>"PUB2E65"</x:f>
        <x:v>PUB2E65</x:v>
      </x:c>
      <x:c r="U1180" s="23" t="str">
        <x:v>FABRICIO PEREIRA LUCIANO</x:v>
      </x:c>
      <x:c r="V1180" s="22" t="str">
        <x:f>"214.621.828-28"</x:f>
        <x:v>214.621.828-28</x:v>
      </x:c>
      <x:c r="W1180" s="22" t="str">
        <x:f>"21462182828"</x:f>
        <x:v>21462182828</x:v>
      </x:c>
      <x:c r="X1180" s="23" t="str">
        <x:v>fabriciolubarretos7@gmail.com</x:v>
      </x:c>
      <x:c r="Y1180" s="22" t="str">
        <x:f>"17933004100"</x:f>
        <x:v>17933004100</x:v>
      </x:c>
      <x:c r="Z1180" s="30" t="n">
        <x:v>46278</x:v>
      </x:c>
    </x:row>
    <x:row r="1181" ht="18" customHeight="1">
      <x:c r="A1181" s="22" t="str">
        <x:f>"9dce0f60-a397-430d-835a-56d479620941"</x:f>
        <x:v>9dce0f60-a397-430d-835a-56d479620941</x:v>
      </x:c>
      <x:c r="B1181" s="23" t="str">
        <x:v>FARLEI ALEXANDRE DE SOUSA</x:v>
      </x:c>
      <x:c r="C1181" s="23" t="str">
        <x:v>farlei alexandre de sousa</x:v>
      </x:c>
      <x:c r="D1181" s="22" t="str">
        <x:f>"57.883.052/0001-70"</x:f>
        <x:v>57.883.052/0001-70</x:v>
      </x:c>
      <x:c r="E1181" s="22" t="str">
        <x:f>"57883052000170"</x:f>
        <x:v>57883052000170</x:v>
      </x:c>
      <x:c r="F1181" s="22" t="str">
        <x:f>"11495532607"</x:f>
        <x:v>11495532607</x:v>
      </x:c>
      <x:c r="G1181" s="22" t="str">
        <x:f>"11495532607"</x:f>
        <x:v>11495532607</x:v>
      </x:c>
      <x:c r="H1181" s="23" t="str">
        <x:v>farleisousa14@hotmail.com</x:v>
      </x:c>
      <x:c r="I1181" s="22" t="str">
        <x:f>"3398407053"</x:f>
        <x:v>3398407053</x:v>
      </x:c>
      <x:c r="J1181" s="23" t="str">
        <x:v>SPOT</x:v>
      </x:c>
      <x:c r="K1181" s="23" t="str">
        <x:v>favored_only</x:v>
      </x:c>
      <x:c r="L1181" s="24" t="b">
        <x:v>1</x:v>
      </x:c>
      <x:c r="M1181" s="23" t="n">
        <x:v>2</x:v>
      </x:c>
      <x:c r="N1181" s="28" t="n">
        <x:v>46203.92183017361</x:v>
      </x:c>
      <x:c r="O1181" s="28" t="n">
        <x:v>46220.50397587963</x:v>
      </x:c>
      <x:c r="P1181" s="23" t="str">
        <x:v>GUANHAES</x:v>
      </x:c>
      <x:c r="Q1181" s="30" t="str"/>
      <x:c r="R1181" s="22" t="str"/>
      <x:c r="S1181" s="23" t="str"/>
      <x:c r="T1181" s="22" t="str"/>
      <x:c r="U1181" s="23" t="str">
        <x:v>FARLEI ALEXANDRE DE SOUSA</x:v>
      </x:c>
      <x:c r="V1181" s="22" t="str">
        <x:f>"11495532607"</x:f>
        <x:v>11495532607</x:v>
      </x:c>
      <x:c r="W1181" s="22" t="str">
        <x:f>"11495532607"</x:f>
        <x:v>11495532607</x:v>
      </x:c>
      <x:c r="X1181" s="23" t="str">
        <x:v>farleisousa14@hotmail.com</x:v>
      </x:c>
      <x:c r="Y1181" s="22" t="str">
        <x:f>"3398407053"</x:f>
        <x:v>3398407053</x:v>
      </x:c>
      <x:c r="Z1181" s="30" t="str"/>
    </x:row>
    <x:row r="1182" ht="18" customHeight="1">
      <x:c r="A1182" s="22" t="str">
        <x:f>"643a9377-224b-4896-a0a4-26f7a83aea1d"</x:f>
        <x:v>643a9377-224b-4896-a0a4-26f7a83aea1d</x:v>
      </x:c>
      <x:c r="B1182" s="23" t="str">
        <x:v>FARLEY MIRANDA DE ARAUJO</x:v>
      </x:c>
      <x:c r="C1182" s="23" t="str">
        <x:v>farley miranda de araujo</x:v>
      </x:c>
      <x:c r="D1182" s="22" t="str">
        <x:f>"64.609.301/0001-08"</x:f>
        <x:v>64.609.301/0001-08</x:v>
      </x:c>
      <x:c r="E1182" s="22" t="str">
        <x:f>"64609301000108"</x:f>
        <x:v>64609301000108</x:v>
      </x:c>
      <x:c r="F1182" s="22" t="str">
        <x:f>"019.754.976-43"</x:f>
        <x:v>019.754.976-43</x:v>
      </x:c>
      <x:c r="G1182" s="22" t="str">
        <x:f>"01975497643"</x:f>
        <x:v>01975497643</x:v>
      </x:c>
      <x:c r="H1182" s="23" t="str">
        <x:v>Farleymiranda09@gmail.com</x:v>
      </x:c>
      <x:c r="I1182" s="22" t="str">
        <x:f>"(33) 9122-8217"</x:f>
        <x:v>(33) 9122-8217</x:v>
      </x:c>
      <x:c r="J1182" s="23" t="str">
        <x:v>SPOT</x:v>
      </x:c>
      <x:c r="K1182" s="23" t="str">
        <x:v>favored_only</x:v>
      </x:c>
      <x:c r="L1182" s="24" t="b">
        <x:v>1</x:v>
      </x:c>
      <x:c r="M1182" s="23" t="n">
        <x:v>1</x:v>
      </x:c>
      <x:c r="N1182" s="28" t="n">
        <x:v>46219.812988715275</x:v>
      </x:c>
      <x:c r="O1182" s="28" t="n">
        <x:v>46219.812988715275</x:v>
      </x:c>
      <x:c r="P1182" s="23" t="str">
        <x:v>TEOFILO OTONI</x:v>
      </x:c>
      <x:c r="Q1182" s="30" t="n">
        <x:v>35557</x:v>
      </x:c>
      <x:c r="R1182" s="22" t="str">
        <x:f>"19863526"</x:f>
        <x:v>19863526</x:v>
      </x:c>
      <x:c r="S1182" s="23" t="str">
        <x:v>masculino</x:v>
      </x:c>
      <x:c r="T1182" s="22" t="str">
        <x:f>"LTN2F05"</x:f>
        <x:v>LTN2F05</x:v>
      </x:c>
      <x:c r="U1182" s="23" t="str">
        <x:v>FARLEY MIRANDA DE ARAUJO</x:v>
      </x:c>
      <x:c r="V1182" s="22" t="str">
        <x:f>"019.754.976-43"</x:f>
        <x:v>019.754.976-43</x:v>
      </x:c>
      <x:c r="W1182" s="22" t="str">
        <x:f>"01975497643"</x:f>
        <x:v>01975497643</x:v>
      </x:c>
      <x:c r="X1182" s="23" t="str">
        <x:v>Farleymiranda09@gmail.com</x:v>
      </x:c>
      <x:c r="Y1182" s="22" t="str">
        <x:f>"(33) 9122-8217"</x:f>
        <x:v>(33) 9122-8217</x:v>
      </x:c>
      <x:c r="Z1182" s="30" t="n">
        <x:v>46478</x:v>
      </x:c>
    </x:row>
    <x:row r="1183" ht="18" customHeight="1">
      <x:c r="A1183" s="22" t="str">
        <x:f>"c02077a4-cfc1-4890-82d3-0fbaeb3ca0d6"</x:f>
        <x:v>c02077a4-cfc1-4890-82d3-0fbaeb3ca0d6</x:v>
      </x:c>
      <x:c r="B1183" s="23" t="str">
        <x:v>FATIMA APARECIDA DA SILVA</x:v>
      </x:c>
      <x:c r="C1183" s="23" t="str">
        <x:v>fatima aparecida da silva</x:v>
      </x:c>
      <x:c r="D1183" s="22" t="str">
        <x:f>"62.571.650/0001-44"</x:f>
        <x:v>62.571.650/0001-44</x:v>
      </x:c>
      <x:c r="E1183" s="22" t="str">
        <x:f>"62571650000144"</x:f>
        <x:v>62571650000144</x:v>
      </x:c>
      <x:c r="F1183" s="22" t="str">
        <x:f>"286.485.258-61"</x:f>
        <x:v>286.485.258-61</x:v>
      </x:c>
      <x:c r="G1183" s="22" t="str">
        <x:f>"28648525861"</x:f>
        <x:v>28648525861</x:v>
      </x:c>
      <x:c r="H1183" s="23" t="str">
        <x:v>fahhisis4@gmail.com</x:v>
      </x:c>
      <x:c r="I1183" s="22" t="str">
        <x:f>"18 99716-2542"</x:f>
        <x:v>18 99716-2542</x:v>
      </x:c>
      <x:c r="J1183" s="23" t="str">
        <x:v>SPOT</x:v>
      </x:c>
      <x:c r="K1183" s="23" t="str">
        <x:v>favored_only</x:v>
      </x:c>
      <x:c r="L1183" s="24" t="b">
        <x:v>1</x:v>
      </x:c>
      <x:c r="M1183" s="23" t="n">
        <x:v>1</x:v>
      </x:c>
      <x:c r="N1183" s="28" t="n">
        <x:v>46203.92186462963</x:v>
      </x:c>
      <x:c r="O1183" s="28" t="n">
        <x:v>46219.812988715275</x:v>
      </x:c>
      <x:c r="P1183" s="23" t="str">
        <x:v>PRESIDENTE PRUDENTE</x:v>
      </x:c>
      <x:c r="Q1183" s="30" t="n">
        <x:v>29719</x:v>
      </x:c>
      <x:c r="R1183" s="22" t="str">
        <x:f>"34803932"</x:f>
        <x:v>34803932</x:v>
      </x:c>
      <x:c r="S1183" s="23" t="str">
        <x:v>feminino</x:v>
      </x:c>
      <x:c r="T1183" s="22" t="str">
        <x:f>"EGL0I71"</x:f>
        <x:v>EGL0I71</x:v>
      </x:c>
      <x:c r="U1183" s="23" t="str">
        <x:v>FATIMA APARECIDA DA SILVA</x:v>
      </x:c>
      <x:c r="V1183" s="22" t="str">
        <x:f>"286.485.258-61"</x:f>
        <x:v>286.485.258-61</x:v>
      </x:c>
      <x:c r="W1183" s="22" t="str">
        <x:f>"28648525861"</x:f>
        <x:v>28648525861</x:v>
      </x:c>
      <x:c r="X1183" s="23" t="str">
        <x:v>fahhisis4@gmail.com</x:v>
      </x:c>
      <x:c r="Y1183" s="22" t="str">
        <x:f>"18 99716-2542"</x:f>
        <x:v>18 99716-2542</x:v>
      </x:c>
      <x:c r="Z1183" s="30" t="n">
        <x:v>46284</x:v>
      </x:c>
    </x:row>
    <x:row r="1184" ht="18" customHeight="1">
      <x:c r="A1184" s="22" t="str">
        <x:f>"521d9a25-c877-4d6c-a376-99912212fb1e"</x:f>
        <x:v>521d9a25-c877-4d6c-a376-99912212fb1e</x:v>
      </x:c>
      <x:c r="B1184" s="23" t="str">
        <x:v>FELIPE ALMEIDA MARTINS</x:v>
      </x:c>
      <x:c r="C1184" s="23" t="str">
        <x:v>felipe almeida martins</x:v>
      </x:c>
      <x:c r="D1184" s="22" t="str">
        <x:f>"30.765.908/0001-57"</x:f>
        <x:v>30.765.908/0001-57</x:v>
      </x:c>
      <x:c r="E1184" s="22" t="str">
        <x:f>"30765908000157"</x:f>
        <x:v>30765908000157</x:v>
      </x:c>
      <x:c r="F1184" s="22" t="str">
        <x:f>"118.881.616-04"</x:f>
        <x:v>118.881.616-04</x:v>
      </x:c>
      <x:c r="G1184" s="22" t="str">
        <x:f>"11888161604"</x:f>
        <x:v>11888161604</x:v>
      </x:c>
      <x:c r="H1184" s="23" t="str">
        <x:v>Felipe-almeidam@outlook.com</x:v>
      </x:c>
      <x:c r="I1184" s="22" t="str">
        <x:f>"31 988618758"</x:f>
        <x:v>31 988618758</x:v>
      </x:c>
      <x:c r="J1184" s="23" t="str">
        <x:v>SPOT</x:v>
      </x:c>
      <x:c r="K1184" s="23" t="str">
        <x:v>favored_only</x:v>
      </x:c>
      <x:c r="L1184" s="24" t="b">
        <x:v>1</x:v>
      </x:c>
      <x:c r="M1184" s="23" t="n">
        <x:v>1</x:v>
      </x:c>
      <x:c r="N1184" s="28" t="n">
        <x:v>46219.812988715275</x:v>
      </x:c>
      <x:c r="O1184" s="28" t="n">
        <x:v>46219.812988715275</x:v>
      </x:c>
      <x:c r="P1184" s="23" t="str">
        <x:v>IPATINGA</x:v>
      </x:c>
      <x:c r="Q1184" s="30" t="n">
        <x:v>34892</x:v>
      </x:c>
      <x:c r="R1184" s="22" t="str">
        <x:f>"MG 17897878 SSPMG"</x:f>
        <x:v>MG 17897878 SSPMG</x:v>
      </x:c>
      <x:c r="S1184" s="23" t="str">
        <x:v>masculino</x:v>
      </x:c>
      <x:c r="T1184" s="22" t="str">
        <x:f>"HBG2H71"</x:f>
        <x:v>HBG2H71</x:v>
      </x:c>
      <x:c r="U1184" s="23" t="str">
        <x:v>FELIPE ALMEIDA MARTINS</x:v>
      </x:c>
      <x:c r="V1184" s="22" t="str">
        <x:f>"118.881.616-04"</x:f>
        <x:v>118.881.616-04</x:v>
      </x:c>
      <x:c r="W1184" s="22" t="str">
        <x:f>"11888161604"</x:f>
        <x:v>11888161604</x:v>
      </x:c>
      <x:c r="X1184" s="23" t="str">
        <x:v>Felipe-almeidam@outlook.com</x:v>
      </x:c>
      <x:c r="Y1184" s="22" t="str">
        <x:f>"31 988618758"</x:f>
        <x:v>31 988618758</x:v>
      </x:c>
      <x:c r="Z1184" s="30" t="n">
        <x:v>46442</x:v>
      </x:c>
    </x:row>
    <x:row r="1185" ht="18" customHeight="1">
      <x:c r="A1185" s="22" t="str">
        <x:f>"15695519-595f-4f45-a5e4-c41022c0726f"</x:f>
        <x:v>15695519-595f-4f45-a5e4-c41022c0726f</x:v>
      </x:c>
      <x:c r="B1185" s="23" t="str">
        <x:v>FELIPE ALVES DA SILVA</x:v>
      </x:c>
      <x:c r="C1185" s="23" t="str">
        <x:v>felipe alves da silva</x:v>
      </x:c>
      <x:c r="D1185" s="22" t="str">
        <x:f>"58.947.537/0001-43"</x:f>
        <x:v>58.947.537/0001-43</x:v>
      </x:c>
      <x:c r="E1185" s="22" t="str">
        <x:f>"58947537000143"</x:f>
        <x:v>58947537000143</x:v>
      </x:c>
      <x:c r="F1185" s="22" t="str">
        <x:f>"170.421.666-47"</x:f>
        <x:v>170.421.666-47</x:v>
      </x:c>
      <x:c r="G1185" s="22" t="str">
        <x:f>"17042166647"</x:f>
        <x:v>17042166647</x:v>
      </x:c>
      <x:c r="H1185" s="23" t="str">
        <x:v>felipedaalves03@gmail.com</x:v>
      </x:c>
      <x:c r="I1185" s="22" t="str">
        <x:f>"31973533680"</x:f>
        <x:v>31973533680</x:v>
      </x:c>
      <x:c r="J1185" s="23" t="str">
        <x:v>rental</x:v>
      </x:c>
      <x:c r="K1185" s="23" t="str">
        <x:v>rental_company</x:v>
      </x:c>
      <x:c r="L1185" s="24" t="b">
        <x:v>1</x:v>
      </x:c>
      <x:c r="M1185" s="23" t="n">
        <x:v>1</x:v>
      </x:c>
      <x:c r="N1185" s="28" t="n">
        <x:v>46219.812988715275</x:v>
      </x:c>
      <x:c r="O1185" s="28" t="n">
        <x:v>46219.812988715275</x:v>
      </x:c>
      <x:c r="P1185" s="23" t="str">
        <x:v>NOVA LIMA</x:v>
      </x:c>
      <x:c r="Q1185" s="30" t="n">
        <x:v>38387</x:v>
      </x:c>
      <x:c r="R1185" s="22" t="str">
        <x:f>"22279558"</x:f>
        <x:v>22279558</x:v>
      </x:c>
      <x:c r="S1185" s="23" t="str">
        <x:v>masculino</x:v>
      </x:c>
      <x:c r="T1185" s="22" t="str"/>
      <x:c r="U1185" s="23" t="str">
        <x:v>FELIPE ALVES DA SILVA</x:v>
      </x:c>
      <x:c r="V1185" s="22" t="str">
        <x:f>"170.421.666-47"</x:f>
        <x:v>170.421.666-47</x:v>
      </x:c>
      <x:c r="W1185" s="22" t="str">
        <x:f>"17042166647"</x:f>
        <x:v>17042166647</x:v>
      </x:c>
      <x:c r="X1185" s="23" t="str">
        <x:v>felipedaalves03@gmail.com</x:v>
      </x:c>
      <x:c r="Y1185" s="22" t="str">
        <x:f>"31973533680"</x:f>
        <x:v>31973533680</x:v>
      </x:c>
      <x:c r="Z1185" s="30" t="n">
        <x:v>46568</x:v>
      </x:c>
    </x:row>
    <x:row r="1186" ht="18" customHeight="1">
      <x:c r="A1186" s="22" t="str">
        <x:f>"8af3f8ea-2fc3-4f0b-9abb-54c84fa9b518"</x:f>
        <x:v>8af3f8ea-2fc3-4f0b-9abb-54c84fa9b518</x:v>
      </x:c>
      <x:c r="B1186" s="23" t="str">
        <x:v>FELIPE ARAUJO MOREIRA ALVES</x:v>
      </x:c>
      <x:c r="C1186" s="23" t="str">
        <x:v>felipe araujo moreira alves</x:v>
      </x:c>
      <x:c r="D1186" s="22" t="str">
        <x:f>"55.555.394/0001-36"</x:f>
        <x:v>55.555.394/0001-36</x:v>
      </x:c>
      <x:c r="E1186" s="22" t="str">
        <x:f>"55555394000136"</x:f>
        <x:v>55555394000136</x:v>
      </x:c>
      <x:c r="F1186" s="22" t="str">
        <x:f>"141.401.937-86"</x:f>
        <x:v>141.401.937-86</x:v>
      </x:c>
      <x:c r="G1186" s="22" t="str">
        <x:f>"14140193786"</x:f>
        <x:v>14140193786</x:v>
      </x:c>
      <x:c r="H1186" s="23" t="str">
        <x:v>felipe.moreirabr@gmail.com</x:v>
      </x:c>
      <x:c r="I1186" s="22" t="str">
        <x:f>"21964848275"</x:f>
        <x:v>21964848275</x:v>
      </x:c>
      <x:c r="J1186" s="23" t="str">
        <x:v>SPOT</x:v>
      </x:c>
      <x:c r="K1186" s="23" t="str">
        <x:v>favored_only</x:v>
      </x:c>
      <x:c r="L1186" s="24" t="b">
        <x:v>1</x:v>
      </x:c>
      <x:c r="M1186" s="23" t="n">
        <x:v>1</x:v>
      </x:c>
      <x:c r="N1186" s="28" t="n">
        <x:v>46219.812988715275</x:v>
      </x:c>
      <x:c r="O1186" s="28" t="n">
        <x:v>46219.812988715275</x:v>
      </x:c>
      <x:c r="P1186" s="23" t="str">
        <x:v>CORDOVIL</x:v>
      </x:c>
      <x:c r="Q1186" s="30" t="n">
        <x:v>33389</x:v>
      </x:c>
      <x:c r="R1186" s="22" t="str">
        <x:f>"26.742.241-8"</x:f>
        <x:v>26.742.241-8</x:v>
      </x:c>
      <x:c r="S1186" s="23" t="str">
        <x:v>masculino</x:v>
      </x:c>
      <x:c r="T1186" s="22" t="str">
        <x:f>"LQF7A19"</x:f>
        <x:v>LQF7A19</x:v>
      </x:c>
      <x:c r="U1186" s="23" t="str">
        <x:v>FELIPE ARAUJO MOREIRA ALVES</x:v>
      </x:c>
      <x:c r="V1186" s="22" t="str">
        <x:f>"141.401.937-86"</x:f>
        <x:v>141.401.937-86</x:v>
      </x:c>
      <x:c r="W1186" s="22" t="str">
        <x:f>"14140193786"</x:f>
        <x:v>14140193786</x:v>
      </x:c>
      <x:c r="X1186" s="23" t="str">
        <x:v>felipe.moreirabr@gmail.com</x:v>
      </x:c>
      <x:c r="Y1186" s="22" t="str">
        <x:f>"21964848275"</x:f>
        <x:v>21964848275</x:v>
      </x:c>
      <x:c r="Z1186" s="30" t="n">
        <x:v>46452</x:v>
      </x:c>
    </x:row>
    <x:row r="1187" ht="18" customHeight="1">
      <x:c r="A1187" s="22" t="str">
        <x:f>"51ad3080-5533-419b-b1f8-3cd55fb6cb52"</x:f>
        <x:v>51ad3080-5533-419b-b1f8-3cd55fb6cb52</x:v>
      </x:c>
      <x:c r="B1187" s="23" t="str">
        <x:v>FELIPE AUGUSTO DE SOUZA</x:v>
      </x:c>
      <x:c r="C1187" s="23" t="str">
        <x:v>felipe augusto de souza</x:v>
      </x:c>
      <x:c r="D1187" s="22" t="str">
        <x:f>"54.487.084/0001-69"</x:f>
        <x:v>54.487.084/0001-69</x:v>
      </x:c>
      <x:c r="E1187" s="22" t="str">
        <x:f>"54487084000169"</x:f>
        <x:v>54487084000169</x:v>
      </x:c>
      <x:c r="F1187" s="22" t="str">
        <x:f>"005.823.622-88"</x:f>
        <x:v>005.823.622-88</x:v>
      </x:c>
      <x:c r="G1187" s="22" t="str">
        <x:f>"00582362288"</x:f>
        <x:v>00582362288</x:v>
      </x:c>
      <x:c r="H1187" s="23" t="str">
        <x:v>felipeaugustodesouza4665@gmail.com</x:v>
      </x:c>
      <x:c r="I1187" s="22" t="str">
        <x:f>"11912560716"</x:f>
        <x:v>11912560716</x:v>
      </x:c>
      <x:c r="J1187" s="23" t="str">
        <x:v>RENTAL</x:v>
      </x:c>
      <x:c r="K1187" s="23" t="str">
        <x:v>rental_company</x:v>
      </x:c>
      <x:c r="L1187" s="24" t="b">
        <x:v>1</x:v>
      </x:c>
      <x:c r="M1187" s="23" t="n">
        <x:v>1</x:v>
      </x:c>
      <x:c r="N1187" s="28" t="n">
        <x:v>46219.812988715275</x:v>
      </x:c>
      <x:c r="O1187" s="28" t="n">
        <x:v>46219.812988715275</x:v>
      </x:c>
      <x:c r="P1187" s="23" t="str">
        <x:v>BARUERI</x:v>
      </x:c>
      <x:c r="Q1187" s="30" t="n">
        <x:v>33296</x:v>
      </x:c>
      <x:c r="R1187" s="22" t="str">
        <x:f>"359981100"</x:f>
        <x:v>359981100</x:v>
      </x:c>
      <x:c r="S1187" s="23" t="str">
        <x:v>masculino</x:v>
      </x:c>
      <x:c r="T1187" s="22" t="str"/>
      <x:c r="U1187" s="23" t="str">
        <x:v>FELIPE AUGUSTO DE SOUZA</x:v>
      </x:c>
      <x:c r="V1187" s="22" t="str">
        <x:f>"005.823.622-88"</x:f>
        <x:v>005.823.622-88</x:v>
      </x:c>
      <x:c r="W1187" s="22" t="str">
        <x:f>"00582362288"</x:f>
        <x:v>00582362288</x:v>
      </x:c>
      <x:c r="X1187" s="23" t="str">
        <x:v>felipeaugustodesouza4665@gmail.com</x:v>
      </x:c>
      <x:c r="Y1187" s="22" t="str">
        <x:f>"11912560716"</x:f>
        <x:v>11912560716</x:v>
      </x:c>
      <x:c r="Z1187" s="30" t="n">
        <x:v>46557</x:v>
      </x:c>
    </x:row>
    <x:row r="1188" ht="18" customHeight="1">
      <x:c r="A1188" s="22" t="str">
        <x:f>"2b7473f7-eb6c-4bc4-b045-441fdf70e610"</x:f>
        <x:v>2b7473f7-eb6c-4bc4-b045-441fdf70e610</x:v>
      </x:c>
      <x:c r="B1188" s="23" t="str">
        <x:v>FELIPE AUGUSTO MOREIRA</x:v>
      </x:c>
      <x:c r="C1188" s="23" t="str">
        <x:v>felipe augusto moreira</x:v>
      </x:c>
      <x:c r="D1188" s="22" t="str">
        <x:f>"53.182.727/0001-01"</x:f>
        <x:v>53.182.727/0001-01</x:v>
      </x:c>
      <x:c r="E1188" s="22" t="str">
        <x:f>"53182727000101"</x:f>
        <x:v>53182727000101</x:v>
      </x:c>
      <x:c r="F1188" s="22" t="str">
        <x:f>"133.401.466-32"</x:f>
        <x:v>133.401.466-32</x:v>
      </x:c>
      <x:c r="G1188" s="22" t="str">
        <x:f>"13340146632"</x:f>
        <x:v>13340146632</x:v>
      </x:c>
      <x:c r="H1188" s="23" t="str">
        <x:v>golg53484@gmail.com</x:v>
      </x:c>
      <x:c r="I1188" s="22" t="str">
        <x:f>"35 99929-1428"</x:f>
        <x:v>35 99929-1428</x:v>
      </x:c>
      <x:c r="J1188" s="23" t="str">
        <x:v>SPOT</x:v>
      </x:c>
      <x:c r="K1188" s="23" t="str">
        <x:v>favored_only</x:v>
      </x:c>
      <x:c r="L1188" s="24" t="b">
        <x:v>1</x:v>
      </x:c>
      <x:c r="M1188" s="23" t="n">
        <x:v>1</x:v>
      </x:c>
      <x:c r="N1188" s="28" t="n">
        <x:v>46219.812988715275</x:v>
      </x:c>
      <x:c r="O1188" s="28" t="n">
        <x:v>46219.812988715275</x:v>
      </x:c>
      <x:c r="P1188" s="23" t="str">
        <x:v>POCOS DE CALDAS</x:v>
      </x:c>
      <x:c r="Q1188" s="30" t="n">
        <x:v>34633</x:v>
      </x:c>
      <x:c r="R1188" s="22" t="str">
        <x:f>"19623070"</x:f>
        <x:v>19623070</x:v>
      </x:c>
      <x:c r="S1188" s="23" t="str">
        <x:v>masculino</x:v>
      </x:c>
      <x:c r="T1188" s="22" t="str">
        <x:f>"PXY1A70"</x:f>
        <x:v>PXY1A70</x:v>
      </x:c>
      <x:c r="U1188" s="23" t="str">
        <x:v>FELIPE AUGUSTO MOREIRA</x:v>
      </x:c>
      <x:c r="V1188" s="22" t="str">
        <x:f>"133.401.466-32"</x:f>
        <x:v>133.401.466-32</x:v>
      </x:c>
      <x:c r="W1188" s="22" t="str">
        <x:f>"13340146632"</x:f>
        <x:v>13340146632</x:v>
      </x:c>
      <x:c r="X1188" s="23" t="str">
        <x:v>golg53484@gmail.com</x:v>
      </x:c>
      <x:c r="Y1188" s="22" t="str">
        <x:f>"35 99929-1428"</x:f>
        <x:v>35 99929-1428</x:v>
      </x:c>
      <x:c r="Z1188" s="30" t="n">
        <x:v>46515</x:v>
      </x:c>
    </x:row>
    <x:row r="1189" ht="18" customHeight="1">
      <x:c r="A1189" s="22" t="str">
        <x:f>"a5292592-4831-46d8-b493-fbe01c565ecf"</x:f>
        <x:v>a5292592-4831-46d8-b493-fbe01c565ecf</x:v>
      </x:c>
      <x:c r="B1189" s="23" t="str">
        <x:v>FELIPE BATISTA DOS SANTOS</x:v>
      </x:c>
      <x:c r="C1189" s="23" t="str">
        <x:v>felipe batista dos santos</x:v>
      </x:c>
      <x:c r="D1189" s="22" t="str">
        <x:f>"61.782.765/0001-15"</x:f>
        <x:v>61.782.765/0001-15</x:v>
      </x:c>
      <x:c r="E1189" s="22" t="str">
        <x:f>"61782765000115"</x:f>
        <x:v>61782765000115</x:v>
      </x:c>
      <x:c r="F1189" s="22" t="str">
        <x:f>"700.724.566-80"</x:f>
        <x:v>700.724.566-80</x:v>
      </x:c>
      <x:c r="G1189" s="22" t="str">
        <x:f>"70072456680"</x:f>
        <x:v>70072456680</x:v>
      </x:c>
      <x:c r="H1189" s="23" t="str">
        <x:v>fellipeoficiall2030@gmail.com</x:v>
      </x:c>
      <x:c r="I1189" s="22" t="str">
        <x:f>"33991336298"</x:f>
        <x:v>33991336298</x:v>
      </x:c>
      <x:c r="J1189" s="23" t="str">
        <x:v>SPOT</x:v>
      </x:c>
      <x:c r="K1189" s="23" t="str">
        <x:v>favored_only</x:v>
      </x:c>
      <x:c r="L1189" s="24" t="b">
        <x:v>1</x:v>
      </x:c>
      <x:c r="M1189" s="23" t="n">
        <x:v>1</x:v>
      </x:c>
      <x:c r="N1189" s="28" t="n">
        <x:v>46219.812988715275</x:v>
      </x:c>
      <x:c r="O1189" s="28" t="n">
        <x:v>46219.812988715275</x:v>
      </x:c>
      <x:c r="P1189" s="23" t="str">
        <x:v>TEOFILO OTONI</x:v>
      </x:c>
      <x:c r="Q1189" s="30" t="n">
        <x:v>36127</x:v>
      </x:c>
      <x:c r="R1189" s="22" t="str">
        <x:f>"22560016"</x:f>
        <x:v>22560016</x:v>
      </x:c>
      <x:c r="S1189" s="23" t="str">
        <x:v>masculino</x:v>
      </x:c>
      <x:c r="T1189" s="22" t="str">
        <x:f>"OWV7E33"</x:f>
        <x:v>OWV7E33</x:v>
      </x:c>
      <x:c r="U1189" s="23" t="str">
        <x:v>AVENIDA TRANSPORTES LTDA</x:v>
      </x:c>
      <x:c r="V1189" s="22" t="str">
        <x:f>"118.908.666-28"</x:f>
        <x:v>118.908.666-28</x:v>
      </x:c>
      <x:c r="W1189" s="22" t="str">
        <x:f>"11890866628"</x:f>
        <x:v>11890866628</x:v>
      </x:c>
      <x:c r="X1189" s="23" t="str">
        <x:v>GRUPOAVENIDACATUJI@GMAIL.COM</x:v>
      </x:c>
      <x:c r="Y1189" s="22" t="str">
        <x:f>"33991336298"</x:f>
        <x:v>33991336298</x:v>
      </x:c>
      <x:c r="Z1189" s="30" t="n">
        <x:v>46450</x:v>
      </x:c>
    </x:row>
    <x:row r="1190" ht="18" customHeight="1">
      <x:c r="A1190" s="22" t="str">
        <x:f>"bbea846c-4b72-4437-bd83-45b9bddbf60f"</x:f>
        <x:v>bbea846c-4b72-4437-bd83-45b9bddbf60f</x:v>
      </x:c>
      <x:c r="B1190" s="23" t="str">
        <x:v>FELIPE BORGES SANTIAGO</x:v>
      </x:c>
      <x:c r="C1190" s="23" t="str">
        <x:v>felipe borges santiago</x:v>
      </x:c>
      <x:c r="D1190" s="22" t="str">
        <x:f>"59.563.579/0001-43"</x:f>
        <x:v>59.563.579/0001-43</x:v>
      </x:c>
      <x:c r="E1190" s="22" t="str">
        <x:f>"59563579000143"</x:f>
        <x:v>59563579000143</x:v>
      </x:c>
      <x:c r="F1190" s="22" t="str">
        <x:f>"079.865.596-83"</x:f>
        <x:v>079.865.596-83</x:v>
      </x:c>
      <x:c r="G1190" s="22" t="str">
        <x:f>"07986559683"</x:f>
        <x:v>07986559683</x:v>
      </x:c>
      <x:c r="H1190" s="23" t="str">
        <x:v>felipe.borges.alctransportes@gmail.com</x:v>
      </x:c>
      <x:c r="I1190" s="22" t="str">
        <x:f>"31988843193"</x:f>
        <x:v>31988843193</x:v>
      </x:c>
      <x:c r="J1190" s="23" t="str">
        <x:v>SPOT</x:v>
      </x:c>
      <x:c r="K1190" s="23" t="str">
        <x:v>favored_only</x:v>
      </x:c>
      <x:c r="L1190" s="24" t="b">
        <x:v>1</x:v>
      </x:c>
      <x:c r="M1190" s="23" t="n">
        <x:v>2</x:v>
      </x:c>
      <x:c r="N1190" s="28" t="n">
        <x:v>46203.921852962965</x:v>
      </x:c>
      <x:c r="O1190" s="28" t="n">
        <x:v>46203.921852962965</x:v>
      </x:c>
      <x:c r="P1190" s="23" t="str"/>
      <x:c r="Q1190" s="30" t="str"/>
      <x:c r="R1190" s="22" t="str"/>
      <x:c r="S1190" s="23" t="str"/>
      <x:c r="T1190" s="22" t="str"/>
      <x:c r="U1190" s="23" t="str">
        <x:v>FELIPE BORGES SANTIAGO</x:v>
      </x:c>
      <x:c r="V1190" s="22" t="str">
        <x:f>"07986559683"</x:f>
        <x:v>07986559683</x:v>
      </x:c>
      <x:c r="W1190" s="22" t="str">
        <x:f>"07986559683"</x:f>
        <x:v>07986559683</x:v>
      </x:c>
      <x:c r="X1190" s="23" t="str">
        <x:v>santiago.lipe@gmail.com</x:v>
      </x:c>
      <x:c r="Y1190" s="22" t="str">
        <x:f>"31988843193"</x:f>
        <x:v>31988843193</x:v>
      </x:c>
      <x:c r="Z1190" s="30" t="str"/>
    </x:row>
    <x:row r="1191" ht="18" customHeight="1">
      <x:c r="A1191" s="22" t="str">
        <x:f>"3d632a67-4688-4aaa-879e-8bd94429a828"</x:f>
        <x:v>3d632a67-4688-4aaa-879e-8bd94429a828</x:v>
      </x:c>
      <x:c r="B1191" s="23" t="str">
        <x:v>FELIPE BRAGA PEREIRA</x:v>
      </x:c>
      <x:c r="C1191" s="23" t="str">
        <x:v>felipe braga pereira</x:v>
      </x:c>
      <x:c r="D1191" s="22" t="str">
        <x:f>"62.048.706/0001-80"</x:f>
        <x:v>62.048.706/0001-80</x:v>
      </x:c>
      <x:c r="E1191" s="22" t="str">
        <x:f>"62048706000180"</x:f>
        <x:v>62048706000180</x:v>
      </x:c>
      <x:c r="F1191" s="22" t="str">
        <x:f>"350.731.358-81"</x:f>
        <x:v>350.731.358-81</x:v>
      </x:c>
      <x:c r="G1191" s="22" t="str">
        <x:f>"35073135881"</x:f>
        <x:v>35073135881</x:v>
      </x:c>
      <x:c r="H1191" s="23" t="str">
        <x:v>bragafelipepereira@gmail.com</x:v>
      </x:c>
      <x:c r="I1191" s="22" t="str">
        <x:f>"11951963901"</x:f>
        <x:v>11951963901</x:v>
      </x:c>
      <x:c r="J1191" s="23" t="str">
        <x:v>SPOT</x:v>
      </x:c>
      <x:c r="K1191" s="23" t="str">
        <x:v>favored_only</x:v>
      </x:c>
      <x:c r="L1191" s="24" t="b">
        <x:v>1</x:v>
      </x:c>
      <x:c r="M1191" s="23" t="n">
        <x:v>2</x:v>
      </x:c>
      <x:c r="N1191" s="28" t="n">
        <x:v>46203.92184908565</x:v>
      </x:c>
      <x:c r="O1191" s="28" t="n">
        <x:v>46219.812988715275</x:v>
      </x:c>
      <x:c r="P1191" s="23" t="str">
        <x:v>BARUERI</x:v>
      </x:c>
      <x:c r="Q1191" s="30" t="n">
        <x:v>32155</x:v>
      </x:c>
      <x:c r="R1191" s="22" t="str">
        <x:f>"428643619"</x:f>
        <x:v>428643619</x:v>
      </x:c>
      <x:c r="S1191" s="23" t="str">
        <x:v>masculino</x:v>
      </x:c>
      <x:c r="T1191" s="22" t="str">
        <x:f>"TKJ8C81"</x:f>
        <x:v>TKJ8C81</x:v>
      </x:c>
      <x:c r="U1191" s="23" t="str">
        <x:v>FELIPE BRAGA PEREIRA</x:v>
      </x:c>
      <x:c r="V1191" s="22" t="str">
        <x:f>"350.731.358-81"</x:f>
        <x:v>350.731.358-81</x:v>
      </x:c>
      <x:c r="W1191" s="22" t="str">
        <x:f>"35073135881"</x:f>
        <x:v>35073135881</x:v>
      </x:c>
      <x:c r="X1191" s="23" t="str">
        <x:v>bragafelipepereira@gmail.com</x:v>
      </x:c>
      <x:c r="Y1191" s="22" t="str">
        <x:f>"11951963901"</x:f>
        <x:v>11951963901</x:v>
      </x:c>
      <x:c r="Z1191" s="30" t="n">
        <x:v>46238</x:v>
      </x:c>
    </x:row>
    <x:row r="1192" ht="18" customHeight="1">
      <x:c r="A1192" s="22" t="str">
        <x:f>"9ead20be-a3d2-48fa-b05e-e4f851c56a8a"</x:f>
        <x:v>9ead20be-a3d2-48fa-b05e-e4f851c56a8a</x:v>
      </x:c>
      <x:c r="B1192" s="23" t="str">
        <x:v>FELIPE CARDEAL DE PADUA</x:v>
      </x:c>
      <x:c r="C1192" s="23" t="str">
        <x:v>felipe cardeal de padua</x:v>
      </x:c>
      <x:c r="D1192" s="22" t="str">
        <x:f>"43.333.098/0001-01"</x:f>
        <x:v>43.333.098/0001-01</x:v>
      </x:c>
      <x:c r="E1192" s="22" t="str">
        <x:f>"43333098000101"</x:f>
        <x:v>43333098000101</x:v>
      </x:c>
      <x:c r="F1192" s="22" t="str">
        <x:f>"131.443.826-39"</x:f>
        <x:v>131.443.826-39</x:v>
      </x:c>
      <x:c r="G1192" s="22" t="str">
        <x:f>"13144382639"</x:f>
        <x:v>13144382639</x:v>
      </x:c>
      <x:c r="H1192" s="23" t="str">
        <x:v>FELIPEPADUA2015@OUTLOOK.COM</x:v>
      </x:c>
      <x:c r="I1192" s="22" t="str">
        <x:f>"(35) 99211-8940"</x:f>
        <x:v>(35) 99211-8940</x:v>
      </x:c>
      <x:c r="J1192" s="23" t="str">
        <x:v>SPOT</x:v>
      </x:c>
      <x:c r="K1192" s="23" t="str">
        <x:v>favored_only</x:v>
      </x:c>
      <x:c r="L1192" s="24" t="b">
        <x:v>1</x:v>
      </x:c>
      <x:c r="M1192" s="23" t="n">
        <x:v>1</x:v>
      </x:c>
      <x:c r="N1192" s="28" t="n">
        <x:v>46205.601118645835</x:v>
      </x:c>
      <x:c r="O1192" s="28" t="n">
        <x:v>46219.812988715275</x:v>
      </x:c>
      <x:c r="P1192" s="23" t="str">
        <x:v>GUAXUPE</x:v>
      </x:c>
      <x:c r="Q1192" s="30" t="n">
        <x:v>35423</x:v>
      </x:c>
      <x:c r="R1192" s="22" t="str">
        <x:f>"19625892"</x:f>
        <x:v>19625892</x:v>
      </x:c>
      <x:c r="S1192" s="23" t="str">
        <x:v>masculino</x:v>
      </x:c>
      <x:c r="T1192" s="22" t="str">
        <x:f>"PAY5E93"</x:f>
        <x:v>PAY5E93</x:v>
      </x:c>
      <x:c r="U1192" s="23" t="str">
        <x:v>FIDELIS MARQUES DE PADUA JUNIOR</x:v>
      </x:c>
      <x:c r="V1192" s="22" t="str">
        <x:f>"124.277.236-73"</x:f>
        <x:v>124.277.236-73</x:v>
      </x:c>
      <x:c r="W1192" s="22" t="str">
        <x:f>"12427723673"</x:f>
        <x:v>12427723673</x:v>
      </x:c>
      <x:c r="X1192" s="23" t="str">
        <x:v>FIDELISPADUAJR@GMAIL.COM</x:v>
      </x:c>
      <x:c r="Y1192" s="22" t="str">
        <x:f>"(35) 99810-6815"</x:f>
        <x:v>(35) 99810-6815</x:v>
      </x:c>
      <x:c r="Z1192" s="30" t="n">
        <x:v>46406</x:v>
      </x:c>
    </x:row>
    <x:row r="1193" ht="18" customHeight="1">
      <x:c r="A1193" s="22" t="str">
        <x:f>"8a392d40-49df-4eb5-bf44-edd98443355c"</x:f>
        <x:v>8a392d40-49df-4eb5-bf44-edd98443355c</x:v>
      </x:c>
      <x:c r="B1193" s="23" t="str">
        <x:v>FELIPE CARLIN AZEVEDO</x:v>
      </x:c>
      <x:c r="C1193" s="23" t="str">
        <x:v>felipe carlin azevedo</x:v>
      </x:c>
      <x:c r="D1193" s="22" t="str">
        <x:f>"65.953.241/0001-09"</x:f>
        <x:v>65.953.241/0001-09</x:v>
      </x:c>
      <x:c r="E1193" s="22" t="str">
        <x:f>"65953241000109"</x:f>
        <x:v>65953241000109</x:v>
      </x:c>
      <x:c r="F1193" s="22" t="str">
        <x:f>"490.860.618-85"</x:f>
        <x:v>490.860.618-85</x:v>
      </x:c>
      <x:c r="G1193" s="22" t="str">
        <x:f>"49086061885"</x:f>
        <x:v>49086061885</x:v>
      </x:c>
      <x:c r="H1193" s="23" t="str">
        <x:v>felipecarlin87@gmail.com</x:v>
      </x:c>
      <x:c r="I1193" s="22" t="str">
        <x:f>"19 99495-3313"</x:f>
        <x:v>19 99495-3313</x:v>
      </x:c>
      <x:c r="J1193" s="23" t="str">
        <x:v>SPOT</x:v>
      </x:c>
      <x:c r="K1193" s="23" t="str">
        <x:v>favored_only</x:v>
      </x:c>
      <x:c r="L1193" s="24" t="b">
        <x:v>1</x:v>
      </x:c>
      <x:c r="M1193" s="23" t="n">
        <x:v>1</x:v>
      </x:c>
      <x:c r="N1193" s="28" t="n">
        <x:v>46219.812988715275</x:v>
      </x:c>
      <x:c r="O1193" s="28" t="n">
        <x:v>46219.812988715275</x:v>
      </x:c>
      <x:c r="P1193" s="23" t="str">
        <x:v>POCOS DE CALDAS</x:v>
      </x:c>
      <x:c r="Q1193" s="30" t="n">
        <x:v>37992</x:v>
      </x:c>
      <x:c r="R1193" s="22" t="str">
        <x:f>"592645812"</x:f>
        <x:v>592645812</x:v>
      </x:c>
      <x:c r="S1193" s="23" t="str">
        <x:v>masculino</x:v>
      </x:c>
      <x:c r="T1193" s="22" t="str">
        <x:f>"EME6J67"</x:f>
        <x:v>EME6J67</x:v>
      </x:c>
      <x:c r="U1193" s="23" t="str">
        <x:v>FELIPE CARLIN AZEVEDO</x:v>
      </x:c>
      <x:c r="V1193" s="22" t="str">
        <x:f>"490.860.618-85"</x:f>
        <x:v>490.860.618-85</x:v>
      </x:c>
      <x:c r="W1193" s="22" t="str">
        <x:f>"49086061885"</x:f>
        <x:v>49086061885</x:v>
      </x:c>
      <x:c r="X1193" s="23" t="str">
        <x:v>felipecarlin87@gmail.com</x:v>
      </x:c>
      <x:c r="Y1193" s="22" t="str">
        <x:f>"19 99495-3313"</x:f>
        <x:v>19 99495-3313</x:v>
      </x:c>
      <x:c r="Z1193" s="30" t="n">
        <x:v>46495</x:v>
      </x:c>
    </x:row>
    <x:row r="1194" ht="18" customHeight="1">
      <x:c r="A1194" s="22" t="str">
        <x:f>"72e489ce-14b8-45c1-b204-aabc1337115f"</x:f>
        <x:v>72e489ce-14b8-45c1-b204-aabc1337115f</x:v>
      </x:c>
      <x:c r="B1194" s="23" t="str">
        <x:v>FELIPE CESAR FUNGHI DIAS</x:v>
      </x:c>
      <x:c r="C1194" s="23" t="str">
        <x:v>felipe cesar funghi dias</x:v>
      </x:c>
      <x:c r="D1194" s="22" t="str">
        <x:f>"45.376.838/0001-12"</x:f>
        <x:v>45.376.838/0001-12</x:v>
      </x:c>
      <x:c r="E1194" s="22" t="str">
        <x:f>"45376838000112"</x:f>
        <x:v>45376838000112</x:v>
      </x:c>
      <x:c r="F1194" s="22" t="str">
        <x:f>"046.697.836-70"</x:f>
        <x:v>046.697.836-70</x:v>
      </x:c>
      <x:c r="G1194" s="22" t="str">
        <x:f>"04669783670"</x:f>
        <x:v>04669783670</x:v>
      </x:c>
      <x:c r="H1194" s="23" t="str">
        <x:v>fcfunghi@gmail.com</x:v>
      </x:c>
      <x:c r="I1194" s="22" t="str">
        <x:f>"31993073791"</x:f>
        <x:v>31993073791</x:v>
      </x:c>
      <x:c r="J1194" s="23" t="str">
        <x:v>SPOT</x:v>
      </x:c>
      <x:c r="K1194" s="23" t="str">
        <x:v>favored_only</x:v>
      </x:c>
      <x:c r="L1194" s="24" t="b">
        <x:v>1</x:v>
      </x:c>
      <x:c r="M1194" s="23" t="n">
        <x:v>1</x:v>
      </x:c>
      <x:c r="N1194" s="28" t="n">
        <x:v>46203.921904421295</x:v>
      </x:c>
      <x:c r="O1194" s="28" t="n">
        <x:v>46219.812988715275</x:v>
      </x:c>
      <x:c r="P1194" s="23" t="str">
        <x:v>CONTAGEM</x:v>
      </x:c>
      <x:c r="Q1194" s="30" t="n">
        <x:v>29529</x:v>
      </x:c>
      <x:c r="R1194" s="22" t="str">
        <x:f>"MG5629432"</x:f>
        <x:v>MG5629432</x:v>
      </x:c>
      <x:c r="S1194" s="23" t="str">
        <x:v>masculino</x:v>
      </x:c>
      <x:c r="T1194" s="22" t="str">
        <x:f>"HMN8530"</x:f>
        <x:v>HMN8530</x:v>
      </x:c>
      <x:c r="U1194" s="23" t="str">
        <x:v>FELIPE CESAR FUNGHI DIAS</x:v>
      </x:c>
      <x:c r="V1194" s="22" t="str">
        <x:f>"046.697.836-70"</x:f>
        <x:v>046.697.836-70</x:v>
      </x:c>
      <x:c r="W1194" s="22" t="str">
        <x:f>"04669783670"</x:f>
        <x:v>04669783670</x:v>
      </x:c>
      <x:c r="X1194" s="23" t="str">
        <x:v>fcfunghi@gmail.com</x:v>
      </x:c>
      <x:c r="Y1194" s="22" t="str">
        <x:f>"31993073791"</x:f>
        <x:v>31993073791</x:v>
      </x:c>
      <x:c r="Z1194" s="30" t="n">
        <x:v>46374</x:v>
      </x:c>
    </x:row>
    <x:row r="1195" ht="18" customHeight="1">
      <x:c r="A1195" s="22" t="str">
        <x:f>"8ee2504e-7935-419f-b814-bd69ab28e1c5"</x:f>
        <x:v>8ee2504e-7935-419f-b814-bd69ab28e1c5</x:v>
      </x:c>
      <x:c r="B1195" s="23" t="str">
        <x:v>FELIPE COSTA SILVA</x:v>
      </x:c>
      <x:c r="C1195" s="23" t="str">
        <x:v>felipe costa silva</x:v>
      </x:c>
      <x:c r="D1195" s="22" t="str">
        <x:f>"65.170.468/0001-70"</x:f>
        <x:v>65.170.468/0001-70</x:v>
      </x:c>
      <x:c r="E1195" s="22" t="str">
        <x:f>"65170468000170"</x:f>
        <x:v>65170468000170</x:v>
      </x:c>
      <x:c r="F1195" s="22" t="str">
        <x:f>"520.375.748-86"</x:f>
        <x:v>520.375.748-86</x:v>
      </x:c>
      <x:c r="G1195" s="22" t="str">
        <x:f>"52037574886"</x:f>
        <x:v>52037574886</x:v>
      </x:c>
      <x:c r="H1195" s="23" t="str">
        <x:v>lipecosta4532@gmail.com</x:v>
      </x:c>
      <x:c r="I1195" s="22" t="str">
        <x:f>"11961017273"</x:f>
        <x:v>11961017273</x:v>
      </x:c>
      <x:c r="J1195" s="23" t="str">
        <x:v>RENTAL</x:v>
      </x:c>
      <x:c r="K1195" s="23" t="str">
        <x:v>rental_company</x:v>
      </x:c>
      <x:c r="L1195" s="24" t="b">
        <x:v>1</x:v>
      </x:c>
      <x:c r="M1195" s="23" t="n">
        <x:v>1</x:v>
      </x:c>
      <x:c r="N1195" s="28" t="n">
        <x:v>46219.812988715275</x:v>
      </x:c>
      <x:c r="O1195" s="28" t="n">
        <x:v>46219.812988715275</x:v>
      </x:c>
      <x:c r="P1195" s="23" t="str">
        <x:v>BARUERI</x:v>
      </x:c>
      <x:c r="Q1195" s="30" t="n">
        <x:v>38534</x:v>
      </x:c>
      <x:c r="R1195" s="22" t="str">
        <x:f>"60374266x"</x:f>
        <x:v>60374266x</x:v>
      </x:c>
      <x:c r="S1195" s="23" t="str">
        <x:v>masculino</x:v>
      </x:c>
      <x:c r="T1195" s="22" t="str"/>
      <x:c r="U1195" s="23" t="str">
        <x:v>FELIPE COSTA SILVA</x:v>
      </x:c>
      <x:c r="V1195" s="22" t="str">
        <x:f>"520.375.748-86"</x:f>
        <x:v>520.375.748-86</x:v>
      </x:c>
      <x:c r="W1195" s="22" t="str">
        <x:f>"52037574886"</x:f>
        <x:v>52037574886</x:v>
      </x:c>
      <x:c r="X1195" s="23" t="str">
        <x:v>lipecosta4532@gmail.com</x:v>
      </x:c>
      <x:c r="Y1195" s="22" t="str">
        <x:f>"11961017273"</x:f>
        <x:v>11961017273</x:v>
      </x:c>
      <x:c r="Z1195" s="30" t="n">
        <x:v>46436</x:v>
      </x:c>
    </x:row>
    <x:row r="1196" ht="18" customHeight="1">
      <x:c r="A1196" s="22" t="str">
        <x:f>"fc2e794a-3e01-4e87-8a65-82471695f5ea"</x:f>
        <x:v>fc2e794a-3e01-4e87-8a65-82471695f5ea</x:v>
      </x:c>
      <x:c r="B1196" s="23" t="str">
        <x:v>FELIPE DA SILVA RITA</x:v>
      </x:c>
      <x:c r="C1196" s="23" t="str">
        <x:v>felipe da silva rita</x:v>
      </x:c>
      <x:c r="D1196" s="22" t="str">
        <x:f>"61.202.280/0001-05"</x:f>
        <x:v>61.202.280/0001-05</x:v>
      </x:c>
      <x:c r="E1196" s="22" t="str">
        <x:f>"61202280000105"</x:f>
        <x:v>61202280000105</x:v>
      </x:c>
      <x:c r="F1196" s="22" t="str">
        <x:f>"148.335.466-04"</x:f>
        <x:v>148.335.466-04</x:v>
      </x:c>
      <x:c r="G1196" s="22" t="str">
        <x:f>"14833546604"</x:f>
        <x:v>14833546604</x:v>
      </x:c>
      <x:c r="H1196" s="23" t="str">
        <x:v>felipesilva233456@gmail.com</x:v>
      </x:c>
      <x:c r="I1196" s="22" t="str">
        <x:f>"(35) 99835-3664"</x:f>
        <x:v>(35) 99835-3664</x:v>
      </x:c>
      <x:c r="J1196" s="23" t="str">
        <x:v>SPOT</x:v>
      </x:c>
      <x:c r="K1196" s="23" t="str">
        <x:v>favored_only</x:v>
      </x:c>
      <x:c r="L1196" s="24" t="b">
        <x:v>1</x:v>
      </x:c>
      <x:c r="M1196" s="23" t="n">
        <x:v>1</x:v>
      </x:c>
      <x:c r="N1196" s="28" t="n">
        <x:v>46205.603331238424</x:v>
      </x:c>
      <x:c r="O1196" s="28" t="n">
        <x:v>46205.604876018515</x:v>
      </x:c>
      <x:c r="P1196" s="23" t="str">
        <x:v>POUSO ALEGRE</x:v>
      </x:c>
      <x:c r="Q1196" s="30" t="n">
        <x:v>37775</x:v>
      </x:c>
      <x:c r="R1196" s="22" t="str">
        <x:f>"607894830 SSP SP"</x:f>
        <x:v>607894830 SSP SP</x:v>
      </x:c>
      <x:c r="S1196" s="23" t="str">
        <x:v>Masculino</x:v>
      </x:c>
      <x:c r="T1196" s="22" t="str">
        <x:f>"FDB8E95"</x:f>
        <x:v>FDB8E95</x:v>
      </x:c>
      <x:c r="U1196" s="23" t="str">
        <x:v>DIEGO CARLOS MARIANO</x:v>
      </x:c>
      <x:c r="V1196" s="22" t="str">
        <x:f>"107.745.876-28"</x:f>
        <x:v>107.745.876-28</x:v>
      </x:c>
      <x:c r="W1196" s="22" t="str">
        <x:f>"10774587628"</x:f>
        <x:v>10774587628</x:v>
      </x:c>
      <x:c r="X1196" s="23" t="str">
        <x:v>diegocarlosmariano@gmail.com</x:v>
      </x:c>
      <x:c r="Y1196" s="22" t="str">
        <x:f>"(35)99170-7721"</x:f>
        <x:v>(35)99170-7721</x:v>
      </x:c>
      <x:c r="Z1196" s="30" t="n">
        <x:v>46217</x:v>
      </x:c>
    </x:row>
    <x:row r="1197" ht="18" customHeight="1">
      <x:c r="A1197" s="22" t="str">
        <x:f>"cdb23b64-7807-4190-ac67-ffceb09fa2ba"</x:f>
        <x:v>cdb23b64-7807-4190-ac67-ffceb09fa2ba</x:v>
      </x:c>
      <x:c r="B1197" s="23" t="str">
        <x:v>FELIPE DE OLIVEIRA CARDOSO</x:v>
      </x:c>
      <x:c r="C1197" s="23" t="str">
        <x:v>felipe de oliveira cardoso</x:v>
      </x:c>
      <x:c r="D1197" s="22" t="str">
        <x:f>"62.419.145/0001-89"</x:f>
        <x:v>62.419.145/0001-89</x:v>
      </x:c>
      <x:c r="E1197" s="22" t="str">
        <x:f>"62419145000189"</x:f>
        <x:v>62419145000189</x:v>
      </x:c>
      <x:c r="F1197" s="22" t="str">
        <x:f>"125.911.297-70"</x:f>
        <x:v>125.911.297-70</x:v>
      </x:c>
      <x:c r="G1197" s="22" t="str">
        <x:f>"12591129770"</x:f>
        <x:v>12591129770</x:v>
      </x:c>
      <x:c r="H1197" s="23" t="str">
        <x:v>felipeoc@id.uff.br</x:v>
      </x:c>
      <x:c r="I1197" s="22" t="str">
        <x:f>"21990941080"</x:f>
        <x:v>21990941080</x:v>
      </x:c>
      <x:c r="J1197" s="23" t="str">
        <x:v>SPOT</x:v>
      </x:c>
      <x:c r="K1197" s="23" t="str">
        <x:v>favored_only</x:v>
      </x:c>
      <x:c r="L1197" s="24" t="b">
        <x:v>1</x:v>
      </x:c>
      <x:c r="M1197" s="23" t="n">
        <x:v>2</x:v>
      </x:c>
      <x:c r="N1197" s="28" t="n">
        <x:v>46203.921887453704</x:v>
      </x:c>
      <x:c r="O1197" s="28" t="n">
        <x:v>46219.812988715275</x:v>
      </x:c>
      <x:c r="P1197" s="23" t="str">
        <x:v>CAMPO GRANDE</x:v>
      </x:c>
      <x:c r="Q1197" s="30" t="n">
        <x:v>32508</x:v>
      </x:c>
      <x:c r="R1197" s="22" t="str">
        <x:f>"208367417"</x:f>
        <x:v>208367417</x:v>
      </x:c>
      <x:c r="S1197" s="23" t="str">
        <x:v>masculino</x:v>
      </x:c>
      <x:c r="T1197" s="22" t="str">
        <x:f>"KRG0I86"</x:f>
        <x:v>KRG0I86</x:v>
      </x:c>
      <x:c r="U1197" s="23" t="str">
        <x:v>FELIPE DE OLIVEIRA CARDOSO</x:v>
      </x:c>
      <x:c r="V1197" s="22" t="str">
        <x:f>"125.911.297-70"</x:f>
        <x:v>125.911.297-70</x:v>
      </x:c>
      <x:c r="W1197" s="22" t="str">
        <x:f>"12591129770"</x:f>
        <x:v>12591129770</x:v>
      </x:c>
      <x:c r="X1197" s="23" t="str">
        <x:v>felipeoc@id.uff.br</x:v>
      </x:c>
      <x:c r="Y1197" s="22" t="str">
        <x:f>"21990941080"</x:f>
        <x:v>21990941080</x:v>
      </x:c>
      <x:c r="Z1197" s="30" t="n">
        <x:v>46352</x:v>
      </x:c>
    </x:row>
    <x:row r="1198" ht="18" customHeight="1">
      <x:c r="A1198" s="22" t="str">
        <x:f>"d603a80e-2bde-4d99-b87b-35163775f30b"</x:f>
        <x:v>d603a80e-2bde-4d99-b87b-35163775f30b</x:v>
      </x:c>
      <x:c r="B1198" s="23" t="str">
        <x:v>FELIPE DE OLIVEIRA MELO</x:v>
      </x:c>
      <x:c r="C1198" s="23" t="str">
        <x:v>felipe de oliveira melo</x:v>
      </x:c>
      <x:c r="D1198" s="22" t="str">
        <x:f>"67.527.286/0001-39"</x:f>
        <x:v>67.527.286/0001-39</x:v>
      </x:c>
      <x:c r="E1198" s="22" t="str">
        <x:f>"67527286000139"</x:f>
        <x:v>67527286000139</x:v>
      </x:c>
      <x:c r="F1198" s="22" t="str">
        <x:f>"412.051.728-40"</x:f>
        <x:v>412.051.728-40</x:v>
      </x:c>
      <x:c r="G1198" s="22" t="str">
        <x:f>"41205172840"</x:f>
        <x:v>41205172840</x:v>
      </x:c>
      <x:c r="H1198" s="23" t="str">
        <x:v>felipemello.off@gmail.com</x:v>
      </x:c>
      <x:c r="I1198" s="22" t="str">
        <x:f>"16 99219-4263"</x:f>
        <x:v>16 99219-4263</x:v>
      </x:c>
      <x:c r="J1198" s="23" t="str">
        <x:v>rental</x:v>
      </x:c>
      <x:c r="K1198" s="23" t="str">
        <x:v>rental_company</x:v>
      </x:c>
      <x:c r="L1198" s="24" t="b">
        <x:v>1</x:v>
      </x:c>
      <x:c r="M1198" s="23" t="n">
        <x:v>1</x:v>
      </x:c>
      <x:c r="N1198" s="28" t="n">
        <x:v>46219.812988715275</x:v>
      </x:c>
      <x:c r="O1198" s="28" t="n">
        <x:v>46219.812988715275</x:v>
      </x:c>
      <x:c r="P1198" s="23" t="str">
        <x:v>SÃO CARLOS</x:v>
      </x:c>
      <x:c r="Q1198" s="30" t="n">
        <x:v>33669</x:v>
      </x:c>
      <x:c r="R1198" s="22" t="str">
        <x:f>"412.051.728-40"</x:f>
        <x:v>412.051.728-40</x:v>
      </x:c>
      <x:c r="S1198" s="23" t="str">
        <x:v>masculino</x:v>
      </x:c>
      <x:c r="T1198" s="22" t="str"/>
      <x:c r="U1198" s="23" t="str">
        <x:v>FELIPE DE OLIVEIRA MELO</x:v>
      </x:c>
      <x:c r="V1198" s="22" t="str">
        <x:f>"412.051.728-40"</x:f>
        <x:v>412.051.728-40</x:v>
      </x:c>
      <x:c r="W1198" s="22" t="str">
        <x:f>"41205172840"</x:f>
        <x:v>41205172840</x:v>
      </x:c>
      <x:c r="X1198" s="23" t="str">
        <x:v>felipemello.off@gmail.com</x:v>
      </x:c>
      <x:c r="Y1198" s="22" t="str">
        <x:f>"16 99219-4263"</x:f>
        <x:v>16 99219-4263</x:v>
      </x:c>
      <x:c r="Z1198" s="30" t="n">
        <x:v>46582</x:v>
      </x:c>
    </x:row>
    <x:row r="1199" ht="18" customHeight="1">
      <x:c r="A1199" s="22" t="str">
        <x:f>"e69c09f7-fef0-4115-b784-523a66084ecb"</x:f>
        <x:v>e69c09f7-fef0-4115-b784-523a66084ecb</x:v>
      </x:c>
      <x:c r="B1199" s="23" t="str">
        <x:v>FELIPE EMILIO COVO</x:v>
      </x:c>
      <x:c r="C1199" s="23" t="str">
        <x:v>felipe emilio covo</x:v>
      </x:c>
      <x:c r="D1199" s="22" t="str">
        <x:f>"67.278.821/0001-65"</x:f>
        <x:v>67.278.821/0001-65</x:v>
      </x:c>
      <x:c r="E1199" s="22" t="str">
        <x:f>"67278821000165"</x:f>
        <x:v>67278821000165</x:v>
      </x:c>
      <x:c r="F1199" s="22" t="str">
        <x:f>"413.483.758-84"</x:f>
        <x:v>413.483.758-84</x:v>
      </x:c>
      <x:c r="G1199" s="22" t="str">
        <x:f>"41348375884"</x:f>
        <x:v>41348375884</x:v>
      </x:c>
      <x:c r="H1199" s="23" t="str">
        <x:v>felipecovo062@gmail.com</x:v>
      </x:c>
      <x:c r="I1199" s="22" t="str">
        <x:f>"16997795671"</x:f>
        <x:v>16997795671</x:v>
      </x:c>
      <x:c r="J1199" s="23" t="str">
        <x:v>RENTAL</x:v>
      </x:c>
      <x:c r="K1199" s="23" t="str">
        <x:v>rental_company</x:v>
      </x:c>
      <x:c r="L1199" s="24" t="b">
        <x:v>1</x:v>
      </x:c>
      <x:c r="M1199" s="23" t="n">
        <x:v>1</x:v>
      </x:c>
      <x:c r="N1199" s="28" t="n">
        <x:v>46219.812988715275</x:v>
      </x:c>
      <x:c r="O1199" s="28" t="n">
        <x:v>46219.812988715275</x:v>
      </x:c>
      <x:c r="P1199" s="23" t="str">
        <x:v>SÃO CARLOS</x:v>
      </x:c>
      <x:c r="Q1199" s="30" t="n">
        <x:v>33948</x:v>
      </x:c>
      <x:c r="R1199" s="22" t="str">
        <x:f>"488554755"</x:f>
        <x:v>488554755</x:v>
      </x:c>
      <x:c r="S1199" s="23" t="str">
        <x:v>masculino</x:v>
      </x:c>
      <x:c r="T1199" s="22" t="str"/>
      <x:c r="U1199" s="23" t="str">
        <x:v>FELIPE EMILIO COVO</x:v>
      </x:c>
      <x:c r="V1199" s="22" t="str">
        <x:f>"413.483.758-84"</x:f>
        <x:v>413.483.758-84</x:v>
      </x:c>
      <x:c r="W1199" s="22" t="str">
        <x:f>"41348375884"</x:f>
        <x:v>41348375884</x:v>
      </x:c>
      <x:c r="X1199" s="23" t="str">
        <x:v>felipecovo062@gmail.com</x:v>
      </x:c>
      <x:c r="Y1199" s="22" t="str">
        <x:f>"16997795671"</x:f>
        <x:v>16997795671</x:v>
      </x:c>
      <x:c r="Z1199" s="30" t="n">
        <x:v>46550</x:v>
      </x:c>
    </x:row>
    <x:row r="1200" ht="18" customHeight="1">
      <x:c r="A1200" s="22" t="str">
        <x:f>"061c4566-a12f-4b31-936f-b3117503e996"</x:f>
        <x:v>061c4566-a12f-4b31-936f-b3117503e996</x:v>
      </x:c>
      <x:c r="B1200" s="23" t="str">
        <x:v>FELIPE FAGNER SIQUEIRA COSTA</x:v>
      </x:c>
      <x:c r="C1200" s="23" t="str">
        <x:v>felipe fagner siqueira costa</x:v>
      </x:c>
      <x:c r="D1200" s="22" t="str">
        <x:f>"48.310.462/0001-31"</x:f>
        <x:v>48.310.462/0001-31</x:v>
      </x:c>
      <x:c r="E1200" s="22" t="str">
        <x:f>"48310462000131"</x:f>
        <x:v>48310462000131</x:v>
      </x:c>
      <x:c r="F1200" s="22" t="str">
        <x:f>"023.866.691-30"</x:f>
        <x:v>023.866.691-30</x:v>
      </x:c>
      <x:c r="G1200" s="22" t="str">
        <x:f>"02386669130"</x:f>
        <x:v>02386669130</x:v>
      </x:c>
      <x:c r="H1200" s="23" t="str">
        <x:v>felipecostachef@gmail.com</x:v>
      </x:c>
      <x:c r="I1200" s="22" t="str">
        <x:f>"65996855987"</x:f>
        <x:v>65996855987</x:v>
      </x:c>
      <x:c r="J1200" s="23" t="str">
        <x:v>SPOT</x:v>
      </x:c>
      <x:c r="K1200" s="23" t="str">
        <x:v>favored_only</x:v>
      </x:c>
      <x:c r="L1200" s="24" t="b">
        <x:v>1</x:v>
      </x:c>
      <x:c r="M1200" s="23" t="n">
        <x:v>1</x:v>
      </x:c>
      <x:c r="N1200" s="28" t="n">
        <x:v>46219.812988715275</x:v>
      </x:c>
      <x:c r="O1200" s="28" t="n">
        <x:v>46219.812988715275</x:v>
      </x:c>
      <x:c r="P1200" s="23" t="str">
        <x:v>CUIABA</x:v>
      </x:c>
      <x:c r="Q1200" s="30" t="n">
        <x:v>32381</x:v>
      </x:c>
      <x:c r="R1200" s="22" t="str">
        <x:f>"24875090"</x:f>
        <x:v>24875090</x:v>
      </x:c>
      <x:c r="S1200" s="23" t="str">
        <x:v>masculino</x:v>
      </x:c>
      <x:c r="T1200" s="22" t="str">
        <x:f>"RRL6H12"</x:f>
        <x:v>RRL6H12</x:v>
      </x:c>
      <x:c r="U1200" s="23" t="str">
        <x:v>FELIPE FAGNER SIQUEIRA COSTA</x:v>
      </x:c>
      <x:c r="V1200" s="22" t="str">
        <x:f>"023.866.691-30"</x:f>
        <x:v>023.866.691-30</x:v>
      </x:c>
      <x:c r="W1200" s="22" t="str">
        <x:f>"02386669130"</x:f>
        <x:v>02386669130</x:v>
      </x:c>
      <x:c r="X1200" s="23" t="str">
        <x:v>felipecostachef@gmail.com</x:v>
      </x:c>
      <x:c r="Y1200" s="22" t="str">
        <x:f>"65996855987"</x:f>
        <x:v>65996855987</x:v>
      </x:c>
      <x:c r="Z1200" s="30" t="n">
        <x:v>46537</x:v>
      </x:c>
    </x:row>
    <x:row r="1201" ht="18" customHeight="1">
      <x:c r="A1201" s="22" t="str">
        <x:f>"29501a8f-bc62-4fe5-a940-79323dbbe0e4"</x:f>
        <x:v>29501a8f-bc62-4fe5-a940-79323dbbe0e4</x:v>
      </x:c>
      <x:c r="B1201" s="23" t="str">
        <x:v>FELIPE FARIA LEITE</x:v>
      </x:c>
      <x:c r="C1201" s="23" t="str">
        <x:v>felipe faria leite</x:v>
      </x:c>
      <x:c r="D1201" s="22" t="str">
        <x:f>"67.105.255/0001-90"</x:f>
        <x:v>67.105.255/0001-90</x:v>
      </x:c>
      <x:c r="E1201" s="22" t="str">
        <x:f>"67105255000190"</x:f>
        <x:v>67105255000190</x:v>
      </x:c>
      <x:c r="F1201" s="22" t="str">
        <x:f>"158.580.487-81"</x:f>
        <x:v>158.580.487-81</x:v>
      </x:c>
      <x:c r="G1201" s="22" t="str">
        <x:f>"15858048781"</x:f>
        <x:v>15858048781</x:v>
      </x:c>
      <x:c r="H1201" s="23" t="str">
        <x:v>felipefarialeite608@gmail.com</x:v>
      </x:c>
      <x:c r="I1201" s="22" t="str">
        <x:f>"21969830416"</x:f>
        <x:v>21969830416</x:v>
      </x:c>
      <x:c r="J1201" s="23" t="str">
        <x:v>SPOT</x:v>
      </x:c>
      <x:c r="K1201" s="23" t="str">
        <x:v>favored_only</x:v>
      </x:c>
      <x:c r="L1201" s="24" t="b">
        <x:v>1</x:v>
      </x:c>
      <x:c r="M1201" s="23" t="n">
        <x:v>1</x:v>
      </x:c>
      <x:c r="N1201" s="28" t="n">
        <x:v>46219.812988715275</x:v>
      </x:c>
      <x:c r="O1201" s="28" t="n">
        <x:v>46219.812988715275</x:v>
      </x:c>
      <x:c r="P1201" s="23" t="str">
        <x:v>CORDOVIL</x:v>
      </x:c>
      <x:c r="Q1201" s="30" t="n">
        <x:v>33927</x:v>
      </x:c>
      <x:c r="R1201" s="22" t="str">
        <x:f>"217146448"</x:f>
        <x:v>217146448</x:v>
      </x:c>
      <x:c r="S1201" s="23" t="str">
        <x:v>masculino</x:v>
      </x:c>
      <x:c r="T1201" s="22" t="str">
        <x:f>"pzh7f40"</x:f>
        <x:v>pzh7f40</x:v>
      </x:c>
      <x:c r="U1201" s="23" t="str">
        <x:v>FELIPE FARIA LEITE</x:v>
      </x:c>
      <x:c r="V1201" s="22" t="str">
        <x:f>"158.580.487-81"</x:f>
        <x:v>158.580.487-81</x:v>
      </x:c>
      <x:c r="W1201" s="22" t="str">
        <x:f>"15858048781"</x:f>
        <x:v>15858048781</x:v>
      </x:c>
      <x:c r="X1201" s="23" t="str">
        <x:v>felipefarialeite608@gmail.com</x:v>
      </x:c>
      <x:c r="Y1201" s="22" t="str">
        <x:f>"21969830416"</x:f>
        <x:v>21969830416</x:v>
      </x:c>
      <x:c r="Z1201" s="30" t="n">
        <x:v>46541</x:v>
      </x:c>
    </x:row>
    <x:row r="1202" ht="18" customHeight="1">
      <x:c r="A1202" s="22" t="str">
        <x:f>"894dd7ac-8a3f-43b6-ad9a-633ebac52f7a"</x:f>
        <x:v>894dd7ac-8a3f-43b6-ad9a-633ebac52f7a</x:v>
      </x:c>
      <x:c r="B1202" s="23" t="str">
        <x:v>FELIPE GONCALVES DE MELLO</x:v>
      </x:c>
      <x:c r="C1202" s="23" t="str">
        <x:v>felipe goncalves de mello</x:v>
      </x:c>
      <x:c r="D1202" s="22" t="str">
        <x:f>"44.518.002/0001-42"</x:f>
        <x:v>44.518.002/0001-42</x:v>
      </x:c>
      <x:c r="E1202" s="22" t="str">
        <x:f>"44518002000142"</x:f>
        <x:v>44518002000142</x:v>
      </x:c>
      <x:c r="F1202" s="22" t="str">
        <x:f>"123.044.647-85"</x:f>
        <x:v>123.044.647-85</x:v>
      </x:c>
      <x:c r="G1202" s="22" t="str">
        <x:f>"12304464785"</x:f>
        <x:v>12304464785</x:v>
      </x:c>
      <x:c r="H1202" s="23" t="str">
        <x:v>feliperjmellocar@gmail.com</x:v>
      </x:c>
      <x:c r="I1202" s="22" t="str">
        <x:f>"21964730561"</x:f>
        <x:v>21964730561</x:v>
      </x:c>
      <x:c r="J1202" s="23" t="str">
        <x:v>SPOT</x:v>
      </x:c>
      <x:c r="K1202" s="23" t="str">
        <x:v>favored_only</x:v>
      </x:c>
      <x:c r="L1202" s="24" t="b">
        <x:v>1</x:v>
      </x:c>
      <x:c r="M1202" s="23" t="n">
        <x:v>1</x:v>
      </x:c>
      <x:c r="N1202" s="28" t="n">
        <x:v>46219.812988715275</x:v>
      </x:c>
      <x:c r="O1202" s="28" t="n">
        <x:v>46219.812988715275</x:v>
      </x:c>
      <x:c r="P1202" s="23" t="str">
        <x:v>CORDOVIL</x:v>
      </x:c>
      <x:c r="Q1202" s="30" t="n">
        <x:v>32718</x:v>
      </x:c>
      <x:c r="R1202" s="22" t="str">
        <x:f>"231116377"</x:f>
        <x:v>231116377</x:v>
      </x:c>
      <x:c r="S1202" s="23" t="str">
        <x:v>masculino</x:v>
      </x:c>
      <x:c r="T1202" s="22" t="str">
        <x:f>"KPU2554"</x:f>
        <x:v>KPU2554</x:v>
      </x:c>
      <x:c r="U1202" s="23" t="str">
        <x:v>FELIPE GONCALVES DE MELLO</x:v>
      </x:c>
      <x:c r="V1202" s="22" t="str">
        <x:f>"123.044.647-85"</x:f>
        <x:v>123.044.647-85</x:v>
      </x:c>
      <x:c r="W1202" s="22" t="str">
        <x:f>"12304464785"</x:f>
        <x:v>12304464785</x:v>
      </x:c>
      <x:c r="X1202" s="23" t="str">
        <x:v>feliperjmellocar@gmail.com</x:v>
      </x:c>
      <x:c r="Y1202" s="22" t="str">
        <x:f>"21964730561"</x:f>
        <x:v>21964730561</x:v>
      </x:c>
      <x:c r="Z1202" s="30" t="n">
        <x:v>46542</x:v>
      </x:c>
    </x:row>
    <x:row r="1203" ht="18" customHeight="1">
      <x:c r="A1203" s="22" t="str">
        <x:f>"1334d053-51ce-416b-8861-006a71c4dbf9"</x:f>
        <x:v>1334d053-51ce-416b-8861-006a71c4dbf9</x:v>
      </x:c>
      <x:c r="B1203" s="23" t="str">
        <x:v>FELIPE HENRIQUE MOLINARI</x:v>
      </x:c>
      <x:c r="C1203" s="23" t="str">
        <x:v>felipe henrique molinari</x:v>
      </x:c>
      <x:c r="D1203" s="22" t="str">
        <x:f>"64.140.573/0001-01"</x:f>
        <x:v>64.140.573/0001-01</x:v>
      </x:c>
      <x:c r="E1203" s="22" t="str">
        <x:f>"64140573000101"</x:f>
        <x:v>64140573000101</x:v>
      </x:c>
      <x:c r="F1203" s="22" t="str">
        <x:f>"413.899.088-79"</x:f>
        <x:v>413.899.088-79</x:v>
      </x:c>
      <x:c r="G1203" s="22" t="str">
        <x:f>"41389908879"</x:f>
        <x:v>41389908879</x:v>
      </x:c>
      <x:c r="H1203" s="23" t="str">
        <x:v>felipemolinari1997@outlook.com</x:v>
      </x:c>
      <x:c r="I1203" s="22" t="str">
        <x:f>"(16)99708-9727"</x:f>
        <x:v>(16)99708-9727</x:v>
      </x:c>
      <x:c r="J1203" s="23" t="str">
        <x:v>RENTAL</x:v>
      </x:c>
      <x:c r="K1203" s="23" t="str">
        <x:v>rental_company</x:v>
      </x:c>
      <x:c r="L1203" s="24" t="b">
        <x:v>1</x:v>
      </x:c>
      <x:c r="M1203" s="23" t="n">
        <x:v>1</x:v>
      </x:c>
      <x:c r="N1203" s="28" t="n">
        <x:v>46203.9219084375</x:v>
      </x:c>
      <x:c r="O1203" s="28" t="n">
        <x:v>46219.812988715275</x:v>
      </x:c>
      <x:c r="P1203" s="23" t="str">
        <x:v>SÃO CARLOS</x:v>
      </x:c>
      <x:c r="Q1203" s="30" t="n">
        <x:v>35685</x:v>
      </x:c>
      <x:c r="R1203" s="22" t="str">
        <x:f>"50.267.478-7"</x:f>
        <x:v>50.267.478-7</x:v>
      </x:c>
      <x:c r="S1203" s="23" t="str">
        <x:v>masculino</x:v>
      </x:c>
      <x:c r="T1203" s="22" t="str"/>
      <x:c r="U1203" s="23" t="str">
        <x:v>FELIPE HENRIQUE MOLINARI</x:v>
      </x:c>
      <x:c r="V1203" s="22" t="str">
        <x:f>"413.899.088-79"</x:f>
        <x:v>413.899.088-79</x:v>
      </x:c>
      <x:c r="W1203" s="22" t="str">
        <x:f>"41389908879"</x:f>
        <x:v>41389908879</x:v>
      </x:c>
      <x:c r="X1203" s="23" t="str">
        <x:v>felipemolinari1997@outlook.com</x:v>
      </x:c>
      <x:c r="Y1203" s="22" t="str">
        <x:f>"(16)99708-9727"</x:f>
        <x:v>(16)99708-9727</x:v>
      </x:c>
      <x:c r="Z1203" s="30" t="n">
        <x:v>46385</x:v>
      </x:c>
    </x:row>
    <x:row r="1204" ht="18" customHeight="1">
      <x:c r="A1204" s="22" t="str">
        <x:f>"3c9bae11-4281-4e19-96fb-a38b5380232e"</x:f>
        <x:v>3c9bae11-4281-4e19-96fb-a38b5380232e</x:v>
      </x:c>
      <x:c r="B1204" s="23" t="str">
        <x:v>FELIPE LIMA MARINO</x:v>
      </x:c>
      <x:c r="C1204" s="23" t="str">
        <x:v>felipe lima marino</x:v>
      </x:c>
      <x:c r="D1204" s="22" t="str">
        <x:f>"63.792.744/0001-06"</x:f>
        <x:v>63.792.744/0001-06</x:v>
      </x:c>
      <x:c r="E1204" s="22" t="str">
        <x:f>"63792744000106"</x:f>
        <x:v>63792744000106</x:v>
      </x:c>
      <x:c r="F1204" s="22" t="str">
        <x:f>"128.958.427-36"</x:f>
        <x:v>128.958.427-36</x:v>
      </x:c>
      <x:c r="G1204" s="22" t="str">
        <x:f>"12895842736"</x:f>
        <x:v>12895842736</x:v>
      </x:c>
      <x:c r="H1204" s="23" t="str">
        <x:v>marinofelipe51@gmail.com</x:v>
      </x:c>
      <x:c r="I1204" s="22" t="str">
        <x:f>"(21) 979083050"</x:f>
        <x:v>(21) 979083050</x:v>
      </x:c>
      <x:c r="J1204" s="23" t="str">
        <x:v>SPOT</x:v>
      </x:c>
      <x:c r="K1204" s="23" t="str">
        <x:v>favored_only</x:v>
      </x:c>
      <x:c r="L1204" s="24" t="b">
        <x:v>1</x:v>
      </x:c>
      <x:c r="M1204" s="23" t="n">
        <x:v>1</x:v>
      </x:c>
      <x:c r="N1204" s="28" t="n">
        <x:v>46219.812988715275</x:v>
      </x:c>
      <x:c r="O1204" s="28" t="n">
        <x:v>46219.812988715275</x:v>
      </x:c>
      <x:c r="P1204" s="23" t="str">
        <x:v>ITABORAI</x:v>
      </x:c>
      <x:c r="Q1204" s="30" t="n">
        <x:v>32237</x:v>
      </x:c>
      <x:c r="R1204" s="22" t="str">
        <x:f>"219071594"</x:f>
        <x:v>219071594</x:v>
      </x:c>
      <x:c r="S1204" s="23" t="str">
        <x:v>masculino</x:v>
      </x:c>
      <x:c r="T1204" s="22" t="str">
        <x:f>"QPJ0H78"</x:f>
        <x:v>QPJ0H78</x:v>
      </x:c>
      <x:c r="U1204" s="23" t="str">
        <x:v>FELIPE LIMA MARINO</x:v>
      </x:c>
      <x:c r="V1204" s="22" t="str">
        <x:f>"128.958.427-36"</x:f>
        <x:v>128.958.427-36</x:v>
      </x:c>
      <x:c r="W1204" s="22" t="str">
        <x:f>"12895842736"</x:f>
        <x:v>12895842736</x:v>
      </x:c>
      <x:c r="X1204" s="23" t="str">
        <x:v>marinofelipe51@gmail.com</x:v>
      </x:c>
      <x:c r="Y1204" s="22" t="str">
        <x:f>"(21) 979083050"</x:f>
        <x:v>(21) 979083050</x:v>
      </x:c>
      <x:c r="Z1204" s="30" t="n">
        <x:v>46445</x:v>
      </x:c>
    </x:row>
    <x:row r="1205" ht="18" customHeight="1">
      <x:c r="A1205" s="22" t="str">
        <x:f>"7c94779f-4560-4117-9fb0-674ba137aa9c"</x:f>
        <x:v>7c94779f-4560-4117-9fb0-674ba137aa9c</x:v>
      </x:c>
      <x:c r="B1205" s="23" t="str">
        <x:v>FELIPE LOURENCO RAFAEL</x:v>
      </x:c>
      <x:c r="C1205" s="23" t="str">
        <x:v>felipe lourenco rafael</x:v>
      </x:c>
      <x:c r="D1205" s="22" t="str">
        <x:f>"67.178.412/0001-97"</x:f>
        <x:v>67.178.412/0001-97</x:v>
      </x:c>
      <x:c r="E1205" s="22" t="str">
        <x:f>"67178412000197"</x:f>
        <x:v>67178412000197</x:v>
      </x:c>
      <x:c r="F1205" s="22" t="str">
        <x:f>"143.659.147-31"</x:f>
        <x:v>143.659.147-31</x:v>
      </x:c>
      <x:c r="G1205" s="22" t="str">
        <x:f>"14365914731"</x:f>
        <x:v>14365914731</x:v>
      </x:c>
      <x:c r="H1205" s="23" t="str">
        <x:v>felipeoffice32@gmail.com</x:v>
      </x:c>
      <x:c r="I1205" s="22" t="str">
        <x:f>"+55 21 96989-2276"</x:f>
        <x:v>+55 21 96989-2276</x:v>
      </x:c>
      <x:c r="J1205" s="23" t="str">
        <x:v>rental</x:v>
      </x:c>
      <x:c r="K1205" s="23" t="str">
        <x:v>rental_company</x:v>
      </x:c>
      <x:c r="L1205" s="24" t="b">
        <x:v>1</x:v>
      </x:c>
      <x:c r="M1205" s="23" t="n">
        <x:v>1</x:v>
      </x:c>
      <x:c r="N1205" s="28" t="n">
        <x:v>46219.812988715275</x:v>
      </x:c>
      <x:c r="O1205" s="28" t="n">
        <x:v>46219.812988715275</x:v>
      </x:c>
      <x:c r="P1205" s="23" t="str">
        <x:v>QUEIMADOS</x:v>
      </x:c>
      <x:c r="Q1205" s="30" t="n">
        <x:v>32315</x:v>
      </x:c>
      <x:c r="R1205" s="22" t="str">
        <x:f>"215252198"</x:f>
        <x:v>215252198</x:v>
      </x:c>
      <x:c r="S1205" s="23" t="str">
        <x:v>masculino</x:v>
      </x:c>
      <x:c r="T1205" s="22" t="str"/>
      <x:c r="U1205" s="23" t="str">
        <x:v>FELIPE LOURENCO RAFAEL</x:v>
      </x:c>
      <x:c r="V1205" s="22" t="str">
        <x:f>"143.659.147-31"</x:f>
        <x:v>143.659.147-31</x:v>
      </x:c>
      <x:c r="W1205" s="22" t="str">
        <x:f>"14365914731"</x:f>
        <x:v>14365914731</x:v>
      </x:c>
      <x:c r="X1205" s="23" t="str">
        <x:v>felipeoffice32@gmail.com</x:v>
      </x:c>
      <x:c r="Y1205" s="22" t="str">
        <x:f>"+55 21 96989-2276"</x:f>
        <x:v>+55 21 96989-2276</x:v>
      </x:c>
      <x:c r="Z1205" s="30" t="n">
        <x:v>46543</x:v>
      </x:c>
    </x:row>
    <x:row r="1206" ht="18" customHeight="1">
      <x:c r="A1206" s="22" t="str">
        <x:f>"2999ab1b-b6de-4026-8b35-079be32acf0c"</x:f>
        <x:v>2999ab1b-b6de-4026-8b35-079be32acf0c</x:v>
      </x:c>
      <x:c r="B1206" s="23" t="str">
        <x:v>FELIPE MALAQUIAS MELQUIADES DOS SANTOS</x:v>
      </x:c>
      <x:c r="C1206" s="23" t="str">
        <x:v>felipe malaquias melquiades dos santos</x:v>
      </x:c>
      <x:c r="D1206" s="22" t="str">
        <x:f>"64.977.581/0001-07"</x:f>
        <x:v>64.977.581/0001-07</x:v>
      </x:c>
      <x:c r="E1206" s="22" t="str">
        <x:f>"64977581000107"</x:f>
        <x:v>64977581000107</x:v>
      </x:c>
      <x:c r="F1206" s="22" t="str">
        <x:f>"386.484.678-10"</x:f>
        <x:v>386.484.678-10</x:v>
      </x:c>
      <x:c r="G1206" s="22" t="str">
        <x:f>"38648467810"</x:f>
        <x:v>38648467810</x:v>
      </x:c>
      <x:c r="H1206" s="23" t="str">
        <x:v>malaquiassantis232@gmail.com</x:v>
      </x:c>
      <x:c r="I1206" s="22" t="str">
        <x:f>"11 98880-1456"</x:f>
        <x:v>11 98880-1456</x:v>
      </x:c>
      <x:c r="J1206" s="23" t="str">
        <x:v>RENTAL</x:v>
      </x:c>
      <x:c r="K1206" s="23" t="str">
        <x:v>rental_company</x:v>
      </x:c>
      <x:c r="L1206" s="24" t="b">
        <x:v>1</x:v>
      </x:c>
      <x:c r="M1206" s="23" t="n">
        <x:v>1</x:v>
      </x:c>
      <x:c r="N1206" s="28" t="n">
        <x:v>46219.812988715275</x:v>
      </x:c>
      <x:c r="O1206" s="28" t="n">
        <x:v>46219.812988715275</x:v>
      </x:c>
      <x:c r="P1206" s="23" t="str">
        <x:v>BARRETOS</x:v>
      </x:c>
      <x:c r="Q1206" s="30" t="n">
        <x:v>33344</x:v>
      </x:c>
      <x:c r="R1206" s="22" t="str">
        <x:f>"47452659"</x:f>
        <x:v>47452659</x:v>
      </x:c>
      <x:c r="S1206" s="23" t="str">
        <x:v>masculino</x:v>
      </x:c>
      <x:c r="T1206" s="22" t="str"/>
      <x:c r="U1206" s="23" t="str">
        <x:v>FELIPE MALAQUIAS MELQUIADES DOS SANTOS</x:v>
      </x:c>
      <x:c r="V1206" s="22" t="str">
        <x:f>"386.484.678-10"</x:f>
        <x:v>386.484.678-10</x:v>
      </x:c>
      <x:c r="W1206" s="22" t="str">
        <x:f>"38648467810"</x:f>
        <x:v>38648467810</x:v>
      </x:c>
      <x:c r="X1206" s="23" t="str">
        <x:v>malaquiassantis232@gmail.com</x:v>
      </x:c>
      <x:c r="Y1206" s="22" t="str">
        <x:f>"11 98880-1456"</x:f>
        <x:v>11 98880-1456</x:v>
      </x:c>
      <x:c r="Z1206" s="30" t="n">
        <x:v>46432</x:v>
      </x:c>
    </x:row>
    <x:row r="1207" ht="18" customHeight="1">
      <x:c r="A1207" s="22" t="str">
        <x:f>"119c9686-d80a-4f12-8012-6b8b91c50da3"</x:f>
        <x:v>119c9686-d80a-4f12-8012-6b8b91c50da3</x:v>
      </x:c>
      <x:c r="B1207" s="23" t="str">
        <x:v>FELIPE MEDEIROS DE LIMA</x:v>
      </x:c>
      <x:c r="C1207" s="23" t="str">
        <x:v>felipe medeiros de lima</x:v>
      </x:c>
      <x:c r="D1207" s="22" t="str">
        <x:f>"65.515.295/0001-84"</x:f>
        <x:v>65.515.295/0001-84</x:v>
      </x:c>
      <x:c r="E1207" s="22" t="str">
        <x:f>"65515295000184"</x:f>
        <x:v>65515295000184</x:v>
      </x:c>
      <x:c r="F1207" s="22" t="str">
        <x:f>"460.453.898-08"</x:f>
        <x:v>460.453.898-08</x:v>
      </x:c>
      <x:c r="G1207" s="22" t="str">
        <x:f>"46045389808"</x:f>
        <x:v>46045389808</x:v>
      </x:c>
      <x:c r="H1207" s="23" t="str">
        <x:v>limafelipe_18@outlook.com</x:v>
      </x:c>
      <x:c r="I1207" s="22" t="str">
        <x:f>"18996558610"</x:f>
        <x:v>18996558610</x:v>
      </x:c>
      <x:c r="J1207" s="23" t="str">
        <x:v>RENTAL</x:v>
      </x:c>
      <x:c r="K1207" s="23" t="str">
        <x:v>rental_company</x:v>
      </x:c>
      <x:c r="L1207" s="24" t="b">
        <x:v>1</x:v>
      </x:c>
      <x:c r="M1207" s="23" t="n">
        <x:v>1</x:v>
      </x:c>
      <x:c r="N1207" s="28" t="n">
        <x:v>46219.812988715275</x:v>
      </x:c>
      <x:c r="O1207" s="28" t="n">
        <x:v>46219.812988715275</x:v>
      </x:c>
      <x:c r="P1207" s="23" t="str">
        <x:v>PRESIDENTE PRUDENTE</x:v>
      </x:c>
      <x:c r="Q1207" s="30" t="n">
        <x:v>36730</x:v>
      </x:c>
      <x:c r="R1207" s="22" t="str">
        <x:f>"567967347"</x:f>
        <x:v>567967347</x:v>
      </x:c>
      <x:c r="S1207" s="23" t="str">
        <x:v>masculino</x:v>
      </x:c>
      <x:c r="T1207" s="22" t="str"/>
      <x:c r="U1207" s="23" t="str">
        <x:v>FELIPE MEDEIROS DE LIMA</x:v>
      </x:c>
      <x:c r="V1207" s="22" t="str">
        <x:f>"460.453.898-08"</x:f>
        <x:v>460.453.898-08</x:v>
      </x:c>
      <x:c r="W1207" s="22" t="str">
        <x:f>"46045389808"</x:f>
        <x:v>46045389808</x:v>
      </x:c>
      <x:c r="X1207" s="23" t="str">
        <x:v>limafelipe_18@outlook.com</x:v>
      </x:c>
      <x:c r="Y1207" s="22" t="str">
        <x:f>"18996558610"</x:f>
        <x:v>18996558610</x:v>
      </x:c>
      <x:c r="Z1207" s="30" t="n">
        <x:v>46452</x:v>
      </x:c>
    </x:row>
    <x:row r="1208" ht="18" customHeight="1">
      <x:c r="A1208" s="22" t="str">
        <x:f>"d1ee9e76-e177-40a2-9ffa-b7d89d8d8b8f"</x:f>
        <x:v>d1ee9e76-e177-40a2-9ffa-b7d89d8d8b8f</x:v>
      </x:c>
      <x:c r="B1208" s="23" t="str">
        <x:v>FELIPE MENDES SILVA DE MENDONCA</x:v>
      </x:c>
      <x:c r="C1208" s="23" t="str">
        <x:v>felipe mendes silva de mendonca</x:v>
      </x:c>
      <x:c r="D1208" s="22" t="str">
        <x:f>"67.829.707/0001-86"</x:f>
        <x:v>67.829.707/0001-86</x:v>
      </x:c>
      <x:c r="E1208" s="22" t="str">
        <x:f>"67829707000186"</x:f>
        <x:v>67829707000186</x:v>
      </x:c>
      <x:c r="F1208" s="22" t="str">
        <x:f>"055.626.157-70"</x:f>
        <x:v>055.626.157-70</x:v>
      </x:c>
      <x:c r="G1208" s="22" t="str">
        <x:f>"05562615770"</x:f>
        <x:v>05562615770</x:v>
      </x:c>
      <x:c r="H1208" s="23" t="str">
        <x:v>felipe.mvu@gmail.com</x:v>
      </x:c>
      <x:c r="I1208" s="22" t="str">
        <x:f>"21975848275"</x:f>
        <x:v>21975848275</x:v>
      </x:c>
      <x:c r="J1208" s="23" t="str">
        <x:v>SPOT</x:v>
      </x:c>
      <x:c r="K1208" s="23" t="str">
        <x:v>favored_only</x:v>
      </x:c>
      <x:c r="L1208" s="24" t="b">
        <x:v>1</x:v>
      </x:c>
      <x:c r="M1208" s="23" t="n">
        <x:v>1</x:v>
      </x:c>
      <x:c r="N1208" s="28" t="n">
        <x:v>46219.812988715275</x:v>
      </x:c>
      <x:c r="O1208" s="28" t="n">
        <x:v>46219.812988715275</x:v>
      </x:c>
      <x:c r="P1208" s="23" t="str">
        <x:v>CAMPO GRANDE</x:v>
      </x:c>
      <x:c r="Q1208" s="30" t="n">
        <x:v>29374</x:v>
      </x:c>
      <x:c r="R1208" s="22" t="str">
        <x:f>"111418612"</x:f>
        <x:v>111418612</x:v>
      </x:c>
      <x:c r="S1208" s="23" t="str">
        <x:v>masculino</x:v>
      </x:c>
      <x:c r="T1208" s="22" t="str">
        <x:f>"QQC9G05"</x:f>
        <x:v>QQC9G05</x:v>
      </x:c>
      <x:c r="U1208" s="23" t="str">
        <x:v>FELIPE MENDES SILVA DE MENDONCA</x:v>
      </x:c>
      <x:c r="V1208" s="22" t="str">
        <x:f>"055.626.157-70"</x:f>
        <x:v>055.626.157-70</x:v>
      </x:c>
      <x:c r="W1208" s="22" t="str">
        <x:f>"05562615770"</x:f>
        <x:v>05562615770</x:v>
      </x:c>
      <x:c r="X1208" s="23" t="str">
        <x:v>felipe.mvu@gmail.com</x:v>
      </x:c>
      <x:c r="Y1208" s="22" t="str">
        <x:f>"21975848275"</x:f>
        <x:v>21975848275</x:v>
      </x:c>
      <x:c r="Z1208" s="30" t="n">
        <x:v>46574</x:v>
      </x:c>
    </x:row>
    <x:row r="1209" ht="18" customHeight="1">
      <x:c r="A1209" s="22" t="str">
        <x:f>"8d64aeee-b90f-45d9-a82f-d57a7dd7c08e"</x:f>
        <x:v>8d64aeee-b90f-45d9-a82f-d57a7dd7c08e</x:v>
      </x:c>
      <x:c r="B1209" s="23" t="str">
        <x:v>FELIPE MENEZES MAGALHAES</x:v>
      </x:c>
      <x:c r="C1209" s="23" t="str">
        <x:v>felipe menezes magalhaes</x:v>
      </x:c>
      <x:c r="D1209" s="22" t="str">
        <x:f>"61.034.230/0001-66"</x:f>
        <x:v>61.034.230/0001-66</x:v>
      </x:c>
      <x:c r="E1209" s="22" t="str">
        <x:f>"61034230000166"</x:f>
        <x:v>61034230000166</x:v>
      </x:c>
      <x:c r="F1209" s="22" t="str">
        <x:f>"083.853.701-45"</x:f>
        <x:v>083.853.701-45</x:v>
      </x:c>
      <x:c r="G1209" s="22" t="str">
        <x:f>"08385370145"</x:f>
        <x:v>08385370145</x:v>
      </x:c>
      <x:c r="H1209" s="23" t="str">
        <x:v>femenezes1423@gmail.com</x:v>
      </x:c>
      <x:c r="I1209" s="22" t="str">
        <x:f>"65992324039"</x:f>
        <x:v>65992324039</x:v>
      </x:c>
      <x:c r="J1209" s="23" t="str">
        <x:v>SPOT</x:v>
      </x:c>
      <x:c r="K1209" s="23" t="str">
        <x:v>favored_only</x:v>
      </x:c>
      <x:c r="L1209" s="24" t="b">
        <x:v>1</x:v>
      </x:c>
      <x:c r="M1209" s="23" t="n">
        <x:v>1</x:v>
      </x:c>
      <x:c r="N1209" s="28" t="n">
        <x:v>46205.604154872686</x:v>
      </x:c>
      <x:c r="O1209" s="28" t="n">
        <x:v>46219.812988715275</x:v>
      </x:c>
      <x:c r="P1209" s="23" t="str">
        <x:v>CUIABA</x:v>
      </x:c>
      <x:c r="Q1209" s="30" t="n">
        <x:v>37360</x:v>
      </x:c>
      <x:c r="R1209" s="22" t="str">
        <x:f>"32310587"</x:f>
        <x:v>32310587</x:v>
      </x:c>
      <x:c r="S1209" s="23" t="str">
        <x:v>masculino</x:v>
      </x:c>
      <x:c r="T1209" s="22" t="str">
        <x:f>"RRW5A71"</x:f>
        <x:v>RRW5A71</x:v>
      </x:c>
      <x:c r="U1209" s="23" t="str">
        <x:v>WANESSA KAROLYNE SOUZA LINO</x:v>
      </x:c>
      <x:c r="V1209" s="22" t="str">
        <x:f>"061.856.251-64"</x:f>
        <x:v>061.856.251-64</x:v>
      </x:c>
      <x:c r="W1209" s="22" t="str">
        <x:f>"06185625164"</x:f>
        <x:v>06185625164</x:v>
      </x:c>
      <x:c r="X1209" s="23" t="str">
        <x:v>wanessakarolyne0@icloud.com</x:v>
      </x:c>
      <x:c r="Y1209" s="22" t="str">
        <x:f>"(65)98471-1107"</x:f>
        <x:v>(65)98471-1107</x:v>
      </x:c>
      <x:c r="Z1209" s="30" t="n">
        <x:v>46260</x:v>
      </x:c>
    </x:row>
    <x:row r="1210" ht="18" customHeight="1">
      <x:c r="A1210" s="22" t="str">
        <x:f>"f7041800-a70c-47e3-a3e2-d057bb89138b"</x:f>
        <x:v>f7041800-a70c-47e3-a3e2-d057bb89138b</x:v>
      </x:c>
      <x:c r="B1210" s="23" t="str">
        <x:v>FELIPE MORADOR</x:v>
      </x:c>
      <x:c r="C1210" s="23" t="str">
        <x:v>felipe morador</x:v>
      </x:c>
      <x:c r="D1210" s="22" t="str">
        <x:f>"65.557.916/0001-92"</x:f>
        <x:v>65.557.916/0001-92</x:v>
      </x:c>
      <x:c r="E1210" s="22" t="str">
        <x:f>"65557916000192"</x:f>
        <x:v>65557916000192</x:v>
      </x:c>
      <x:c r="F1210" s="22" t="str">
        <x:f>"467.381.948-97"</x:f>
        <x:v>467.381.948-97</x:v>
      </x:c>
      <x:c r="G1210" s="22" t="str">
        <x:f>"46738194897"</x:f>
        <x:v>46738194897</x:v>
      </x:c>
      <x:c r="H1210" s="23" t="str">
        <x:v>fmorador8@gmail.com</x:v>
      </x:c>
      <x:c r="I1210" s="22" t="str">
        <x:f>"(16)99353-7464"</x:f>
        <x:v>(16)99353-7464</x:v>
      </x:c>
      <x:c r="J1210" s="23" t="str">
        <x:v>RENTAL</x:v>
      </x:c>
      <x:c r="K1210" s="23" t="str">
        <x:v>rental_company</x:v>
      </x:c>
      <x:c r="L1210" s="24" t="b">
        <x:v>1</x:v>
      </x:c>
      <x:c r="M1210" s="23" t="n">
        <x:v>1</x:v>
      </x:c>
      <x:c r="N1210" s="28" t="n">
        <x:v>46219.812988715275</x:v>
      </x:c>
      <x:c r="O1210" s="28" t="n">
        <x:v>46219.812988715275</x:v>
      </x:c>
      <x:c r="P1210" s="23" t="str">
        <x:v>SÃO CARLOS</x:v>
      </x:c>
      <x:c r="Q1210" s="30" t="n">
        <x:v>35924</x:v>
      </x:c>
      <x:c r="R1210" s="22" t="str">
        <x:f>"42433924"</x:f>
        <x:v>42433924</x:v>
      </x:c>
      <x:c r="S1210" s="23" t="str">
        <x:v>masculino</x:v>
      </x:c>
      <x:c r="T1210" s="22" t="str"/>
      <x:c r="U1210" s="23" t="str">
        <x:v>FELIPE MORADOR</x:v>
      </x:c>
      <x:c r="V1210" s="22" t="str">
        <x:f>"467.381.948-97"</x:f>
        <x:v>467.381.948-97</x:v>
      </x:c>
      <x:c r="W1210" s="22" t="str">
        <x:f>"46738194897"</x:f>
        <x:v>46738194897</x:v>
      </x:c>
      <x:c r="X1210" s="23" t="str">
        <x:v>fmorador8@gmail.com</x:v>
      </x:c>
      <x:c r="Y1210" s="22" t="str">
        <x:f>"(16)99353-7464"</x:f>
        <x:v>(16)99353-7464</x:v>
      </x:c>
      <x:c r="Z1210" s="30" t="n">
        <x:v>46459</x:v>
      </x:c>
    </x:row>
    <x:row r="1211" ht="18" customHeight="1">
      <x:c r="A1211" s="22" t="str">
        <x:f>"ddc3b72c-6b17-4590-b6b4-a0acaa7451ca"</x:f>
        <x:v>ddc3b72c-6b17-4590-b6b4-a0acaa7451ca</x:v>
      </x:c>
      <x:c r="B1211" s="23" t="str">
        <x:v>FELIPE MOTA LIMA</x:v>
      </x:c>
      <x:c r="C1211" s="23" t="str">
        <x:v>felipe mota lima</x:v>
      </x:c>
      <x:c r="D1211" s="22" t="str">
        <x:f>"62.281.599/0001-36"</x:f>
        <x:v>62.281.599/0001-36</x:v>
      </x:c>
      <x:c r="E1211" s="22" t="str">
        <x:f>"62281599000136"</x:f>
        <x:v>62281599000136</x:v>
      </x:c>
      <x:c r="F1211" s="22" t="str">
        <x:f>"418.877.768-00"</x:f>
        <x:v>418.877.768-00</x:v>
      </x:c>
      <x:c r="G1211" s="22" t="str">
        <x:f>"41887776800"</x:f>
        <x:v>41887776800</x:v>
      </x:c>
      <x:c r="H1211" s="23" t="str">
        <x:v>felipe.mota.lima@hotmail.com</x:v>
      </x:c>
      <x:c r="I1211" s="22" t="str">
        <x:f>"16 99176-0569"</x:f>
        <x:v>16 99176-0569</x:v>
      </x:c>
      <x:c r="J1211" s="23" t="str">
        <x:v>SPOT</x:v>
      </x:c>
      <x:c r="K1211" s="23" t="str">
        <x:v>favored_only</x:v>
      </x:c>
      <x:c r="L1211" s="24" t="b">
        <x:v>1</x:v>
      </x:c>
      <x:c r="M1211" s="23" t="n">
        <x:v>1</x:v>
      </x:c>
      <x:c r="N1211" s="28" t="n">
        <x:v>46203.921852962965</x:v>
      </x:c>
      <x:c r="O1211" s="28" t="n">
        <x:v>46219.812988715275</x:v>
      </x:c>
      <x:c r="P1211" s="23" t="str">
        <x:v>BARRETOS</x:v>
      </x:c>
      <x:c r="Q1211" s="30" t="n">
        <x:v>34252</x:v>
      </x:c>
      <x:c r="R1211" s="22" t="str">
        <x:f>"49012012"</x:f>
        <x:v>49012012</x:v>
      </x:c>
      <x:c r="S1211" s="23" t="str">
        <x:v>masculino</x:v>
      </x:c>
      <x:c r="T1211" s="22" t="str">
        <x:f>"FYS4D45"</x:f>
        <x:v>FYS4D45</x:v>
      </x:c>
      <x:c r="U1211" s="23" t="str">
        <x:v>FELIPE MOTA LIMA</x:v>
      </x:c>
      <x:c r="V1211" s="22" t="str">
        <x:f>"418.877.768-00"</x:f>
        <x:v>418.877.768-00</x:v>
      </x:c>
      <x:c r="W1211" s="22" t="str">
        <x:f>"41887776800"</x:f>
        <x:v>41887776800</x:v>
      </x:c>
      <x:c r="X1211" s="23" t="str">
        <x:v>felipe.mota.lima@hotmail.com</x:v>
      </x:c>
      <x:c r="Y1211" s="22" t="str">
        <x:f>"16 99176-0569"</x:f>
        <x:v>16 99176-0569</x:v>
      </x:c>
      <x:c r="Z1211" s="30" t="n">
        <x:v>46254</x:v>
      </x:c>
    </x:row>
    <x:row r="1212" ht="18" customHeight="1">
      <x:c r="A1212" s="22" t="str">
        <x:f>"34240758-a2d5-43ef-8607-41299511c0ae"</x:f>
        <x:v>34240758-a2d5-43ef-8607-41299511c0ae</x:v>
      </x:c>
      <x:c r="B1212" s="23" t="str">
        <x:v>FELIPE OSMAR DE LIMA LINO</x:v>
      </x:c>
      <x:c r="C1212" s="23" t="str">
        <x:v>felipe osmar de lima lino</x:v>
      </x:c>
      <x:c r="D1212" s="22" t="str">
        <x:f>"37.285.901/0001-87"</x:f>
        <x:v>37.285.901/0001-87</x:v>
      </x:c>
      <x:c r="E1212" s="22" t="str">
        <x:f>"37285901000187"</x:f>
        <x:v>37285901000187</x:v>
      </x:c>
      <x:c r="F1212" s="22" t="str">
        <x:f>"457.421.738-30"</x:f>
        <x:v>457.421.738-30</x:v>
      </x:c>
      <x:c r="G1212" s="22" t="str">
        <x:f>"45742173830"</x:f>
        <x:v>45742173830</x:v>
      </x:c>
      <x:c r="H1212" s="23" t="str">
        <x:v>Felipelino04@gmail.com</x:v>
      </x:c>
      <x:c r="I1212" s="22" t="str">
        <x:f>"16991628602"</x:f>
        <x:v>16991628602</x:v>
      </x:c>
      <x:c r="J1212" s="23" t="str">
        <x:v>RENTAL</x:v>
      </x:c>
      <x:c r="K1212" s="23" t="str">
        <x:v>rental_company</x:v>
      </x:c>
      <x:c r="L1212" s="24" t="b">
        <x:v>1</x:v>
      </x:c>
      <x:c r="M1212" s="23" t="n">
        <x:v>1</x:v>
      </x:c>
      <x:c r="N1212" s="28" t="n">
        <x:v>46203.921887453704</x:v>
      </x:c>
      <x:c r="O1212" s="28" t="n">
        <x:v>46219.812988715275</x:v>
      </x:c>
      <x:c r="P1212" s="23" t="str">
        <x:v>RIBEIRAO PRETO</x:v>
      </x:c>
      <x:c r="Q1212" s="30" t="n">
        <x:v>35412</x:v>
      </x:c>
      <x:c r="R1212" s="22" t="str">
        <x:f>"52999778"</x:f>
        <x:v>52999778</x:v>
      </x:c>
      <x:c r="S1212" s="23" t="str">
        <x:v>masculino</x:v>
      </x:c>
      <x:c r="T1212" s="22" t="str"/>
      <x:c r="U1212" s="23" t="str">
        <x:v>FELIPE OSMAR DE LIMA LINO</x:v>
      </x:c>
      <x:c r="V1212" s="22" t="str">
        <x:f>"457.421.738-30"</x:f>
        <x:v>457.421.738-30</x:v>
      </x:c>
      <x:c r="W1212" s="22" t="str">
        <x:f>"45742173830"</x:f>
        <x:v>45742173830</x:v>
      </x:c>
      <x:c r="X1212" s="23" t="str">
        <x:v>Felipelino04@gmail.com</x:v>
      </x:c>
      <x:c r="Y1212" s="22" t="str">
        <x:f>"16991628602"</x:f>
        <x:v>16991628602</x:v>
      </x:c>
      <x:c r="Z1212" s="30" t="n">
        <x:v>46330</x:v>
      </x:c>
    </x:row>
    <x:row r="1213" ht="18" customHeight="1">
      <x:c r="A1213" s="22" t="str">
        <x:f>"68a4f80b-a537-4ec6-b4b5-12bc7a00b12c"</x:f>
        <x:v>68a4f80b-a537-4ec6-b4b5-12bc7a00b12c</x:v>
      </x:c>
      <x:c r="B1213" s="23" t="str">
        <x:v>FELIPE PAIVA DOS QUADROS</x:v>
      </x:c>
      <x:c r="C1213" s="23" t="str">
        <x:v>felipe paiva dos quadros</x:v>
      </x:c>
      <x:c r="D1213" s="22" t="str">
        <x:f>"56.993.186/0001-81"</x:f>
        <x:v>56.993.186/0001-81</x:v>
      </x:c>
      <x:c r="E1213" s="22" t="str">
        <x:f>"56993186000181"</x:f>
        <x:v>56993186000181</x:v>
      </x:c>
      <x:c r="F1213" s="22" t="str">
        <x:f>"104.541.867-62"</x:f>
        <x:v>104.541.867-62</x:v>
      </x:c>
      <x:c r="G1213" s="22" t="str">
        <x:f>"10454186762"</x:f>
        <x:v>10454186762</x:v>
      </x:c>
      <x:c r="H1213" s="23" t="str">
        <x:v>masummeu@hotmail.com</x:v>
      </x:c>
      <x:c r="I1213" s="22" t="str">
        <x:f>"21977007445"</x:f>
        <x:v>21977007445</x:v>
      </x:c>
      <x:c r="J1213" s="23" t="str">
        <x:v>SPOT</x:v>
      </x:c>
      <x:c r="K1213" s="23" t="str">
        <x:v>favored_only</x:v>
      </x:c>
      <x:c r="L1213" s="24" t="b">
        <x:v>1</x:v>
      </x:c>
      <x:c r="M1213" s="23" t="n">
        <x:v>2</x:v>
      </x:c>
      <x:c r="N1213" s="28" t="n">
        <x:v>46203.92189349537</x:v>
      </x:c>
      <x:c r="O1213" s="28" t="n">
        <x:v>46203.92189349537</x:v>
      </x:c>
      <x:c r="P1213" s="23" t="str"/>
      <x:c r="Q1213" s="30" t="str"/>
      <x:c r="R1213" s="22" t="str"/>
      <x:c r="S1213" s="23" t="str"/>
      <x:c r="T1213" s="22" t="str"/>
      <x:c r="U1213" s="23" t="str">
        <x:v>FELIPE PAIVA DOS QUADROS</x:v>
      </x:c>
      <x:c r="V1213" s="22" t="str">
        <x:f>"104.541.867-62"</x:f>
        <x:v>104.541.867-62</x:v>
      </x:c>
      <x:c r="W1213" s="22" t="str">
        <x:f>"10454186762"</x:f>
        <x:v>10454186762</x:v>
      </x:c>
      <x:c r="X1213" s="23" t="str">
        <x:v>leticia.mendesprom@gmail.com</x:v>
      </x:c>
      <x:c r="Y1213" s="22" t="str">
        <x:f>"21977007445"</x:f>
        <x:v>21977007445</x:v>
      </x:c>
      <x:c r="Z1213" s="30" t="str"/>
    </x:row>
    <x:row r="1214" ht="18" customHeight="1">
      <x:c r="A1214" s="22" t="str">
        <x:f>"432d80f2-b6ab-4ef0-b898-c46cb9580253"</x:f>
        <x:v>432d80f2-b6ab-4ef0-b898-c46cb9580253</x:v>
      </x:c>
      <x:c r="B1214" s="23" t="str">
        <x:v>FELIPE PEREIRA DE OLIVEIRA</x:v>
      </x:c>
      <x:c r="C1214" s="23" t="str">
        <x:v>felipe pereira de oliveira</x:v>
      </x:c>
      <x:c r="D1214" s="22" t="str">
        <x:f>"62.529.627/0001-91"</x:f>
        <x:v>62.529.627/0001-91</x:v>
      </x:c>
      <x:c r="E1214" s="22" t="str">
        <x:f>"62529627000191"</x:f>
        <x:v>62529627000191</x:v>
      </x:c>
      <x:c r="F1214" s="22" t="str">
        <x:f>"377.830.278-73"</x:f>
        <x:v>377.830.278-73</x:v>
      </x:c>
      <x:c r="G1214" s="22" t="str">
        <x:f>"37783027873"</x:f>
        <x:v>37783027873</x:v>
      </x:c>
      <x:c r="H1214" s="23" t="str">
        <x:v>Felipe_kll@hotmail.com</x:v>
      </x:c>
      <x:c r="I1214" s="22" t="str">
        <x:f>"17 99607-4222"</x:f>
        <x:v>17 99607-4222</x:v>
      </x:c>
      <x:c r="J1214" s="23" t="str">
        <x:v>SPOT</x:v>
      </x:c>
      <x:c r="K1214" s="23" t="str">
        <x:v>favored_only</x:v>
      </x:c>
      <x:c r="L1214" s="24" t="b">
        <x:v>1</x:v>
      </x:c>
      <x:c r="M1214" s="23" t="n">
        <x:v>1</x:v>
      </x:c>
      <x:c r="N1214" s="28" t="n">
        <x:v>46203.92186462963</x:v>
      </x:c>
      <x:c r="O1214" s="28" t="n">
        <x:v>46219.812988715275</x:v>
      </x:c>
      <x:c r="P1214" s="23" t="str">
        <x:v>JALES</x:v>
      </x:c>
      <x:c r="Q1214" s="30" t="n">
        <x:v>35126</x:v>
      </x:c>
      <x:c r="R1214" s="22" t="str">
        <x:f>"49916232"</x:f>
        <x:v>49916232</x:v>
      </x:c>
      <x:c r="S1214" s="23" t="str">
        <x:v>masculino</x:v>
      </x:c>
      <x:c r="T1214" s="22" t="str">
        <x:f>"SWZ5B26"</x:f>
        <x:v>SWZ5B26</x:v>
      </x:c>
      <x:c r="U1214" s="23" t="str">
        <x:v>FELIPE PEREIRA DE OLIVEIRA</x:v>
      </x:c>
      <x:c r="V1214" s="22" t="str">
        <x:f>"377.830.278-73"</x:f>
        <x:v>377.830.278-73</x:v>
      </x:c>
      <x:c r="W1214" s="22" t="str">
        <x:f>"37783027873"</x:f>
        <x:v>37783027873</x:v>
      </x:c>
      <x:c r="X1214" s="23" t="str">
        <x:v>Felipe_kll@hotmail.com</x:v>
      </x:c>
      <x:c r="Y1214" s="22" t="str">
        <x:f>"17 99607-4222"</x:f>
        <x:v>17 99607-4222</x:v>
      </x:c>
      <x:c r="Z1214" s="30" t="n">
        <x:v>46271</x:v>
      </x:c>
    </x:row>
    <x:row r="1215" ht="18" customHeight="1">
      <x:c r="A1215" s="22" t="str">
        <x:f>"7518a043-8b77-4a31-90a2-7eee106b1412"</x:f>
        <x:v>7518a043-8b77-4a31-90a2-7eee106b1412</x:v>
      </x:c>
      <x:c r="B1215" s="23" t="str">
        <x:v>FELIPE RAMOS DA SILVA</x:v>
      </x:c>
      <x:c r="C1215" s="23" t="str">
        <x:v>felipe ramos da silva</x:v>
      </x:c>
      <x:c r="D1215" s="22" t="str">
        <x:f>"56.257.464/0001-32"</x:f>
        <x:v>56.257.464/0001-32</x:v>
      </x:c>
      <x:c r="E1215" s="22" t="str">
        <x:f>"56257464000132"</x:f>
        <x:v>56257464000132</x:v>
      </x:c>
      <x:c r="F1215" s="22" t="str">
        <x:f>"463.226.588-83"</x:f>
        <x:v>463.226.588-83</x:v>
      </x:c>
      <x:c r="G1215" s="22" t="str">
        <x:f>"46322658883"</x:f>
        <x:v>46322658883</x:v>
      </x:c>
      <x:c r="H1215" s="23" t="str">
        <x:v>fabin016tlgd@gmail.com</x:v>
      </x:c>
      <x:c r="I1215" s="22" t="str">
        <x:f>"16988077222"</x:f>
        <x:v>16988077222</x:v>
      </x:c>
      <x:c r="J1215" s="23" t="str">
        <x:v>SPOT</x:v>
      </x:c>
      <x:c r="K1215" s="23" t="str">
        <x:v>favored_only</x:v>
      </x:c>
      <x:c r="L1215" s="24" t="b">
        <x:v>1</x:v>
      </x:c>
      <x:c r="M1215" s="23" t="n">
        <x:v>1</x:v>
      </x:c>
      <x:c r="N1215" s="28" t="n">
        <x:v>46219.812988715275</x:v>
      </x:c>
      <x:c r="O1215" s="28" t="n">
        <x:v>46219.812988715275</x:v>
      </x:c>
      <x:c r="P1215" s="23" t="str">
        <x:v>RIBEIRAO PRETO</x:v>
      </x:c>
      <x:c r="Q1215" s="30" t="n">
        <x:v>38405</x:v>
      </x:c>
      <x:c r="R1215" s="22" t="str">
        <x:f>"545311676"</x:f>
        <x:v>545311676</x:v>
      </x:c>
      <x:c r="S1215" s="23" t="str">
        <x:v>masculino</x:v>
      </x:c>
      <x:c r="T1215" s="22" t="str">
        <x:f>"FMF2B26"</x:f>
        <x:v>FMF2B26</x:v>
      </x:c>
      <x:c r="U1215" s="23" t="str">
        <x:v>FELIPE RAMOS DA SILVA</x:v>
      </x:c>
      <x:c r="V1215" s="22" t="str">
        <x:f>"463.226.588-83"</x:f>
        <x:v>463.226.588-83</x:v>
      </x:c>
      <x:c r="W1215" s="22" t="str">
        <x:f>"46322658883"</x:f>
        <x:v>46322658883</x:v>
      </x:c>
      <x:c r="X1215" s="23" t="str">
        <x:v>fabin016tlgd@gmail.com</x:v>
      </x:c>
      <x:c r="Y1215" s="22" t="str">
        <x:f>"16988077222"</x:f>
        <x:v>16988077222</x:v>
      </x:c>
      <x:c r="Z1215" s="30" t="n">
        <x:v>46444</x:v>
      </x:c>
    </x:row>
    <x:row r="1216" ht="18" customHeight="1">
      <x:c r="A1216" s="22" t="str">
        <x:f>"4e830ece-2d42-406c-a228-4208910e21f4"</x:f>
        <x:v>4e830ece-2d42-406c-a228-4208910e21f4</x:v>
      </x:c>
      <x:c r="B1216" s="23" t="str">
        <x:v>FELIPE RIBEIRO RODRIGUES</x:v>
      </x:c>
      <x:c r="C1216" s="23" t="str">
        <x:v>felipe ribeiro rodrigues</x:v>
      </x:c>
      <x:c r="D1216" s="22" t="str">
        <x:f>"67.173.986/0001-72"</x:f>
        <x:v>67.173.986/0001-72</x:v>
      </x:c>
      <x:c r="E1216" s="22" t="str">
        <x:f>"67173986000172"</x:f>
        <x:v>67173986000172</x:v>
      </x:c>
      <x:c r="F1216" s="22" t="str">
        <x:f>"157.274.216-08"</x:f>
        <x:v>157.274.216-08</x:v>
      </x:c>
      <x:c r="G1216" s="22" t="str">
        <x:f>"15727421608"</x:f>
        <x:v>15727421608</x:v>
      </x:c>
      <x:c r="H1216" s="23" t="str">
        <x:v>Felipe.ribeiro.ataleia@gmail.com</x:v>
      </x:c>
      <x:c r="I1216" s="22" t="str">
        <x:f>"33 98809-3203"</x:f>
        <x:v>33 98809-3203</x:v>
      </x:c>
      <x:c r="J1216" s="23" t="str">
        <x:v>SPOT</x:v>
      </x:c>
      <x:c r="K1216" s="23" t="str">
        <x:v>favored_only</x:v>
      </x:c>
      <x:c r="L1216" s="24" t="b">
        <x:v>1</x:v>
      </x:c>
      <x:c r="M1216" s="23" t="n">
        <x:v>1</x:v>
      </x:c>
      <x:c r="N1216" s="28" t="n">
        <x:v>46219.812988715275</x:v>
      </x:c>
      <x:c r="O1216" s="28" t="n">
        <x:v>46219.812988715275</x:v>
      </x:c>
      <x:c r="P1216" s="23" t="str">
        <x:v>TEOFILO OTONI</x:v>
      </x:c>
      <x:c r="Q1216" s="30" t="n">
        <x:v>37739</x:v>
      </x:c>
      <x:c r="R1216" s="22" t="str">
        <x:f>"23888461"</x:f>
        <x:v>23888461</x:v>
      </x:c>
      <x:c r="S1216" s="23" t="str">
        <x:v>masculino</x:v>
      </x:c>
      <x:c r="T1216" s="22" t="str">
        <x:f>"QPL7I84"</x:f>
        <x:v>QPL7I84</x:v>
      </x:c>
      <x:c r="U1216" s="23" t="str">
        <x:v>FELIPE RIBEIRO RODRIGUES</x:v>
      </x:c>
      <x:c r="V1216" s="22" t="str">
        <x:f>"157.274.216-08"</x:f>
        <x:v>157.274.216-08</x:v>
      </x:c>
      <x:c r="W1216" s="22" t="str">
        <x:f>"15727421608"</x:f>
        <x:v>15727421608</x:v>
      </x:c>
      <x:c r="X1216" s="23" t="str">
        <x:v>Felipe.ribeiro.ataleia@gmail.com</x:v>
      </x:c>
      <x:c r="Y1216" s="22" t="str">
        <x:f>"33 98809-3203"</x:f>
        <x:v>33 98809-3203</x:v>
      </x:c>
      <x:c r="Z1216" s="30" t="n">
        <x:v>46577</x:v>
      </x:c>
    </x:row>
    <x:row r="1217" ht="18" customHeight="1">
      <x:c r="A1217" s="22" t="str">
        <x:f>"8089e058-1c07-45d6-bb08-4d10a31fedf9"</x:f>
        <x:v>8089e058-1c07-45d6-bb08-4d10a31fedf9</x:v>
      </x:c>
      <x:c r="B1217" s="23" t="str">
        <x:v>FELIPE RICARDO GARDIN DE FREITAS</x:v>
      </x:c>
      <x:c r="C1217" s="23" t="str">
        <x:v>felipe ricardo gardin de freitas</x:v>
      </x:c>
      <x:c r="D1217" s="22" t="str">
        <x:f>"61.547.244/0001-83"</x:f>
        <x:v>61.547.244/0001-83</x:v>
      </x:c>
      <x:c r="E1217" s="22" t="str">
        <x:f>"61547244000183"</x:f>
        <x:v>61547244000183</x:v>
      </x:c>
      <x:c r="F1217" s="22" t="str">
        <x:f>"406.216.488-41"</x:f>
        <x:v>406.216.488-41</x:v>
      </x:c>
      <x:c r="G1217" s="22" t="str">
        <x:f>"40621648841"</x:f>
        <x:v>40621648841</x:v>
      </x:c>
      <x:c r="H1217" s="23" t="str">
        <x:v>rikardofreitas266@gmail.com</x:v>
      </x:c>
      <x:c r="I1217" s="22" t="str">
        <x:f>"11978742791"</x:f>
        <x:v>11978742791</x:v>
      </x:c>
      <x:c r="J1217" s="23" t="str">
        <x:v>RENTAL</x:v>
      </x:c>
      <x:c r="K1217" s="23" t="str">
        <x:v>rental_company</x:v>
      </x:c>
      <x:c r="L1217" s="24" t="b">
        <x:v>1</x:v>
      </x:c>
      <x:c r="M1217" s="23" t="n">
        <x:v>4</x:v>
      </x:c>
      <x:c r="N1217" s="28" t="n">
        <x:v>46203.921852962965</x:v>
      </x:c>
      <x:c r="O1217" s="28" t="n">
        <x:v>46219.812988715275</x:v>
      </x:c>
      <x:c r="P1217" s="23" t="str">
        <x:v>BARUERI</x:v>
      </x:c>
      <x:c r="Q1217" s="30" t="n">
        <x:v>33536</x:v>
      </x:c>
      <x:c r="R1217" s="22" t="str">
        <x:f>"494497922"</x:f>
        <x:v>494497922</x:v>
      </x:c>
      <x:c r="S1217" s="23" t="str">
        <x:v>masculino</x:v>
      </x:c>
      <x:c r="T1217" s="22" t="str"/>
      <x:c r="U1217" s="23" t="str">
        <x:v>FELIPE RICARDO GARDIN DE FREITAS</x:v>
      </x:c>
      <x:c r="V1217" s="22" t="str">
        <x:f>"406.216.488-41"</x:f>
        <x:v>406.216.488-41</x:v>
      </x:c>
      <x:c r="W1217" s="22" t="str">
        <x:f>"40621648841"</x:f>
        <x:v>40621648841</x:v>
      </x:c>
      <x:c r="X1217" s="23" t="str">
        <x:v>rikardofreitas266@gmail.com</x:v>
      </x:c>
      <x:c r="Y1217" s="22" t="str">
        <x:f>"11978742791"</x:f>
        <x:v>11978742791</x:v>
      </x:c>
      <x:c r="Z1217" s="30" t="n">
        <x:v>46583</x:v>
      </x:c>
    </x:row>
    <x:row r="1218" ht="18" customHeight="1">
      <x:c r="A1218" s="22" t="str">
        <x:f>"c77329e9-affa-400b-b9d3-14b962f842d6"</x:f>
        <x:v>c77329e9-affa-400b-b9d3-14b962f842d6</x:v>
      </x:c>
      <x:c r="B1218" s="23" t="str">
        <x:v>FELIPE RODRIGUES</x:v>
      </x:c>
      <x:c r="C1218" s="23" t="str">
        <x:v>felipe rodrigues</x:v>
      </x:c>
      <x:c r="D1218" s="22" t="str">
        <x:f>"43579691000132"</x:f>
        <x:v>43579691000132</x:v>
      </x:c>
      <x:c r="E1218" s="22" t="str">
        <x:f>"43579691000132"</x:f>
        <x:v>43579691000132</x:v>
      </x:c>
      <x:c r="F1218" s="22" t="str">
        <x:f>"05504262135"</x:f>
        <x:v>05504262135</x:v>
      </x:c>
      <x:c r="G1218" s="22" t="str">
        <x:f>"05504262135"</x:f>
        <x:v>05504262135</x:v>
      </x:c>
      <x:c r="H1218" s="23" t="str">
        <x:v>felipinhoyt@hotmail.com</x:v>
      </x:c>
      <x:c r="I1218" s="22" t="str">
        <x:f>"65993342996"</x:f>
        <x:v>65993342996</x:v>
      </x:c>
      <x:c r="J1218" s="23" t="str">
        <x:v>SPOT</x:v>
      </x:c>
      <x:c r="K1218" s="23" t="str">
        <x:v>favored_only</x:v>
      </x:c>
      <x:c r="L1218" s="24" t="b">
        <x:v>1</x:v>
      </x:c>
      <x:c r="M1218" s="23" t="n">
        <x:v>1</x:v>
      </x:c>
      <x:c r="N1218" s="28" t="n">
        <x:v>46203.92191240741</x:v>
      </x:c>
      <x:c r="O1218" s="28" t="n">
        <x:v>46203.92191240741</x:v>
      </x:c>
      <x:c r="P1218" s="23" t="str"/>
      <x:c r="Q1218" s="30" t="str"/>
      <x:c r="R1218" s="22" t="str"/>
      <x:c r="S1218" s="23" t="str"/>
      <x:c r="T1218" s="22" t="str"/>
      <x:c r="U1218" s="23" t="str">
        <x:v>FELIPE RODRIGUES</x:v>
      </x:c>
      <x:c r="V1218" s="22" t="str">
        <x:f>"05504262135"</x:f>
        <x:v>05504262135</x:v>
      </x:c>
      <x:c r="W1218" s="22" t="str">
        <x:f>"05504262135"</x:f>
        <x:v>05504262135</x:v>
      </x:c>
      <x:c r="X1218" s="23" t="str">
        <x:v>felipinhoyt@hotmail.com</x:v>
      </x:c>
      <x:c r="Y1218" s="22" t="str">
        <x:f>"65993342996"</x:f>
        <x:v>65993342996</x:v>
      </x:c>
      <x:c r="Z1218" s="30" t="str"/>
    </x:row>
    <x:row r="1219" ht="18" customHeight="1">
      <x:c r="A1219" s="22" t="str">
        <x:f>"b04181ed-7f5d-4fd2-b058-996bd86c6601"</x:f>
        <x:v>b04181ed-7f5d-4fd2-b058-996bd86c6601</x:v>
      </x:c>
      <x:c r="B1219" s="23" t="str">
        <x:v>FELIPE SANTOS DE OLIVEIRA</x:v>
      </x:c>
      <x:c r="C1219" s="23" t="str">
        <x:v>felipe santos de oliveira</x:v>
      </x:c>
      <x:c r="D1219" s="22" t="str">
        <x:f>"52.586.217/0001-29"</x:f>
        <x:v>52.586.217/0001-29</x:v>
      </x:c>
      <x:c r="E1219" s="22" t="str">
        <x:f>"52586217000129"</x:f>
        <x:v>52586217000129</x:v>
      </x:c>
      <x:c r="F1219" s="22" t="str">
        <x:f>"125.156.587-50"</x:f>
        <x:v>125.156.587-50</x:v>
      </x:c>
      <x:c r="G1219" s="22" t="str">
        <x:f>"12515658750"</x:f>
        <x:v>12515658750</x:v>
      </x:c>
      <x:c r="H1219" s="23" t="str">
        <x:v>felipetjf7@gmail.com</x:v>
      </x:c>
      <x:c r="I1219" s="22" t="str">
        <x:f>"(21)980096672"</x:f>
        <x:v>(21)980096672</x:v>
      </x:c>
      <x:c r="J1219" s="23" t="str">
        <x:v>SPOT</x:v>
      </x:c>
      <x:c r="K1219" s="23" t="str">
        <x:v>favored_only</x:v>
      </x:c>
      <x:c r="L1219" s="24" t="b">
        <x:v>1</x:v>
      </x:c>
      <x:c r="M1219" s="23" t="n">
        <x:v>1</x:v>
      </x:c>
      <x:c r="N1219" s="28" t="n">
        <x:v>46219.812988715275</x:v>
      </x:c>
      <x:c r="O1219" s="28" t="n">
        <x:v>46219.812988715275</x:v>
      </x:c>
      <x:c r="P1219" s="23" t="str">
        <x:v>CORDOVIL</x:v>
      </x:c>
      <x:c r="Q1219" s="30" t="n">
        <x:v>32553</x:v>
      </x:c>
      <x:c r="R1219" s="22" t="str">
        <x:f>"23.514.271-8"</x:f>
        <x:v>23.514.271-8</x:v>
      </x:c>
      <x:c r="S1219" s="23" t="str">
        <x:v>masculino</x:v>
      </x:c>
      <x:c r="T1219" s="22" t="str">
        <x:f>"RIY1A02"</x:f>
        <x:v>RIY1A02</x:v>
      </x:c>
      <x:c r="U1219" s="23" t="str">
        <x:v>FELIPE SANTOS DE OLIVEIRA</x:v>
      </x:c>
      <x:c r="V1219" s="22" t="str">
        <x:f>"125.156.587-50"</x:f>
        <x:v>125.156.587-50</x:v>
      </x:c>
      <x:c r="W1219" s="22" t="str">
        <x:f>"12515658750"</x:f>
        <x:v>12515658750</x:v>
      </x:c>
      <x:c r="X1219" s="23" t="str">
        <x:v>felipetjf7@gmail.com</x:v>
      </x:c>
      <x:c r="Y1219" s="22" t="str">
        <x:f>"(21)980096672"</x:f>
        <x:v>(21)980096672</x:v>
      </x:c>
      <x:c r="Z1219" s="30" t="n">
        <x:v>46494</x:v>
      </x:c>
    </x:row>
    <x:row r="1220" ht="18" customHeight="1">
      <x:c r="A1220" s="22" t="str">
        <x:f>"09a393f2-9fa1-4aa4-a6aa-6da60301cbfb"</x:f>
        <x:v>09a393f2-9fa1-4aa4-a6aa-6da60301cbfb</x:v>
      </x:c>
      <x:c r="B1220" s="23" t="str">
        <x:v>FELIPE SILVA ROCHA MORAIS</x:v>
      </x:c>
      <x:c r="C1220" s="23" t="str">
        <x:v>felipe silva rocha morais</x:v>
      </x:c>
      <x:c r="D1220" s="22" t="str">
        <x:f>"66.518.110/0001-58"</x:f>
        <x:v>66.518.110/0001-58</x:v>
      </x:c>
      <x:c r="E1220" s="22" t="str">
        <x:f>"66518110000158"</x:f>
        <x:v>66518110000158</x:v>
      </x:c>
      <x:c r="F1220" s="22" t="str">
        <x:f>"126.852.506-54"</x:f>
        <x:v>126.852.506-54</x:v>
      </x:c>
      <x:c r="G1220" s="22" t="str">
        <x:f>"12685250654"</x:f>
        <x:v>12685250654</x:v>
      </x:c>
      <x:c r="H1220" s="23" t="str">
        <x:v>felipesilva008@outlook.com.br</x:v>
      </x:c>
      <x:c r="I1220" s="22" t="str">
        <x:f>"(31)982243102"</x:f>
        <x:v>(31)982243102</x:v>
      </x:c>
      <x:c r="J1220" s="23" t="str">
        <x:v>SPOT</x:v>
      </x:c>
      <x:c r="K1220" s="23" t="str">
        <x:v>favored_only</x:v>
      </x:c>
      <x:c r="L1220" s="24" t="b">
        <x:v>1</x:v>
      </x:c>
      <x:c r="M1220" s="23" t="n">
        <x:v>1</x:v>
      </x:c>
      <x:c r="N1220" s="28" t="n">
        <x:v>46219.812988715275</x:v>
      </x:c>
      <x:c r="O1220" s="28" t="n">
        <x:v>46219.812988715275</x:v>
      </x:c>
      <x:c r="P1220" s="23" t="str">
        <x:v>CONCEIÇÃO DO MATO DENTRO</x:v>
      </x:c>
      <x:c r="Q1220" s="30" t="n">
        <x:v>34036</x:v>
      </x:c>
      <x:c r="R1220" s="22" t="str">
        <x:f>"19600754"</x:f>
        <x:v>19600754</x:v>
      </x:c>
      <x:c r="S1220" s="23" t="str">
        <x:v>masculino</x:v>
      </x:c>
      <x:c r="T1220" s="22" t="str">
        <x:f>"his0a66"</x:f>
        <x:v>his0a66</x:v>
      </x:c>
      <x:c r="U1220" s="23" t="str">
        <x:v>FELIPE SILVA ROCHA MORAIS</x:v>
      </x:c>
      <x:c r="V1220" s="22" t="str">
        <x:f>"126.852.506-54"</x:f>
        <x:v>126.852.506-54</x:v>
      </x:c>
      <x:c r="W1220" s="22" t="str">
        <x:f>"12685250654"</x:f>
        <x:v>12685250654</x:v>
      </x:c>
      <x:c r="X1220" s="23" t="str">
        <x:v>felipesilva008@outlook.com.br</x:v>
      </x:c>
      <x:c r="Y1220" s="22" t="str">
        <x:f>"(31)982243102"</x:f>
        <x:v>(31)982243102</x:v>
      </x:c>
      <x:c r="Z1220" s="30" t="n">
        <x:v>46511</x:v>
      </x:c>
    </x:row>
    <x:row r="1221" ht="18" customHeight="1">
      <x:c r="A1221" s="22" t="str">
        <x:f>"91871431-1129-450d-8796-627d67037114"</x:f>
        <x:v>91871431-1129-450d-8796-627d67037114</x:v>
      </x:c>
      <x:c r="B1221" s="23" t="str">
        <x:v>FELIPE SOUZA FEITOSA</x:v>
      </x:c>
      <x:c r="C1221" s="23" t="str">
        <x:v>felipe souza feitosa</x:v>
      </x:c>
      <x:c r="D1221" s="22" t="str">
        <x:f>"65.653.813/0001-26"</x:f>
        <x:v>65.653.813/0001-26</x:v>
      </x:c>
      <x:c r="E1221" s="22" t="str">
        <x:f>"65653813000126"</x:f>
        <x:v>65653813000126</x:v>
      </x:c>
      <x:c r="F1221" s="22" t="str">
        <x:f>"104.119.317-33"</x:f>
        <x:v>104.119.317-33</x:v>
      </x:c>
      <x:c r="G1221" s="22" t="str">
        <x:f>"10411931733"</x:f>
        <x:v>10411931733</x:v>
      </x:c>
      <x:c r="H1221" s="23" t="str">
        <x:v>lipefeitosa1980@gmail.com</x:v>
      </x:c>
      <x:c r="I1221" s="22" t="str">
        <x:f>"21965470047"</x:f>
        <x:v>21965470047</x:v>
      </x:c>
      <x:c r="J1221" s="23" t="str">
        <x:v>SPOT</x:v>
      </x:c>
      <x:c r="K1221" s="23" t="str">
        <x:v>favored_only</x:v>
      </x:c>
      <x:c r="L1221" s="24" t="b">
        <x:v>1</x:v>
      </x:c>
      <x:c r="M1221" s="23" t="n">
        <x:v>1</x:v>
      </x:c>
      <x:c r="N1221" s="28" t="n">
        <x:v>46219.812988715275</x:v>
      </x:c>
      <x:c r="O1221" s="28" t="n">
        <x:v>46219.812988715275</x:v>
      </x:c>
      <x:c r="P1221" s="23" t="str">
        <x:v>ITABORAI</x:v>
      </x:c>
      <x:c r="Q1221" s="30" t="n">
        <x:v>30453</x:v>
      </x:c>
      <x:c r="R1221" s="22" t="str">
        <x:f>"214196166"</x:f>
        <x:v>214196166</x:v>
      </x:c>
      <x:c r="S1221" s="23" t="str">
        <x:v>masculino</x:v>
      </x:c>
      <x:c r="T1221" s="22" t="str">
        <x:f>"GJG9B57"</x:f>
        <x:v>GJG9B57</x:v>
      </x:c>
      <x:c r="U1221" s="23" t="str">
        <x:v>FELIPE SOUZA FEITOSA</x:v>
      </x:c>
      <x:c r="V1221" s="22" t="str">
        <x:f>"104.119.317-33"</x:f>
        <x:v>104.119.317-33</x:v>
      </x:c>
      <x:c r="W1221" s="22" t="str">
        <x:f>"10411931733"</x:f>
        <x:v>10411931733</x:v>
      </x:c>
      <x:c r="X1221" s="23" t="str">
        <x:v>lipefeitosa1980@gmail.com</x:v>
      </x:c>
      <x:c r="Y1221" s="22" t="str">
        <x:f>"21965470047"</x:f>
        <x:v>21965470047</x:v>
      </x:c>
      <x:c r="Z1221" s="30" t="n">
        <x:v>46458</x:v>
      </x:c>
    </x:row>
    <x:row r="1222" ht="18" customHeight="1">
      <x:c r="A1222" s="22" t="str">
        <x:f>"d160aed8-385a-4569-a3de-9692a92f78de"</x:f>
        <x:v>d160aed8-385a-4569-a3de-9692a92f78de</x:v>
      </x:c>
      <x:c r="B1222" s="23" t="str">
        <x:v>FELIPE TEVES FELISBINO</x:v>
      </x:c>
      <x:c r="C1222" s="23" t="str">
        <x:v>felipe teves felisbino</x:v>
      </x:c>
      <x:c r="D1222" s="22" t="str">
        <x:f>"62.903.298/0001-05"</x:f>
        <x:v>62.903.298/0001-05</x:v>
      </x:c>
      <x:c r="E1222" s="22" t="str">
        <x:f>"62903298000105"</x:f>
        <x:v>62903298000105</x:v>
      </x:c>
      <x:c r="F1222" s="22" t="str">
        <x:f>"353.013.668-90"</x:f>
        <x:v>353.013.668-90</x:v>
      </x:c>
      <x:c r="G1222" s="22" t="str">
        <x:f>"35301366890"</x:f>
        <x:v>35301366890</x:v>
      </x:c>
      <x:c r="H1222" s="23" t="str">
        <x:v>LIPE_008@HOTMAIL.COM</x:v>
      </x:c>
      <x:c r="I1222" s="22" t="str">
        <x:f>"11 96887-8987"</x:f>
        <x:v>11 96887-8987</x:v>
      </x:c>
      <x:c r="J1222" s="23" t="str">
        <x:v>SPOT</x:v>
      </x:c>
      <x:c r="K1222" s="23" t="str">
        <x:v>favored_only</x:v>
      </x:c>
      <x:c r="L1222" s="24" t="b">
        <x:v>1</x:v>
      </x:c>
      <x:c r="M1222" s="23" t="n">
        <x:v>1</x:v>
      </x:c>
      <x:c r="N1222" s="28" t="n">
        <x:v>46203.92186888889</x:v>
      </x:c>
      <x:c r="O1222" s="28" t="n">
        <x:v>46219.812988715275</x:v>
      </x:c>
      <x:c r="P1222" s="23" t="str">
        <x:v>BARUERI</x:v>
      </x:c>
      <x:c r="Q1222" s="30" t="n">
        <x:v>31720</x:v>
      </x:c>
      <x:c r="R1222" s="22" t="str">
        <x:f>"43604814"</x:f>
        <x:v>43604814</x:v>
      </x:c>
      <x:c r="S1222" s="23" t="str">
        <x:v>masculino</x:v>
      </x:c>
      <x:c r="T1222" s="22" t="str">
        <x:f>"TDB1I48"</x:f>
        <x:v>TDB1I48</x:v>
      </x:c>
      <x:c r="U1222" s="23" t="str">
        <x:v>FELIPE TEVES FELISBINO</x:v>
      </x:c>
      <x:c r="V1222" s="22" t="str">
        <x:f>"353.013.668-90"</x:f>
        <x:v>353.013.668-90</x:v>
      </x:c>
      <x:c r="W1222" s="22" t="str">
        <x:f>"35301366890"</x:f>
        <x:v>35301366890</x:v>
      </x:c>
      <x:c r="X1222" s="23" t="str">
        <x:v>LIPE_008@HOTMAIL.COM</x:v>
      </x:c>
      <x:c r="Y1222" s="22" t="str">
        <x:f>"11 96887-8987"</x:f>
        <x:v>11 96887-8987</x:v>
      </x:c>
      <x:c r="Z1222" s="30" t="n">
        <x:v>46294</x:v>
      </x:c>
    </x:row>
    <x:row r="1223" ht="18" customHeight="1">
      <x:c r="A1223" s="22" t="str">
        <x:f>"78d1b6d4-0d8b-442d-be81-374a9bfdfa5b"</x:f>
        <x:v>78d1b6d4-0d8b-442d-be81-374a9bfdfa5b</x:v>
      </x:c>
      <x:c r="B1223" s="23" t="str">
        <x:v>FELIPE VIERA SILVA</x:v>
      </x:c>
      <x:c r="C1223" s="23" t="str">
        <x:v>felipe viera silva</x:v>
      </x:c>
      <x:c r="D1223" s="22" t="str">
        <x:f>"64.284.747/0001-00"</x:f>
        <x:v>64.284.747/0001-00</x:v>
      </x:c>
      <x:c r="E1223" s="22" t="str">
        <x:f>"64284747000100"</x:f>
        <x:v>64284747000100</x:v>
      </x:c>
      <x:c r="F1223" s="22" t="str">
        <x:f>"161.735.486-40"</x:f>
        <x:v>161.735.486-40</x:v>
      </x:c>
      <x:c r="G1223" s="22" t="str">
        <x:f>"16173548640"</x:f>
        <x:v>16173548640</x:v>
      </x:c>
      <x:c r="H1223" s="23" t="str">
        <x:v>Filipealc2022@outlook.com</x:v>
      </x:c>
      <x:c r="I1223" s="22" t="str">
        <x:f>"31 9543-7052"</x:f>
        <x:v>31 9543-7052</x:v>
      </x:c>
      <x:c r="J1223" s="23" t="str">
        <x:v>SPOT</x:v>
      </x:c>
      <x:c r="K1223" s="23" t="str">
        <x:v>favored_only</x:v>
      </x:c>
      <x:c r="L1223" s="24" t="b">
        <x:v>1</x:v>
      </x:c>
      <x:c r="M1223" s="23" t="n">
        <x:v>1</x:v>
      </x:c>
      <x:c r="N1223" s="28" t="n">
        <x:v>46219.812988715275</x:v>
      </x:c>
      <x:c r="O1223" s="28" t="n">
        <x:v>46219.812988715275</x:v>
      </x:c>
      <x:c r="P1223" s="23" t="str">
        <x:v>CONCEIÇÃO DO MATO DENTRO</x:v>
      </x:c>
      <x:c r="Q1223" s="30" t="n">
        <x:v>36508</x:v>
      </x:c>
      <x:c r="R1223" s="22" t="str">
        <x:f>"MG2235563"</x:f>
        <x:v>MG2235563</x:v>
      </x:c>
      <x:c r="S1223" s="23" t="str">
        <x:v>masculino</x:v>
      </x:c>
      <x:c r="T1223" s="22" t="str">
        <x:f>"PFV2F46"</x:f>
        <x:v>PFV2F46</x:v>
      </x:c>
      <x:c r="U1223" s="23" t="str">
        <x:v>ARONE ELOY RIBEIRO</x:v>
      </x:c>
      <x:c r="V1223" s="22" t="str">
        <x:f>"104.382.946-61"</x:f>
        <x:v>104.382.946-61</x:v>
      </x:c>
      <x:c r="W1223" s="22" t="str">
        <x:f>"10438294661"</x:f>
        <x:v>10438294661</x:v>
      </x:c>
      <x:c r="X1223" s="23" t="str">
        <x:v>Aronefera@gmail.com</x:v>
      </x:c>
      <x:c r="Y1223" s="22" t="str">
        <x:f>"31983674165"</x:f>
        <x:v>31983674165</x:v>
      </x:c>
      <x:c r="Z1223" s="30" t="n">
        <x:v>46407</x:v>
      </x:c>
    </x:row>
    <x:row r="1224" ht="18" customHeight="1">
      <x:c r="A1224" s="22" t="str">
        <x:f>"ae123b3e-2c35-4278-a8ea-1533363ab2ce"</x:f>
        <x:v>ae123b3e-2c35-4278-a8ea-1533363ab2ce</x:v>
      </x:c>
      <x:c r="B1224" s="23" t="str">
        <x:v>FELIPI BLANC SANCHES</x:v>
      </x:c>
      <x:c r="C1224" s="23" t="str">
        <x:v>felipi blanc sanches</x:v>
      </x:c>
      <x:c r="D1224" s="22" t="str">
        <x:f>"48.560.961/0001-87"</x:f>
        <x:v>48.560.961/0001-87</x:v>
      </x:c>
      <x:c r="E1224" s="22" t="str">
        <x:f>"48560961000187"</x:f>
        <x:v>48560961000187</x:v>
      </x:c>
      <x:c r="F1224" s="22" t="str">
        <x:f>"135.408.927-88"</x:f>
        <x:v>135.408.927-88</x:v>
      </x:c>
      <x:c r="G1224" s="22" t="str">
        <x:f>"13540892788"</x:f>
        <x:v>13540892788</x:v>
      </x:c>
      <x:c r="H1224" s="23" t="str">
        <x:v>felipe_blanc18@hotmail.com</x:v>
      </x:c>
      <x:c r="I1224" s="22" t="str">
        <x:f>"22988541514"</x:f>
        <x:v>22988541514</x:v>
      </x:c>
      <x:c r="J1224" s="23" t="str">
        <x:v>SPOT</x:v>
      </x:c>
      <x:c r="K1224" s="23" t="str">
        <x:v>favored_only</x:v>
      </x:c>
      <x:c r="L1224" s="24" t="b">
        <x:v>1</x:v>
      </x:c>
      <x:c r="M1224" s="23" t="n">
        <x:v>1</x:v>
      </x:c>
      <x:c r="N1224" s="28" t="n">
        <x:v>46203.92189349537</x:v>
      </x:c>
      <x:c r="O1224" s="28" t="n">
        <x:v>46219.812988715275</x:v>
      </x:c>
      <x:c r="P1224" s="23" t="str">
        <x:v>CAMPOS DOS GOYTACAZES</x:v>
      </x:c>
      <x:c r="Q1224" s="30" t="n">
        <x:v>32756</x:v>
      </x:c>
      <x:c r="R1224" s="22" t="str">
        <x:f>"255683666"</x:f>
        <x:v>255683666</x:v>
      </x:c>
      <x:c r="S1224" s="23" t="str">
        <x:v>masculino</x:v>
      </x:c>
      <x:c r="T1224" s="22" t="str">
        <x:f>"QNN1D90"</x:f>
        <x:v>QNN1D90</x:v>
      </x:c>
      <x:c r="U1224" s="23" t="str">
        <x:v>FELIPI BLANC SANCHES</x:v>
      </x:c>
      <x:c r="V1224" s="22" t="str">
        <x:f>"135.408.927-88"</x:f>
        <x:v>135.408.927-88</x:v>
      </x:c>
      <x:c r="W1224" s="22" t="str">
        <x:f>"13540892788"</x:f>
        <x:v>13540892788</x:v>
      </x:c>
      <x:c r="X1224" s="23" t="str">
        <x:v>felipe_blanc18@hotmail.com</x:v>
      </x:c>
      <x:c r="Y1224" s="22" t="str">
        <x:f>"22988541514"</x:f>
        <x:v>22988541514</x:v>
      </x:c>
      <x:c r="Z1224" s="30" t="n">
        <x:v>46341</x:v>
      </x:c>
    </x:row>
    <x:row r="1225" ht="18" customHeight="1">
      <x:c r="A1225" s="22" t="str">
        <x:f>"8df3c731-b8c9-467b-ae77-6a330bfc447c"</x:f>
        <x:v>8df3c731-b8c9-467b-ae77-6a330bfc447c</x:v>
      </x:c>
      <x:c r="B1225" s="23" t="str">
        <x:v>FELIPPE AUGUSTO DE ARAUJO SERVIO</x:v>
      </x:c>
      <x:c r="C1225" s="23" t="str">
        <x:v>felippe augusto de araujo servio</x:v>
      </x:c>
      <x:c r="D1225" s="22" t="str">
        <x:f>"64.691.963/0001-61"</x:f>
        <x:v>64.691.963/0001-61</x:v>
      </x:c>
      <x:c r="E1225" s="22" t="str">
        <x:f>"64691963000161"</x:f>
        <x:v>64691963000161</x:v>
      </x:c>
      <x:c r="F1225" s="22" t="str">
        <x:f>"109.246.256-27"</x:f>
        <x:v>109.246.256-27</x:v>
      </x:c>
      <x:c r="G1225" s="22" t="str">
        <x:f>"10924625627"</x:f>
        <x:v>10924625627</x:v>
      </x:c>
      <x:c r="H1225" s="23" t="str">
        <x:v>Felippeservio23@gmail.com</x:v>
      </x:c>
      <x:c r="I1225" s="22" t="str">
        <x:f>"31999438099"</x:f>
        <x:v>31999438099</x:v>
      </x:c>
      <x:c r="J1225" s="23" t="str">
        <x:v>SPOT</x:v>
      </x:c>
      <x:c r="K1225" s="23" t="str">
        <x:v>favored_only</x:v>
      </x:c>
      <x:c r="L1225" s="24" t="b">
        <x:v>1</x:v>
      </x:c>
      <x:c r="M1225" s="23" t="n">
        <x:v>1</x:v>
      </x:c>
      <x:c r="N1225" s="28" t="n">
        <x:v>46219.812988715275</x:v>
      </x:c>
      <x:c r="O1225" s="28" t="n">
        <x:v>46219.812988715275</x:v>
      </x:c>
      <x:c r="P1225" s="23" t="str">
        <x:v>NOVA LIMA</x:v>
      </x:c>
      <x:c r="Q1225" s="30" t="n">
        <x:v>33717</x:v>
      </x:c>
      <x:c r="R1225" s="22" t="str">
        <x:f>"14554222"</x:f>
        <x:v>14554222</x:v>
      </x:c>
      <x:c r="S1225" s="23" t="str">
        <x:v>masculino</x:v>
      </x:c>
      <x:c r="T1225" s="22" t="str">
        <x:f>"TPT4A56"</x:f>
        <x:v>TPT4A56</x:v>
      </x:c>
      <x:c r="U1225" s="23" t="str">
        <x:v>FELIPPE AUGUSTO DE ARAUJO SERVIO</x:v>
      </x:c>
      <x:c r="V1225" s="22" t="str">
        <x:f>"109.246.256-27"</x:f>
        <x:v>109.246.256-27</x:v>
      </x:c>
      <x:c r="W1225" s="22" t="str">
        <x:f>"10924625627"</x:f>
        <x:v>10924625627</x:v>
      </x:c>
      <x:c r="X1225" s="23" t="str">
        <x:v>Felippeservio23@gmail.com</x:v>
      </x:c>
      <x:c r="Y1225" s="22" t="str">
        <x:f>"31999438099"</x:f>
        <x:v>31999438099</x:v>
      </x:c>
      <x:c r="Z1225" s="30" t="n">
        <x:v>46416</x:v>
      </x:c>
    </x:row>
    <x:row r="1226" ht="18" customHeight="1">
      <x:c r="A1226" s="22" t="str">
        <x:f>"4795512b-6f96-4a73-81ed-0bcd6fb70a00"</x:f>
        <x:v>4795512b-6f96-4a73-81ed-0bcd6fb70a00</x:v>
      </x:c>
      <x:c r="B1226" s="23" t="str">
        <x:v>FELIPPE MELLO DE OLIVEIRA FIQUEIREDO</x:v>
      </x:c>
      <x:c r="C1226" s="23" t="str">
        <x:v>felippe mello de oliveira fiqueiredo</x:v>
      </x:c>
      <x:c r="D1226" s="22" t="str">
        <x:f>"66.096.079/0001-04"</x:f>
        <x:v>66.096.079/0001-04</x:v>
      </x:c>
      <x:c r="E1226" s="22" t="str">
        <x:f>"66096079000104"</x:f>
        <x:v>66096079000104</x:v>
      </x:c>
      <x:c r="F1226" s="22" t="str">
        <x:f>"155.516.067-08"</x:f>
        <x:v>155.516.067-08</x:v>
      </x:c>
      <x:c r="G1226" s="22" t="str">
        <x:f>"15551606708"</x:f>
        <x:v>15551606708</x:v>
      </x:c>
      <x:c r="H1226" s="23" t="str">
        <x:v>felippem816@gmail.com</x:v>
      </x:c>
      <x:c r="I1226" s="22" t="str">
        <x:f>"21994250966"</x:f>
        <x:v>21994250966</x:v>
      </x:c>
      <x:c r="J1226" s="23" t="str">
        <x:v>SPOT</x:v>
      </x:c>
      <x:c r="K1226" s="23" t="str">
        <x:v>favored_only</x:v>
      </x:c>
      <x:c r="L1226" s="24" t="b">
        <x:v>1</x:v>
      </x:c>
      <x:c r="M1226" s="23" t="n">
        <x:v>1</x:v>
      </x:c>
      <x:c r="N1226" s="28" t="n">
        <x:v>46219.812988715275</x:v>
      </x:c>
      <x:c r="O1226" s="28" t="n">
        <x:v>46219.812988715275</x:v>
      </x:c>
      <x:c r="P1226" s="23" t="str">
        <x:v>CAMPO GRANDE</x:v>
      </x:c>
      <x:c r="Q1226" s="30" t="n">
        <x:v>36009</x:v>
      </x:c>
      <x:c r="R1226" s="22" t="str">
        <x:f>"6386749"</x:f>
        <x:v>6386749</x:v>
      </x:c>
      <x:c r="S1226" s="23" t="str">
        <x:v>masculino</x:v>
      </x:c>
      <x:c r="T1226" s="22" t="str">
        <x:f>"KRY9G56"</x:f>
        <x:v>KRY9G56</x:v>
      </x:c>
      <x:c r="U1226" s="23" t="str">
        <x:v>FELIPPE MELLO DE OLIVEIRA FIQUEIREDO</x:v>
      </x:c>
      <x:c r="V1226" s="22" t="str">
        <x:f>"155.516.067-08"</x:f>
        <x:v>155.516.067-08</x:v>
      </x:c>
      <x:c r="W1226" s="22" t="str">
        <x:f>"15551606708"</x:f>
        <x:v>15551606708</x:v>
      </x:c>
      <x:c r="X1226" s="23" t="str">
        <x:v>felippem816@gmail.com</x:v>
      </x:c>
      <x:c r="Y1226" s="22" t="str">
        <x:f>"21994250966"</x:f>
        <x:v>21994250966</x:v>
      </x:c>
      <x:c r="Z1226" s="30" t="n">
        <x:v>46485</x:v>
      </x:c>
    </x:row>
    <x:row r="1227" ht="18" customHeight="1">
      <x:c r="A1227" s="22" t="str">
        <x:f>"d8502d62-7b0e-44ef-86bd-fc566818f483"</x:f>
        <x:v>d8502d62-7b0e-44ef-86bd-fc566818f483</x:v>
      </x:c>
      <x:c r="B1227" s="23" t="str">
        <x:v>FELIPPE SOUZA DA ROCHA</x:v>
      </x:c>
      <x:c r="C1227" s="23" t="str">
        <x:v>felippe souza da rocha</x:v>
      </x:c>
      <x:c r="D1227" s="22" t="str">
        <x:f>"66.863.421/0001-54"</x:f>
        <x:v>66.863.421/0001-54</x:v>
      </x:c>
      <x:c r="E1227" s="22" t="str">
        <x:f>"66863421000154"</x:f>
        <x:v>66863421000154</x:v>
      </x:c>
      <x:c r="F1227" s="22" t="str">
        <x:f>"126.004.167-06"</x:f>
        <x:v>126.004.167-06</x:v>
      </x:c>
      <x:c r="G1227" s="22" t="str">
        <x:f>"12600416706"</x:f>
        <x:v>12600416706</x:v>
      </x:c>
      <x:c r="H1227" s="23" t="str">
        <x:v>felippesouzarocha@yahoo.com</x:v>
      </x:c>
      <x:c r="I1227" s="22" t="str">
        <x:f>"21976896979"</x:f>
        <x:v>21976896979</x:v>
      </x:c>
      <x:c r="J1227" s="23" t="str">
        <x:v>RENTAL</x:v>
      </x:c>
      <x:c r="K1227" s="23" t="str">
        <x:v>rental_company</x:v>
      </x:c>
      <x:c r="L1227" s="24" t="b">
        <x:v>1</x:v>
      </x:c>
      <x:c r="M1227" s="23" t="n">
        <x:v>1</x:v>
      </x:c>
      <x:c r="N1227" s="28" t="n">
        <x:v>46219.812988715275</x:v>
      </x:c>
      <x:c r="O1227" s="28" t="n">
        <x:v>46219.812988715275</x:v>
      </x:c>
      <x:c r="P1227" s="23" t="str">
        <x:v>QUEIMADOS</x:v>
      </x:c>
      <x:c r="Q1227" s="30" t="n">
        <x:v>33309</x:v>
      </x:c>
      <x:c r="R1227" s="22" t="str">
        <x:f>"267816122"</x:f>
        <x:v>267816122</x:v>
      </x:c>
      <x:c r="S1227" s="23" t="str">
        <x:v>masculino</x:v>
      </x:c>
      <x:c r="T1227" s="22" t="str"/>
      <x:c r="U1227" s="23" t="str">
        <x:v>FELIPPE SOUZA DA ROCHA</x:v>
      </x:c>
      <x:c r="V1227" s="22" t="str">
        <x:f>"126.004.167-06"</x:f>
        <x:v>126.004.167-06</x:v>
      </x:c>
      <x:c r="W1227" s="22" t="str">
        <x:f>"12600416706"</x:f>
        <x:v>12600416706</x:v>
      </x:c>
      <x:c r="X1227" s="23" t="str">
        <x:v>felippesouzarocha@yahoo.com</x:v>
      </x:c>
      <x:c r="Y1227" s="22" t="str">
        <x:f>"21976896979"</x:f>
        <x:v>21976896979</x:v>
      </x:c>
      <x:c r="Z1227" s="30" t="n">
        <x:v>46540</x:v>
      </x:c>
    </x:row>
    <x:row r="1228" ht="18" customHeight="1">
      <x:c r="A1228" s="22" t="str">
        <x:f>"405fa5a2-613c-4615-befb-58b8210d1eb1"</x:f>
        <x:v>405fa5a2-613c-4615-befb-58b8210d1eb1</x:v>
      </x:c>
      <x:c r="B1228" s="23" t="str">
        <x:v>FELIX GONCALVES DA COSTA SILVA</x:v>
      </x:c>
      <x:c r="C1228" s="23" t="str">
        <x:v>felix goncalves da costa silva</x:v>
      </x:c>
      <x:c r="D1228" s="22" t="str">
        <x:f>"38.243.033/0001-35"</x:f>
        <x:v>38.243.033/0001-35</x:v>
      </x:c>
      <x:c r="E1228" s="22" t="str">
        <x:f>"38243033000135"</x:f>
        <x:v>38243033000135</x:v>
      </x:c>
      <x:c r="F1228" s="22" t="str">
        <x:f>"058.698.501-85"</x:f>
        <x:v>058.698.501-85</x:v>
      </x:c>
      <x:c r="G1228" s="22" t="str">
        <x:f>"05869850185"</x:f>
        <x:v>05869850185</x:v>
      </x:c>
      <x:c r="H1228" s="23" t="str">
        <x:v>felixsilvah11@gmail.com</x:v>
      </x:c>
      <x:c r="I1228" s="22" t="str">
        <x:f>"66999689810"</x:f>
        <x:v>66999689810</x:v>
      </x:c>
      <x:c r="J1228" s="23" t="str">
        <x:v>SPOT</x:v>
      </x:c>
      <x:c r="K1228" s="23" t="str">
        <x:v>favored_only</x:v>
      </x:c>
      <x:c r="L1228" s="24" t="b">
        <x:v>1</x:v>
      </x:c>
      <x:c r="M1228" s="23" t="n">
        <x:v>1</x:v>
      </x:c>
      <x:c r="N1228" s="28" t="n">
        <x:v>46219.812988715275</x:v>
      </x:c>
      <x:c r="O1228" s="28" t="n">
        <x:v>46219.812988715275</x:v>
      </x:c>
      <x:c r="P1228" s="23" t="str">
        <x:v>SINOP</x:v>
      </x:c>
      <x:c r="Q1228" s="30" t="n">
        <x:v>35592</x:v>
      </x:c>
      <x:c r="R1228" s="22" t="str">
        <x:f>"28167953"</x:f>
        <x:v>28167953</x:v>
      </x:c>
      <x:c r="S1228" s="23" t="str">
        <x:v>masculino</x:v>
      </x:c>
      <x:c r="T1228" s="22" t="str">
        <x:f>"QIR0G47"</x:f>
        <x:v>QIR0G47</x:v>
      </x:c>
      <x:c r="U1228" s="23" t="str">
        <x:v>PEDRO ALVES DA SILVA</x:v>
      </x:c>
      <x:c r="V1228" s="22" t="str">
        <x:f>"897.787.661-34"</x:f>
        <x:v>897.787.661-34</x:v>
      </x:c>
      <x:c r="W1228" s="22" t="str">
        <x:f>"89778766134"</x:f>
        <x:v>89778766134</x:v>
      </x:c>
      <x:c r="X1228" s="23" t="str">
        <x:v>2020pedroalves@gmail.com</x:v>
      </x:c>
      <x:c r="Y1228" s="22" t="str">
        <x:f>"6699976-4717"</x:f>
        <x:v>6699976-4717</x:v>
      </x:c>
      <x:c r="Z1228" s="30" t="n">
        <x:v>46469</x:v>
      </x:c>
    </x:row>
    <x:row r="1229" ht="18" customHeight="1">
      <x:c r="A1229" s="22" t="str">
        <x:f>"3543b546-d996-4cf2-b2d9-4800f8be4006"</x:f>
        <x:v>3543b546-d996-4cf2-b2d9-4800f8be4006</x:v>
      </x:c>
      <x:c r="B1229" s="23" t="str">
        <x:v>FELIX WILLIAMS ARAUJO SANTOS</x:v>
      </x:c>
      <x:c r="C1229" s="23" t="str">
        <x:v>felix williams araujo santos</x:v>
      </x:c>
      <x:c r="D1229" s="22" t="str">
        <x:f>"66.365.165/0001-75"</x:f>
        <x:v>66.365.165/0001-75</x:v>
      </x:c>
      <x:c r="E1229" s="22" t="str">
        <x:f>"66365165000175"</x:f>
        <x:v>66365165000175</x:v>
      </x:c>
      <x:c r="F1229" s="22" t="str">
        <x:f>"460.865.718-64"</x:f>
        <x:v>460.865.718-64</x:v>
      </x:c>
      <x:c r="G1229" s="22" t="str">
        <x:f>"46086571864"</x:f>
        <x:v>46086571864</x:v>
      </x:c>
      <x:c r="H1229" s="23" t="str">
        <x:v>Felixwilliams149@gmail.com</x:v>
      </x:c>
      <x:c r="I1229" s="22" t="str">
        <x:f>"65 99295-0209"</x:f>
        <x:v>65 99295-0209</x:v>
      </x:c>
      <x:c r="J1229" s="23" t="str">
        <x:v>rental</x:v>
      </x:c>
      <x:c r="K1229" s="23" t="str">
        <x:v>rental_company</x:v>
      </x:c>
      <x:c r="L1229" s="24" t="b">
        <x:v>1</x:v>
      </x:c>
      <x:c r="M1229" s="23" t="n">
        <x:v>1</x:v>
      </x:c>
      <x:c r="N1229" s="28" t="n">
        <x:v>46219.812988715275</x:v>
      </x:c>
      <x:c r="O1229" s="28" t="n">
        <x:v>46219.812988715275</x:v>
      </x:c>
      <x:c r="P1229" s="23" t="str">
        <x:v>CUIABA</x:v>
      </x:c>
      <x:c r="Q1229" s="30" t="n">
        <x:v>35953</x:v>
      </x:c>
      <x:c r="R1229" s="22" t="str">
        <x:f>"365413525"</x:f>
        <x:v>365413525</x:v>
      </x:c>
      <x:c r="S1229" s="23" t="str">
        <x:v>masculino</x:v>
      </x:c>
      <x:c r="T1229" s="22" t="str"/>
      <x:c r="U1229" s="23" t="str">
        <x:v>FELIX WILLIAMS ARAUJO SANTOS</x:v>
      </x:c>
      <x:c r="V1229" s="22" t="str">
        <x:f>"460.865.718-64"</x:f>
        <x:v>460.865.718-64</x:v>
      </x:c>
      <x:c r="W1229" s="22" t="str">
        <x:f>"46086571864"</x:f>
        <x:v>46086571864</x:v>
      </x:c>
      <x:c r="X1229" s="23" t="str">
        <x:v>Felixwilliams149@gmail.com</x:v>
      </x:c>
      <x:c r="Y1229" s="22" t="str">
        <x:f>"65 99295-0209"</x:f>
        <x:v>65 99295-0209</x:v>
      </x:c>
      <x:c r="Z1229" s="30" t="n">
        <x:v>46523</x:v>
      </x:c>
    </x:row>
    <x:row r="1230" ht="18" customHeight="1">
      <x:c r="A1230" s="22" t="str">
        <x:f>"720a3b4a-e1fd-4373-8382-c92f0bcba048"</x:f>
        <x:v>720a3b4a-e1fd-4373-8382-c92f0bcba048</x:v>
      </x:c>
      <x:c r="B1230" s="23" t="str">
        <x:v>FELIX WILLIAMS ARAUJO SANTOS</x:v>
      </x:c>
      <x:c r="C1230" s="23" t="str">
        <x:v>felix williams araujo santos</x:v>
      </x:c>
      <x:c r="D1230" s="22" t="str">
        <x:f>"53.264.533/0001-47"</x:f>
        <x:v>53.264.533/0001-47</x:v>
      </x:c>
      <x:c r="E1230" s="22" t="str">
        <x:f>"53264533000147"</x:f>
        <x:v>53264533000147</x:v>
      </x:c>
      <x:c r="F1230" s="22" t="str">
        <x:f>"460.865.718-64"</x:f>
        <x:v>460.865.718-64</x:v>
      </x:c>
      <x:c r="G1230" s="22" t="str">
        <x:f>"46086571864"</x:f>
        <x:v>46086571864</x:v>
      </x:c>
      <x:c r="H1230" s="23" t="str">
        <x:v>felixwilliams149@gmail.com</x:v>
      </x:c>
      <x:c r="I1230" s="22" t="str">
        <x:f>"65 9926-7181"</x:f>
        <x:v>65 9926-7181</x:v>
      </x:c>
      <x:c r="J1230" s="23" t="str">
        <x:v>SPOT</x:v>
      </x:c>
      <x:c r="K1230" s="23" t="str">
        <x:v>favored_only</x:v>
      </x:c>
      <x:c r="L1230" s="24" t="b">
        <x:v>1</x:v>
      </x:c>
      <x:c r="M1230" s="23" t="n">
        <x:v>1</x:v>
      </x:c>
      <x:c r="N1230" s="28" t="n">
        <x:v>46219.812988715275</x:v>
      </x:c>
      <x:c r="O1230" s="28" t="n">
        <x:v>46219.812988715275</x:v>
      </x:c>
      <x:c r="P1230" s="23" t="str">
        <x:v>CUIABA</x:v>
      </x:c>
      <x:c r="Q1230" s="30" t="n">
        <x:v>35953</x:v>
      </x:c>
      <x:c r="R1230" s="22" t="str">
        <x:f>"365413525"</x:f>
        <x:v>365413525</x:v>
      </x:c>
      <x:c r="S1230" s="23" t="str">
        <x:v>masculino</x:v>
      </x:c>
      <x:c r="T1230" s="22" t="str">
        <x:f>"SPT1G21"</x:f>
        <x:v>SPT1G21</x:v>
      </x:c>
      <x:c r="U1230" s="23" t="str">
        <x:v>LEONIDAS DE PINHO E SILVA</x:v>
      </x:c>
      <x:c r="V1230" s="22" t="str">
        <x:f>"692.451.851-68"</x:f>
        <x:v>692.451.851-68</x:v>
      </x:c>
      <x:c r="W1230" s="22" t="str">
        <x:f>"69245185168"</x:f>
        <x:v>69245185168</x:v>
      </x:c>
      <x:c r="X1230" s="23" t="str">
        <x:v>veloxlogisticamt@gmail.com</x:v>
      </x:c>
      <x:c r="Y1230" s="22" t="str">
        <x:f>"(65) 99632-1030"</x:f>
        <x:v>(65) 99632-1030</x:v>
      </x:c>
      <x:c r="Z1230" s="30" t="n">
        <x:v>46473</x:v>
      </x:c>
    </x:row>
    <x:row r="1231" ht="18" customHeight="1">
      <x:c r="A1231" s="22" t="str">
        <x:f>"774a44ab-af78-4a78-88d8-cbece2806bd2"</x:f>
        <x:v>774a44ab-af78-4a78-88d8-cbece2806bd2</x:v>
      </x:c>
      <x:c r="B1231" s="23" t="str">
        <x:v>FELLIPE GABRIEL INACIO NASCIMENTO</x:v>
      </x:c>
      <x:c r="C1231" s="23" t="str">
        <x:v>fellipe gabriel inacio nascimento</x:v>
      </x:c>
      <x:c r="D1231" s="22" t="str">
        <x:f>"66.422.274/0001-87"</x:f>
        <x:v>66.422.274/0001-87</x:v>
      </x:c>
      <x:c r="E1231" s="22" t="str">
        <x:f>"66422274000187"</x:f>
        <x:v>66422274000187</x:v>
      </x:c>
      <x:c r="F1231" s="22" t="str">
        <x:f>"512.887.128-20"</x:f>
        <x:v>512.887.128-20</x:v>
      </x:c>
      <x:c r="G1231" s="22" t="str">
        <x:f>"51288712820"</x:f>
        <x:v>51288712820</x:v>
      </x:c>
      <x:c r="H1231" s="23" t="str">
        <x:v>Fellipegabriel102@gmail.com</x:v>
      </x:c>
      <x:c r="I1231" s="22" t="str">
        <x:f>"16994274739"</x:f>
        <x:v>16994274739</x:v>
      </x:c>
      <x:c r="J1231" s="23" t="str">
        <x:v>SPOT</x:v>
      </x:c>
      <x:c r="K1231" s="23" t="str">
        <x:v>favored_only</x:v>
      </x:c>
      <x:c r="L1231" s="24" t="b">
        <x:v>1</x:v>
      </x:c>
      <x:c r="M1231" s="23" t="n">
        <x:v>1</x:v>
      </x:c>
      <x:c r="N1231" s="28" t="n">
        <x:v>46219.812988715275</x:v>
      </x:c>
      <x:c r="O1231" s="28" t="n">
        <x:v>46219.812988715275</x:v>
      </x:c>
      <x:c r="P1231" s="23" t="str">
        <x:v>SÃO CARLOS</x:v>
      </x:c>
      <x:c r="Q1231" s="30" t="n">
        <x:v>38888</x:v>
      </x:c>
      <x:c r="R1231" s="22" t="str">
        <x:f>"622791643"</x:f>
        <x:v>622791643</x:v>
      </x:c>
      <x:c r="S1231" s="23" t="str">
        <x:v>masculino</x:v>
      </x:c>
      <x:c r="T1231" s="22" t="str">
        <x:f>"EPF0E19"</x:f>
        <x:v>EPF0E19</x:v>
      </x:c>
      <x:c r="U1231" s="23" t="str">
        <x:v>OTAVIO DOS SANTOS SENA</x:v>
      </x:c>
      <x:c r="V1231" s="22" t="str">
        <x:f>"549.137.268-46"</x:f>
        <x:v>549.137.268-46</x:v>
      </x:c>
      <x:c r="W1231" s="22" t="str">
        <x:f>"54913726846"</x:f>
        <x:v>54913726846</x:v>
      </x:c>
      <x:c r="X1231" s="23" t="str">
        <x:v>Otaviosava23@icloud.com</x:v>
      </x:c>
      <x:c r="Y1231" s="22" t="str">
        <x:f>"16996084059"</x:f>
        <x:v>16996084059</x:v>
      </x:c>
      <x:c r="Z1231" s="30" t="n">
        <x:v>46520</x:v>
      </x:c>
    </x:row>
    <x:row r="1232" ht="18" customHeight="1">
      <x:c r="A1232" s="22" t="str">
        <x:f>"c8af731c-4989-427c-a260-96691b327651"</x:f>
        <x:v>c8af731c-4989-427c-a260-96691b327651</x:v>
      </x:c>
      <x:c r="B1232" s="23" t="str">
        <x:v>FELYPE DE OLIVERA BORGES</x:v>
      </x:c>
      <x:c r="C1232" s="23" t="str">
        <x:v>felype de olivera borges</x:v>
      </x:c>
      <x:c r="D1232" s="22" t="str">
        <x:f>"57.684.950/0001-08"</x:f>
        <x:v>57.684.950/0001-08</x:v>
      </x:c>
      <x:c r="E1232" s="22" t="str">
        <x:f>"57684950000108"</x:f>
        <x:v>57684950000108</x:v>
      </x:c>
      <x:c r="F1232" s="22" t="str">
        <x:f>"065.829.421-07"</x:f>
        <x:v>065.829.421-07</x:v>
      </x:c>
      <x:c r="G1232" s="22" t="str">
        <x:f>"06582942107"</x:f>
        <x:v>06582942107</x:v>
      </x:c>
      <x:c r="H1232" s="23" t="str">
        <x:v>felypeborgesborges751@gmail.com</x:v>
      </x:c>
      <x:c r="I1232" s="22" t="str">
        <x:f>"(65) 993180036"</x:f>
        <x:v>(65) 993180036</x:v>
      </x:c>
      <x:c r="J1232" s="23" t="str">
        <x:v>SPOT</x:v>
      </x:c>
      <x:c r="K1232" s="23" t="str">
        <x:v>favored_only</x:v>
      </x:c>
      <x:c r="L1232" s="24" t="b">
        <x:v>1</x:v>
      </x:c>
      <x:c r="M1232" s="23" t="n">
        <x:v>1</x:v>
      </x:c>
      <x:c r="N1232" s="28" t="n">
        <x:v>46219.812988715275</x:v>
      </x:c>
      <x:c r="O1232" s="28" t="n">
        <x:v>46219.812988715275</x:v>
      </x:c>
      <x:c r="P1232" s="23" t="str">
        <x:v>CUIABA</x:v>
      </x:c>
      <x:c r="Q1232" s="30" t="n">
        <x:v>38793</x:v>
      </x:c>
      <x:c r="R1232" s="22" t="str">
        <x:f>"28159128"</x:f>
        <x:v>28159128</x:v>
      </x:c>
      <x:c r="S1232" s="23" t="str">
        <x:v>masculino</x:v>
      </x:c>
      <x:c r="T1232" s="22" t="str">
        <x:f>"RTU6D04"</x:f>
        <x:v>RTU6D04</x:v>
      </x:c>
      <x:c r="U1232" s="23" t="str">
        <x:v>THIAGO JUNIOR MEDEIROS RIBEIR</x:v>
      </x:c>
      <x:c r="V1232" s="22" t="str">
        <x:f>"081.891.721-07"</x:f>
        <x:v>081.891.721-07</x:v>
      </x:c>
      <x:c r="W1232" s="22" t="str">
        <x:f>"08189172107"</x:f>
        <x:v>08189172107</x:v>
      </x:c>
      <x:c r="X1232" s="23" t="str">
        <x:v>thiagocba1000@gmail.com</x:v>
      </x:c>
      <x:c r="Y1232" s="22" t="str">
        <x:f>"65993005648"</x:f>
        <x:v>65993005648</x:v>
      </x:c>
      <x:c r="Z1232" s="30" t="n">
        <x:v>46565</x:v>
      </x:c>
    </x:row>
    <x:row r="1233" ht="18" customHeight="1">
      <x:c r="A1233" s="22" t="str">
        <x:f>"229a84a8-4675-4d3e-ac02-afd7ee612e18"</x:f>
        <x:v>229a84a8-4675-4d3e-ac02-afd7ee612e18</x:v>
      </x:c>
      <x:c r="B1233" s="23" t="str">
        <x:v>FERMINO E MOTA LTDA</x:v>
      </x:c>
      <x:c r="C1233" s="23" t="str">
        <x:v>fermino e mota ltda</x:v>
      </x:c>
      <x:c r="D1233" s="22" t="str">
        <x:f>"34548546000101"</x:f>
        <x:v>34548546000101</x:v>
      </x:c>
      <x:c r="E1233" s="22" t="str">
        <x:f>"34548546000101"</x:f>
        <x:v>34548546000101</x:v>
      </x:c>
      <x:c r="F1233" s="22" t="str">
        <x:f>"01095127586"</x:f>
        <x:v>01095127586</x:v>
      </x:c>
      <x:c r="G1233" s="22" t="str">
        <x:f>"01095127586"</x:f>
        <x:v>01095127586</x:v>
      </x:c>
      <x:c r="H1233" s="23" t="str">
        <x:v>almirrogeriomota@hotmail.com</x:v>
      </x:c>
      <x:c r="I1233" s="22" t="str">
        <x:f>"34996654054"</x:f>
        <x:v>34996654054</x:v>
      </x:c>
      <x:c r="J1233" s="23" t="str">
        <x:v>SPOT</x:v>
      </x:c>
      <x:c r="K1233" s="23" t="str">
        <x:v>favored_only</x:v>
      </x:c>
      <x:c r="L1233" s="24" t="b">
        <x:v>1</x:v>
      </x:c>
      <x:c r="M1233" s="23" t="n">
        <x:v>1</x:v>
      </x:c>
      <x:c r="N1233" s="28" t="n">
        <x:v>46203.92183017361</x:v>
      </x:c>
      <x:c r="O1233" s="28" t="n">
        <x:v>46203.92183017361</x:v>
      </x:c>
      <x:c r="P1233" s="23" t="str"/>
      <x:c r="Q1233" s="30" t="str"/>
      <x:c r="R1233" s="22" t="str"/>
      <x:c r="S1233" s="23" t="str"/>
      <x:c r="T1233" s="22" t="str"/>
      <x:c r="U1233" s="23" t="str">
        <x:v>FERMINO E MOTA LTDA</x:v>
      </x:c>
      <x:c r="V1233" s="22" t="str">
        <x:f>"01095127586"</x:f>
        <x:v>01095127586</x:v>
      </x:c>
      <x:c r="W1233" s="22" t="str">
        <x:f>"01095127586"</x:f>
        <x:v>01095127586</x:v>
      </x:c>
      <x:c r="X1233" s="23" t="str">
        <x:v>almirrogeriomota@hotmail.com</x:v>
      </x:c>
      <x:c r="Y1233" s="22" t="str">
        <x:f>"34996654054"</x:f>
        <x:v>34996654054</x:v>
      </x:c>
      <x:c r="Z1233" s="30" t="str"/>
    </x:row>
    <x:row r="1234" ht="18" customHeight="1">
      <x:c r="A1234" s="22" t="str">
        <x:f>"2ed810ec-4418-4b4a-80a7-d5c0628e0ced"</x:f>
        <x:v>2ed810ec-4418-4b4a-80a7-d5c0628e0ced</x:v>
      </x:c>
      <x:c r="B1234" s="23" t="str">
        <x:v>FERNANDA APARECIDA MOREIRA LUIZ</x:v>
      </x:c>
      <x:c r="C1234" s="23" t="str">
        <x:v>fernanda aparecida moreira luiz</x:v>
      </x:c>
      <x:c r="D1234" s="22" t="str">
        <x:f>"60.689.082/0001-55"</x:f>
        <x:v>60.689.082/0001-55</x:v>
      </x:c>
      <x:c r="E1234" s="22" t="str">
        <x:f>"60689082000155"</x:f>
        <x:v>60689082000155</x:v>
      </x:c>
      <x:c r="F1234" s="22" t="str">
        <x:f>"386.249.218-48"</x:f>
        <x:v>386.249.218-48</x:v>
      </x:c>
      <x:c r="G1234" s="22" t="str">
        <x:f>"38624921848"</x:f>
        <x:v>38624921848</x:v>
      </x:c>
      <x:c r="H1234" s="23" t="str">
        <x:v>fernandamoreiraluiz30@gmail.com</x:v>
      </x:c>
      <x:c r="I1234" s="22" t="str">
        <x:f>"21 986242342"</x:f>
        <x:v>21 986242342</x:v>
      </x:c>
      <x:c r="J1234" s="23" t="str">
        <x:v>SPOT</x:v>
      </x:c>
      <x:c r="K1234" s="23" t="str">
        <x:v>favored_only</x:v>
      </x:c>
      <x:c r="L1234" s="24" t="b">
        <x:v>1</x:v>
      </x:c>
      <x:c r="M1234" s="23" t="n">
        <x:v>1</x:v>
      </x:c>
      <x:c r="N1234" s="28" t="n">
        <x:v>46219.812988715275</x:v>
      </x:c>
      <x:c r="O1234" s="28" t="n">
        <x:v>46219.812988715275</x:v>
      </x:c>
      <x:c r="P1234" s="23" t="str">
        <x:v>QUEIMADOS</x:v>
      </x:c>
      <x:c r="Q1234" s="30" t="n">
        <x:v>33209</x:v>
      </x:c>
      <x:c r="R1234" s="22" t="str">
        <x:f>"38044832-4"</x:f>
        <x:v>38044832-4</x:v>
      </x:c>
      <x:c r="S1234" s="23" t="str">
        <x:v>feminino</x:v>
      </x:c>
      <x:c r="T1234" s="22" t="str">
        <x:f>"FEA5D34"</x:f>
        <x:v>FEA5D34</x:v>
      </x:c>
      <x:c r="U1234" s="23" t="str">
        <x:v>FERNANDA APARECIDA MOREIRA LUIZ</x:v>
      </x:c>
      <x:c r="V1234" s="22" t="str">
        <x:f>"386.249.218-48"</x:f>
        <x:v>386.249.218-48</x:v>
      </x:c>
      <x:c r="W1234" s="22" t="str">
        <x:f>"38624921848"</x:f>
        <x:v>38624921848</x:v>
      </x:c>
      <x:c r="X1234" s="23" t="str">
        <x:v>fernandamoreiraluiz30@gmail.com</x:v>
      </x:c>
      <x:c r="Y1234" s="22" t="str">
        <x:f>"21 986242342"</x:f>
        <x:v>21 986242342</x:v>
      </x:c>
      <x:c r="Z1234" s="30" t="n">
        <x:v>46583</x:v>
      </x:c>
    </x:row>
    <x:row r="1235" ht="18" customHeight="1">
      <x:c r="A1235" s="22" t="str">
        <x:f>"7095babf-6e36-4d5d-8ef3-3ae363c0a9ab"</x:f>
        <x:v>7095babf-6e36-4d5d-8ef3-3ae363c0a9ab</x:v>
      </x:c>
      <x:c r="B1235" s="23" t="str">
        <x:v>FERNANDA BARBOSA DILEGE DA CUNHA</x:v>
      </x:c>
      <x:c r="C1235" s="23" t="str">
        <x:v>fernanda barbosa dilege da cunha</x:v>
      </x:c>
      <x:c r="D1235" s="22" t="str">
        <x:f>"62.977.473/0001-09"</x:f>
        <x:v>62.977.473/0001-09</x:v>
      </x:c>
      <x:c r="E1235" s="22" t="str">
        <x:f>"62977473000109"</x:f>
        <x:v>62977473000109</x:v>
      </x:c>
      <x:c r="F1235" s="22" t="str">
        <x:f>"375.060.398-77"</x:f>
        <x:v>375.060.398-77</x:v>
      </x:c>
      <x:c r="G1235" s="22" t="str">
        <x:f>"37506039877"</x:f>
        <x:v>37506039877</x:v>
      </x:c>
      <x:c r="H1235" s="23" t="str">
        <x:v>cunhacecilio245@gmail.com</x:v>
      </x:c>
      <x:c r="I1235" s="22" t="str">
        <x:f>"16999617071"</x:f>
        <x:v>16999617071</x:v>
      </x:c>
      <x:c r="J1235" s="23" t="str">
        <x:v>RENTAL</x:v>
      </x:c>
      <x:c r="K1235" s="23" t="str">
        <x:v>rental_company</x:v>
      </x:c>
      <x:c r="L1235" s="24" t="b">
        <x:v>1</x:v>
      </x:c>
      <x:c r="M1235" s="23" t="n">
        <x:v>1</x:v>
      </x:c>
      <x:c r="N1235" s="28" t="n">
        <x:v>46219.812988715275</x:v>
      </x:c>
      <x:c r="O1235" s="28" t="n">
        <x:v>46219.812988715275</x:v>
      </x:c>
      <x:c r="P1235" s="23" t="str">
        <x:v>RIBEIRAO PRETO</x:v>
      </x:c>
      <x:c r="Q1235" s="30" t="n">
        <x:v>32564</x:v>
      </x:c>
      <x:c r="R1235" s="22" t="str">
        <x:f>"449333656"</x:f>
        <x:v>449333656</x:v>
      </x:c>
      <x:c r="S1235" s="23" t="str">
        <x:v>feminino</x:v>
      </x:c>
      <x:c r="T1235" s="22" t="str"/>
      <x:c r="U1235" s="23" t="str">
        <x:v>FERNANDA BARBOSA DILEGE DA CUNHA</x:v>
      </x:c>
      <x:c r="V1235" s="22" t="str">
        <x:f>"375.060.398-77"</x:f>
        <x:v>375.060.398-77</x:v>
      </x:c>
      <x:c r="W1235" s="22" t="str">
        <x:f>"37506039877"</x:f>
        <x:v>37506039877</x:v>
      </x:c>
      <x:c r="X1235" s="23" t="str">
        <x:v>cunhacecilio245@gmail.com</x:v>
      </x:c>
      <x:c r="Y1235" s="22" t="str">
        <x:f>"16999617071"</x:f>
        <x:v>16999617071</x:v>
      </x:c>
      <x:c r="Z1235" s="30" t="n">
        <x:v>46501</x:v>
      </x:c>
    </x:row>
    <x:row r="1236" ht="18" customHeight="1">
      <x:c r="A1236" s="22" t="str">
        <x:f>"13c5b3f9-ca31-43bf-be06-86086b069f70"</x:f>
        <x:v>13c5b3f9-ca31-43bf-be06-86086b069f70</x:v>
      </x:c>
      <x:c r="B1236" s="23" t="str">
        <x:v>FERNANDA CRISTINA DA SILVA RIBEIRO</x:v>
      </x:c>
      <x:c r="C1236" s="23" t="str">
        <x:v>fernanda cristina da silva ribeiro</x:v>
      </x:c>
      <x:c r="D1236" s="22" t="str">
        <x:f>"55.880.444/0001-50"</x:f>
        <x:v>55.880.444/0001-50</x:v>
      </x:c>
      <x:c r="E1236" s="22" t="str">
        <x:f>"55880444000150"</x:f>
        <x:v>55880444000150</x:v>
      </x:c>
      <x:c r="F1236" s="22" t="str">
        <x:f>"062.992.586-08"</x:f>
        <x:v>062.992.586-08</x:v>
      </x:c>
      <x:c r="G1236" s="22" t="str">
        <x:f>"06299258608"</x:f>
        <x:v>06299258608</x:v>
      </x:c>
      <x:c r="H1236" s="23" t="str">
        <x:v>FERNANDASILVARIBEIROT13@GMAIL.COM</x:v>
      </x:c>
      <x:c r="I1236" s="22" t="str">
        <x:f>"35 991540129"</x:f>
        <x:v>35 991540129</x:v>
      </x:c>
      <x:c r="J1236" s="23" t="str">
        <x:v>SPOT</x:v>
      </x:c>
      <x:c r="K1236" s="23" t="str">
        <x:v>favored_only</x:v>
      </x:c>
      <x:c r="L1236" s="24" t="b">
        <x:v>1</x:v>
      </x:c>
      <x:c r="M1236" s="23" t="n">
        <x:v>1</x:v>
      </x:c>
      <x:c r="N1236" s="28" t="n">
        <x:v>46205.601081886576</x:v>
      </x:c>
      <x:c r="O1236" s="28" t="n">
        <x:v>46219.812988715275</x:v>
      </x:c>
      <x:c r="P1236" s="23" t="str">
        <x:v>GUAXUPE</x:v>
      </x:c>
      <x:c r="Q1236" s="30" t="n">
        <x:v>34638</x:v>
      </x:c>
      <x:c r="R1236" s="22" t="str">
        <x:f>"16168543"</x:f>
        <x:v>16168543</x:v>
      </x:c>
      <x:c r="S1236" s="23" t="str">
        <x:v>feminino</x:v>
      </x:c>
      <x:c r="T1236" s="22" t="str">
        <x:f>"OBT4F44"</x:f>
        <x:v>OBT4F44</x:v>
      </x:c>
      <x:c r="U1236" s="23" t="str">
        <x:v>RIVELINO DE JESUS DA SILVA</x:v>
      </x:c>
      <x:c r="V1236" s="22" t="str">
        <x:f>"029.503.216-23"</x:f>
        <x:v>029.503.216-23</x:v>
      </x:c>
      <x:c r="W1236" s="22" t="str">
        <x:f>"02950321623"</x:f>
        <x:v>02950321623</x:v>
      </x:c>
      <x:c r="X1236" s="23" t="str">
        <x:v>FERNANDASILVARIBEIROT13@GMAIL.COM</x:v>
      </x:c>
      <x:c r="Y1236" s="22" t="str">
        <x:f>"35 991540129"</x:f>
        <x:v>35 991540129</x:v>
      </x:c>
      <x:c r="Z1236" s="30" t="n">
        <x:v>46520</x:v>
      </x:c>
    </x:row>
    <x:row r="1237" ht="18" customHeight="1">
      <x:c r="A1237" s="22" t="str">
        <x:f>"5c6802d8-c1d4-4d8b-b9d8-767438dbc8ae"</x:f>
        <x:v>5c6802d8-c1d4-4d8b-b9d8-767438dbc8ae</x:v>
      </x:c>
      <x:c r="B1237" s="23" t="str">
        <x:v>FERNANDA CRISTINA DA SILVA RIBEIRO</x:v>
      </x:c>
      <x:c r="C1237" s="23" t="str">
        <x:v>fernanda cristina da silva ribeiro</x:v>
      </x:c>
      <x:c r="D1237" s="22" t="str">
        <x:f>"25297964000174"</x:f>
        <x:v>25297964000174</x:v>
      </x:c>
      <x:c r="E1237" s="22" t="str">
        <x:f>"25297964000174"</x:f>
        <x:v>25297964000174</x:v>
      </x:c>
      <x:c r="F1237" s="22" t="str">
        <x:f>"062.992.586-08"</x:f>
        <x:v>062.992.586-08</x:v>
      </x:c>
      <x:c r="G1237" s="22" t="str">
        <x:f>"06299258608"</x:f>
        <x:v>06299258608</x:v>
      </x:c>
      <x:c r="H1237" s="23" t="str">
        <x:v>fernandasilvaribeiro583@gmail.com</x:v>
      </x:c>
      <x:c r="I1237" s="22" t="str">
        <x:f>"pidez 📦 +55"</x:f>
        <x:v>pidez 📦 +55</x:v>
      </x:c>
      <x:c r="J1237" s="23" t="str">
        <x:v>SPOT</x:v>
      </x:c>
      <x:c r="K1237" s="23" t="str">
        <x:v>favored_only</x:v>
      </x:c>
      <x:c r="L1237" s="24" t="b">
        <x:v>1</x:v>
      </x:c>
      <x:c r="M1237" s="23" t="n">
        <x:v>1</x:v>
      </x:c>
      <x:c r="N1237" s="28" t="n">
        <x:v>46203.92189965278</x:v>
      </x:c>
      <x:c r="O1237" s="28" t="n">
        <x:v>46203.92189965278</x:v>
      </x:c>
      <x:c r="P1237" s="23" t="str"/>
      <x:c r="Q1237" s="30" t="str"/>
      <x:c r="R1237" s="22" t="str"/>
      <x:c r="S1237" s="23" t="str"/>
      <x:c r="T1237" s="22" t="str"/>
      <x:c r="U1237" s="23" t="str">
        <x:v>FERNANDA CRISTINA DA SILVA RIBEIRO</x:v>
      </x:c>
      <x:c r="V1237" s="22" t="str">
        <x:f>"062.992.586-08"</x:f>
        <x:v>062.992.586-08</x:v>
      </x:c>
      <x:c r="W1237" s="22" t="str">
        <x:f>"06299258608"</x:f>
        <x:v>06299258608</x:v>
      </x:c>
      <x:c r="X1237" s="23" t="str">
        <x:v>fernandasilvaribeiro583@gmail.com</x:v>
      </x:c>
      <x:c r="Y1237" s="22" t="str">
        <x:f>"pidez 📦 +55"</x:f>
        <x:v>pidez 📦 +55</x:v>
      </x:c>
      <x:c r="Z1237" s="30" t="str"/>
    </x:row>
    <x:row r="1238" ht="18" customHeight="1">
      <x:c r="A1238" s="22" t="str">
        <x:f>"ef04dac4-e3ec-452a-8a08-152eb8f05420"</x:f>
        <x:v>ef04dac4-e3ec-452a-8a08-152eb8f05420</x:v>
      </x:c>
      <x:c r="B1238" s="23" t="str">
        <x:v>FERNANDA CRISTINA DA SILVA RIBEIRO</x:v>
      </x:c>
      <x:c r="C1238" s="23" t="str">
        <x:v>fernanda cristina da silva ribeiro</x:v>
      </x:c>
      <x:c r="D1238" s="22" t="str">
        <x:f>"64265448000110"</x:f>
        <x:v>64265448000110</x:v>
      </x:c>
      <x:c r="E1238" s="22" t="str">
        <x:f>"64265448000110"</x:f>
        <x:v>64265448000110</x:v>
      </x:c>
      <x:c r="F1238" s="22" t="str">
        <x:f>"06299258608"</x:f>
        <x:v>06299258608</x:v>
      </x:c>
      <x:c r="G1238" s="22" t="str">
        <x:f>"06299258608"</x:f>
        <x:v>06299258608</x:v>
      </x:c>
      <x:c r="H1238" s="23" t="str">
        <x:v>FERNANDASILVARIBEIROT13@GMAIL.COM</x:v>
      </x:c>
      <x:c r="I1238" s="22" t="str">
        <x:f>"35 92002-0133"</x:f>
        <x:v>35 92002-0133</x:v>
      </x:c>
      <x:c r="J1238" s="23" t="str">
        <x:v>SPOT</x:v>
      </x:c>
      <x:c r="K1238" s="23" t="str">
        <x:v>favored_only</x:v>
      </x:c>
      <x:c r="L1238" s="24" t="b">
        <x:v>1</x:v>
      </x:c>
      <x:c r="M1238" s="23" t="n">
        <x:v>1</x:v>
      </x:c>
      <x:c r="N1238" s="28" t="n">
        <x:v>46203.92191240741</x:v>
      </x:c>
      <x:c r="O1238" s="28" t="n">
        <x:v>46203.92191240741</x:v>
      </x:c>
      <x:c r="P1238" s="23" t="str"/>
      <x:c r="Q1238" s="30" t="str"/>
      <x:c r="R1238" s="22" t="str"/>
      <x:c r="S1238" s="23" t="str"/>
      <x:c r="T1238" s="22" t="str"/>
      <x:c r="U1238" s="23" t="str">
        <x:v>FERNANDA CRISTINA DA SILVA RIBEIRO</x:v>
      </x:c>
      <x:c r="V1238" s="22" t="str">
        <x:f>"06299258608"</x:f>
        <x:v>06299258608</x:v>
      </x:c>
      <x:c r="W1238" s="22" t="str">
        <x:f>"06299258608"</x:f>
        <x:v>06299258608</x:v>
      </x:c>
      <x:c r="X1238" s="23" t="str">
        <x:v>FERNANDASILVARIBEIROT13@GMAIL.COM</x:v>
      </x:c>
      <x:c r="Y1238" s="22" t="str">
        <x:f>"35 92002-0133"</x:f>
        <x:v>35 92002-0133</x:v>
      </x:c>
      <x:c r="Z1238" s="30" t="str"/>
    </x:row>
    <x:row r="1239" ht="18" customHeight="1">
      <x:c r="A1239" s="22" t="str">
        <x:f>"feac61cb-2526-434c-8ae1-b09597a874da"</x:f>
        <x:v>feac61cb-2526-434c-8ae1-b09597a874da</x:v>
      </x:c>
      <x:c r="B1239" s="23" t="str">
        <x:v>FERNANDA DE FATIMA INES</x:v>
      </x:c>
      <x:c r="C1239" s="23" t="str">
        <x:v>fernanda de fatima ines</x:v>
      </x:c>
      <x:c r="D1239" s="22" t="str">
        <x:f>"63.153.669/0001-33"</x:f>
        <x:v>63.153.669/0001-33</x:v>
      </x:c>
      <x:c r="E1239" s="22" t="str">
        <x:f>"63153669000133"</x:f>
        <x:v>63153669000133</x:v>
      </x:c>
      <x:c r="F1239" s="22" t="str">
        <x:f>"019.352.726-08"</x:f>
        <x:v>019.352.726-08</x:v>
      </x:c>
      <x:c r="G1239" s="22" t="str">
        <x:f>"01935272608"</x:f>
        <x:v>01935272608</x:v>
      </x:c>
      <x:c r="H1239" s="23" t="str">
        <x:v>ferfatimaines@hotmail.com</x:v>
      </x:c>
      <x:c r="I1239" s="22" t="str">
        <x:f>"35 99173-2022"</x:f>
        <x:v>35 99173-2022</x:v>
      </x:c>
      <x:c r="J1239" s="23" t="str">
        <x:v>SPOT</x:v>
      </x:c>
      <x:c r="K1239" s="23" t="str">
        <x:v>favored_only</x:v>
      </x:c>
      <x:c r="L1239" s="24" t="b">
        <x:v>1</x:v>
      </x:c>
      <x:c r="M1239" s="23" t="n">
        <x:v>1</x:v>
      </x:c>
      <x:c r="N1239" s="28" t="n">
        <x:v>46203.92189349537</x:v>
      </x:c>
      <x:c r="O1239" s="28" t="n">
        <x:v>46219.812988715275</x:v>
      </x:c>
      <x:c r="P1239" s="23" t="str">
        <x:v>POCOS DE CALDAS</x:v>
      </x:c>
      <x:c r="Q1239" s="30" t="n">
        <x:v>35136</x:v>
      </x:c>
      <x:c r="R1239" s="22" t="str">
        <x:f>"19737300"</x:f>
        <x:v>19737300</x:v>
      </x:c>
      <x:c r="S1239" s="23" t="str">
        <x:v>feminino</x:v>
      </x:c>
      <x:c r="T1239" s="22" t="str">
        <x:f>"GYG9F24"</x:f>
        <x:v>GYG9F24</x:v>
      </x:c>
      <x:c r="U1239" s="23" t="str">
        <x:v>FERNANDA DE FATIMA INES</x:v>
      </x:c>
      <x:c r="V1239" s="22" t="str">
        <x:f>"019.352.726-08"</x:f>
        <x:v>019.352.726-08</x:v>
      </x:c>
      <x:c r="W1239" s="22" t="str">
        <x:f>"01935272608"</x:f>
        <x:v>01935272608</x:v>
      </x:c>
      <x:c r="X1239" s="23" t="str">
        <x:v>ferfatimaines@hotmail.com</x:v>
      </x:c>
      <x:c r="Y1239" s="22" t="str">
        <x:f>"35 99173-2022"</x:f>
        <x:v>35 99173-2022</x:v>
      </x:c>
      <x:c r="Z1239" s="30" t="n">
        <x:v>46336</x:v>
      </x:c>
    </x:row>
    <x:row r="1240" ht="18" customHeight="1">
      <x:c r="A1240" s="22" t="str">
        <x:f>"8c1aa402-8dcf-4947-af74-600dc205627d"</x:f>
        <x:v>8c1aa402-8dcf-4947-af74-600dc205627d</x:v>
      </x:c>
      <x:c r="B1240" s="23" t="str">
        <x:v>FERNANDA GABRIELLA MAZZUCATO MIGUEL</x:v>
      </x:c>
      <x:c r="C1240" s="23" t="str">
        <x:v>fernanda gabriella mazzucato miguel</x:v>
      </x:c>
      <x:c r="D1240" s="22" t="str">
        <x:f>"60.471.248/0001-62"</x:f>
        <x:v>60.471.248/0001-62</x:v>
      </x:c>
      <x:c r="E1240" s="22" t="str">
        <x:f>"60471248000162"</x:f>
        <x:v>60471248000162</x:v>
      </x:c>
      <x:c r="F1240" s="22" t="str">
        <x:f>"15858532675"</x:f>
        <x:v>15858532675</x:v>
      </x:c>
      <x:c r="G1240" s="22" t="str">
        <x:f>"15858532675"</x:f>
        <x:v>15858532675</x:v>
      </x:c>
      <x:c r="H1240" s="23" t="str">
        <x:v>fernandagabriella222@gmail.com</x:v>
      </x:c>
      <x:c r="I1240" s="22" t="str">
        <x:f>"31993072311"</x:f>
        <x:v>31993072311</x:v>
      </x:c>
      <x:c r="J1240" s="23" t="str">
        <x:v>SPOT</x:v>
      </x:c>
      <x:c r="K1240" s="23" t="str">
        <x:v>favored_only</x:v>
      </x:c>
      <x:c r="L1240" s="24" t="b">
        <x:v>1</x:v>
      </x:c>
      <x:c r="M1240" s="23" t="n">
        <x:v>1</x:v>
      </x:c>
      <x:c r="N1240" s="28" t="n">
        <x:v>46203.9218771875</x:v>
      </x:c>
      <x:c r="O1240" s="28" t="n">
        <x:v>46203.9218771875</x:v>
      </x:c>
      <x:c r="P1240" s="23" t="str"/>
      <x:c r="Q1240" s="30" t="str"/>
      <x:c r="R1240" s="22" t="str"/>
      <x:c r="S1240" s="23" t="str"/>
      <x:c r="T1240" s="22" t="str"/>
      <x:c r="U1240" s="23" t="str">
        <x:v>FERNANDA GABRIELLA MAZZUCATO MIGUEL</x:v>
      </x:c>
      <x:c r="V1240" s="22" t="str">
        <x:f>"15858532675"</x:f>
        <x:v>15858532675</x:v>
      </x:c>
      <x:c r="W1240" s="22" t="str">
        <x:f>"15858532675"</x:f>
        <x:v>15858532675</x:v>
      </x:c>
      <x:c r="X1240" s="23" t="str">
        <x:v>fernandagabriella222@gmail.com</x:v>
      </x:c>
      <x:c r="Y1240" s="22" t="str">
        <x:f>"31993072311"</x:f>
        <x:v>31993072311</x:v>
      </x:c>
      <x:c r="Z1240" s="30" t="str"/>
    </x:row>
    <x:row r="1241" ht="18" customHeight="1">
      <x:c r="A1241" s="22" t="str">
        <x:f>"d19b50f0-a34c-4b36-9ddd-b5c6ea4806d8"</x:f>
        <x:v>d19b50f0-a34c-4b36-9ddd-b5c6ea4806d8</x:v>
      </x:c>
      <x:c r="B1241" s="23" t="str">
        <x:v>FERNANDA GOMES DOS SANTOS</x:v>
      </x:c>
      <x:c r="C1241" s="23" t="str">
        <x:v>fernanda gomes dos santos</x:v>
      </x:c>
      <x:c r="D1241" s="22" t="str">
        <x:f>"62.485.576/0001-43"</x:f>
        <x:v>62.485.576/0001-43</x:v>
      </x:c>
      <x:c r="E1241" s="22" t="str">
        <x:f>"62485576000143"</x:f>
        <x:v>62485576000143</x:v>
      </x:c>
      <x:c r="F1241" s="22" t="str">
        <x:f>"127.828.206-80"</x:f>
        <x:v>127.828.206-80</x:v>
      </x:c>
      <x:c r="G1241" s="22" t="str">
        <x:f>"12782820680"</x:f>
        <x:v>12782820680</x:v>
      </x:c>
      <x:c r="H1241" s="23" t="str">
        <x:v>fs646029@gmail.com</x:v>
      </x:c>
      <x:c r="I1241" s="22" t="str">
        <x:f>"35999283515"</x:f>
        <x:v>35999283515</x:v>
      </x:c>
      <x:c r="J1241" s="23" t="str">
        <x:v>RENTAL</x:v>
      </x:c>
      <x:c r="K1241" s="23" t="str">
        <x:v>rental_company</x:v>
      </x:c>
      <x:c r="L1241" s="24" t="b">
        <x:v>1</x:v>
      </x:c>
      <x:c r="M1241" s="23" t="n">
        <x:v>1</x:v>
      </x:c>
      <x:c r="N1241" s="28" t="n">
        <x:v>46203.921858726855</x:v>
      </x:c>
      <x:c r="O1241" s="28" t="n">
        <x:v>46219.812988715275</x:v>
      </x:c>
      <x:c r="P1241" s="23" t="str">
        <x:v>POUSO ALEGRE</x:v>
      </x:c>
      <x:c r="Q1241" s="30" t="n">
        <x:v>36023</x:v>
      </x:c>
      <x:c r="R1241" s="22" t="str">
        <x:f>"20418681"</x:f>
        <x:v>20418681</x:v>
      </x:c>
      <x:c r="S1241" s="23" t="str">
        <x:v>feminino</x:v>
      </x:c>
      <x:c r="T1241" s="22" t="str"/>
      <x:c r="U1241" s="23" t="str">
        <x:v>FERNANDA GOMES DOS SANTOS</x:v>
      </x:c>
      <x:c r="V1241" s="22" t="str">
        <x:f>"127.828.206-80"</x:f>
        <x:v>127.828.206-80</x:v>
      </x:c>
      <x:c r="W1241" s="22" t="str">
        <x:f>"12782820680"</x:f>
        <x:v>12782820680</x:v>
      </x:c>
      <x:c r="X1241" s="23" t="str">
        <x:v>fs646029@gmail.com</x:v>
      </x:c>
      <x:c r="Y1241" s="22" t="str">
        <x:f>"35999283515"</x:f>
        <x:v>35999283515</x:v>
      </x:c>
      <x:c r="Z1241" s="30" t="n">
        <x:v>46266</x:v>
      </x:c>
    </x:row>
    <x:row r="1242" ht="18" customHeight="1">
      <x:c r="A1242" s="22" t="str">
        <x:f>"e2470a31-c113-4679-b8d5-0ec68bb08e92"</x:f>
        <x:v>e2470a31-c113-4679-b8d5-0ec68bb08e92</x:v>
      </x:c>
      <x:c r="B1242" s="23" t="str">
        <x:v>FERNANDA MENEZES DA SILVA XAVIER</x:v>
      </x:c>
      <x:c r="C1242" s="23" t="str">
        <x:v>fernanda menezes da silva xavier</x:v>
      </x:c>
      <x:c r="D1242" s="22" t="str">
        <x:f>"32.054.898/0001-77"</x:f>
        <x:v>32.054.898/0001-77</x:v>
      </x:c>
      <x:c r="E1242" s="22" t="str">
        <x:f>"32054898000177"</x:f>
        <x:v>32054898000177</x:v>
      </x:c>
      <x:c r="F1242" s="22" t="str">
        <x:f>"031.057.911-24"</x:f>
        <x:v>031.057.911-24</x:v>
      </x:c>
      <x:c r="G1242" s="22" t="str">
        <x:f>"03105791124"</x:f>
        <x:v>03105791124</x:v>
      </x:c>
      <x:c r="H1242" s="23" t="str">
        <x:v>fm4308920@gmail.com</x:v>
      </x:c>
      <x:c r="I1242" s="22" t="str">
        <x:f>"62993208930"</x:f>
        <x:v>62993208930</x:v>
      </x:c>
      <x:c r="J1242" s="23" t="str">
        <x:v>SPOT</x:v>
      </x:c>
      <x:c r="K1242" s="23" t="str">
        <x:v>favored_only</x:v>
      </x:c>
      <x:c r="L1242" s="24" t="b">
        <x:v>1</x:v>
      </x:c>
      <x:c r="M1242" s="23" t="n">
        <x:v>1</x:v>
      </x:c>
      <x:c r="N1242" s="28" t="n">
        <x:v>46219.812988715275</x:v>
      </x:c>
      <x:c r="O1242" s="28" t="n">
        <x:v>46219.812988715275</x:v>
      </x:c>
      <x:c r="P1242" s="23" t="str">
        <x:v>CÁCERES</x:v>
      </x:c>
      <x:c r="Q1242" s="30" t="n">
        <x:v>34670</x:v>
      </x:c>
      <x:c r="R1242" s="22" t="str">
        <x:f>"6070278 SSP GO"</x:f>
        <x:v>6070278 SSP GO</x:v>
      </x:c>
      <x:c r="S1242" s="23" t="str">
        <x:v>feminino</x:v>
      </x:c>
      <x:c r="T1242" s="22" t="str">
        <x:f>"QMZ7I60"</x:f>
        <x:v>QMZ7I60</x:v>
      </x:c>
      <x:c r="U1242" s="23" t="str">
        <x:v>FERNANDA MENEZES DA SILVA XAVIER</x:v>
      </x:c>
      <x:c r="V1242" s="22" t="str">
        <x:f>"031.057.911-24"</x:f>
        <x:v>031.057.911-24</x:v>
      </x:c>
      <x:c r="W1242" s="22" t="str">
        <x:f>"03105791124"</x:f>
        <x:v>03105791124</x:v>
      </x:c>
      <x:c r="X1242" s="23" t="str">
        <x:v>fm4308920@gmail.com</x:v>
      </x:c>
      <x:c r="Y1242" s="22" t="str">
        <x:f>"62993208930"</x:f>
        <x:v>62993208930</x:v>
      </x:c>
      <x:c r="Z1242" s="30" t="n">
        <x:v>46528</x:v>
      </x:c>
    </x:row>
    <x:row r="1243" ht="18" customHeight="1">
      <x:c r="A1243" s="22" t="str">
        <x:f>"b143a539-4edb-47a8-876c-f7ea5a3ce06b"</x:f>
        <x:v>b143a539-4edb-47a8-876c-f7ea5a3ce06b</x:v>
      </x:c>
      <x:c r="B1243" s="23" t="str">
        <x:v>FERNANDA PINHEIRO MORAES TRAJANO</x:v>
      </x:c>
      <x:c r="C1243" s="23" t="str">
        <x:v>fernanda pinheiro moraes trajano</x:v>
      </x:c>
      <x:c r="D1243" s="22" t="str">
        <x:f>"58.049.315/0001-03"</x:f>
        <x:v>58.049.315/0001-03</x:v>
      </x:c>
      <x:c r="E1243" s="22" t="str">
        <x:f>"58049315000103"</x:f>
        <x:v>58049315000103</x:v>
      </x:c>
      <x:c r="F1243" s="22" t="str">
        <x:f>"017.524.432-41"</x:f>
        <x:v>017.524.432-41</x:v>
      </x:c>
      <x:c r="G1243" s="22" t="str">
        <x:f>"01752443241"</x:f>
        <x:v>01752443241</x:v>
      </x:c>
      <x:c r="H1243" s="23" t="str">
        <x:v>fernanda.pinheiro.moraesss@gmail.com</x:v>
      </x:c>
      <x:c r="I1243" s="22" t="str">
        <x:f>"679638-3456"</x:f>
        <x:v>679638-3456</x:v>
      </x:c>
      <x:c r="J1243" s="23" t="str">
        <x:v>SPOT</x:v>
      </x:c>
      <x:c r="K1243" s="23" t="str">
        <x:v>favored_only</x:v>
      </x:c>
      <x:c r="L1243" s="24" t="b">
        <x:v>1</x:v>
      </x:c>
      <x:c r="M1243" s="23" t="n">
        <x:v>2</x:v>
      </x:c>
      <x:c r="N1243" s="28" t="n">
        <x:v>46205.60697912037</x:v>
      </x:c>
      <x:c r="O1243" s="28" t="n">
        <x:v>46219.812988715275</x:v>
      </x:c>
      <x:c r="P1243" s="23" t="str">
        <x:v>CHAPADÃO DO SUL</x:v>
      </x:c>
      <x:c r="Q1243" s="30" t="n">
        <x:v>36278</x:v>
      </x:c>
      <x:c r="R1243" s="22" t="str">
        <x:f>"2890380"</x:f>
        <x:v>2890380</x:v>
      </x:c>
      <x:c r="S1243" s="23" t="str">
        <x:v>feminino</x:v>
      </x:c>
      <x:c r="T1243" s="22" t="str">
        <x:f>"QAY5125"</x:f>
        <x:v>QAY5125</x:v>
      </x:c>
      <x:c r="U1243" s="23" t="str">
        <x:v>BEATRIZ ALINE BALERO DA SILVA</x:v>
      </x:c>
      <x:c r="V1243" s="22" t="str">
        <x:f>"431.195.398-48"</x:f>
        <x:v>431.195.398-48</x:v>
      </x:c>
      <x:c r="W1243" s="22" t="str">
        <x:f>"43119539848"</x:f>
        <x:v>43119539848</x:v>
      </x:c>
      <x:c r="X1243" s="23" t="str">
        <x:v>beatrizbalerosilva@gmail.com</x:v>
      </x:c>
      <x:c r="Y1243" s="22" t="str">
        <x:f>"67 9959-3287"</x:f>
        <x:v>67 9959-3287</x:v>
      </x:c>
      <x:c r="Z1243" s="30" t="n">
        <x:v>46463</x:v>
      </x:c>
    </x:row>
    <x:row r="1244" ht="18" customHeight="1">
      <x:c r="A1244" s="22" t="str">
        <x:f>"36294baf-0671-4e20-8edb-71214c0eff42"</x:f>
        <x:v>36294baf-0671-4e20-8edb-71214c0eff42</x:v>
      </x:c>
      <x:c r="B1244" s="23" t="str">
        <x:v>FERNANDA TEIXEIRA NOGUEIRA</x:v>
      </x:c>
      <x:c r="C1244" s="23" t="str">
        <x:v>fernanda teixeira nogueira</x:v>
      </x:c>
      <x:c r="D1244" s="22" t="str">
        <x:f>"60.813.982/0001-62"</x:f>
        <x:v>60.813.982/0001-62</x:v>
      </x:c>
      <x:c r="E1244" s="22" t="str">
        <x:f>"60813982000162"</x:f>
        <x:v>60813982000162</x:v>
      </x:c>
      <x:c r="F1244" s="22" t="str">
        <x:f>"055.594.657-63"</x:f>
        <x:v>055.594.657-63</x:v>
      </x:c>
      <x:c r="G1244" s="22" t="str">
        <x:f>"05559465763"</x:f>
        <x:v>05559465763</x:v>
      </x:c>
      <x:c r="H1244" s="23" t="str">
        <x:v>nandanogueira09@gmail.com</x:v>
      </x:c>
      <x:c r="I1244" s="22" t="str">
        <x:f>"21998335293"</x:f>
        <x:v>21998335293</x:v>
      </x:c>
      <x:c r="J1244" s="23" t="str">
        <x:v>SPOT</x:v>
      </x:c>
      <x:c r="K1244" s="23" t="str">
        <x:v>favored_only</x:v>
      </x:c>
      <x:c r="L1244" s="24" t="b">
        <x:v>1</x:v>
      </x:c>
      <x:c r="M1244" s="23" t="n">
        <x:v>2</x:v>
      </x:c>
      <x:c r="N1244" s="28" t="n">
        <x:v>46203.92189965278</x:v>
      </x:c>
      <x:c r="O1244" s="28" t="n">
        <x:v>46219.812988715275</x:v>
      </x:c>
      <x:c r="P1244" s="23" t="str">
        <x:v>CAMPO GRANDE</x:v>
      </x:c>
      <x:c r="Q1244" s="30" t="n">
        <x:v>29743</x:v>
      </x:c>
      <x:c r="R1244" s="22" t="str">
        <x:f>"126520535"</x:f>
        <x:v>126520535</x:v>
      </x:c>
      <x:c r="S1244" s="23" t="str">
        <x:v>feminino</x:v>
      </x:c>
      <x:c r="T1244" s="22" t="str">
        <x:f>"EFK3E44"</x:f>
        <x:v>EFK3E44</x:v>
      </x:c>
      <x:c r="U1244" s="23" t="str">
        <x:v>FERNANDA TEIXEIRA NOGUEIRA</x:v>
      </x:c>
      <x:c r="V1244" s="22" t="str">
        <x:f>"055.594.657-63"</x:f>
        <x:v>055.594.657-63</x:v>
      </x:c>
      <x:c r="W1244" s="22" t="str">
        <x:f>"05559465763"</x:f>
        <x:v>05559465763</x:v>
      </x:c>
      <x:c r="X1244" s="23" t="str">
        <x:v>nandanogueira09@gmail.com</x:v>
      </x:c>
      <x:c r="Y1244" s="22" t="str">
        <x:f>"21998335293"</x:f>
        <x:v>21998335293</x:v>
      </x:c>
      <x:c r="Z1244" s="30" t="n">
        <x:v>46498</x:v>
      </x:c>
    </x:row>
    <x:row r="1245" ht="18" customHeight="1">
      <x:c r="A1245" s="22" t="str">
        <x:f>"0120d44a-f5b2-43ef-a6ad-3c916d15efc3"</x:f>
        <x:v>0120d44a-f5b2-43ef-a6ad-3c916d15efc3</x:v>
      </x:c>
      <x:c r="B1245" s="23" t="str">
        <x:v>FERNANDO ALMEIDA MUNHOZ</x:v>
      </x:c>
      <x:c r="C1245" s="23" t="str">
        <x:v>fernando almeida munhoz</x:v>
      </x:c>
      <x:c r="D1245" s="22" t="str">
        <x:f>"62.510.286/0001-02"</x:f>
        <x:v>62.510.286/0001-02</x:v>
      </x:c>
      <x:c r="E1245" s="22" t="str">
        <x:f>"62510286000102"</x:f>
        <x:v>62510286000102</x:v>
      </x:c>
      <x:c r="F1245" s="22" t="str">
        <x:f>"440.434.378-70"</x:f>
        <x:v>440.434.378-70</x:v>
      </x:c>
      <x:c r="G1245" s="22" t="str">
        <x:f>"44043437870"</x:f>
        <x:v>44043437870</x:v>
      </x:c>
      <x:c r="H1245" s="23" t="str">
        <x:v>fa5784022@gmail.com</x:v>
      </x:c>
      <x:c r="I1245" s="22" t="str">
        <x:f>"11953239466"</x:f>
        <x:v>11953239466</x:v>
      </x:c>
      <x:c r="J1245" s="23" t="str">
        <x:v>RENTAL</x:v>
      </x:c>
      <x:c r="K1245" s="23" t="str">
        <x:v>rental_company</x:v>
      </x:c>
      <x:c r="L1245" s="24" t="b">
        <x:v>1</x:v>
      </x:c>
      <x:c r="M1245" s="23" t="n">
        <x:v>1</x:v>
      </x:c>
      <x:c r="N1245" s="28" t="n">
        <x:v>46203.921858726855</x:v>
      </x:c>
      <x:c r="O1245" s="28" t="n">
        <x:v>46219.812988715275</x:v>
      </x:c>
      <x:c r="P1245" s="23" t="str">
        <x:v>BARUERI</x:v>
      </x:c>
      <x:c r="Q1245" s="30" t="n">
        <x:v>34498</x:v>
      </x:c>
      <x:c r="R1245" s="22" t="str">
        <x:f>"41699316"</x:f>
        <x:v>41699316</x:v>
      </x:c>
      <x:c r="S1245" s="23" t="str">
        <x:v>masculino</x:v>
      </x:c>
      <x:c r="T1245" s="22" t="str"/>
      <x:c r="U1245" s="23" t="str">
        <x:v>FERNANDO ALMEIDA MUNHOZ</x:v>
      </x:c>
      <x:c r="V1245" s="22" t="str">
        <x:f>"440.434.378-70"</x:f>
        <x:v>440.434.378-70</x:v>
      </x:c>
      <x:c r="W1245" s="22" t="str">
        <x:f>"44043437870"</x:f>
        <x:v>44043437870</x:v>
      </x:c>
      <x:c r="X1245" s="23" t="str">
        <x:v>fa5784022@gmail.com</x:v>
      </x:c>
      <x:c r="Y1245" s="22" t="str">
        <x:f>"11953239466"</x:f>
        <x:v>11953239466</x:v>
      </x:c>
      <x:c r="Z1245" s="30" t="n">
        <x:v>46268</x:v>
      </x:c>
    </x:row>
    <x:row r="1246" ht="18" customHeight="1">
      <x:c r="A1246" s="22" t="str">
        <x:f>"6e1725cd-89a2-4b8a-a391-bd8fdeb75236"</x:f>
        <x:v>6e1725cd-89a2-4b8a-a391-bd8fdeb75236</x:v>
      </x:c>
      <x:c r="B1246" s="23" t="str">
        <x:v>FERNANDO ALVES DE SOUZA</x:v>
      </x:c>
      <x:c r="C1246" s="23" t="str">
        <x:v>fernando alves de souza</x:v>
      </x:c>
      <x:c r="D1246" s="22" t="str">
        <x:f>"64.822.477/0001-35"</x:f>
        <x:v>64.822.477/0001-35</x:v>
      </x:c>
      <x:c r="E1246" s="22" t="str">
        <x:f>"64822477000135"</x:f>
        <x:v>64822477000135</x:v>
      </x:c>
      <x:c r="F1246" s="22" t="str">
        <x:f>"486.101.538-35"</x:f>
        <x:v>486.101.538-35</x:v>
      </x:c>
      <x:c r="G1246" s="22" t="str">
        <x:f>"48610153835"</x:f>
        <x:v>48610153835</x:v>
      </x:c>
      <x:c r="H1246" s="23" t="str">
        <x:v>fernandoalvesouza25@gmail.com</x:v>
      </x:c>
      <x:c r="I1246" s="22" t="str">
        <x:f>"18991742515"</x:f>
        <x:v>18991742515</x:v>
      </x:c>
      <x:c r="J1246" s="23" t="str">
        <x:v>RENTAL</x:v>
      </x:c>
      <x:c r="K1246" s="23" t="str">
        <x:v>rental_company</x:v>
      </x:c>
      <x:c r="L1246" s="24" t="b">
        <x:v>1</x:v>
      </x:c>
      <x:c r="M1246" s="23" t="n">
        <x:v>1</x:v>
      </x:c>
      <x:c r="N1246" s="28" t="n">
        <x:v>46219.812988715275</x:v>
      </x:c>
      <x:c r="O1246" s="28" t="n">
        <x:v>46219.812988715275</x:v>
      </x:c>
      <x:c r="P1246" s="23" t="str">
        <x:v>PRESIDENTE PRUDENTE</x:v>
      </x:c>
      <x:c r="Q1246" s="30" t="n">
        <x:v>38033</x:v>
      </x:c>
      <x:c r="R1246" s="22" t="str">
        <x:f>"588237759"</x:f>
        <x:v>588237759</x:v>
      </x:c>
      <x:c r="S1246" s="23" t="str">
        <x:v>masculino</x:v>
      </x:c>
      <x:c r="T1246" s="22" t="str"/>
      <x:c r="U1246" s="23" t="str">
        <x:v>FERNANDO ALVES DE SOUZA</x:v>
      </x:c>
      <x:c r="V1246" s="22" t="str">
        <x:f>"486.101.538-35"</x:f>
        <x:v>486.101.538-35</x:v>
      </x:c>
      <x:c r="W1246" s="22" t="str">
        <x:f>"48610153835"</x:f>
        <x:v>48610153835</x:v>
      </x:c>
      <x:c r="X1246" s="23" t="str">
        <x:v>fernandoalvesouza25@gmail.com</x:v>
      </x:c>
      <x:c r="Y1246" s="22" t="str">
        <x:f>"18991742515"</x:f>
        <x:v>18991742515</x:v>
      </x:c>
      <x:c r="Z1246" s="30" t="n">
        <x:v>46492</x:v>
      </x:c>
    </x:row>
    <x:row r="1247" ht="18" customHeight="1">
      <x:c r="A1247" s="22" t="str">
        <x:f>"da277006-8e3e-4f8a-8362-daeabceba4ce"</x:f>
        <x:v>da277006-8e3e-4f8a-8362-daeabceba4ce</x:v>
      </x:c>
      <x:c r="B1247" s="23" t="str">
        <x:v>FERNANDO ANTONIO NONATO DA SILVA</x:v>
      </x:c>
      <x:c r="C1247" s="23" t="str">
        <x:v>fernando antonio nonato da silva</x:v>
      </x:c>
      <x:c r="D1247" s="22" t="str">
        <x:f>"65.073.193/0001-56"</x:f>
        <x:v>65.073.193/0001-56</x:v>
      </x:c>
      <x:c r="E1247" s="22" t="str">
        <x:f>"65073193000156"</x:f>
        <x:v>65073193000156</x:v>
      </x:c>
      <x:c r="F1247" s="22" t="str">
        <x:f>"070.803.716-00"</x:f>
        <x:v>070.803.716-00</x:v>
      </x:c>
      <x:c r="G1247" s="22" t="str">
        <x:f>"07080371600"</x:f>
        <x:v>07080371600</x:v>
      </x:c>
      <x:c r="H1247" s="23" t="str">
        <x:v>fernandononato961@gmail.com</x:v>
      </x:c>
      <x:c r="I1247" s="22" t="str">
        <x:f>"31997002253"</x:f>
        <x:v>31997002253</x:v>
      </x:c>
      <x:c r="J1247" s="23" t="str">
        <x:v>SPOT</x:v>
      </x:c>
      <x:c r="K1247" s="23" t="str">
        <x:v>favored_only</x:v>
      </x:c>
      <x:c r="L1247" s="24" t="b">
        <x:v>1</x:v>
      </x:c>
      <x:c r="M1247" s="23" t="n">
        <x:v>1</x:v>
      </x:c>
      <x:c r="N1247" s="28" t="n">
        <x:v>46203.92191240741</x:v>
      </x:c>
      <x:c r="O1247" s="28" t="n">
        <x:v>46219.812988715275</x:v>
      </x:c>
      <x:c r="P1247" s="23" t="str">
        <x:v>NOVA LIMA</x:v>
      </x:c>
      <x:c r="Q1247" s="30" t="n">
        <x:v>31771</x:v>
      </x:c>
      <x:c r="R1247" s="22" t="str">
        <x:f>"14245500"</x:f>
        <x:v>14245500</x:v>
      </x:c>
      <x:c r="S1247" s="23" t="str">
        <x:v>masculino</x:v>
      </x:c>
      <x:c r="T1247" s="22" t="str">
        <x:f>"QXE0667"</x:f>
        <x:v>QXE0667</x:v>
      </x:c>
      <x:c r="U1247" s="23" t="str">
        <x:v>FERNANDO ANTONIO NONATO DA SILVA</x:v>
      </x:c>
      <x:c r="V1247" s="22" t="str">
        <x:f>"070.803.716-00"</x:f>
        <x:v>070.803.716-00</x:v>
      </x:c>
      <x:c r="W1247" s="22" t="str">
        <x:f>"07080371600"</x:f>
        <x:v>07080371600</x:v>
      </x:c>
      <x:c r="X1247" s="23" t="str">
        <x:v>fernandononato961@gmail.com</x:v>
      </x:c>
      <x:c r="Y1247" s="22" t="str">
        <x:f>"31997002253"</x:f>
        <x:v>31997002253</x:v>
      </x:c>
      <x:c r="Z1247" s="30" t="str"/>
    </x:row>
    <x:row r="1248" ht="18" customHeight="1">
      <x:c r="A1248" s="22" t="str">
        <x:f>"97cea14f-604e-4560-9c97-3e179fce9a9b"</x:f>
        <x:v>97cea14f-604e-4560-9c97-3e179fce9a9b</x:v>
      </x:c>
      <x:c r="B1248" s="23" t="str">
        <x:v>FERNANDO ARVELOS MIRANDA</x:v>
      </x:c>
      <x:c r="C1248" s="23" t="str">
        <x:v>fernando arvelos miranda</x:v>
      </x:c>
      <x:c r="D1248" s="22" t="str">
        <x:f>"63.819.327/0001-00"</x:f>
        <x:v>63.819.327/0001-00</x:v>
      </x:c>
      <x:c r="E1248" s="22" t="str">
        <x:f>"63819327000100"</x:f>
        <x:v>63819327000100</x:v>
      </x:c>
      <x:c r="F1248" s="22" t="str">
        <x:f>"073.516.936-50"</x:f>
        <x:v>073.516.936-50</x:v>
      </x:c>
      <x:c r="G1248" s="22" t="str">
        <x:f>"07351693650"</x:f>
        <x:v>07351693650</x:v>
      </x:c>
      <x:c r="H1248" s="23" t="str">
        <x:v>fernandoarvelos1@gmail.com</x:v>
      </x:c>
      <x:c r="I1248" s="22" t="str">
        <x:f>"34991229504"</x:f>
        <x:v>34991229504</x:v>
      </x:c>
      <x:c r="J1248" s="23" t="str">
        <x:v>RENTAL</x:v>
      </x:c>
      <x:c r="K1248" s="23" t="str">
        <x:v>rental_company</x:v>
      </x:c>
      <x:c r="L1248" s="24" t="b">
        <x:v>1</x:v>
      </x:c>
      <x:c r="M1248" s="23" t="n">
        <x:v>1</x:v>
      </x:c>
      <x:c r="N1248" s="28" t="n">
        <x:v>46219.812988715275</x:v>
      </x:c>
      <x:c r="O1248" s="28" t="n">
        <x:v>46219.812988715275</x:v>
      </x:c>
      <x:c r="P1248" s="23" t="str">
        <x:v>UBERLANDIA</x:v>
      </x:c>
      <x:c r="Q1248" s="30" t="n">
        <x:v>31261</x:v>
      </x:c>
      <x:c r="R1248" s="22" t="str">
        <x:f>"12466481"</x:f>
        <x:v>12466481</x:v>
      </x:c>
      <x:c r="S1248" s="23" t="str">
        <x:v>masculino</x:v>
      </x:c>
      <x:c r="T1248" s="22" t="str"/>
      <x:c r="U1248" s="23" t="str">
        <x:v>FERNANDO ARVELOS MIRANDA</x:v>
      </x:c>
      <x:c r="V1248" s="22" t="str">
        <x:f>"073.516.936-50"</x:f>
        <x:v>073.516.936-50</x:v>
      </x:c>
      <x:c r="W1248" s="22" t="str">
        <x:f>"07351693650"</x:f>
        <x:v>07351693650</x:v>
      </x:c>
      <x:c r="X1248" s="23" t="str">
        <x:v>fernandoarvelos1@gmail.com</x:v>
      </x:c>
      <x:c r="Y1248" s="22" t="str">
        <x:f>"34991229504"</x:f>
        <x:v>34991229504</x:v>
      </x:c>
      <x:c r="Z1248" s="30" t="n">
        <x:v>46494</x:v>
      </x:c>
    </x:row>
    <x:row r="1249" ht="18" customHeight="1">
      <x:c r="A1249" s="22" t="str">
        <x:f>"d240e027-78be-45c5-9f3b-2a0ff82ccd49"</x:f>
        <x:v>d240e027-78be-45c5-9f3b-2a0ff82ccd49</x:v>
      </x:c>
      <x:c r="B1249" s="23" t="str">
        <x:v>FERNANDO AUGUSTO ASSIS COSTA</x:v>
      </x:c>
      <x:c r="C1249" s="23" t="str">
        <x:v>fernando augusto assis costa</x:v>
      </x:c>
      <x:c r="D1249" s="22" t="str">
        <x:f>"45.817.915/0001-22"</x:f>
        <x:v>45.817.915/0001-22</x:v>
      </x:c>
      <x:c r="E1249" s="22" t="str">
        <x:f>"45817915000122"</x:f>
        <x:v>45817915000122</x:v>
      </x:c>
      <x:c r="F1249" s="22" t="str">
        <x:f>"072.731.076-38"</x:f>
        <x:v>072.731.076-38</x:v>
      </x:c>
      <x:c r="G1249" s="22" t="str">
        <x:f>"07273107638"</x:f>
        <x:v>07273107638</x:v>
      </x:c>
      <x:c r="H1249" s="23" t="str">
        <x:v>nando1assis@gmail.com</x:v>
      </x:c>
      <x:c r="I1249" s="22" t="str">
        <x:f>"31973393843"</x:f>
        <x:v>31973393843</x:v>
      </x:c>
      <x:c r="J1249" s="23" t="str">
        <x:v>RENTAL</x:v>
      </x:c>
      <x:c r="K1249" s="23" t="str">
        <x:v>rental_company</x:v>
      </x:c>
      <x:c r="L1249" s="24" t="b">
        <x:v>1</x:v>
      </x:c>
      <x:c r="M1249" s="23" t="n">
        <x:v>1</x:v>
      </x:c>
      <x:c r="N1249" s="28" t="n">
        <x:v>46203.921852962965</x:v>
      </x:c>
      <x:c r="O1249" s="28" t="n">
        <x:v>46219.812988715275</x:v>
      </x:c>
      <x:c r="P1249" s="23" t="str">
        <x:v>CONTAGEM</x:v>
      </x:c>
      <x:c r="Q1249" s="30" t="n">
        <x:v>30792</x:v>
      </x:c>
      <x:c r="R1249" s="22" t="str">
        <x:f>"1067397"</x:f>
        <x:v>1067397</x:v>
      </x:c>
      <x:c r="S1249" s="23" t="str">
        <x:v>masculino</x:v>
      </x:c>
      <x:c r="T1249" s="22" t="str"/>
      <x:c r="U1249" s="23" t="str">
        <x:v>FERNANDO AUGUSTO ASSIS COSTA</x:v>
      </x:c>
      <x:c r="V1249" s="22" t="str">
        <x:f>"072.731.076-38"</x:f>
        <x:v>072.731.076-38</x:v>
      </x:c>
      <x:c r="W1249" s="22" t="str">
        <x:f>"07273107638"</x:f>
        <x:v>07273107638</x:v>
      </x:c>
      <x:c r="X1249" s="23" t="str">
        <x:v>nando1assis@gmail.com</x:v>
      </x:c>
      <x:c r="Y1249" s="22" t="str">
        <x:f>"31973393843"</x:f>
        <x:v>31973393843</x:v>
      </x:c>
      <x:c r="Z1249" s="30" t="n">
        <x:v>46242</x:v>
      </x:c>
    </x:row>
    <x:row r="1250" ht="18" customHeight="1">
      <x:c r="A1250" s="22" t="str">
        <x:f>"2419c501-adc3-40d7-88a0-f4fd31761bf7"</x:f>
        <x:v>2419c501-adc3-40d7-88a0-f4fd31761bf7</x:v>
      </x:c>
      <x:c r="B1250" s="23" t="str">
        <x:v>FERNANDO AUGUSTO SIMAM PEREIRA</x:v>
      </x:c>
      <x:c r="C1250" s="23" t="str">
        <x:v>fernando augusto simam pereira</x:v>
      </x:c>
      <x:c r="D1250" s="22" t="str">
        <x:f>"59.094.939/0001-05"</x:f>
        <x:v>59.094.939/0001-05</x:v>
      </x:c>
      <x:c r="E1250" s="22" t="str">
        <x:f>"59094939000105"</x:f>
        <x:v>59094939000105</x:v>
      </x:c>
      <x:c r="F1250" s="22" t="str">
        <x:f>"020.649.726-17"</x:f>
        <x:v>020.649.726-17</x:v>
      </x:c>
      <x:c r="G1250" s="22" t="str">
        <x:f>"02064972617"</x:f>
        <x:v>02064972617</x:v>
      </x:c>
      <x:c r="H1250" s="23" t="str">
        <x:v>nandopsiman@hotmail.com</x:v>
      </x:c>
      <x:c r="I1250" s="22" t="str">
        <x:f>"+55 31 9906-8400"</x:f>
        <x:v>+55 31 9906-8400</x:v>
      </x:c>
      <x:c r="J1250" s="23" t="str">
        <x:v>SPOT</x:v>
      </x:c>
      <x:c r="K1250" s="23" t="str">
        <x:v>favored_only</x:v>
      </x:c>
      <x:c r="L1250" s="24" t="b">
        <x:v>1</x:v>
      </x:c>
      <x:c r="M1250" s="23" t="n">
        <x:v>1</x:v>
      </x:c>
      <x:c r="N1250" s="28" t="n">
        <x:v>46203.9218771875</x:v>
      </x:c>
      <x:c r="O1250" s="28" t="n">
        <x:v>46219.812988715275</x:v>
      </x:c>
      <x:c r="P1250" s="23" t="str">
        <x:v>IPATINGA</x:v>
      </x:c>
      <x:c r="Q1250" s="30" t="n">
        <x:v>36573</x:v>
      </x:c>
      <x:c r="R1250" s="22" t="str">
        <x:f>"20131616"</x:f>
        <x:v>20131616</x:v>
      </x:c>
      <x:c r="S1250" s="23" t="str">
        <x:v>masculino</x:v>
      </x:c>
      <x:c r="T1250" s="22" t="str">
        <x:f>"HCW4I77"</x:f>
        <x:v>HCW4I77</x:v>
      </x:c>
      <x:c r="U1250" s="23" t="str">
        <x:v>FERNANDO AUGUSTO SIMAM PEREIRA</x:v>
      </x:c>
      <x:c r="V1250" s="22" t="str">
        <x:f>"020.649.726-17"</x:f>
        <x:v>020.649.726-17</x:v>
      </x:c>
      <x:c r="W1250" s="22" t="str">
        <x:f>"02064972617"</x:f>
        <x:v>02064972617</x:v>
      </x:c>
      <x:c r="X1250" s="23" t="str">
        <x:v>nandopsiman@hotmail.com</x:v>
      </x:c>
      <x:c r="Y1250" s="22" t="str">
        <x:f>"31 9906-8400"</x:f>
        <x:v>31 9906-8400</x:v>
      </x:c>
      <x:c r="Z1250" s="30" t="n">
        <x:v>46308</x:v>
      </x:c>
    </x:row>
    <x:row r="1251" ht="18" customHeight="1">
      <x:c r="A1251" s="22" t="str">
        <x:f>"b7c43fb4-96d5-4613-a256-62b18ef01b74"</x:f>
        <x:v>b7c43fb4-96d5-4613-a256-62b18ef01b74</x:v>
      </x:c>
      <x:c r="B1251" s="23" t="str">
        <x:v>FERNANDO BITTENCOURT DE FREITAS ZANDONA</x:v>
      </x:c>
      <x:c r="C1251" s="23" t="str">
        <x:v>fernando bittencourt de freitas zandona</x:v>
      </x:c>
      <x:c r="D1251" s="22" t="str">
        <x:f>"44.001.285/0001-50"</x:f>
        <x:v>44.001.285/0001-50</x:v>
      </x:c>
      <x:c r="E1251" s="22" t="str">
        <x:f>"44001285000150"</x:f>
        <x:v>44001285000150</x:v>
      </x:c>
      <x:c r="F1251" s="22" t="str">
        <x:f>"405.632.978-83"</x:f>
        <x:v>405.632.978-83</x:v>
      </x:c>
      <x:c r="G1251" s="22" t="str">
        <x:f>"40563297883"</x:f>
        <x:v>40563297883</x:v>
      </x:c>
      <x:c r="H1251" s="23" t="str">
        <x:v>fernandohehehe@gmail.com</x:v>
      </x:c>
      <x:c r="I1251" s="22" t="str">
        <x:f>"11971011418"</x:f>
        <x:v>11971011418</x:v>
      </x:c>
      <x:c r="J1251" s="23" t="str">
        <x:v>SPOT</x:v>
      </x:c>
      <x:c r="K1251" s="23" t="str">
        <x:v>favored_only</x:v>
      </x:c>
      <x:c r="L1251" s="24" t="b">
        <x:v>1</x:v>
      </x:c>
      <x:c r="M1251" s="23" t="n">
        <x:v>1</x:v>
      </x:c>
      <x:c r="N1251" s="28" t="n">
        <x:v>46219.812988715275</x:v>
      </x:c>
      <x:c r="O1251" s="28" t="n">
        <x:v>46219.812988715275</x:v>
      </x:c>
      <x:c r="P1251" s="23" t="str">
        <x:v>BARUERI</x:v>
      </x:c>
      <x:c r="Q1251" s="30" t="n">
        <x:v>34381</x:v>
      </x:c>
      <x:c r="R1251" s="22" t="str">
        <x:f>"406937722"</x:f>
        <x:v>406937722</x:v>
      </x:c>
      <x:c r="S1251" s="23" t="str">
        <x:v>masculino</x:v>
      </x:c>
      <x:c r="T1251" s="22" t="str">
        <x:f>"KRA6H43"</x:f>
        <x:v>KRA6H43</x:v>
      </x:c>
      <x:c r="U1251" s="23" t="str">
        <x:v>FERNANDO BITTENCOURT DE FREITAS ZANDONA</x:v>
      </x:c>
      <x:c r="V1251" s="22" t="str">
        <x:f>"405.632.978-83"</x:f>
        <x:v>405.632.978-83</x:v>
      </x:c>
      <x:c r="W1251" s="22" t="str">
        <x:f>"40563297883"</x:f>
        <x:v>40563297883</x:v>
      </x:c>
      <x:c r="X1251" s="23" t="str">
        <x:v>fernandohehehe@gmail.com</x:v>
      </x:c>
      <x:c r="Y1251" s="22" t="str">
        <x:f>"11971011418"</x:f>
        <x:v>11971011418</x:v>
      </x:c>
      <x:c r="Z1251" s="30" t="n">
        <x:v>46438</x:v>
      </x:c>
    </x:row>
    <x:row r="1252" ht="18" customHeight="1">
      <x:c r="A1252" s="22" t="str">
        <x:f>"208d956f-37bd-40d6-b437-4e32714e8e24"</x:f>
        <x:v>208d956f-37bd-40d6-b437-4e32714e8e24</x:v>
      </x:c>
      <x:c r="B1252" s="23" t="str">
        <x:v>FERNANDO DA SILVA CAMELO</x:v>
      </x:c>
      <x:c r="C1252" s="23" t="str">
        <x:v>fernando da silva camelo</x:v>
      </x:c>
      <x:c r="D1252" s="22" t="str">
        <x:f>"45.523.919/0001-06"</x:f>
        <x:v>45.523.919/0001-06</x:v>
      </x:c>
      <x:c r="E1252" s="22" t="str">
        <x:f>"45523919000106"</x:f>
        <x:v>45523919000106</x:v>
      </x:c>
      <x:c r="F1252" s="22" t="str">
        <x:f>"296.718.681-34"</x:f>
        <x:v>296.718.681-34</x:v>
      </x:c>
      <x:c r="G1252" s="22" t="str">
        <x:f>"29671868134"</x:f>
        <x:v>29671868134</x:v>
      </x:c>
      <x:c r="H1252" s="23" t="str">
        <x:v>to.fernando@hotmail.com</x:v>
      </x:c>
      <x:c r="I1252" s="22" t="str">
        <x:f>"62985406610"</x:f>
        <x:v>62985406610</x:v>
      </x:c>
      <x:c r="J1252" s="23" t="str">
        <x:v>SPOT</x:v>
      </x:c>
      <x:c r="K1252" s="23" t="str">
        <x:v>favored_only</x:v>
      </x:c>
      <x:c r="L1252" s="24" t="b">
        <x:v>1</x:v>
      </x:c>
      <x:c r="M1252" s="23" t="n">
        <x:v>1</x:v>
      </x:c>
      <x:c r="N1252" s="28" t="n">
        <x:v>46205.604581168984</x:v>
      </x:c>
      <x:c r="O1252" s="28" t="n">
        <x:v>46219.812988715275</x:v>
      </x:c>
      <x:c r="P1252" s="23" t="str">
        <x:v>MOZARLANDIA</x:v>
      </x:c>
      <x:c r="Q1252" s="30" t="n">
        <x:v>23660</x:v>
      </x:c>
      <x:c r="R1252" s="22" t="str">
        <x:f>"673721 SSP DF"</x:f>
        <x:v>673721 SSP DF</x:v>
      </x:c>
      <x:c r="S1252" s="23" t="str">
        <x:v>masculino</x:v>
      </x:c>
      <x:c r="T1252" s="22" t="str">
        <x:f>"RNI9J35"</x:f>
        <x:v>RNI9J35</x:v>
      </x:c>
      <x:c r="U1252" s="23" t="str">
        <x:v>CLEYTON BORGES CARDOSO JUNIOR</x:v>
      </x:c>
      <x:c r="V1252" s="22" t="str">
        <x:f>"064.035.101-85"</x:f>
        <x:v>064.035.101-85</x:v>
      </x:c>
      <x:c r="W1252" s="22" t="str">
        <x:f>"06403510185"</x:f>
        <x:v>06403510185</x:v>
      </x:c>
      <x:c r="X1252" s="23" t="str">
        <x:v>cleytonjunior.com@hotmail.com</x:v>
      </x:c>
      <x:c r="Y1252" s="22" t="str">
        <x:f>"62985749961"</x:f>
        <x:v>62985749961</x:v>
      </x:c>
      <x:c r="Z1252" s="30" t="n">
        <x:v>46283</x:v>
      </x:c>
    </x:row>
    <x:row r="1253" ht="18" customHeight="1">
      <x:c r="A1253" s="22" t="str">
        <x:f>"8fe060f6-cac5-46d3-ba22-55ed367d0076"</x:f>
        <x:v>8fe060f6-cac5-46d3-ba22-55ed367d0076</x:v>
      </x:c>
      <x:c r="B1253" s="23" t="str">
        <x:v>FERNANDO DA SILVA FERREIRA</x:v>
      </x:c>
      <x:c r="C1253" s="23" t="str">
        <x:v>fernando da silva ferreira</x:v>
      </x:c>
      <x:c r="D1253" s="22" t="str">
        <x:f>"21.180.859/0001-08"</x:f>
        <x:v>21.180.859/0001-08</x:v>
      </x:c>
      <x:c r="E1253" s="22" t="str">
        <x:f>"21180859000108"</x:f>
        <x:v>21180859000108</x:v>
      </x:c>
      <x:c r="F1253" s="22" t="str">
        <x:f>"386.251.038-71"</x:f>
        <x:v>386.251.038-71</x:v>
      </x:c>
      <x:c r="G1253" s="22" t="str">
        <x:f>"38625103871"</x:f>
        <x:v>38625103871</x:v>
      </x:c>
      <x:c r="H1253" s="23" t="str">
        <x:v>bola1313.nego@gmail.com</x:v>
      </x:c>
      <x:c r="I1253" s="22" t="str">
        <x:f>"18988133804"</x:f>
        <x:v>18988133804</x:v>
      </x:c>
      <x:c r="J1253" s="23" t="str">
        <x:v>RENTAL</x:v>
      </x:c>
      <x:c r="K1253" s="23" t="str">
        <x:v>rental_company</x:v>
      </x:c>
      <x:c r="L1253" s="24" t="b">
        <x:v>1</x:v>
      </x:c>
      <x:c r="M1253" s="23" t="n">
        <x:v>1</x:v>
      </x:c>
      <x:c r="N1253" s="28" t="n">
        <x:v>46219.812988715275</x:v>
      </x:c>
      <x:c r="O1253" s="28" t="n">
        <x:v>46219.812988715275</x:v>
      </x:c>
      <x:c r="P1253" s="23" t="str">
        <x:v>PRESIDENTE PRUDENTE</x:v>
      </x:c>
      <x:c r="Q1253" s="30" t="n">
        <x:v>33277</x:v>
      </x:c>
      <x:c r="R1253" s="22" t="str">
        <x:f>"477440186"</x:f>
        <x:v>477440186</x:v>
      </x:c>
      <x:c r="S1253" s="23" t="str">
        <x:v>masculino</x:v>
      </x:c>
      <x:c r="T1253" s="22" t="str"/>
      <x:c r="U1253" s="23" t="str">
        <x:v>FERNANDO DA SILVA FERREIRA</x:v>
      </x:c>
      <x:c r="V1253" s="22" t="str">
        <x:f>"386.251.038-71"</x:f>
        <x:v>386.251.038-71</x:v>
      </x:c>
      <x:c r="W1253" s="22" t="str">
        <x:f>"38625103871"</x:f>
        <x:v>38625103871</x:v>
      </x:c>
      <x:c r="X1253" s="23" t="str">
        <x:v>bola1313.nego@gmail.com</x:v>
      </x:c>
      <x:c r="Y1253" s="22" t="str">
        <x:f>"18988133804"</x:f>
        <x:v>18988133804</x:v>
      </x:c>
      <x:c r="Z1253" s="30" t="n">
        <x:v>46439</x:v>
      </x:c>
    </x:row>
    <x:row r="1254" ht="18" customHeight="1">
      <x:c r="A1254" s="22" t="str">
        <x:f>"cfcc3e7a-3aab-43b9-95c5-c4c49348b931"</x:f>
        <x:v>cfcc3e7a-3aab-43b9-95c5-c4c49348b931</x:v>
      </x:c>
      <x:c r="B1254" s="23" t="str">
        <x:v>FERNANDO DE SOUZA MOTA</x:v>
      </x:c>
      <x:c r="C1254" s="23" t="str">
        <x:v>fernando de souza mota</x:v>
      </x:c>
      <x:c r="D1254" s="22" t="str">
        <x:f>"57.525.353/0001-22"</x:f>
        <x:v>57.525.353/0001-22</x:v>
      </x:c>
      <x:c r="E1254" s="22" t="str">
        <x:f>"57525353000122"</x:f>
        <x:v>57525353000122</x:v>
      </x:c>
      <x:c r="F1254" s="22" t="str">
        <x:f>"188.292.037-69"</x:f>
        <x:v>188.292.037-69</x:v>
      </x:c>
      <x:c r="G1254" s="22" t="str">
        <x:f>"18829203769"</x:f>
        <x:v>18829203769</x:v>
      </x:c>
      <x:c r="H1254" s="23" t="str">
        <x:v>fernandinhomota4@gmail.com</x:v>
      </x:c>
      <x:c r="I1254" s="22" t="str">
        <x:f>"22992169576"</x:f>
        <x:v>22992169576</x:v>
      </x:c>
      <x:c r="J1254" s="23" t="str">
        <x:v>SPOT</x:v>
      </x:c>
      <x:c r="K1254" s="23" t="str">
        <x:v>favored_only</x:v>
      </x:c>
      <x:c r="L1254" s="24" t="b">
        <x:v>1</x:v>
      </x:c>
      <x:c r="M1254" s="23" t="n">
        <x:v>1</x:v>
      </x:c>
      <x:c r="N1254" s="28" t="n">
        <x:v>46205.60448959491</x:v>
      </x:c>
      <x:c r="O1254" s="28" t="n">
        <x:v>46219.812988715275</x:v>
      </x:c>
      <x:c r="P1254" s="23" t="str">
        <x:v>CAMPOS DOS GOYTACAZES</x:v>
      </x:c>
      <x:c r="Q1254" s="30" t="n">
        <x:v>37636</x:v>
      </x:c>
      <x:c r="R1254" s="22" t="str">
        <x:f>"320165681"</x:f>
        <x:v>320165681</x:v>
      </x:c>
      <x:c r="S1254" s="23" t="str">
        <x:v>masculino</x:v>
      </x:c>
      <x:c r="T1254" s="22" t="str">
        <x:f>"HAQ9H98"</x:f>
        <x:v>HAQ9H98</x:v>
      </x:c>
      <x:c r="U1254" s="23" t="str">
        <x:v>EDUARDO MOORE RODRIGUES</x:v>
      </x:c>
      <x:c r="V1254" s="22" t="str">
        <x:f>"120.058.487-27"</x:f>
        <x:v>120.058.487-27</x:v>
      </x:c>
      <x:c r="W1254" s="22" t="str">
        <x:f>"12005848727"</x:f>
        <x:v>12005848727</x:v>
      </x:c>
      <x:c r="X1254" s="23" t="str">
        <x:v>moore.edu@gmail.com</x:v>
      </x:c>
      <x:c r="Y1254" s="22" t="str">
        <x:f>"22998411407"</x:f>
        <x:v>22998411407</x:v>
      </x:c>
      <x:c r="Z1254" s="30" t="n">
        <x:v>46280</x:v>
      </x:c>
    </x:row>
    <x:row r="1255" ht="18" customHeight="1">
      <x:c r="A1255" s="22" t="str">
        <x:f>"f57a4a58-4868-4a36-8824-41cf1104bdc6"</x:f>
        <x:v>f57a4a58-4868-4a36-8824-41cf1104bdc6</x:v>
      </x:c>
      <x:c r="B1255" s="23" t="str">
        <x:v>FERNANDO DE SOUZA MOTA</x:v>
      </x:c>
      <x:c r="C1255" s="23" t="str">
        <x:v>fernando de souza mota</x:v>
      </x:c>
      <x:c r="D1255" s="22" t="str">
        <x:f>"62.670.317/0001-92"</x:f>
        <x:v>62.670.317/0001-92</x:v>
      </x:c>
      <x:c r="E1255" s="22" t="str">
        <x:f>"62670317000192"</x:f>
        <x:v>62670317000192</x:v>
      </x:c>
      <x:c r="F1255" s="22" t="str">
        <x:f>"188.292.037-69"</x:f>
        <x:v>188.292.037-69</x:v>
      </x:c>
      <x:c r="G1255" s="22" t="str">
        <x:f>"18829203769"</x:f>
        <x:v>18829203769</x:v>
      </x:c>
      <x:c r="H1255" s="23" t="str">
        <x:v>fernandinhomota@gmail.com</x:v>
      </x:c>
      <x:c r="I1255" s="22" t="str">
        <x:f>"22992169576"</x:f>
        <x:v>22992169576</x:v>
      </x:c>
      <x:c r="J1255" s="23" t="str">
        <x:v>SPOT</x:v>
      </x:c>
      <x:c r="K1255" s="23" t="str">
        <x:v>favored_only</x:v>
      </x:c>
      <x:c r="L1255" s="24" t="b">
        <x:v>1</x:v>
      </x:c>
      <x:c r="M1255" s="23" t="n">
        <x:v>1</x:v>
      </x:c>
      <x:c r="N1255" s="28" t="n">
        <x:v>46205.60457887731</x:v>
      </x:c>
      <x:c r="O1255" s="28" t="n">
        <x:v>46219.812988715275</x:v>
      </x:c>
      <x:c r="P1255" s="23" t="str">
        <x:v>CAMPOS DOS GOYTACAZES</x:v>
      </x:c>
      <x:c r="Q1255" s="30" t="n">
        <x:v>37636</x:v>
      </x:c>
      <x:c r="R1255" s="22" t="str">
        <x:f>"320165681"</x:f>
        <x:v>320165681</x:v>
      </x:c>
      <x:c r="S1255" s="23" t="str">
        <x:v>masculino</x:v>
      </x:c>
      <x:c r="T1255" s="22" t="str">
        <x:f>"HAQ9H98"</x:f>
        <x:v>HAQ9H98</x:v>
      </x:c>
      <x:c r="U1255" s="23" t="str">
        <x:v>SUZANNA DIAS GOMES</x:v>
      </x:c>
      <x:c r="V1255" s="22" t="str">
        <x:f>"145.684.097-56"</x:f>
        <x:v>145.684.097-56</x:v>
      </x:c>
      <x:c r="W1255" s="22" t="str">
        <x:f>"14568409756"</x:f>
        <x:v>14568409756</x:v>
      </x:c>
      <x:c r="X1255" s="23" t="str">
        <x:v>suzannadgomesz@gmail.com</x:v>
      </x:c>
      <x:c r="Y1255" s="22" t="str">
        <x:f>"22999662050"</x:f>
        <x:v>22999662050</x:v>
      </x:c>
      <x:c r="Z1255" s="30" t="n">
        <x:v>46280</x:v>
      </x:c>
    </x:row>
    <x:row r="1256" ht="18" customHeight="1">
      <x:c r="A1256" s="22" t="str">
        <x:f>"154e2981-015f-45f8-9626-afd63bcb2f78"</x:f>
        <x:v>154e2981-015f-45f8-9626-afd63bcb2f78</x:v>
      </x:c>
      <x:c r="B1256" s="23" t="str">
        <x:v>FERNANDO DE SOUZA PACHECO</x:v>
      </x:c>
      <x:c r="C1256" s="23" t="str">
        <x:v>fernando de souza pacheco</x:v>
      </x:c>
      <x:c r="D1256" s="22" t="str">
        <x:f>"67.618.956/0001-22"</x:f>
        <x:v>67.618.956/0001-22</x:v>
      </x:c>
      <x:c r="E1256" s="22" t="str">
        <x:f>"67618956000122"</x:f>
        <x:v>67618956000122</x:v>
      </x:c>
      <x:c r="F1256" s="22" t="str">
        <x:f>"064.262.696-03"</x:f>
        <x:v>064.262.696-03</x:v>
      </x:c>
      <x:c r="G1256" s="22" t="str">
        <x:f>"06426269603"</x:f>
        <x:v>06426269603</x:v>
      </x:c>
      <x:c r="H1256" s="23" t="str">
        <x:v>nandoriquelme86@gmail.com</x:v>
      </x:c>
      <x:c r="I1256" s="22" t="str">
        <x:f>"34999690165"</x:f>
        <x:v>34999690165</x:v>
      </x:c>
      <x:c r="J1256" s="23" t="str">
        <x:v>spot</x:v>
      </x:c>
      <x:c r="K1256" s="23" t="str">
        <x:v>favored_only</x:v>
      </x:c>
      <x:c r="L1256" s="24" t="b">
        <x:v>1</x:v>
      </x:c>
      <x:c r="M1256" s="23" t="n">
        <x:v>1</x:v>
      </x:c>
      <x:c r="N1256" s="28" t="n">
        <x:v>46219.812988715275</x:v>
      </x:c>
      <x:c r="O1256" s="28" t="n">
        <x:v>46219.812988715275</x:v>
      </x:c>
      <x:c r="P1256" s="23" t="str">
        <x:v>UBERLANDIA</x:v>
      </x:c>
      <x:c r="Q1256" s="30" t="n">
        <x:v>31210</x:v>
      </x:c>
      <x:c r="R1256" s="22" t="str">
        <x:f>"12806675"</x:f>
        <x:v>12806675</x:v>
      </x:c>
      <x:c r="S1256" s="23" t="str">
        <x:v>masculino</x:v>
      </x:c>
      <x:c r="T1256" s="22" t="str">
        <x:f>"PBV7D01"</x:f>
        <x:v>PBV7D01</x:v>
      </x:c>
      <x:c r="U1256" s="23" t="str">
        <x:v>FERNANDO DE SOUZA PACHECO</x:v>
      </x:c>
      <x:c r="V1256" s="22" t="str">
        <x:f>"064.262.696-03"</x:f>
        <x:v>064.262.696-03</x:v>
      </x:c>
      <x:c r="W1256" s="22" t="str">
        <x:f>"06426269603"</x:f>
        <x:v>06426269603</x:v>
      </x:c>
      <x:c r="X1256" s="23" t="str">
        <x:v>nandoriquelme86@gmail.com</x:v>
      </x:c>
      <x:c r="Y1256" s="22" t="str">
        <x:f>"34999690165"</x:f>
        <x:v>34999690165</x:v>
      </x:c>
      <x:c r="Z1256" s="30" t="n">
        <x:v>46569</x:v>
      </x:c>
    </x:row>
    <x:row r="1257" ht="18" customHeight="1">
      <x:c r="A1257" s="22" t="str">
        <x:f>"09049cd9-2862-4c9b-8fa3-1e43426dacbc"</x:f>
        <x:v>09049cd9-2862-4c9b-8fa3-1e43426dacbc</x:v>
      </x:c>
      <x:c r="B1257" s="23" t="str">
        <x:v>FERNANDO FERNANDES SANTANA</x:v>
      </x:c>
      <x:c r="C1257" s="23" t="str">
        <x:v>fernando fernandes santana</x:v>
      </x:c>
      <x:c r="D1257" s="22" t="str">
        <x:f>"53.093.080/0001-33"</x:f>
        <x:v>53.093.080/0001-33</x:v>
      </x:c>
      <x:c r="E1257" s="22" t="str">
        <x:f>"53093080000133"</x:f>
        <x:v>53093080000133</x:v>
      </x:c>
      <x:c r="F1257" s="22" t="str">
        <x:f>"029.473.451-18"</x:f>
        <x:v>029.473.451-18</x:v>
      </x:c>
      <x:c r="G1257" s="22" t="str">
        <x:f>"02947345118"</x:f>
        <x:v>02947345118</x:v>
      </x:c>
      <x:c r="H1257" s="23" t="str">
        <x:v>fernando51fernandes@hotmail.com</x:v>
      </x:c>
      <x:c r="I1257" s="22" t="str">
        <x:f>"679938-0798"</x:f>
        <x:v>679938-0798</x:v>
      </x:c>
      <x:c r="J1257" s="23" t="str">
        <x:v>spot</x:v>
      </x:c>
      <x:c r="K1257" s="23" t="str">
        <x:v>favored_only</x:v>
      </x:c>
      <x:c r="L1257" s="24" t="b">
        <x:v>1</x:v>
      </x:c>
      <x:c r="M1257" s="23" t="n">
        <x:v>1</x:v>
      </x:c>
      <x:c r="N1257" s="28" t="n">
        <x:v>46219.812988715275</x:v>
      </x:c>
      <x:c r="O1257" s="28" t="n">
        <x:v>46219.812988715275</x:v>
      </x:c>
      <x:c r="P1257" s="23" t="str">
        <x:v>CHAPADÃO DO SUL</x:v>
      </x:c>
      <x:c r="Q1257" s="30" t="n">
        <x:v>32864</x:v>
      </x:c>
      <x:c r="R1257" s="22" t="str">
        <x:f>"1671315"</x:f>
        <x:v>1671315</x:v>
      </x:c>
      <x:c r="S1257" s="23" t="str">
        <x:v>masculino</x:v>
      </x:c>
      <x:c r="T1257" s="22" t="str">
        <x:f>"SMC7J52"</x:f>
        <x:v>SMC7J52</x:v>
      </x:c>
      <x:c r="U1257" s="23" t="str">
        <x:v>FERNANDO FERNANDES SANTANA</x:v>
      </x:c>
      <x:c r="V1257" s="22" t="str">
        <x:f>"029.473.451-18"</x:f>
        <x:v>029.473.451-18</x:v>
      </x:c>
      <x:c r="W1257" s="22" t="str">
        <x:f>"02947345118"</x:f>
        <x:v>02947345118</x:v>
      </x:c>
      <x:c r="X1257" s="23" t="str">
        <x:v>fernando51fernandes@hotmail.com</x:v>
      </x:c>
      <x:c r="Y1257" s="22" t="str">
        <x:f>"679938-0798"</x:f>
        <x:v>679938-0798</x:v>
      </x:c>
      <x:c r="Z1257" s="30" t="n">
        <x:v>46581</x:v>
      </x:c>
    </x:row>
    <x:row r="1258" ht="18" customHeight="1">
      <x:c r="A1258" s="22" t="str">
        <x:f>"c26144a3-bb59-421a-8651-2910fe220c76"</x:f>
        <x:v>c26144a3-bb59-421a-8651-2910fe220c76</x:v>
      </x:c>
      <x:c r="B1258" s="23" t="str">
        <x:v>FERNANDO HENRIQUE COSTA CAMILLO</x:v>
      </x:c>
      <x:c r="C1258" s="23" t="str">
        <x:v>fernando henrique costa camillo</x:v>
      </x:c>
      <x:c r="D1258" s="22" t="str">
        <x:f>"33.522.837/0001-50"</x:f>
        <x:v>33.522.837/0001-50</x:v>
      </x:c>
      <x:c r="E1258" s="22" t="str">
        <x:f>"33522837000150"</x:f>
        <x:v>33522837000150</x:v>
      </x:c>
      <x:c r="F1258" s="22" t="str">
        <x:f>"406.463.488-84"</x:f>
        <x:v>406.463.488-84</x:v>
      </x:c>
      <x:c r="G1258" s="22" t="str">
        <x:f>"40646348884"</x:f>
        <x:v>40646348884</x:v>
      </x:c>
      <x:c r="H1258" s="23" t="str">
        <x:v>audiocarsom500@gmail.com</x:v>
      </x:c>
      <x:c r="I1258" s="22" t="str">
        <x:f>"14998609843"</x:f>
        <x:v>14998609843</x:v>
      </x:c>
      <x:c r="J1258" s="23" t="str">
        <x:v>RENTAL</x:v>
      </x:c>
      <x:c r="K1258" s="23" t="str">
        <x:v>rental_company</x:v>
      </x:c>
      <x:c r="L1258" s="24" t="b">
        <x:v>1</x:v>
      </x:c>
      <x:c r="M1258" s="23" t="n">
        <x:v>1</x:v>
      </x:c>
      <x:c r="N1258" s="28" t="n">
        <x:v>46203.92183017361</x:v>
      </x:c>
      <x:c r="O1258" s="28" t="n">
        <x:v>46219.812988715275</x:v>
      </x:c>
      <x:c r="P1258" s="23" t="str">
        <x:v>MARILIA</x:v>
      </x:c>
      <x:c r="Q1258" s="30" t="n">
        <x:v>32845</x:v>
      </x:c>
      <x:c r="R1258" s="22" t="str">
        <x:f>"46235923"</x:f>
        <x:v>46235923</x:v>
      </x:c>
      <x:c r="S1258" s="23" t="str">
        <x:v>masculino</x:v>
      </x:c>
      <x:c r="T1258" s="22" t="str"/>
      <x:c r="U1258" s="23" t="str">
        <x:v>FERNANDO HENRIQUE COSTA CAMILLO</x:v>
      </x:c>
      <x:c r="V1258" s="22" t="str">
        <x:f>"406.463.488-84"</x:f>
        <x:v>406.463.488-84</x:v>
      </x:c>
      <x:c r="W1258" s="22" t="str">
        <x:f>"40646348884"</x:f>
        <x:v>40646348884</x:v>
      </x:c>
      <x:c r="X1258" s="23" t="str">
        <x:v>audiocarsom500@gmail.com</x:v>
      </x:c>
      <x:c r="Y1258" s="22" t="str">
        <x:f>"14998609843"</x:f>
        <x:v>14998609843</x:v>
      </x:c>
      <x:c r="Z1258" s="30" t="n">
        <x:v>46577</x:v>
      </x:c>
    </x:row>
    <x:row r="1259" ht="18" customHeight="1">
      <x:c r="A1259" s="22" t="str">
        <x:f>"48bd879d-2e3f-47f1-8ace-da29742bfa8b"</x:f>
        <x:v>48bd879d-2e3f-47f1-8ace-da29742bfa8b</x:v>
      </x:c>
      <x:c r="B1259" s="23" t="str">
        <x:v>FERNANDO HENRIQUE DOS REIS SALES</x:v>
      </x:c>
      <x:c r="C1259" s="23" t="str">
        <x:v>fernando henrique dos reis sales</x:v>
      </x:c>
      <x:c r="D1259" s="22" t="str">
        <x:f>"55.781.073/0001-50"</x:f>
        <x:v>55.781.073/0001-50</x:v>
      </x:c>
      <x:c r="E1259" s="22" t="str">
        <x:f>"55781073000150"</x:f>
        <x:v>55781073000150</x:v>
      </x:c>
      <x:c r="F1259" s="22" t="str">
        <x:f>"135.312.346-41"</x:f>
        <x:v>135.312.346-41</x:v>
      </x:c>
      <x:c r="G1259" s="22" t="str">
        <x:f>"13531234641"</x:f>
        <x:v>13531234641</x:v>
      </x:c>
      <x:c r="H1259" s="23" t="str">
        <x:v>fh0616686@gmail.com</x:v>
      </x:c>
      <x:c r="I1259" s="22" t="str">
        <x:f>"31993691308"</x:f>
        <x:v>31993691308</x:v>
      </x:c>
      <x:c r="J1259" s="23" t="str">
        <x:v>SPOT</x:v>
      </x:c>
      <x:c r="K1259" s="23" t="str">
        <x:v>favored_only</x:v>
      </x:c>
      <x:c r="L1259" s="24" t="b">
        <x:v>1</x:v>
      </x:c>
      <x:c r="M1259" s="23" t="n">
        <x:v>1</x:v>
      </x:c>
      <x:c r="N1259" s="28" t="n">
        <x:v>46219.812988715275</x:v>
      </x:c>
      <x:c r="O1259" s="28" t="n">
        <x:v>46219.812988715275</x:v>
      </x:c>
      <x:c r="P1259" s="23" t="str">
        <x:v>IPATINGA</x:v>
      </x:c>
      <x:c r="Q1259" s="30" t="n">
        <x:v>34946</x:v>
      </x:c>
      <x:c r="R1259" s="22" t="str">
        <x:f>"MG 18179657 SSP MG"</x:f>
        <x:v>MG 18179657 SSP MG</x:v>
      </x:c>
      <x:c r="S1259" s="23" t="str">
        <x:v>masculino</x:v>
      </x:c>
      <x:c r="T1259" s="22" t="str">
        <x:f>"HGB0H07"</x:f>
        <x:v>HGB0H07</x:v>
      </x:c>
      <x:c r="U1259" s="23" t="str">
        <x:v>FERNANDO HENRIQUE DOS REIS SALES</x:v>
      </x:c>
      <x:c r="V1259" s="22" t="str">
        <x:f>"135.312.346-41"</x:f>
        <x:v>135.312.346-41</x:v>
      </x:c>
      <x:c r="W1259" s="22" t="str">
        <x:f>"13531234641"</x:f>
        <x:v>13531234641</x:v>
      </x:c>
      <x:c r="X1259" s="23" t="str">
        <x:v>fh0616686@gmail.com</x:v>
      </x:c>
      <x:c r="Y1259" s="22" t="str">
        <x:f>"31993691308"</x:f>
        <x:v>31993691308</x:v>
      </x:c>
      <x:c r="Z1259" s="30" t="n">
        <x:v>46457</x:v>
      </x:c>
    </x:row>
    <x:row r="1260" ht="18" customHeight="1">
      <x:c r="A1260" s="22" t="str">
        <x:f>"006e013e-f1e8-4011-9f9c-719613e0804e"</x:f>
        <x:v>006e013e-f1e8-4011-9f9c-719613e0804e</x:v>
      </x:c>
      <x:c r="B1260" s="23" t="str">
        <x:v>FERNANDO HENRIQUE RAMOS DA SILVA</x:v>
      </x:c>
      <x:c r="C1260" s="23" t="str">
        <x:v>fernando henrique ramos da silva</x:v>
      </x:c>
      <x:c r="D1260" s="22" t="str">
        <x:f>"57.569.838/0001-18"</x:f>
        <x:v>57.569.838/0001-18</x:v>
      </x:c>
      <x:c r="E1260" s="22" t="str">
        <x:f>"57569838000118"</x:f>
        <x:v>57569838000118</x:v>
      </x:c>
      <x:c r="F1260" s="22" t="str">
        <x:f>"160.121.407-38"</x:f>
        <x:v>160.121.407-38</x:v>
      </x:c>
      <x:c r="G1260" s="22" t="str">
        <x:f>"16012140738"</x:f>
        <x:v>16012140738</x:v>
      </x:c>
      <x:c r="H1260" s="23" t="str">
        <x:v>fh752440@gmail.com</x:v>
      </x:c>
      <x:c r="I1260" s="22" t="str">
        <x:f>"21964335763"</x:f>
        <x:v>21964335763</x:v>
      </x:c>
      <x:c r="J1260" s="23" t="str">
        <x:v>SPOT</x:v>
      </x:c>
      <x:c r="K1260" s="23" t="str">
        <x:v>favored_only</x:v>
      </x:c>
      <x:c r="L1260" s="24" t="b">
        <x:v>1</x:v>
      </x:c>
      <x:c r="M1260" s="23" t="n">
        <x:v>1</x:v>
      </x:c>
      <x:c r="N1260" s="28" t="n">
        <x:v>46219.812988715275</x:v>
      </x:c>
      <x:c r="O1260" s="28" t="n">
        <x:v>46219.812988715275</x:v>
      </x:c>
      <x:c r="P1260" s="23" t="str">
        <x:v>CORDOVIL</x:v>
      </x:c>
      <x:c r="Q1260" s="30" t="n">
        <x:v>34746</x:v>
      </x:c>
      <x:c r="R1260" s="22" t="str">
        <x:f>"1252314"</x:f>
        <x:v>1252314</x:v>
      </x:c>
      <x:c r="S1260" s="23" t="str">
        <x:v>masculino</x:v>
      </x:c>
      <x:c r="T1260" s="22" t="str">
        <x:f>"KPI3074"</x:f>
        <x:v>KPI3074</x:v>
      </x:c>
      <x:c r="U1260" s="23" t="str">
        <x:v>FERNANDO HENRIQUE RAMOS DA SILVA</x:v>
      </x:c>
      <x:c r="V1260" s="22" t="str">
        <x:f>"160.121.407-38"</x:f>
        <x:v>160.121.407-38</x:v>
      </x:c>
      <x:c r="W1260" s="22" t="str">
        <x:f>"16012140738"</x:f>
        <x:v>16012140738</x:v>
      </x:c>
      <x:c r="X1260" s="23" t="str">
        <x:v>fh752440@gmail.com</x:v>
      </x:c>
      <x:c r="Y1260" s="22" t="str">
        <x:f>"21964335763"</x:f>
        <x:v>21964335763</x:v>
      </x:c>
      <x:c r="Z1260" s="30" t="n">
        <x:v>46500</x:v>
      </x:c>
    </x:row>
    <x:row r="1261" ht="18" customHeight="1">
      <x:c r="A1261" s="22" t="str">
        <x:f>"f04b3ae1-2a7c-41e1-b545-aaa48b75fbb0"</x:f>
        <x:v>f04b3ae1-2a7c-41e1-b545-aaa48b75fbb0</x:v>
      </x:c>
      <x:c r="B1261" s="23" t="str">
        <x:v>FERNANDO HENRIQUE RUBIM TOLEDO</x:v>
      </x:c>
      <x:c r="C1261" s="23" t="str">
        <x:v>fernando henrique rubim toledo</x:v>
      </x:c>
      <x:c r="D1261" s="22" t="str">
        <x:f>"62.088.154/0001-34"</x:f>
        <x:v>62.088.154/0001-34</x:v>
      </x:c>
      <x:c r="E1261" s="22" t="str">
        <x:f>"62088154000134"</x:f>
        <x:v>62088154000134</x:v>
      </x:c>
      <x:c r="F1261" s="22" t="str">
        <x:f>"102.831.646-11"</x:f>
        <x:v>102.831.646-11</x:v>
      </x:c>
      <x:c r="G1261" s="22" t="str">
        <x:f>"10283164611"</x:f>
        <x:v>10283164611</x:v>
      </x:c>
      <x:c r="H1261" s="23" t="str">
        <x:v>fernandim.cerveja@gmail.com</x:v>
      </x:c>
      <x:c r="I1261" s="22" t="str">
        <x:f>"35 99757-2819"</x:f>
        <x:v>35 99757-2819</x:v>
      </x:c>
      <x:c r="J1261" s="23" t="str">
        <x:v>RENTAL</x:v>
      </x:c>
      <x:c r="K1261" s="23" t="str">
        <x:v>rental_company</x:v>
      </x:c>
      <x:c r="L1261" s="24" t="b">
        <x:v>1</x:v>
      </x:c>
      <x:c r="M1261" s="23" t="n">
        <x:v>1</x:v>
      </x:c>
      <x:c r="N1261" s="28" t="n">
        <x:v>46203.921852962965</x:v>
      </x:c>
      <x:c r="O1261" s="28" t="n">
        <x:v>46219.812988715275</x:v>
      </x:c>
      <x:c r="P1261" s="23" t="str">
        <x:v>POUSO ALEGRE</x:v>
      </x:c>
      <x:c r="Q1261" s="30" t="n">
        <x:v>32801</x:v>
      </x:c>
      <x:c r="R1261" s="22" t="str">
        <x:f>"16797123"</x:f>
        <x:v>16797123</x:v>
      </x:c>
      <x:c r="S1261" s="23" t="str">
        <x:v>masculino</x:v>
      </x:c>
      <x:c r="T1261" s="22" t="str"/>
      <x:c r="U1261" s="23" t="str">
        <x:v>FERNANDO HENRIQUE RUBIM TOLEDO</x:v>
      </x:c>
      <x:c r="V1261" s="22" t="str">
        <x:f>"102.831.646-11"</x:f>
        <x:v>102.831.646-11</x:v>
      </x:c>
      <x:c r="W1261" s="22" t="str">
        <x:f>"10283164611"</x:f>
        <x:v>10283164611</x:v>
      </x:c>
      <x:c r="X1261" s="23" t="str">
        <x:v>fernandim.cerveja@gmail.com</x:v>
      </x:c>
      <x:c r="Y1261" s="22" t="str">
        <x:f>"35 99757-2819"</x:f>
        <x:v>35 99757-2819</x:v>
      </x:c>
      <x:c r="Z1261" s="30" t="n">
        <x:v>46247</x:v>
      </x:c>
    </x:row>
    <x:row r="1262" ht="18" customHeight="1">
      <x:c r="A1262" s="22" t="str">
        <x:f>"88321f03-b421-4ff1-b236-9e8e97878716"</x:f>
        <x:v>88321f03-b421-4ff1-b236-9e8e97878716</x:v>
      </x:c>
      <x:c r="B1262" s="23" t="str">
        <x:v>FERNANDO JUNIO TEIXEIRA</x:v>
      </x:c>
      <x:c r="C1262" s="23" t="str">
        <x:v>fernando junio teixeira</x:v>
      </x:c>
      <x:c r="D1262" s="22" t="str">
        <x:f>"65.657.779/0001-68"</x:f>
        <x:v>65.657.779/0001-68</x:v>
      </x:c>
      <x:c r="E1262" s="22" t="str">
        <x:f>"65657779000168"</x:f>
        <x:v>65657779000168</x:v>
      </x:c>
      <x:c r="F1262" s="22" t="str">
        <x:f>"119.170.396-70"</x:f>
        <x:v>119.170.396-70</x:v>
      </x:c>
      <x:c r="G1262" s="22" t="str">
        <x:f>"11917039670"</x:f>
        <x:v>11917039670</x:v>
      </x:c>
      <x:c r="H1262" s="23" t="str">
        <x:v>nandojt18@gmail.com</x:v>
      </x:c>
      <x:c r="I1262" s="22" t="str">
        <x:f>"31987844709"</x:f>
        <x:v>31987844709</x:v>
      </x:c>
      <x:c r="J1262" s="23" t="str">
        <x:v>SPOT</x:v>
      </x:c>
      <x:c r="K1262" s="23" t="str">
        <x:v>favored_only</x:v>
      </x:c>
      <x:c r="L1262" s="24" t="b">
        <x:v>1</x:v>
      </x:c>
      <x:c r="M1262" s="23" t="n">
        <x:v>2</x:v>
      </x:c>
      <x:c r="N1262" s="28" t="n">
        <x:v>46219.812988715275</x:v>
      </x:c>
      <x:c r="O1262" s="28" t="n">
        <x:v>46219.812988715275</x:v>
      </x:c>
      <x:c r="P1262" s="23" t="str">
        <x:v>NOVA LIMA</x:v>
      </x:c>
      <x:c r="Q1262" s="30" t="n">
        <x:v>34628</x:v>
      </x:c>
      <x:c r="R1262" s="22" t="str">
        <x:f>"18286240"</x:f>
        <x:v>18286240</x:v>
      </x:c>
      <x:c r="S1262" s="23" t="str">
        <x:v>masculino</x:v>
      </x:c>
      <x:c r="T1262" s="22" t="str">
        <x:f>"HNT1660"</x:f>
        <x:v>HNT1660</x:v>
      </x:c>
      <x:c r="U1262" s="23" t="str">
        <x:v>LORRANY SABRINA GABRIEL</x:v>
      </x:c>
      <x:c r="V1262" s="22" t="str">
        <x:f>"124.043.206-29"</x:f>
        <x:v>124.043.206-29</x:v>
      </x:c>
      <x:c r="W1262" s="22" t="str">
        <x:f>"12404320629"</x:f>
        <x:v>12404320629</x:v>
      </x:c>
      <x:c r="X1262" s="23" t="str">
        <x:v>nandojt18@gmail.com</x:v>
      </x:c>
      <x:c r="Y1262" s="22" t="str">
        <x:f>"31987844709"</x:f>
        <x:v>31987844709</x:v>
      </x:c>
      <x:c r="Z1262" s="30" t="n">
        <x:v>46464</x:v>
      </x:c>
    </x:row>
    <x:row r="1263" ht="18" customHeight="1">
      <x:c r="A1263" s="22" t="str">
        <x:f>"ea2d6789-f303-4514-92de-603498b5c86d"</x:f>
        <x:v>ea2d6789-f303-4514-92de-603498b5c86d</x:v>
      </x:c>
      <x:c r="B1263" s="23" t="str">
        <x:v>FERNANDO JUNIO TEIXEIRA</x:v>
      </x:c>
      <x:c r="C1263" s="23" t="str">
        <x:v>fernando junio teixeira</x:v>
      </x:c>
      <x:c r="D1263" s="22" t="str">
        <x:f>"57.811.297/0001-92"</x:f>
        <x:v>57.811.297/0001-92</x:v>
      </x:c>
      <x:c r="E1263" s="22" t="str">
        <x:f>"57811297000192"</x:f>
        <x:v>57811297000192</x:v>
      </x:c>
      <x:c r="F1263" s="22" t="str">
        <x:f>"119.170.396-70"</x:f>
        <x:v>119.170.396-70</x:v>
      </x:c>
      <x:c r="G1263" s="22" t="str">
        <x:f>"11917039670"</x:f>
        <x:v>11917039670</x:v>
      </x:c>
      <x:c r="H1263" s="23" t="str">
        <x:v>nandojt18@gmail.com</x:v>
      </x:c>
      <x:c r="I1263" s="22" t="str">
        <x:f>"31987844709"</x:f>
        <x:v>31987844709</x:v>
      </x:c>
      <x:c r="J1263" s="23" t="str">
        <x:v>SPOT</x:v>
      </x:c>
      <x:c r="K1263" s="23" t="str">
        <x:v>favored_only</x:v>
      </x:c>
      <x:c r="L1263" s="24" t="b">
        <x:v>1</x:v>
      </x:c>
      <x:c r="M1263" s="23" t="n">
        <x:v>1</x:v>
      </x:c>
      <x:c r="N1263" s="28" t="n">
        <x:v>46203.92186888889</x:v>
      </x:c>
      <x:c r="O1263" s="28" t="n">
        <x:v>46219.812988715275</x:v>
      </x:c>
      <x:c r="P1263" s="23" t="str">
        <x:v>NOVA LIMA</x:v>
      </x:c>
      <x:c r="Q1263" s="30" t="n">
        <x:v>34629</x:v>
      </x:c>
      <x:c r="R1263" s="22" t="str">
        <x:f>"18286240"</x:f>
        <x:v>18286240</x:v>
      </x:c>
      <x:c r="S1263" s="23" t="str">
        <x:v>masculino</x:v>
      </x:c>
      <x:c r="T1263" s="22" t="str">
        <x:f>"HNT1660"</x:f>
        <x:v>HNT1660</x:v>
      </x:c>
      <x:c r="U1263" s="23" t="str">
        <x:v>FERNANDO JUNIO TEIXEIRA</x:v>
      </x:c>
      <x:c r="V1263" s="22" t="str">
        <x:f>"119.170.396-70"</x:f>
        <x:v>119.170.396-70</x:v>
      </x:c>
      <x:c r="W1263" s="22" t="str">
        <x:f>"11917039670"</x:f>
        <x:v>11917039670</x:v>
      </x:c>
      <x:c r="X1263" s="23" t="str">
        <x:v>nandojt18@gmail.com</x:v>
      </x:c>
      <x:c r="Y1263" s="22" t="str">
        <x:f>"31987844709"</x:f>
        <x:v>31987844709</x:v>
      </x:c>
      <x:c r="Z1263" s="30" t="n">
        <x:v>46298</x:v>
      </x:c>
    </x:row>
    <x:row r="1264" ht="18" customHeight="1">
      <x:c r="A1264" s="22" t="str">
        <x:f>"ab69c068-8169-4b30-a2ee-8c63edd9d76d"</x:f>
        <x:v>ab69c068-8169-4b30-a2ee-8c63edd9d76d</x:v>
      </x:c>
      <x:c r="B1264" s="23" t="str">
        <x:v>FERNANDO LEAL LOPES DOS SANTOS</x:v>
      </x:c>
      <x:c r="C1264" s="23" t="str">
        <x:v>fernando leal lopes dos santos</x:v>
      </x:c>
      <x:c r="D1264" s="22" t="str">
        <x:f>"67.118.207/0001-36"</x:f>
        <x:v>67.118.207/0001-36</x:v>
      </x:c>
      <x:c r="E1264" s="22" t="str">
        <x:f>"67118207000136"</x:f>
        <x:v>67118207000136</x:v>
      </x:c>
      <x:c r="F1264" s="22" t="str">
        <x:f>"083.440.666-70"</x:f>
        <x:v>083.440.666-70</x:v>
      </x:c>
      <x:c r="G1264" s="22" t="str">
        <x:f>"08344066670"</x:f>
        <x:v>08344066670</x:v>
      </x:c>
      <x:c r="H1264" s="23" t="str">
        <x:v>flmecanicoautomotivo@gmail.com</x:v>
      </x:c>
      <x:c r="I1264" s="22" t="str">
        <x:f>"(35)92001-3221"</x:f>
        <x:v>(35)92001-3221</x:v>
      </x:c>
      <x:c r="J1264" s="23" t="str">
        <x:v>RENTAL</x:v>
      </x:c>
      <x:c r="K1264" s="23" t="str">
        <x:v>rental_company</x:v>
      </x:c>
      <x:c r="L1264" s="24" t="b">
        <x:v>1</x:v>
      </x:c>
      <x:c r="M1264" s="23" t="n">
        <x:v>1</x:v>
      </x:c>
      <x:c r="N1264" s="28" t="n">
        <x:v>46219.812988715275</x:v>
      </x:c>
      <x:c r="O1264" s="28" t="n">
        <x:v>46219.812988715275</x:v>
      </x:c>
      <x:c r="P1264" s="23" t="str">
        <x:v>POUSO ALEGRE</x:v>
      </x:c>
      <x:c r="Q1264" s="30" t="n">
        <x:v>33345</x:v>
      </x:c>
      <x:c r="R1264" s="22" t="str">
        <x:f>"MG16635846 SSP MG"</x:f>
        <x:v>MG16635846 SSP MG</x:v>
      </x:c>
      <x:c r="S1264" s="23" t="str">
        <x:v>masculino</x:v>
      </x:c>
      <x:c r="T1264" s="22" t="str"/>
      <x:c r="U1264" s="23" t="str">
        <x:v>FERNANDO LEAL LOPES DOS SANTOS</x:v>
      </x:c>
      <x:c r="V1264" s="22" t="str">
        <x:f>"083.440.666-70"</x:f>
        <x:v>083.440.666-70</x:v>
      </x:c>
      <x:c r="W1264" s="22" t="str">
        <x:f>"08344066670"</x:f>
        <x:v>08344066670</x:v>
      </x:c>
      <x:c r="X1264" s="23" t="str">
        <x:v>flmecanicoautomotivo@gmail.com</x:v>
      </x:c>
      <x:c r="Y1264" s="22" t="str">
        <x:f>"(35)92001-3221"</x:f>
        <x:v>(35)92001-3221</x:v>
      </x:c>
      <x:c r="Z1264" s="30" t="n">
        <x:v>46540</x:v>
      </x:c>
    </x:row>
    <x:row r="1265" ht="18" customHeight="1">
      <x:c r="A1265" s="22" t="str">
        <x:f>"b5fd16be-cdc4-47c2-84aa-2d24ed407b6c"</x:f>
        <x:v>b5fd16be-cdc4-47c2-84aa-2d24ed407b6c</x:v>
      </x:c>
      <x:c r="B1265" s="23" t="str">
        <x:v>FERNANDO LOPES DE CARVALHO</x:v>
      </x:c>
      <x:c r="C1265" s="23" t="str">
        <x:v>fernando lopes de carvalho</x:v>
      </x:c>
      <x:c r="D1265" s="22" t="str">
        <x:f>"47.554.093/0001-60"</x:f>
        <x:v>47.554.093/0001-60</x:v>
      </x:c>
      <x:c r="E1265" s="22" t="str">
        <x:f>"47554093000160"</x:f>
        <x:v>47554093000160</x:v>
      </x:c>
      <x:c r="F1265" s="22" t="str">
        <x:f>"019.475.031-03"</x:f>
        <x:v>019.475.031-03</x:v>
      </x:c>
      <x:c r="G1265" s="22" t="str">
        <x:f>"01947503103"</x:f>
        <x:v>01947503103</x:v>
      </x:c>
      <x:c r="H1265" s="23" t="str">
        <x:v>fernando_lpcarvalho@hotmail.com</x:v>
      </x:c>
      <x:c r="I1265" s="22" t="str">
        <x:f>"65 9303-3296"</x:f>
        <x:v>65 9303-3296</x:v>
      </x:c>
      <x:c r="J1265" s="23" t="str">
        <x:v>SPOT</x:v>
      </x:c>
      <x:c r="K1265" s="23" t="str">
        <x:v>favored_only</x:v>
      </x:c>
      <x:c r="L1265" s="24" t="b">
        <x:v>1</x:v>
      </x:c>
      <x:c r="M1265" s="23" t="n">
        <x:v>3</x:v>
      </x:c>
      <x:c r="N1265" s="28" t="n">
        <x:v>46203.92183332176</x:v>
      </x:c>
      <x:c r="O1265" s="28" t="n">
        <x:v>46219.812988715275</x:v>
      </x:c>
      <x:c r="P1265" s="23" t="str">
        <x:v>CUIABA</x:v>
      </x:c>
      <x:c r="Q1265" s="30" t="n">
        <x:v>31513</x:v>
      </x:c>
      <x:c r="R1265" s="22" t="str">
        <x:f>"16122445"</x:f>
        <x:v>16122445</x:v>
      </x:c>
      <x:c r="S1265" s="23" t="str">
        <x:v>masculino</x:v>
      </x:c>
      <x:c r="T1265" s="22" t="str">
        <x:f>"OBQ2J54 2025"</x:f>
        <x:v>OBQ2J54 2025</x:v>
      </x:c>
      <x:c r="U1265" s="23" t="str">
        <x:v>FERNANDO LOPES DE CARVALHO</x:v>
      </x:c>
      <x:c r="V1265" s="22" t="str">
        <x:f>"019.475.031-03"</x:f>
        <x:v>019.475.031-03</x:v>
      </x:c>
      <x:c r="W1265" s="22" t="str">
        <x:f>"01947503103"</x:f>
        <x:v>01947503103</x:v>
      </x:c>
      <x:c r="X1265" s="23" t="str">
        <x:v>fernando_lpcarvalho@hotmail.com</x:v>
      </x:c>
      <x:c r="Y1265" s="22" t="str">
        <x:f>"65 9303-3296"</x:f>
        <x:v>65 9303-3296</x:v>
      </x:c>
      <x:c r="Z1265" s="30" t="n">
        <x:v>46547</x:v>
      </x:c>
    </x:row>
    <x:row r="1266" ht="18" customHeight="1">
      <x:c r="A1266" s="22" t="str">
        <x:f>"1c336c38-6dd3-458e-bbe9-9c5b35c47beb"</x:f>
        <x:v>1c336c38-6dd3-458e-bbe9-9c5b35c47beb</x:v>
      </x:c>
      <x:c r="B1266" s="23" t="str">
        <x:v>FERNANDO MARTINS RIBEIRO DA SILVA</x:v>
      </x:c>
      <x:c r="C1266" s="23" t="str">
        <x:v>fernando martins ribeiro da silva</x:v>
      </x:c>
      <x:c r="D1266" s="22" t="str">
        <x:f>"30.386.380/0001-05"</x:f>
        <x:v>30.386.380/0001-05</x:v>
      </x:c>
      <x:c r="E1266" s="22" t="str">
        <x:f>"30386380000105"</x:f>
        <x:v>30386380000105</x:v>
      </x:c>
      <x:c r="F1266" s="22" t="str">
        <x:f>"124.189.257-14"</x:f>
        <x:v>124.189.257-14</x:v>
      </x:c>
      <x:c r="G1266" s="22" t="str">
        <x:f>"12418925714"</x:f>
        <x:v>12418925714</x:v>
      </x:c>
      <x:c r="H1266" s="23" t="str">
        <x:v>fermartins278217@gmail.com</x:v>
      </x:c>
      <x:c r="I1266" s="22" t="str">
        <x:f>"2197098-6789"</x:f>
        <x:v>2197098-6789</x:v>
      </x:c>
      <x:c r="J1266" s="23" t="str">
        <x:v>SPOT</x:v>
      </x:c>
      <x:c r="K1266" s="23" t="str">
        <x:v>favored_only</x:v>
      </x:c>
      <x:c r="L1266" s="24" t="b">
        <x:v>1</x:v>
      </x:c>
      <x:c r="M1266" s="23" t="n">
        <x:v>1</x:v>
      </x:c>
      <x:c r="N1266" s="28" t="n">
        <x:v>46219.812988715275</x:v>
      </x:c>
      <x:c r="O1266" s="28" t="n">
        <x:v>46219.812988715275</x:v>
      </x:c>
      <x:c r="P1266" s="23" t="str">
        <x:v>CORDOVIL</x:v>
      </x:c>
      <x:c r="Q1266" s="30" t="n">
        <x:v>32474</x:v>
      </x:c>
      <x:c r="R1266" s="22" t="str">
        <x:f>"215093287"</x:f>
        <x:v>215093287</x:v>
      </x:c>
      <x:c r="S1266" s="23" t="str">
        <x:v>masculino</x:v>
      </x:c>
      <x:c r="T1266" s="22" t="str">
        <x:f>"KRX7H21"</x:f>
        <x:v>KRX7H21</x:v>
      </x:c>
      <x:c r="U1266" s="23" t="str">
        <x:v>FERNANDO MARTINS RIBEIRO DA SILVA</x:v>
      </x:c>
      <x:c r="V1266" s="22" t="str">
        <x:f>"124.189.257-14"</x:f>
        <x:v>124.189.257-14</x:v>
      </x:c>
      <x:c r="W1266" s="22" t="str">
        <x:f>"12418925714"</x:f>
        <x:v>12418925714</x:v>
      </x:c>
      <x:c r="X1266" s="23" t="str">
        <x:v>fermartins278217@gmail.com</x:v>
      </x:c>
      <x:c r="Y1266" s="22" t="str">
        <x:f>"2197098-6789"</x:f>
        <x:v>2197098-6789</x:v>
      </x:c>
      <x:c r="Z1266" s="30" t="n">
        <x:v>46492</x:v>
      </x:c>
    </x:row>
    <x:row r="1267" ht="18" customHeight="1">
      <x:c r="A1267" s="22" t="str">
        <x:f>"5a26ff3c-9d40-4f75-b8ae-30553c3dfc9e"</x:f>
        <x:v>5a26ff3c-9d40-4f75-b8ae-30553c3dfc9e</x:v>
      </x:c>
      <x:c r="B1267" s="23" t="str">
        <x:v>FERNANDO MOURA ALVES</x:v>
      </x:c>
      <x:c r="C1267" s="23" t="str">
        <x:v>fernando moura alves</x:v>
      </x:c>
      <x:c r="D1267" s="22" t="str">
        <x:f>"37.823.997/0001-90"</x:f>
        <x:v>37.823.997/0001-90</x:v>
      </x:c>
      <x:c r="E1267" s="22" t="str">
        <x:f>"37823997000190"</x:f>
        <x:v>37823997000190</x:v>
      </x:c>
      <x:c r="F1267" s="22" t="str">
        <x:f>"047.589.541-00"</x:f>
        <x:v>047.589.541-00</x:v>
      </x:c>
      <x:c r="G1267" s="22" t="str">
        <x:f>"04758954100"</x:f>
        <x:v>04758954100</x:v>
      </x:c>
      <x:c r="H1267" s="23" t="str">
        <x:v>f68783552@gmail.com</x:v>
      </x:c>
      <x:c r="I1267" s="22" t="str">
        <x:f>"65998063132"</x:f>
        <x:v>65998063132</x:v>
      </x:c>
      <x:c r="J1267" s="23" t="str">
        <x:v>SPOT</x:v>
      </x:c>
      <x:c r="K1267" s="23" t="str">
        <x:v>favored_only</x:v>
      </x:c>
      <x:c r="L1267" s="24" t="b">
        <x:v>1</x:v>
      </x:c>
      <x:c r="M1267" s="23" t="n">
        <x:v>1</x:v>
      </x:c>
      <x:c r="N1267" s="28" t="n">
        <x:v>46219.812988715275</x:v>
      </x:c>
      <x:c r="O1267" s="28" t="n">
        <x:v>46219.812988715275</x:v>
      </x:c>
      <x:c r="P1267" s="23" t="str">
        <x:v>CÁCERES</x:v>
      </x:c>
      <x:c r="Q1267" s="30" t="n">
        <x:v>34382</x:v>
      </x:c>
      <x:c r="R1267" s="22" t="str">
        <x:f>"21518238"</x:f>
        <x:v>21518238</x:v>
      </x:c>
      <x:c r="S1267" s="23" t="str">
        <x:v>masculino</x:v>
      </x:c>
      <x:c r="T1267" s="22" t="str">
        <x:f>"NUD9J95"</x:f>
        <x:v>NUD9J95</x:v>
      </x:c>
      <x:c r="U1267" s="23" t="str">
        <x:v>DANILLO BACIEL ALMEIDA</x:v>
      </x:c>
      <x:c r="V1267" s="22" t="str">
        <x:f>"038.768.901-01"</x:f>
        <x:v>038.768.901-01</x:v>
      </x:c>
      <x:c r="W1267" s="22" t="str">
        <x:f>"03876890101"</x:f>
        <x:v>03876890101</x:v>
      </x:c>
      <x:c r="X1267" s="23" t="str">
        <x:v>RTP.CARGAS@GMAIL.COM</x:v>
      </x:c>
      <x:c r="Y1267" s="22" t="str">
        <x:f>"62991277279"</x:f>
        <x:v>62991277279</x:v>
      </x:c>
      <x:c r="Z1267" s="30" t="n">
        <x:v>46443</x:v>
      </x:c>
    </x:row>
    <x:row r="1268" ht="18" customHeight="1">
      <x:c r="A1268" s="22" t="str">
        <x:f>"69aec959-60d0-414a-9851-cb253cafd445"</x:f>
        <x:v>69aec959-60d0-414a-9851-cb253cafd445</x:v>
      </x:c>
      <x:c r="B1268" s="23" t="str">
        <x:v>FERNANDO PAULO GUEDES</x:v>
      </x:c>
      <x:c r="C1268" s="23" t="str">
        <x:v>fernando paulo guedes</x:v>
      </x:c>
      <x:c r="D1268" s="22" t="str">
        <x:f>"64.788.358/0001-03"</x:f>
        <x:v>64.788.358/0001-03</x:v>
      </x:c>
      <x:c r="E1268" s="22" t="str">
        <x:f>"64788358000103"</x:f>
        <x:v>64788358000103</x:v>
      </x:c>
      <x:c r="F1268" s="22" t="str">
        <x:f>"121.854.407-48"</x:f>
        <x:v>121.854.407-48</x:v>
      </x:c>
      <x:c r="G1268" s="22" t="str">
        <x:f>"12185440748"</x:f>
        <x:v>12185440748</x:v>
      </x:c>
      <x:c r="H1268" s="23" t="str">
        <x:v>guedes-fm03@outlook.com</x:v>
      </x:c>
      <x:c r="I1268" s="22" t="str">
        <x:f>"(21)92013-2573"</x:f>
        <x:v>(21)92013-2573</x:v>
      </x:c>
      <x:c r="J1268" s="23" t="str">
        <x:v>SPOT</x:v>
      </x:c>
      <x:c r="K1268" s="23" t="str">
        <x:v>favored_only</x:v>
      </x:c>
      <x:c r="L1268" s="24" t="b">
        <x:v>1</x:v>
      </x:c>
      <x:c r="M1268" s="23" t="n">
        <x:v>1</x:v>
      </x:c>
      <x:c r="N1268" s="28" t="n">
        <x:v>46219.812988715275</x:v>
      </x:c>
      <x:c r="O1268" s="28" t="n">
        <x:v>46219.812988715275</x:v>
      </x:c>
      <x:c r="P1268" s="23" t="str">
        <x:v>CORDOVIL</x:v>
      </x:c>
      <x:c r="Q1268" s="30" t="n">
        <x:v>32170</x:v>
      </x:c>
      <x:c r="R1268" s="22" t="str">
        <x:f>"22.385.052-0"</x:f>
        <x:v>22.385.052-0</x:v>
      </x:c>
      <x:c r="S1268" s="23" t="str">
        <x:v>masculino</x:v>
      </x:c>
      <x:c r="T1268" s="22" t="str">
        <x:f>"SCS2I75"</x:f>
        <x:v>SCS2I75</x:v>
      </x:c>
      <x:c r="U1268" s="23" t="str">
        <x:v>FERNANDO PAULO GUEDES</x:v>
      </x:c>
      <x:c r="V1268" s="22" t="str">
        <x:f>"121.854.407-48"</x:f>
        <x:v>121.854.407-48</x:v>
      </x:c>
      <x:c r="W1268" s="22" t="str">
        <x:f>"12185440748"</x:f>
        <x:v>12185440748</x:v>
      </x:c>
      <x:c r="X1268" s="23" t="str">
        <x:v>guedes-fm03@outlook.com</x:v>
      </x:c>
      <x:c r="Y1268" s="22" t="str">
        <x:f>"(21)92013-2573"</x:f>
        <x:v>(21)92013-2573</x:v>
      </x:c>
      <x:c r="Z1268" s="30" t="n">
        <x:v>46456</x:v>
      </x:c>
    </x:row>
    <x:row r="1269" ht="18" customHeight="1">
      <x:c r="A1269" s="22" t="str">
        <x:f>"dcb9804c-1005-4c45-ab00-83eec086c2fd"</x:f>
        <x:v>dcb9804c-1005-4c45-ab00-83eec086c2fd</x:v>
      </x:c>
      <x:c r="B1269" s="23" t="str">
        <x:v>FERNANDO PIASSI</x:v>
      </x:c>
      <x:c r="C1269" s="23" t="str">
        <x:v>fernando piassi</x:v>
      </x:c>
      <x:c r="D1269" s="22" t="str">
        <x:f>"65.926.080/0001-56"</x:f>
        <x:v>65.926.080/0001-56</x:v>
      </x:c>
      <x:c r="E1269" s="22" t="str">
        <x:f>"65926080000156"</x:f>
        <x:v>65926080000156</x:v>
      </x:c>
      <x:c r="F1269" s="22" t="str">
        <x:f>"341.107.338-12"</x:f>
        <x:v>341.107.338-12</x:v>
      </x:c>
      <x:c r="G1269" s="22" t="str">
        <x:f>"34110733812"</x:f>
        <x:v>34110733812</x:v>
      </x:c>
      <x:c r="H1269" s="23" t="str">
        <x:v>ferpiassi1989@gmail.com</x:v>
      </x:c>
      <x:c r="I1269" s="22" t="str">
        <x:f>"16991614353"</x:f>
        <x:v>16991614353</x:v>
      </x:c>
      <x:c r="J1269" s="23" t="str">
        <x:v>RENTAL</x:v>
      </x:c>
      <x:c r="K1269" s="23" t="str">
        <x:v>rental_company</x:v>
      </x:c>
      <x:c r="L1269" s="24" t="b">
        <x:v>1</x:v>
      </x:c>
      <x:c r="M1269" s="23" t="n">
        <x:v>1</x:v>
      </x:c>
      <x:c r="N1269" s="28" t="n">
        <x:v>46219.812988715275</x:v>
      </x:c>
      <x:c r="O1269" s="28" t="n">
        <x:v>46219.812988715275</x:v>
      </x:c>
      <x:c r="P1269" s="23" t="str">
        <x:v>SÃO CARLOS</x:v>
      </x:c>
      <x:c r="Q1269" s="30" t="n">
        <x:v>32536</x:v>
      </x:c>
      <x:c r="R1269" s="22" t="str">
        <x:f>"44.555.828-3"</x:f>
        <x:v>44.555.828-3</x:v>
      </x:c>
      <x:c r="S1269" s="23" t="str">
        <x:v>masculino</x:v>
      </x:c>
      <x:c r="T1269" s="22" t="str"/>
      <x:c r="U1269" s="23" t="str">
        <x:v>FERNANDO PIASSI</x:v>
      </x:c>
      <x:c r="V1269" s="22" t="str">
        <x:f>"341.107.338-12"</x:f>
        <x:v>341.107.338-12</x:v>
      </x:c>
      <x:c r="W1269" s="22" t="str">
        <x:f>"34110733812"</x:f>
        <x:v>34110733812</x:v>
      </x:c>
      <x:c r="X1269" s="23" t="str">
        <x:v>ferpiassi1989@gmail.com</x:v>
      </x:c>
      <x:c r="Y1269" s="22" t="str">
        <x:f>"16991614353"</x:f>
        <x:v>16991614353</x:v>
      </x:c>
      <x:c r="Z1269" s="30" t="n">
        <x:v>46576</x:v>
      </x:c>
    </x:row>
    <x:row r="1270" ht="18" customHeight="1">
      <x:c r="A1270" s="22" t="str">
        <x:f>"51ddafb2-b82e-47ac-88b0-311ec5249618"</x:f>
        <x:v>51ddafb2-b82e-47ac-88b0-311ec5249618</x:v>
      </x:c>
      <x:c r="B1270" s="23" t="str">
        <x:v>FERNANDO RUBENS GUIMARAES SILVA</x:v>
      </x:c>
      <x:c r="C1270" s="23" t="str">
        <x:v>fernando rubens guimaraes silva</x:v>
      </x:c>
      <x:c r="D1270" s="22" t="str">
        <x:f>"44.077.773/0001-41"</x:f>
        <x:v>44.077.773/0001-41</x:v>
      </x:c>
      <x:c r="E1270" s="22" t="str">
        <x:f>"44077773000141"</x:f>
        <x:v>44077773000141</x:v>
      </x:c>
      <x:c r="F1270" s="22" t="str">
        <x:f>"106.450.057-97"</x:f>
        <x:v>106.450.057-97</x:v>
      </x:c>
      <x:c r="G1270" s="22" t="str">
        <x:f>"10645005797"</x:f>
        <x:v>10645005797</x:v>
      </x:c>
      <x:c r="H1270" s="23" t="str">
        <x:v>RUBENSSAL93@GMAIL.COM</x:v>
      </x:c>
      <x:c r="I1270" s="22" t="str">
        <x:f>"21965531537"</x:f>
        <x:v>21965531537</x:v>
      </x:c>
      <x:c r="J1270" s="23" t="str">
        <x:v>SPOT</x:v>
      </x:c>
      <x:c r="K1270" s="23" t="str">
        <x:v>favored_only</x:v>
      </x:c>
      <x:c r="L1270" s="24" t="b">
        <x:v>1</x:v>
      </x:c>
      <x:c r="M1270" s="23" t="n">
        <x:v>1</x:v>
      </x:c>
      <x:c r="N1270" s="28" t="n">
        <x:v>46219.812988715275</x:v>
      </x:c>
      <x:c r="O1270" s="28" t="n">
        <x:v>46219.812988715275</x:v>
      </x:c>
      <x:c r="P1270" s="23" t="str">
        <x:v>CORDOVIL</x:v>
      </x:c>
      <x:c r="Q1270" s="30" t="n">
        <x:v>29972</x:v>
      </x:c>
      <x:c r="R1270" s="22" t="str">
        <x:f>"1024607656"</x:f>
        <x:v>1024607656</x:v>
      </x:c>
      <x:c r="S1270" s="23" t="str">
        <x:v>masculino</x:v>
      </x:c>
      <x:c r="T1270" s="22" t="str">
        <x:f>"TDU1D24"</x:f>
        <x:v>TDU1D24</x:v>
      </x:c>
      <x:c r="U1270" s="23" t="str">
        <x:v>FERNANDO RUBENS GUIMARAES SILVA</x:v>
      </x:c>
      <x:c r="V1270" s="22" t="str">
        <x:f>"106.450.057-97"</x:f>
        <x:v>106.450.057-97</x:v>
      </x:c>
      <x:c r="W1270" s="22" t="str">
        <x:f>"10645005797"</x:f>
        <x:v>10645005797</x:v>
      </x:c>
      <x:c r="X1270" s="23" t="str">
        <x:v>RUBENSSAL93@GMAIL.COM</x:v>
      </x:c>
      <x:c r="Y1270" s="22" t="str">
        <x:f>"21965531537"</x:f>
        <x:v>21965531537</x:v>
      </x:c>
      <x:c r="Z1270" s="30" t="n">
        <x:v>46438</x:v>
      </x:c>
    </x:row>
    <x:row r="1271" ht="18" customHeight="1">
      <x:c r="A1271" s="22" t="str">
        <x:f>"901023d7-a671-48be-9acb-a33a3cebe725"</x:f>
        <x:v>901023d7-a671-48be-9acb-a33a3cebe725</x:v>
      </x:c>
      <x:c r="B1271" s="23" t="str">
        <x:v>FERNANDO RUBENS GUIMARAES SILVA</x:v>
      </x:c>
      <x:c r="C1271" s="23" t="str">
        <x:v>fernando rubens guimaraes silva</x:v>
      </x:c>
      <x:c r="D1271" s="22" t="str">
        <x:f>"65.720.321/0001-06"</x:f>
        <x:v>65.720.321/0001-06</x:v>
      </x:c>
      <x:c r="E1271" s="22" t="str">
        <x:f>"65720321000106"</x:f>
        <x:v>65720321000106</x:v>
      </x:c>
      <x:c r="F1271" s="22" t="str">
        <x:f>"106.450.057-97"</x:f>
        <x:v>106.450.057-97</x:v>
      </x:c>
      <x:c r="G1271" s="22" t="str">
        <x:f>"10645005797"</x:f>
        <x:v>10645005797</x:v>
      </x:c>
      <x:c r="H1271" s="23" t="str">
        <x:v>RUBENSSAL93@GMAIL.COM</x:v>
      </x:c>
      <x:c r="I1271" s="22" t="str">
        <x:f>"21965531537"</x:f>
        <x:v>21965531537</x:v>
      </x:c>
      <x:c r="J1271" s="23" t="str">
        <x:v>SPOT</x:v>
      </x:c>
      <x:c r="K1271" s="23" t="str">
        <x:v>favored_only</x:v>
      </x:c>
      <x:c r="L1271" s="24" t="b">
        <x:v>1</x:v>
      </x:c>
      <x:c r="M1271" s="23" t="n">
        <x:v>1</x:v>
      </x:c>
      <x:c r="N1271" s="28" t="n">
        <x:v>46219.812988715275</x:v>
      </x:c>
      <x:c r="O1271" s="28" t="n">
        <x:v>46219.812988715275</x:v>
      </x:c>
      <x:c r="P1271" s="23" t="str">
        <x:v>CORDOVIL</x:v>
      </x:c>
      <x:c r="Q1271" s="30" t="n">
        <x:v>29972</x:v>
      </x:c>
      <x:c r="R1271" s="22" t="str">
        <x:f>"124607656"</x:f>
        <x:v>124607656</x:v>
      </x:c>
      <x:c r="S1271" s="23" t="str">
        <x:v>masculino</x:v>
      </x:c>
      <x:c r="T1271" s="22" t="str">
        <x:f>"TDU1D24"</x:f>
        <x:v>TDU1D24</x:v>
      </x:c>
      <x:c r="U1271" s="23" t="str">
        <x:v>SERGIO PAULO GUIMARAES SILVA</x:v>
      </x:c>
      <x:c r="V1271" s="22" t="str">
        <x:f>"052.164.907-28"</x:f>
        <x:v>052.164.907-28</x:v>
      </x:c>
      <x:c r="W1271" s="22" t="str">
        <x:f>"05216490728"</x:f>
        <x:v>05216490728</x:v>
      </x:c>
      <x:c r="X1271" s="23" t="str">
        <x:v>RUBENSSAL93@GMAIL.COM</x:v>
      </x:c>
      <x:c r="Y1271" s="22" t="str">
        <x:f>"21966413253"</x:f>
        <x:v>21966413253</x:v>
      </x:c>
      <x:c r="Z1271" s="30" t="n">
        <x:v>46470</x:v>
      </x:c>
    </x:row>
    <x:row r="1272" ht="18" customHeight="1">
      <x:c r="A1272" s="22" t="str">
        <x:f>"73092a71-2f75-486a-ab79-38836ecf9905"</x:f>
        <x:v>73092a71-2f75-486a-ab79-38836ecf9905</x:v>
      </x:c>
      <x:c r="B1272" s="23" t="str">
        <x:v>FERNANDO SILVA SANTOS</x:v>
      </x:c>
      <x:c r="C1272" s="23" t="str">
        <x:v>fernando silva santos</x:v>
      </x:c>
      <x:c r="D1272" s="22" t="str">
        <x:f>"63.946.408/0001-70"</x:f>
        <x:v>63.946.408/0001-70</x:v>
      </x:c>
      <x:c r="E1272" s="22" t="str">
        <x:f>"63946408000170"</x:f>
        <x:v>63946408000170</x:v>
      </x:c>
      <x:c r="F1272" s="22" t="str">
        <x:f>"125.233.744-20"</x:f>
        <x:v>125.233.744-20</x:v>
      </x:c>
      <x:c r="G1272" s="22" t="str">
        <x:f>"12523374420"</x:f>
        <x:v>12523374420</x:v>
      </x:c>
      <x:c r="H1272" s="23" t="str">
        <x:v>fernandocavalcante726@gmail.com</x:v>
      </x:c>
      <x:c r="I1272" s="22" t="str">
        <x:f>"17 99192-6147"</x:f>
        <x:v>17 99192-6147</x:v>
      </x:c>
      <x:c r="J1272" s="23" t="str">
        <x:v>SPOT</x:v>
      </x:c>
      <x:c r="K1272" s="23" t="str">
        <x:v>favored_only</x:v>
      </x:c>
      <x:c r="L1272" s="24" t="b">
        <x:v>1</x:v>
      </x:c>
      <x:c r="M1272" s="23" t="n">
        <x:v>1</x:v>
      </x:c>
      <x:c r="N1272" s="28" t="n">
        <x:v>46203.921904421295</x:v>
      </x:c>
      <x:c r="O1272" s="28" t="n">
        <x:v>46219.812988715275</x:v>
      </x:c>
      <x:c r="P1272" s="23" t="str">
        <x:v>SÃO JOSE DO RIO PRETO</x:v>
      </x:c>
      <x:c r="Q1272" s="30" t="n">
        <x:v>35601</x:v>
      </x:c>
      <x:c r="R1272" s="22" t="str">
        <x:f>"12523374420 II RGD SP"</x:f>
        <x:v>12523374420 II RGD SP</x:v>
      </x:c>
      <x:c r="S1272" s="23" t="str">
        <x:v>masculino</x:v>
      </x:c>
      <x:c r="T1272" s="22" t="str"/>
      <x:c r="U1272" s="23" t="str">
        <x:v>FERNANDO SILVA SANTOS</x:v>
      </x:c>
      <x:c r="V1272" s="22" t="str">
        <x:f>"125.233.744-20"</x:f>
        <x:v>125.233.744-20</x:v>
      </x:c>
      <x:c r="W1272" s="22" t="str">
        <x:f>"12523374420"</x:f>
        <x:v>12523374420</x:v>
      </x:c>
      <x:c r="X1272" s="23" t="str">
        <x:v>fernandocavalcante726@gmail.com</x:v>
      </x:c>
      <x:c r="Y1272" s="22" t="str">
        <x:f>"17 99192-6147"</x:f>
        <x:v>17 99192-6147</x:v>
      </x:c>
      <x:c r="Z1272" s="30" t="n">
        <x:v>46376</x:v>
      </x:c>
    </x:row>
    <x:row r="1273" ht="18" customHeight="1">
      <x:c r="A1273" s="22" t="str">
        <x:f>"9a67287f-3189-4dd1-aca1-6b9e05b430e2"</x:f>
        <x:v>9a67287f-3189-4dd1-aca1-6b9e05b430e2</x:v>
      </x:c>
      <x:c r="B1273" s="23" t="str">
        <x:v>FERNANDO SILVESTRE MAIA</x:v>
      </x:c>
      <x:c r="C1273" s="23" t="str">
        <x:v>fernando silvestre maia</x:v>
      </x:c>
      <x:c r="D1273" s="22" t="str">
        <x:f>"37.823.997/0001-90"</x:f>
        <x:v>37.823.997/0001-90</x:v>
      </x:c>
      <x:c r="E1273" s="22" t="str">
        <x:f>"37823997000190"</x:f>
        <x:v>37823997000190</x:v>
      </x:c>
      <x:c r="F1273" s="22" t="str">
        <x:f>"570.192.231-68"</x:f>
        <x:v>570.192.231-68</x:v>
      </x:c>
      <x:c r="G1273" s="22" t="str">
        <x:f>"57019223168"</x:f>
        <x:v>57019223168</x:v>
      </x:c>
      <x:c r="H1273" s="23" t="str">
        <x:v>Fernando_maia@outlook.com</x:v>
      </x:c>
      <x:c r="I1273" s="22" t="str">
        <x:f>"64 999095470"</x:f>
        <x:v>64 999095470</x:v>
      </x:c>
      <x:c r="J1273" s="23" t="str">
        <x:v>SPOT</x:v>
      </x:c>
      <x:c r="K1273" s="23" t="str">
        <x:v>favored_only</x:v>
      </x:c>
      <x:c r="L1273" s="24" t="b">
        <x:v>1</x:v>
      </x:c>
      <x:c r="M1273" s="23" t="n">
        <x:v>1</x:v>
      </x:c>
      <x:c r="N1273" s="28" t="n">
        <x:v>46205.60502487268</x:v>
      </x:c>
      <x:c r="O1273" s="28" t="n">
        <x:v>46219.812988715275</x:v>
      </x:c>
      <x:c r="P1273" s="23" t="str">
        <x:v>PONTES E LACERDA</x:v>
      </x:c>
      <x:c r="Q1273" s="30" t="n">
        <x:v>28228</x:v>
      </x:c>
      <x:c r="R1273" s="22" t="str">
        <x:f>"8784337"</x:f>
        <x:v>8784337</x:v>
      </x:c>
      <x:c r="S1273" s="23" t="str">
        <x:v>masculino</x:v>
      </x:c>
      <x:c r="T1273" s="22" t="str">
        <x:f>"Fernando_maia@outlook.com"</x:f>
        <x:v>Fernando_maia@outlook.com</x:v>
      </x:c>
      <x:c r="U1273" s="23" t="str">
        <x:v>DANILLO BACIEL ALMEIDA</x:v>
      </x:c>
      <x:c r="V1273" s="22" t="str">
        <x:f>"038.768.901-01"</x:f>
        <x:v>038.768.901-01</x:v>
      </x:c>
      <x:c r="W1273" s="22" t="str">
        <x:f>"03876890101"</x:f>
        <x:v>03876890101</x:v>
      </x:c>
      <x:c r="X1273" s="23" t="str">
        <x:v>rtp.cargas@gmail.com</x:v>
      </x:c>
      <x:c r="Y1273" s="22" t="str">
        <x:f>"62991277279"</x:f>
        <x:v>62991277279</x:v>
      </x:c>
      <x:c r="Z1273" s="30" t="n">
        <x:v>46308</x:v>
      </x:c>
    </x:row>
    <x:row r="1274" ht="18" customHeight="1">
      <x:c r="A1274" s="22" t="str">
        <x:f>"67bacc9d-a10e-4d9a-96e7-63e723b74e29"</x:f>
        <x:v>67bacc9d-a10e-4d9a-96e7-63e723b74e29</x:v>
      </x:c>
      <x:c r="B1274" s="23" t="str">
        <x:v>FERNANDO SOARES SANTOS</x:v>
      </x:c>
      <x:c r="C1274" s="23" t="str">
        <x:v>fernando soares santos</x:v>
      </x:c>
      <x:c r="D1274" s="22" t="str">
        <x:f>"60.492.248/0001-49"</x:f>
        <x:v>60.492.248/0001-49</x:v>
      </x:c>
      <x:c r="E1274" s="22" t="str">
        <x:f>"60492248000149"</x:f>
        <x:v>60492248000149</x:v>
      </x:c>
      <x:c r="F1274" s="22" t="str">
        <x:f>"052.865.211-77"</x:f>
        <x:v>052.865.211-77</x:v>
      </x:c>
      <x:c r="G1274" s="22" t="str">
        <x:f>"05286521177"</x:f>
        <x:v>05286521177</x:v>
      </x:c>
      <x:c r="H1274" s="23" t="str">
        <x:v>fernando270294@gmail.com</x:v>
      </x:c>
      <x:c r="I1274" s="22" t="str">
        <x:f>"65996002702"</x:f>
        <x:v>65996002702</x:v>
      </x:c>
      <x:c r="J1274" s="23" t="str">
        <x:v>SPOT</x:v>
      </x:c>
      <x:c r="K1274" s="23" t="str">
        <x:v>favored_only</x:v>
      </x:c>
      <x:c r="L1274" s="24" t="b">
        <x:v>1</x:v>
      </x:c>
      <x:c r="M1274" s="23" t="n">
        <x:v>2</x:v>
      </x:c>
      <x:c r="N1274" s="28" t="n">
        <x:v>46205.60707237269</x:v>
      </x:c>
      <x:c r="O1274" s="28" t="n">
        <x:v>46219.812988715275</x:v>
      </x:c>
      <x:c r="P1274" s="23" t="str">
        <x:v>CUIABA</x:v>
      </x:c>
      <x:c r="Q1274" s="30" t="n">
        <x:v>34392</x:v>
      </x:c>
      <x:c r="R1274" s="22" t="str">
        <x:f>"25489720"</x:f>
        <x:v>25489720</x:v>
      </x:c>
      <x:c r="S1274" s="23" t="str">
        <x:v>masculino</x:v>
      </x:c>
      <x:c r="T1274" s="22" t="str">
        <x:f>"SIJ0A78"</x:f>
        <x:v>SIJ0A78</x:v>
      </x:c>
      <x:c r="U1274" s="23" t="str">
        <x:v>VICTOR HUGO ANTUNES VIEIRA</x:v>
      </x:c>
      <x:c r="V1274" s="22" t="str">
        <x:f>"039.196.241-81"</x:f>
        <x:v>039.196.241-81</x:v>
      </x:c>
      <x:c r="W1274" s="22" t="str">
        <x:f>"03919624181"</x:f>
        <x:v>03919624181</x:v>
      </x:c>
      <x:c r="X1274" s="23" t="str">
        <x:v>victor_antunes23@hotmail.com</x:v>
      </x:c>
      <x:c r="Y1274" s="22" t="str">
        <x:f>"65998197307"</x:f>
        <x:v>65998197307</x:v>
      </x:c>
      <x:c r="Z1274" s="30" t="n">
        <x:v>46480</x:v>
      </x:c>
    </x:row>
    <x:row r="1275" ht="18" customHeight="1">
      <x:c r="A1275" s="22" t="str">
        <x:f>"5f08a9b3-1933-47ef-8d45-c6c335a24147"</x:f>
        <x:v>5f08a9b3-1933-47ef-8d45-c6c335a24147</x:v>
      </x:c>
      <x:c r="B1275" s="23" t="str">
        <x:v>FIDELIS MARQUES DA PADUA JUNIOR</x:v>
      </x:c>
      <x:c r="C1275" s="23" t="str">
        <x:v>fidelis marques da padua junior</x:v>
      </x:c>
      <x:c r="D1275" s="22" t="str">
        <x:f>"43.333.098/0001-01"</x:f>
        <x:v>43.333.098/0001-01</x:v>
      </x:c>
      <x:c r="E1275" s="22" t="str">
        <x:f>"43333098000101"</x:f>
        <x:v>43333098000101</x:v>
      </x:c>
      <x:c r="F1275" s="22" t="str">
        <x:f>"124.277.236-73"</x:f>
        <x:v>124.277.236-73</x:v>
      </x:c>
      <x:c r="G1275" s="22" t="str">
        <x:f>"12427723673"</x:f>
        <x:v>12427723673</x:v>
      </x:c>
      <x:c r="H1275" s="23" t="str">
        <x:v>fidelispaduajr@gmail.com</x:v>
      </x:c>
      <x:c r="I1275" s="22" t="str">
        <x:f>"35 9211-8940"</x:f>
        <x:v>35 9211-8940</x:v>
      </x:c>
      <x:c r="J1275" s="23" t="str">
        <x:v>SPOT</x:v>
      </x:c>
      <x:c r="K1275" s="23" t="str">
        <x:v>favored_only</x:v>
      </x:c>
      <x:c r="L1275" s="24" t="b">
        <x:v>1</x:v>
      </x:c>
      <x:c r="M1275" s="23" t="n">
        <x:v>1</x:v>
      </x:c>
      <x:c r="N1275" s="28" t="n">
        <x:v>46203.921858726855</x:v>
      </x:c>
      <x:c r="O1275" s="28" t="n">
        <x:v>46203.921858726855</x:v>
      </x:c>
      <x:c r="P1275" s="23" t="str"/>
      <x:c r="Q1275" s="30" t="str"/>
      <x:c r="R1275" s="22" t="str"/>
      <x:c r="S1275" s="23" t="str"/>
      <x:c r="T1275" s="22" t="str"/>
      <x:c r="U1275" s="23" t="str">
        <x:v>FIDELIS MARQUES DA PADUA JUNIOR</x:v>
      </x:c>
      <x:c r="V1275" s="22" t="str">
        <x:f>"124.277.236-73"</x:f>
        <x:v>124.277.236-73</x:v>
      </x:c>
      <x:c r="W1275" s="22" t="str">
        <x:f>"12427723673"</x:f>
        <x:v>12427723673</x:v>
      </x:c>
      <x:c r="X1275" s="23" t="str">
        <x:v>fidelispaduajr@gmail.com</x:v>
      </x:c>
      <x:c r="Y1275" s="22" t="str">
        <x:f>"35 9211-8940"</x:f>
        <x:v>35 9211-8940</x:v>
      </x:c>
      <x:c r="Z1275" s="30" t="str"/>
    </x:row>
    <x:row r="1276" ht="18" customHeight="1">
      <x:c r="A1276" s="22" t="str">
        <x:f>"40815b7d-be27-4705-a90b-433acf50c965"</x:f>
        <x:v>40815b7d-be27-4705-a90b-433acf50c965</x:v>
      </x:c>
      <x:c r="B1276" s="23" t="str">
        <x:v>FIDELIS MARQUES DE PADUA</x:v>
      </x:c>
      <x:c r="C1276" s="23" t="str">
        <x:v>fidelis marques de padua</x:v>
      </x:c>
      <x:c r="D1276" s="22" t="str">
        <x:f>"43.333.098/0001-01"</x:f>
        <x:v>43.333.098/0001-01</x:v>
      </x:c>
      <x:c r="E1276" s="22" t="str">
        <x:f>"43333098000101"</x:f>
        <x:v>43333098000101</x:v>
      </x:c>
      <x:c r="F1276" s="22" t="str">
        <x:f>"609.920.506-34"</x:f>
        <x:v>609.920.506-34</x:v>
      </x:c>
      <x:c r="G1276" s="22" t="str">
        <x:f>"60992050634"</x:f>
        <x:v>60992050634</x:v>
      </x:c>
      <x:c r="H1276" s="23" t="str">
        <x:v>fidelispadua22@outlook.com</x:v>
      </x:c>
      <x:c r="I1276" s="22" t="str">
        <x:f>"35984484581"</x:f>
        <x:v>35984484581</x:v>
      </x:c>
      <x:c r="J1276" s="23" t="str">
        <x:v>SPOT</x:v>
      </x:c>
      <x:c r="K1276" s="23" t="str">
        <x:v>favored_only</x:v>
      </x:c>
      <x:c r="L1276" s="24" t="b">
        <x:v>1</x:v>
      </x:c>
      <x:c r="M1276" s="23" t="n">
        <x:v>1</x:v>
      </x:c>
      <x:c r="N1276" s="28" t="n">
        <x:v>46205.60388030093</x:v>
      </x:c>
      <x:c r="O1276" s="28" t="n">
        <x:v>46219.812988715275</x:v>
      </x:c>
      <x:c r="P1276" s="23" t="str">
        <x:v>GUAXUPE</x:v>
      </x:c>
      <x:c r="Q1276" s="30" t="n">
        <x:v>24367</x:v>
      </x:c>
      <x:c r="R1276" s="22" t="str">
        <x:f>"4098624"</x:f>
        <x:v>4098624</x:v>
      </x:c>
      <x:c r="S1276" s="23" t="str">
        <x:v>masculino</x:v>
      </x:c>
      <x:c r="T1276" s="22" t="str">
        <x:f>"FZW8A11"</x:f>
        <x:v>FZW8A11</x:v>
      </x:c>
      <x:c r="U1276" s="23" t="str">
        <x:v>FIDELIS MARQUES DE PADUA JUNIOR</x:v>
      </x:c>
      <x:c r="V1276" s="22" t="str">
        <x:f>"124.277.236-73"</x:f>
        <x:v>124.277.236-73</x:v>
      </x:c>
      <x:c r="W1276" s="22" t="str">
        <x:f>"12427723673"</x:f>
        <x:v>12427723673</x:v>
      </x:c>
      <x:c r="X1276" s="23" t="str">
        <x:v>FELIPEPADUA2015@OUTLOOK.COM</x:v>
      </x:c>
      <x:c r="Y1276" s="22" t="str">
        <x:f>"+55 35 9211-8940"</x:f>
        <x:v>+55 35 9211-8940</x:v>
      </x:c>
      <x:c r="Z1276" s="30" t="n">
        <x:v>46247</x:v>
      </x:c>
    </x:row>
    <x:row r="1277" ht="18" customHeight="1">
      <x:c r="A1277" s="22" t="str">
        <x:f>"c90b71f2-0807-4b38-90f6-870037249204"</x:f>
        <x:v>c90b71f2-0807-4b38-90f6-870037249204</x:v>
      </x:c>
      <x:c r="B1277" s="23" t="str">
        <x:v>FILIPE AUGUSTO PEREIRA SILVA</x:v>
      </x:c>
      <x:c r="C1277" s="23" t="str">
        <x:v>filipe augusto pereira silva</x:v>
      </x:c>
      <x:c r="D1277" s="22" t="str">
        <x:f>"49.324.290/0001-18"</x:f>
        <x:v>49.324.290/0001-18</x:v>
      </x:c>
      <x:c r="E1277" s="22" t="str">
        <x:f>"49324290000118"</x:f>
        <x:v>49324290000118</x:v>
      </x:c>
      <x:c r="F1277" s="22" t="str">
        <x:f>"119.120.506-17"</x:f>
        <x:v>119.120.506-17</x:v>
      </x:c>
      <x:c r="G1277" s="22" t="str">
        <x:f>"11912050617"</x:f>
        <x:v>11912050617</x:v>
      </x:c>
      <x:c r="H1277" s="23" t="str">
        <x:v>filipepereira@gmail.com</x:v>
      </x:c>
      <x:c r="I1277" s="22" t="str">
        <x:f>"31992290826"</x:f>
        <x:v>31992290826</x:v>
      </x:c>
      <x:c r="J1277" s="23" t="str">
        <x:v>SPOT</x:v>
      </x:c>
      <x:c r="K1277" s="23" t="str">
        <x:v>favored_only</x:v>
      </x:c>
      <x:c r="L1277" s="24" t="b">
        <x:v>1</x:v>
      </x:c>
      <x:c r="M1277" s="23" t="n">
        <x:v>1</x:v>
      </x:c>
      <x:c r="N1277" s="28" t="n">
        <x:v>46219.812988715275</x:v>
      </x:c>
      <x:c r="O1277" s="28" t="n">
        <x:v>46219.812988715275</x:v>
      </x:c>
      <x:c r="P1277" s="23" t="str">
        <x:v>CONTAGEM</x:v>
      </x:c>
      <x:c r="Q1277" s="30" t="n">
        <x:v>36305</x:v>
      </x:c>
      <x:c r="R1277" s="22" t="str">
        <x:f>"MG14585674"</x:f>
        <x:v>MG14585674</x:v>
      </x:c>
      <x:c r="S1277" s="23" t="str">
        <x:v>masculino</x:v>
      </x:c>
      <x:c r="T1277" s="22" t="str">
        <x:f>"TIU8H38"</x:f>
        <x:v>TIU8H38</x:v>
      </x:c>
      <x:c r="U1277" s="23" t="str">
        <x:v>FILIPE AUGUSTO PEREIRA SILVA</x:v>
      </x:c>
      <x:c r="V1277" s="22" t="str">
        <x:f>"119.120.506-17"</x:f>
        <x:v>119.120.506-17</x:v>
      </x:c>
      <x:c r="W1277" s="22" t="str">
        <x:f>"11912050617"</x:f>
        <x:v>11912050617</x:v>
      </x:c>
      <x:c r="X1277" s="23" t="str">
        <x:v>filipepereira@gmail.com</x:v>
      </x:c>
      <x:c r="Y1277" s="22" t="str">
        <x:f>"31992290826"</x:f>
        <x:v>31992290826</x:v>
      </x:c>
      <x:c r="Z1277" s="30" t="n">
        <x:v>46431</x:v>
      </x:c>
    </x:row>
    <x:row r="1278" ht="18" customHeight="1">
      <x:c r="A1278" s="22" t="str">
        <x:f>"cbae6421-afef-410e-b6c2-1b4b9c23dff7"</x:f>
        <x:v>cbae6421-afef-410e-b6c2-1b4b9c23dff7</x:v>
      </x:c>
      <x:c r="B1278" s="23" t="str">
        <x:v>FILIPE CHAVES OLIVEIRA</x:v>
      </x:c>
      <x:c r="C1278" s="23" t="str">
        <x:v>filipe chaves oliveira</x:v>
      </x:c>
      <x:c r="D1278" s="22" t="str">
        <x:f>"64.664.622/0001-05"</x:f>
        <x:v>64.664.622/0001-05</x:v>
      </x:c>
      <x:c r="E1278" s="22" t="str">
        <x:f>"64664622000105"</x:f>
        <x:v>64664622000105</x:v>
      </x:c>
      <x:c r="F1278" s="22" t="str">
        <x:f>"031.222.751-55"</x:f>
        <x:v>031.222.751-55</x:v>
      </x:c>
      <x:c r="G1278" s="22" t="str">
        <x:f>"03122275155"</x:f>
        <x:v>03122275155</x:v>
      </x:c>
      <x:c r="H1278" s="23" t="str">
        <x:v>77filipe77@gmail.com</x:v>
      </x:c>
      <x:c r="I1278" s="22" t="str">
        <x:f>"65999491960"</x:f>
        <x:v>65999491960</x:v>
      </x:c>
      <x:c r="J1278" s="23" t="str">
        <x:v>SPOT</x:v>
      </x:c>
      <x:c r="K1278" s="23" t="str">
        <x:v>favored_only</x:v>
      </x:c>
      <x:c r="L1278" s="24" t="b">
        <x:v>1</x:v>
      </x:c>
      <x:c r="M1278" s="23" t="n">
        <x:v>1</x:v>
      </x:c>
      <x:c r="N1278" s="28" t="n">
        <x:v>46219.812988715275</x:v>
      </x:c>
      <x:c r="O1278" s="28" t="n">
        <x:v>46219.812988715275</x:v>
      </x:c>
      <x:c r="P1278" s="23" t="str">
        <x:v>PONTES E LACERDA</x:v>
      </x:c>
      <x:c r="Q1278" s="30" t="n">
        <x:v>32775</x:v>
      </x:c>
      <x:c r="R1278" s="22" t="str">
        <x:f>"21301530"</x:f>
        <x:v>21301530</x:v>
      </x:c>
      <x:c r="S1278" s="23" t="str">
        <x:v>masculino</x:v>
      </x:c>
      <x:c r="T1278" s="22" t="str">
        <x:f>"OHP2G22"</x:f>
        <x:v>OHP2G22</x:v>
      </x:c>
      <x:c r="U1278" s="23" t="str">
        <x:v>FILIPE CHAVES OLIVEIRA</x:v>
      </x:c>
      <x:c r="V1278" s="22" t="str">
        <x:f>"031.222.751-55"</x:f>
        <x:v>031.222.751-55</x:v>
      </x:c>
      <x:c r="W1278" s="22" t="str">
        <x:f>"03122275155"</x:f>
        <x:v>03122275155</x:v>
      </x:c>
      <x:c r="X1278" s="23" t="str">
        <x:v>77filipe77@gmail.com</x:v>
      </x:c>
      <x:c r="Y1278" s="22" t="str">
        <x:f>"65999491960"</x:f>
        <x:v>65999491960</x:v>
      </x:c>
      <x:c r="Z1278" s="30" t="n">
        <x:v>46409</x:v>
      </x:c>
    </x:row>
    <x:row r="1279" ht="18" customHeight="1">
      <x:c r="A1279" s="22" t="str">
        <x:f>"fa152e28-a766-473f-a9a1-6ec0f4c3dd5f"</x:f>
        <x:v>fa152e28-a766-473f-a9a1-6ec0f4c3dd5f</x:v>
      </x:c>
      <x:c r="B1279" s="23" t="str">
        <x:v>FILIPE CHAVES OLIVEIRA</x:v>
      </x:c>
      <x:c r="C1279" s="23" t="str">
        <x:v>filipe chaves oliveira</x:v>
      </x:c>
      <x:c r="D1279" s="22" t="str">
        <x:f>"47.352.784/0001-80"</x:f>
        <x:v>47.352.784/0001-80</x:v>
      </x:c>
      <x:c r="E1279" s="22" t="str">
        <x:f>"47352784000180"</x:f>
        <x:v>47352784000180</x:v>
      </x:c>
      <x:c r="F1279" s="22" t="str">
        <x:f>"031.222.751-55"</x:f>
        <x:v>031.222.751-55</x:v>
      </x:c>
      <x:c r="G1279" s="22" t="str">
        <x:f>"03122275155"</x:f>
        <x:v>03122275155</x:v>
      </x:c>
      <x:c r="H1279" s="23" t="str">
        <x:v>77filipe77@gmail.com</x:v>
      </x:c>
      <x:c r="I1279" s="22" t="str">
        <x:f>"(65) 999491960"</x:f>
        <x:v>(65) 999491960</x:v>
      </x:c>
      <x:c r="J1279" s="23" t="str">
        <x:v>SPOT</x:v>
      </x:c>
      <x:c r="K1279" s="23" t="str">
        <x:v>favored_only</x:v>
      </x:c>
      <x:c r="L1279" s="24" t="b">
        <x:v>1</x:v>
      </x:c>
      <x:c r="M1279" s="23" t="n">
        <x:v>1</x:v>
      </x:c>
      <x:c r="N1279" s="28" t="n">
        <x:v>46205.606905277775</x:v>
      </x:c>
      <x:c r="O1279" s="28" t="n">
        <x:v>46219.812988715275</x:v>
      </x:c>
      <x:c r="P1279" s="23" t="str">
        <x:v>PONTES E LACERDA</x:v>
      </x:c>
      <x:c r="Q1279" s="30" t="n">
        <x:v>32622</x:v>
      </x:c>
      <x:c r="R1279" s="22" t="str">
        <x:f>"21301530"</x:f>
        <x:v>21301530</x:v>
      </x:c>
      <x:c r="S1279" s="23" t="str">
        <x:v>masculino</x:v>
      </x:c>
      <x:c r="T1279" s="22" t="str">
        <x:f>"OHP2G22"</x:f>
        <x:v>OHP2G22</x:v>
      </x:c>
      <x:c r="U1279" s="23" t="str">
        <x:v>WESLEY SANTOS ABREU</x:v>
      </x:c>
      <x:c r="V1279" s="22" t="str">
        <x:f>"062.631.491-75"</x:f>
        <x:v>062.631.491-75</x:v>
      </x:c>
      <x:c r="W1279" s="22" t="str">
        <x:f>"06263149175"</x:f>
        <x:v>06263149175</x:v>
      </x:c>
      <x:c r="X1279" s="23" t="str">
        <x:v>wesleysantosabreu13@gmail.com</x:v>
      </x:c>
      <x:c r="Y1279" s="22" t="str">
        <x:f>"65993081162"</x:f>
        <x:v>65993081162</x:v>
      </x:c>
      <x:c r="Z1279" s="30" t="n">
        <x:v>46386</x:v>
      </x:c>
    </x:row>
    <x:row r="1280" ht="18" customHeight="1">
      <x:c r="A1280" s="22" t="str">
        <x:f>"79f35eac-1dde-4703-9761-df8e722dbc22"</x:f>
        <x:v>79f35eac-1dde-4703-9761-df8e722dbc22</x:v>
      </x:c>
      <x:c r="B1280" s="23" t="str">
        <x:v>FILIPE DE OLIVEIRA MOTA</x:v>
      </x:c>
      <x:c r="C1280" s="23" t="str">
        <x:v>filipe de oliveira mota</x:v>
      </x:c>
      <x:c r="D1280" s="22" t="str">
        <x:f>"63.324.423/0001-87"</x:f>
        <x:v>63.324.423/0001-87</x:v>
      </x:c>
      <x:c r="E1280" s="22" t="str">
        <x:f>"63324423000187"</x:f>
        <x:v>63324423000187</x:v>
      </x:c>
      <x:c r="F1280" s="22" t="str">
        <x:f>"157.984.547-50"</x:f>
        <x:v>157.984.547-50</x:v>
      </x:c>
      <x:c r="G1280" s="22" t="str">
        <x:f>"15798454750"</x:f>
        <x:v>15798454750</x:v>
      </x:c>
      <x:c r="H1280" s="23" t="str">
        <x:v>filipeoliveiramota20@gmail.com</x:v>
      </x:c>
      <x:c r="I1280" s="22" t="str">
        <x:f>"21970559889"</x:f>
        <x:v>21970559889</x:v>
      </x:c>
      <x:c r="J1280" s="23" t="str">
        <x:v>SPOT</x:v>
      </x:c>
      <x:c r="K1280" s="23" t="str">
        <x:v>favored_only</x:v>
      </x:c>
      <x:c r="L1280" s="24" t="b">
        <x:v>1</x:v>
      </x:c>
      <x:c r="M1280" s="23" t="n">
        <x:v>1</x:v>
      </x:c>
      <x:c r="N1280" s="28" t="n">
        <x:v>46219.812988715275</x:v>
      </x:c>
      <x:c r="O1280" s="28" t="n">
        <x:v>46219.812988715275</x:v>
      </x:c>
      <x:c r="P1280" s="23" t="str">
        <x:v>ITABORAI</x:v>
      </x:c>
      <x:c r="Q1280" s="30" t="n">
        <x:v>34014</x:v>
      </x:c>
      <x:c r="R1280" s="22" t="str">
        <x:f>"286435789"</x:f>
        <x:v>286435789</x:v>
      </x:c>
      <x:c r="S1280" s="23" t="str">
        <x:v>masculino</x:v>
      </x:c>
      <x:c r="T1280" s="22" t="str">
        <x:f>"TIQ6H92"</x:f>
        <x:v>TIQ6H92</x:v>
      </x:c>
      <x:c r="U1280" s="23" t="str">
        <x:v>LEVI JOSE DA MOTA</x:v>
      </x:c>
      <x:c r="V1280" s="22" t="str">
        <x:f>"015.871.857-76"</x:f>
        <x:v>015.871.857-76</x:v>
      </x:c>
      <x:c r="W1280" s="22" t="str">
        <x:f>"01587185776"</x:f>
        <x:v>01587185776</x:v>
      </x:c>
      <x:c r="X1280" s="23" t="str">
        <x:v>filipeoliveiramota20@gmail.com</x:v>
      </x:c>
      <x:c r="Y1280" s="22" t="str">
        <x:f>"21970559889"</x:f>
        <x:v>21970559889</x:v>
      </x:c>
      <x:c r="Z1280" s="30" t="n">
        <x:v>46457</x:v>
      </x:c>
    </x:row>
    <x:row r="1281" ht="18" customHeight="1">
      <x:c r="A1281" s="22" t="str">
        <x:f>"d98c0828-0f79-4e4c-bfa8-e32cab5a9f97"</x:f>
        <x:v>d98c0828-0f79-4e4c-bfa8-e32cab5a9f97</x:v>
      </x:c>
      <x:c r="B1281" s="23" t="str">
        <x:v>FILIPE DOS SANTOS GOMES</x:v>
      </x:c>
      <x:c r="C1281" s="23" t="str">
        <x:v>filipe dos santos gomes</x:v>
      </x:c>
      <x:c r="D1281" s="22" t="str">
        <x:f>"55.920.350/0001-68"</x:f>
        <x:v>55.920.350/0001-68</x:v>
      </x:c>
      <x:c r="E1281" s="22" t="str">
        <x:f>"55920350000168"</x:f>
        <x:v>55920350000168</x:v>
      </x:c>
      <x:c r="F1281" s="22" t="str">
        <x:f>"127.427.687-00"</x:f>
        <x:v>127.427.687-00</x:v>
      </x:c>
      <x:c r="G1281" s="22" t="str">
        <x:f>"12742768700"</x:f>
        <x:v>12742768700</x:v>
      </x:c>
      <x:c r="H1281" s="23" t="str">
        <x:v>fsgomes94@gmail.com</x:v>
      </x:c>
      <x:c r="I1281" s="22" t="str">
        <x:f>"21 98140-1996"</x:f>
        <x:v>21 98140-1996</x:v>
      </x:c>
      <x:c r="J1281" s="23" t="str">
        <x:v>SPOT</x:v>
      </x:c>
      <x:c r="K1281" s="23" t="str">
        <x:v>favored_only</x:v>
      </x:c>
      <x:c r="L1281" s="24" t="b">
        <x:v>1</x:v>
      </x:c>
      <x:c r="M1281" s="23" t="n">
        <x:v>2</x:v>
      </x:c>
      <x:c r="N1281" s="28" t="n">
        <x:v>46203.92186462963</x:v>
      </x:c>
      <x:c r="O1281" s="28" t="n">
        <x:v>46219.812988715275</x:v>
      </x:c>
      <x:c r="P1281" s="23" t="str">
        <x:v>QUEIMADOS</x:v>
      </x:c>
      <x:c r="Q1281" s="30" t="n">
        <x:v>34467</x:v>
      </x:c>
      <x:c r="R1281" s="22" t="str">
        <x:f>"273507475"</x:f>
        <x:v>273507475</x:v>
      </x:c>
      <x:c r="S1281" s="23" t="str">
        <x:v>masculino</x:v>
      </x:c>
      <x:c r="T1281" s="22" t="str">
        <x:f>"PYU5I34"</x:f>
        <x:v>PYU5I34</x:v>
      </x:c>
      <x:c r="U1281" s="23" t="str">
        <x:v>FILIPE DOS SANTOS GOMES</x:v>
      </x:c>
      <x:c r="V1281" s="22" t="str">
        <x:f>"127.427.687-00"</x:f>
        <x:v>127.427.687-00</x:v>
      </x:c>
      <x:c r="W1281" s="22" t="str">
        <x:f>"12742768700"</x:f>
        <x:v>12742768700</x:v>
      </x:c>
      <x:c r="X1281" s="23" t="str">
        <x:v>fsgomes94@gmail.com</x:v>
      </x:c>
      <x:c r="Y1281" s="22" t="str">
        <x:f>"21 98140-1996"</x:f>
        <x:v>21 98140-1996</x:v>
      </x:c>
      <x:c r="Z1281" s="30" t="n">
        <x:v>46271</x:v>
      </x:c>
    </x:row>
    <x:row r="1282" ht="18" customHeight="1">
      <x:c r="A1282" s="22" t="str">
        <x:f>"7b08be13-eb6c-4c14-8d2b-8215144586d3"</x:f>
        <x:v>7b08be13-eb6c-4c14-8d2b-8215144586d3</x:v>
      </x:c>
      <x:c r="B1282" s="23" t="str">
        <x:v>FILIPE FURTADO VIEIRA</x:v>
      </x:c>
      <x:c r="C1282" s="23" t="str">
        <x:v>filipe furtado vieira</x:v>
      </x:c>
      <x:c r="D1282" s="22" t="str">
        <x:f>"41.546.969/0001-40"</x:f>
        <x:v>41.546.969/0001-40</x:v>
      </x:c>
      <x:c r="E1282" s="22" t="str">
        <x:f>"41546969000140"</x:f>
        <x:v>41546969000140</x:v>
      </x:c>
      <x:c r="F1282" s="22" t="str">
        <x:f>"474.180.948-09"</x:f>
        <x:v>474.180.948-09</x:v>
      </x:c>
      <x:c r="G1282" s="22" t="str">
        <x:f>"47418094809"</x:f>
        <x:v>47418094809</x:v>
      </x:c>
      <x:c r="H1282" s="23" t="str">
        <x:v>fflogtrans@gmail.com</x:v>
      </x:c>
      <x:c r="I1282" s="22" t="str">
        <x:f>"17993940123"</x:f>
        <x:v>17993940123</x:v>
      </x:c>
      <x:c r="J1282" s="23" t="str">
        <x:v>SPOT</x:v>
      </x:c>
      <x:c r="K1282" s="23" t="str">
        <x:v>favored_only</x:v>
      </x:c>
      <x:c r="L1282" s="24" t="b">
        <x:v>1</x:v>
      </x:c>
      <x:c r="M1282" s="23" t="n">
        <x:v>1</x:v>
      </x:c>
      <x:c r="N1282" s="28" t="n">
        <x:v>46219.812988715275</x:v>
      </x:c>
      <x:c r="O1282" s="28" t="n">
        <x:v>46219.812988715275</x:v>
      </x:c>
      <x:c r="P1282" s="23" t="str">
        <x:v>RIBEIRAO PRETO</x:v>
      </x:c>
      <x:c r="Q1282" s="30" t="n">
        <x:v>36515</x:v>
      </x:c>
      <x:c r="R1282" s="22" t="str">
        <x:f>"38687380"</x:f>
        <x:v>38687380</x:v>
      </x:c>
      <x:c r="S1282" s="23" t="str">
        <x:v>masculino</x:v>
      </x:c>
      <x:c r="T1282" s="22" t="str">
        <x:f>"EWS0A76"</x:f>
        <x:v>EWS0A76</x:v>
      </x:c>
      <x:c r="U1282" s="23" t="str">
        <x:v>FELIPE FURTADO VIEIRA</x:v>
      </x:c>
      <x:c r="V1282" s="22" t="str">
        <x:f>"474.180.948-09"</x:f>
        <x:v>474.180.948-09</x:v>
      </x:c>
      <x:c r="W1282" s="22" t="str">
        <x:f>"47418094809"</x:f>
        <x:v>47418094809</x:v>
      </x:c>
      <x:c r="X1282" s="23" t="str">
        <x:v>fflogtrans@gmail.com</x:v>
      </x:c>
      <x:c r="Y1282" s="22" t="str">
        <x:f>"17993940123"</x:f>
        <x:v>17993940123</x:v>
      </x:c>
      <x:c r="Z1282" s="30" t="n">
        <x:v>46501</x:v>
      </x:c>
    </x:row>
    <x:row r="1283" ht="18" customHeight="1">
      <x:c r="A1283" s="22" t="str">
        <x:f>"ff1ebb98-07b1-4929-82e9-efa9a82a073d"</x:f>
        <x:v>ff1ebb98-07b1-4929-82e9-efa9a82a073d</x:v>
      </x:c>
      <x:c r="B1283" s="23" t="str">
        <x:v>FILIPE JUNIO VICAR MARTINS</x:v>
      </x:c>
      <x:c r="C1283" s="23" t="str">
        <x:v>filipe junio vicar martins</x:v>
      </x:c>
      <x:c r="D1283" s="22" t="str">
        <x:f>"65.793.783/0001-53"</x:f>
        <x:v>65.793.783/0001-53</x:v>
      </x:c>
      <x:c r="E1283" s="22" t="str">
        <x:f>"65793783000153"</x:f>
        <x:v>65793783000153</x:v>
      </x:c>
      <x:c r="F1283" s="22" t="str">
        <x:f>"098.909.586-00"</x:f>
        <x:v>098.909.586-00</x:v>
      </x:c>
      <x:c r="G1283" s="22" t="str">
        <x:f>"09890958600"</x:f>
        <x:v>09890958600</x:v>
      </x:c>
      <x:c r="H1283" s="23" t="str">
        <x:v>felipejuniormilford@gmail.com</x:v>
      </x:c>
      <x:c r="I1283" s="22" t="str">
        <x:f>"31996219728"</x:f>
        <x:v>31996219728</x:v>
      </x:c>
      <x:c r="J1283" s="23" t="str">
        <x:v>SPOT</x:v>
      </x:c>
      <x:c r="K1283" s="23" t="str">
        <x:v>favored_only</x:v>
      </x:c>
      <x:c r="L1283" s="24" t="b">
        <x:v>1</x:v>
      </x:c>
      <x:c r="M1283" s="23" t="n">
        <x:v>1</x:v>
      </x:c>
      <x:c r="N1283" s="28" t="n">
        <x:v>46219.812988715275</x:v>
      </x:c>
      <x:c r="O1283" s="28" t="n">
        <x:v>46219.812988715275</x:v>
      </x:c>
      <x:c r="P1283" s="23" t="str">
        <x:v>IPATINGA</x:v>
      </x:c>
      <x:c r="Q1283" s="30" t="n">
        <x:v>35865</x:v>
      </x:c>
      <x:c r="R1283" s="22" t="str">
        <x:f>"SSPMG / 16558515"</x:f>
        <x:v>SSPMG / 16558515</x:v>
      </x:c>
      <x:c r="S1283" s="23" t="str">
        <x:v>masculino</x:v>
      </x:c>
      <x:c r="T1283" s="22" t="str">
        <x:f>"ELB2A28"</x:f>
        <x:v>ELB2A28</x:v>
      </x:c>
      <x:c r="U1283" s="23" t="str">
        <x:v>STEFANY VITORIA DE PAULA GOMES</x:v>
      </x:c>
      <x:c r="V1283" s="22" t="str">
        <x:f>"106.152.776-08"</x:f>
        <x:v>106.152.776-08</x:v>
      </x:c>
      <x:c r="W1283" s="22" t="str">
        <x:f>"10615277608"</x:f>
        <x:v>10615277608</x:v>
      </x:c>
      <x:c r="X1283" s="23" t="str">
        <x:v>stefanyvitoria.gomes@hotmail.com</x:v>
      </x:c>
      <x:c r="Y1283" s="22" t="str">
        <x:f>"(31) 984409310"</x:f>
        <x:v>(31) 984409310</x:v>
      </x:c>
      <x:c r="Z1283" s="30" t="n">
        <x:v>46467</x:v>
      </x:c>
    </x:row>
    <x:row r="1284" ht="18" customHeight="1">
      <x:c r="A1284" s="22" t="str">
        <x:f>"436f9372-313f-44f1-acb5-713832ae4f9b"</x:f>
        <x:v>436f9372-313f-44f1-acb5-713832ae4f9b</x:v>
      </x:c>
      <x:c r="B1284" s="23" t="str">
        <x:v>FILIPE PARANHOS LIMA</x:v>
      </x:c>
      <x:c r="C1284" s="23" t="str">
        <x:v>filipe paranhos lima</x:v>
      </x:c>
      <x:c r="D1284" s="22" t="str">
        <x:f>"60.269.299/0001-06"</x:f>
        <x:v>60.269.299/0001-06</x:v>
      </x:c>
      <x:c r="E1284" s="22" t="str">
        <x:f>"60269299000106"</x:f>
        <x:v>60269299000106</x:v>
      </x:c>
      <x:c r="F1284" s="22" t="str">
        <x:f>"142.136.186-84"</x:f>
        <x:v>142.136.186-84</x:v>
      </x:c>
      <x:c r="G1284" s="22" t="str">
        <x:f>"14213618684"</x:f>
        <x:v>14213618684</x:v>
      </x:c>
      <x:c r="H1284" s="23" t="str">
        <x:v>filipeparanhoslima05@gmail.com</x:v>
      </x:c>
      <x:c r="I1284" s="22" t="str">
        <x:f>"(31) 9 9624-5984"</x:f>
        <x:v>(31) 9 9624-5984</x:v>
      </x:c>
      <x:c r="J1284" s="23" t="str">
        <x:v>RENTAL</x:v>
      </x:c>
      <x:c r="K1284" s="23" t="str">
        <x:v>rental_company</x:v>
      </x:c>
      <x:c r="L1284" s="24" t="b">
        <x:v>1</x:v>
      </x:c>
      <x:c r="M1284" s="23" t="n">
        <x:v>1</x:v>
      </x:c>
      <x:c r="N1284" s="28" t="n">
        <x:v>46203.92183332176</x:v>
      </x:c>
      <x:c r="O1284" s="28" t="n">
        <x:v>46219.812988715275</x:v>
      </x:c>
      <x:c r="P1284" s="23" t="str">
        <x:v>NOVA LIMA</x:v>
      </x:c>
      <x:c r="Q1284" s="30" t="n">
        <x:v>36440</x:v>
      </x:c>
      <x:c r="R1284" s="22" t="str">
        <x:f>"MG 18040983"</x:f>
        <x:v>MG 18040983</x:v>
      </x:c>
      <x:c r="S1284" s="23" t="str">
        <x:v>masculino</x:v>
      </x:c>
      <x:c r="T1284" s="22" t="str"/>
      <x:c r="U1284" s="23" t="str">
        <x:v>FILIPE PARANHOS LIMA</x:v>
      </x:c>
      <x:c r="V1284" s="22" t="str">
        <x:f>"142.136.186-84"</x:f>
        <x:v>142.136.186-84</x:v>
      </x:c>
      <x:c r="W1284" s="22" t="str">
        <x:f>"14213618684"</x:f>
        <x:v>14213618684</x:v>
      </x:c>
      <x:c r="X1284" s="23" t="str">
        <x:v>filipeparanhoslima05@gmail.com</x:v>
      </x:c>
      <x:c r="Y1284" s="22" t="str">
        <x:f>"(31) 9 9624-5984"</x:f>
        <x:v>(31) 9 9624-5984</x:v>
      </x:c>
      <x:c r="Z1284" s="30" t="n">
        <x:v>46333</x:v>
      </x:c>
    </x:row>
    <x:row r="1285" ht="18" customHeight="1">
      <x:c r="A1285" s="22" t="str">
        <x:f>"6bfa47ff-c1de-4f06-b386-16fb61e3c4df"</x:f>
        <x:v>6bfa47ff-c1de-4f06-b386-16fb61e3c4df</x:v>
      </x:c>
      <x:c r="B1285" s="23" t="str">
        <x:v>FILIPE REGO DE ALMDEIDA</x:v>
      </x:c>
      <x:c r="C1285" s="23" t="str">
        <x:v>filipe rego de almdeida</x:v>
      </x:c>
      <x:c r="D1285" s="22" t="str">
        <x:f>"62.818.894/0001-89"</x:f>
        <x:v>62.818.894/0001-89</x:v>
      </x:c>
      <x:c r="E1285" s="22" t="str">
        <x:f>"62818894000189"</x:f>
        <x:v>62818894000189</x:v>
      </x:c>
      <x:c r="F1285" s="22" t="str">
        <x:f>"045.216.711-60"</x:f>
        <x:v>045.216.711-60</x:v>
      </x:c>
      <x:c r="G1285" s="22" t="str">
        <x:f>"04521671160"</x:f>
        <x:v>04521671160</x:v>
      </x:c>
      <x:c r="H1285" s="23" t="str">
        <x:v>filipealmeida509@gmail.com</x:v>
      </x:c>
      <x:c r="I1285" s="22" t="str">
        <x:f>"(16)99418-8699"</x:f>
        <x:v>(16)99418-8699</x:v>
      </x:c>
      <x:c r="J1285" s="23" t="str">
        <x:v>RENTAL</x:v>
      </x:c>
      <x:c r="K1285" s="23" t="str">
        <x:v>rental_company</x:v>
      </x:c>
      <x:c r="L1285" s="24" t="b">
        <x:v>1</x:v>
      </x:c>
      <x:c r="M1285" s="23" t="n">
        <x:v>1</x:v>
      </x:c>
      <x:c r="N1285" s="28" t="n">
        <x:v>46219.812988715275</x:v>
      </x:c>
      <x:c r="O1285" s="28" t="n">
        <x:v>46219.812988715275</x:v>
      </x:c>
      <x:c r="P1285" s="23" t="str">
        <x:v>MADEIRA MADEIRA</x:v>
      </x:c>
      <x:c r="Q1285" s="30" t="n">
        <x:v>34378</x:v>
      </x:c>
      <x:c r="R1285" s="22" t="str">
        <x:f>"422963653"</x:f>
        <x:v>422963653</x:v>
      </x:c>
      <x:c r="S1285" s="23" t="str">
        <x:v>masculino</x:v>
      </x:c>
      <x:c r="T1285" s="22" t="str"/>
      <x:c r="U1285" s="23" t="str">
        <x:v>FILIPE REGO DE ALMDEIDA</x:v>
      </x:c>
      <x:c r="V1285" s="22" t="str">
        <x:f>"045.216.711-60"</x:f>
        <x:v>045.216.711-60</x:v>
      </x:c>
      <x:c r="W1285" s="22" t="str">
        <x:f>"04521671160"</x:f>
        <x:v>04521671160</x:v>
      </x:c>
      <x:c r="X1285" s="23" t="str">
        <x:v>filipealmeida509@gmail.com</x:v>
      </x:c>
      <x:c r="Y1285" s="22" t="str">
        <x:f>"(16)99418-8699"</x:f>
        <x:v>(16)99418-8699</x:v>
      </x:c>
      <x:c r="Z1285" s="30" t="n">
        <x:v>46520</x:v>
      </x:c>
    </x:row>
    <x:row r="1286" ht="18" customHeight="1">
      <x:c r="A1286" s="22" t="str">
        <x:f>"c68a023c-60bc-4413-99b2-84058a42db2b"</x:f>
        <x:v>c68a023c-60bc-4413-99b2-84058a42db2b</x:v>
      </x:c>
      <x:c r="B1286" s="23" t="str">
        <x:v>FILIPE VIEIRA SILVA</x:v>
      </x:c>
      <x:c r="C1286" s="23" t="str">
        <x:v>filipe vieira silva</x:v>
      </x:c>
      <x:c r="D1286" s="22" t="str">
        <x:f>"57.676.387/0001-18"</x:f>
        <x:v>57.676.387/0001-18</x:v>
      </x:c>
      <x:c r="E1286" s="22" t="str">
        <x:f>"57676387000118"</x:f>
        <x:v>57676387000118</x:v>
      </x:c>
      <x:c r="F1286" s="22" t="str">
        <x:f>"161.735.486-40"</x:f>
        <x:v>161.735.486-40</x:v>
      </x:c>
      <x:c r="G1286" s="22" t="str">
        <x:f>"16173548640"</x:f>
        <x:v>16173548640</x:v>
      </x:c>
      <x:c r="H1286" s="23" t="str">
        <x:v>aronefera@gmail.com</x:v>
      </x:c>
      <x:c r="I1286" s="22" t="str">
        <x:f>"31983674165"</x:f>
        <x:v>31983674165</x:v>
      </x:c>
      <x:c r="J1286" s="23" t="str">
        <x:v>SPOT</x:v>
      </x:c>
      <x:c r="K1286" s="23" t="str">
        <x:v>favored_only</x:v>
      </x:c>
      <x:c r="L1286" s="24" t="b">
        <x:v>1</x:v>
      </x:c>
      <x:c r="M1286" s="23" t="n">
        <x:v>1</x:v>
      </x:c>
      <x:c r="N1286" s="28" t="n">
        <x:v>46205.607256261574</x:v>
      </x:c>
      <x:c r="O1286" s="28" t="n">
        <x:v>46219.812988715275</x:v>
      </x:c>
      <x:c r="P1286" s="23" t="str">
        <x:v>CONCEIÇÃO DO MATO DENTRO</x:v>
      </x:c>
      <x:c r="Q1286" s="30" t="n">
        <x:v>36509</x:v>
      </x:c>
      <x:c r="R1286" s="22" t="str">
        <x:f>"MG-22355663"</x:f>
        <x:v>MG-22355663</x:v>
      </x:c>
      <x:c r="S1286" s="23" t="str">
        <x:v>masculino</x:v>
      </x:c>
      <x:c r="T1286" s="22" t="str">
        <x:f>"PVF2F46"</x:f>
        <x:v>PVF2F46</x:v>
      </x:c>
      <x:c r="U1286" s="23" t="str">
        <x:v>CLEYSON ELOY RIBEIRO</x:v>
      </x:c>
      <x:c r="V1286" s="22" t="str">
        <x:f>"091.352.476-06"</x:f>
        <x:v>091.352.476-06</x:v>
      </x:c>
      <x:c r="W1286" s="22" t="str">
        <x:f>"09135247606"</x:f>
        <x:v>09135247606</x:v>
      </x:c>
      <x:c r="X1286" s="23" t="str">
        <x:v>cleysoneloy@gmail.com</x:v>
      </x:c>
      <x:c r="Y1286" s="22" t="str">
        <x:f>"31984909912"</x:f>
        <x:v>31984909912</x:v>
      </x:c>
      <x:c r="Z1286" s="30" t="n">
        <x:v>46584</x:v>
      </x:c>
    </x:row>
    <x:row r="1287" ht="18" customHeight="1">
      <x:c r="A1287" s="22" t="str">
        <x:f>"69d5cc08-0621-4b95-a2af-8400d9d4d393"</x:f>
        <x:v>69d5cc08-0621-4b95-a2af-8400d9d4d393</x:v>
      </x:c>
      <x:c r="B1287" s="23" t="str">
        <x:v>FLAVIANO NILLS DO NASCIMENTO COELHO</x:v>
      </x:c>
      <x:c r="C1287" s="23" t="str">
        <x:v>flaviano nills do nascimento coelho</x:v>
      </x:c>
      <x:c r="D1287" s="22" t="str">
        <x:f>"53.524.600/0001-15"</x:f>
        <x:v>53.524.600/0001-15</x:v>
      </x:c>
      <x:c r="E1287" s="22" t="str">
        <x:f>"53524600000115"</x:f>
        <x:v>53524600000115</x:v>
      </x:c>
      <x:c r="F1287" s="22" t="str">
        <x:f>"147.161.127-21"</x:f>
        <x:v>147.161.127-21</x:v>
      </x:c>
      <x:c r="G1287" s="22" t="str">
        <x:f>"14716112721"</x:f>
        <x:v>14716112721</x:v>
      </x:c>
      <x:c r="H1287" s="23" t="str">
        <x:v>nillsbtloperib@gmail.com</x:v>
      </x:c>
      <x:c r="I1287" s="22" t="str">
        <x:f>"(21)97591-8963"</x:f>
        <x:v>(21)97591-8963</x:v>
      </x:c>
      <x:c r="J1287" s="23" t="str">
        <x:v>SPOT</x:v>
      </x:c>
      <x:c r="K1287" s="23" t="str">
        <x:v>favored_only</x:v>
      </x:c>
      <x:c r="L1287" s="24" t="b">
        <x:v>1</x:v>
      </x:c>
      <x:c r="M1287" s="23" t="n">
        <x:v>1</x:v>
      </x:c>
      <x:c r="N1287" s="28" t="n">
        <x:v>46219.812988715275</x:v>
      </x:c>
      <x:c r="O1287" s="28" t="n">
        <x:v>46219.812988715275</x:v>
      </x:c>
      <x:c r="P1287" s="23" t="str">
        <x:v>SÃO JOAO DE MERITI</x:v>
      </x:c>
      <x:c r="Q1287" s="30" t="n">
        <x:v>34452</x:v>
      </x:c>
      <x:c r="R1287" s="22" t="str">
        <x:f>"GC059318"</x:f>
        <x:v>GC059318</x:v>
      </x:c>
      <x:c r="S1287" s="23" t="str">
        <x:v>masculino</x:v>
      </x:c>
      <x:c r="T1287" s="22" t="str">
        <x:f>"UBF3I50"</x:f>
        <x:v>UBF3I50</x:v>
      </x:c>
      <x:c r="U1287" s="23" t="str">
        <x:v>FLAVIANO NILLS DO NASCIMENTO COELHO</x:v>
      </x:c>
      <x:c r="V1287" s="22" t="str">
        <x:f>"147.161.127-21"</x:f>
        <x:v>147.161.127-21</x:v>
      </x:c>
      <x:c r="W1287" s="22" t="str">
        <x:f>"14716112721"</x:f>
        <x:v>14716112721</x:v>
      </x:c>
      <x:c r="X1287" s="23" t="str">
        <x:v>nillsbtloperib@gmail.com</x:v>
      </x:c>
      <x:c r="Y1287" s="22" t="str">
        <x:f>"(21)97591-8963"</x:f>
        <x:v>(21)97591-8963</x:v>
      </x:c>
      <x:c r="Z1287" s="30" t="n">
        <x:v>46540</x:v>
      </x:c>
    </x:row>
    <x:row r="1288" ht="18" customHeight="1">
      <x:c r="A1288" s="22" t="str">
        <x:f>"3e22b54d-d727-4ea4-8762-9885c5f49615"</x:f>
        <x:v>3e22b54d-d727-4ea4-8762-9885c5f49615</x:v>
      </x:c>
      <x:c r="B1288" s="23" t="str">
        <x:v>FLAVIANO SIMOES DA SILVA</x:v>
      </x:c>
      <x:c r="C1288" s="23" t="str">
        <x:v>flaviano simoes da silva</x:v>
      </x:c>
      <x:c r="D1288" s="22" t="str">
        <x:f>"62.123.895/0001-09"</x:f>
        <x:v>62.123.895/0001-09</x:v>
      </x:c>
      <x:c r="E1288" s="22" t="str">
        <x:f>"62123895000109"</x:f>
        <x:v>62123895000109</x:v>
      </x:c>
      <x:c r="F1288" s="22" t="str">
        <x:f>"074.451.386-33"</x:f>
        <x:v>074.451.386-33</x:v>
      </x:c>
      <x:c r="G1288" s="22" t="str">
        <x:f>"07445138633"</x:f>
        <x:v>07445138633</x:v>
      </x:c>
      <x:c r="H1288" s="23" t="str">
        <x:v>flavianosimoesdasilvasimoes@gmail.com</x:v>
      </x:c>
      <x:c r="I1288" s="22" t="str">
        <x:f>"33999202644"</x:f>
        <x:v>33999202644</x:v>
      </x:c>
      <x:c r="J1288" s="23" t="str">
        <x:v>SPOT</x:v>
      </x:c>
      <x:c r="K1288" s="23" t="str">
        <x:v>favored_only</x:v>
      </x:c>
      <x:c r="L1288" s="24" t="b">
        <x:v>1</x:v>
      </x:c>
      <x:c r="M1288" s="23" t="n">
        <x:v>1</x:v>
      </x:c>
      <x:c r="N1288" s="28" t="n">
        <x:v>46203.921858726855</x:v>
      </x:c>
      <x:c r="O1288" s="28" t="n">
        <x:v>46219.812988715275</x:v>
      </x:c>
      <x:c r="P1288" s="23" t="str">
        <x:v>GUANHAES</x:v>
      </x:c>
      <x:c r="Q1288" s="30" t="n">
        <x:v>31119</x:v>
      </x:c>
      <x:c r="R1288" s="22" t="str">
        <x:f>"14640167"</x:f>
        <x:v>14640167</x:v>
      </x:c>
      <x:c r="S1288" s="23" t="str">
        <x:v>masculino</x:v>
      </x:c>
      <x:c r="T1288" s="22" t="str">
        <x:f>"QWS8H30"</x:f>
        <x:v>QWS8H30</x:v>
      </x:c>
      <x:c r="U1288" s="23" t="str">
        <x:v>FLAVIANO SIMOES DA SILVA</x:v>
      </x:c>
      <x:c r="V1288" s="22" t="str">
        <x:f>"074.451.386-33"</x:f>
        <x:v>074.451.386-33</x:v>
      </x:c>
      <x:c r="W1288" s="22" t="str">
        <x:f>"07445138633"</x:f>
        <x:v>07445138633</x:v>
      </x:c>
      <x:c r="X1288" s="23" t="str">
        <x:v>flavianosimoesdasilvasimoes@gmail.com</x:v>
      </x:c>
      <x:c r="Y1288" s="22" t="str">
        <x:f>"33999202644"</x:f>
        <x:v>33999202644</x:v>
      </x:c>
      <x:c r="Z1288" s="30" t="n">
        <x:v>46256</x:v>
      </x:c>
    </x:row>
    <x:row r="1289" ht="18" customHeight="1">
      <x:c r="A1289" s="22" t="str">
        <x:f>"fc1f526f-d271-44fa-a2d6-4e3ba1b816b7"</x:f>
        <x:v>fc1f526f-d271-44fa-a2d6-4e3ba1b816b7</x:v>
      </x:c>
      <x:c r="B1289" s="23" t="str">
        <x:v>FLAVIA PEREIRA DOS SANTOS</x:v>
      </x:c>
      <x:c r="C1289" s="23" t="str">
        <x:v>flavia pereira dos santos</x:v>
      </x:c>
      <x:c r="D1289" s="22" t="str">
        <x:f>"59.425.921/0001-49"</x:f>
        <x:v>59.425.921/0001-49</x:v>
      </x:c>
      <x:c r="E1289" s="22" t="str">
        <x:f>"59425921000149"</x:f>
        <x:v>59425921000149</x:v>
      </x:c>
      <x:c r="F1289" s="22" t="str">
        <x:f>"124.093.946-98"</x:f>
        <x:v>124.093.946-98</x:v>
      </x:c>
      <x:c r="G1289" s="22" t="str">
        <x:f>"12409394698"</x:f>
        <x:v>12409394698</x:v>
      </x:c>
      <x:c r="H1289" s="23" t="str">
        <x:v>santos_flaviah@hotmail.com</x:v>
      </x:c>
      <x:c r="I1289" s="22" t="str">
        <x:f>"(31)99497-9633"</x:f>
        <x:v>(31)99497-9633</x:v>
      </x:c>
      <x:c r="J1289" s="23" t="str">
        <x:v>SPOT</x:v>
      </x:c>
      <x:c r="K1289" s="23" t="str">
        <x:v>favored_only</x:v>
      </x:c>
      <x:c r="L1289" s="24" t="b">
        <x:v>1</x:v>
      </x:c>
      <x:c r="M1289" s="23" t="n">
        <x:v>1</x:v>
      </x:c>
      <x:c r="N1289" s="28" t="n">
        <x:v>46219.812988715275</x:v>
      </x:c>
      <x:c r="O1289" s="28" t="n">
        <x:v>46219.812988715275</x:v>
      </x:c>
      <x:c r="P1289" s="23" t="str">
        <x:v>CONTAGEM</x:v>
      </x:c>
      <x:c r="Q1289" s="30" t="n">
        <x:v>35142</x:v>
      </x:c>
      <x:c r="R1289" s="22" t="str">
        <x:f>"17070298"</x:f>
        <x:v>17070298</x:v>
      </x:c>
      <x:c r="S1289" s="23" t="str">
        <x:v>feminino</x:v>
      </x:c>
      <x:c r="T1289" s="22" t="str">
        <x:f>"FGQ7C66"</x:f>
        <x:v>FGQ7C66</x:v>
      </x:c>
      <x:c r="U1289" s="23" t="str">
        <x:v>FLAVIA PEREIRA DOS SANTOS</x:v>
      </x:c>
      <x:c r="V1289" s="22" t="str">
        <x:f>"124.093.946-98"</x:f>
        <x:v>124.093.946-98</x:v>
      </x:c>
      <x:c r="W1289" s="22" t="str">
        <x:f>"12409394698"</x:f>
        <x:v>12409394698</x:v>
      </x:c>
      <x:c r="X1289" s="23" t="str">
        <x:v>santos_flaviah@hotmail.com</x:v>
      </x:c>
      <x:c r="Y1289" s="22" t="str">
        <x:f>"(31)99497-9633"</x:f>
        <x:v>(31)99497-9633</x:v>
      </x:c>
      <x:c r="Z1289" s="30" t="n">
        <x:v>46450</x:v>
      </x:c>
    </x:row>
    <x:row r="1290" ht="18" customHeight="1">
      <x:c r="A1290" s="22" t="str">
        <x:f>"0669ee9a-a712-441d-abe7-d2afec6b368a"</x:f>
        <x:v>0669ee9a-a712-441d-abe7-d2afec6b368a</x:v>
      </x:c>
      <x:c r="B1290" s="23" t="str">
        <x:v>FLAVIA SOUSA DAS FLORES</x:v>
      </x:c>
      <x:c r="C1290" s="23" t="str">
        <x:v>flavia sousa das flores</x:v>
      </x:c>
      <x:c r="D1290" s="22" t="str">
        <x:f>"62.456.112/0001-09"</x:f>
        <x:v>62.456.112/0001-09</x:v>
      </x:c>
      <x:c r="E1290" s="22" t="str">
        <x:f>"62456112000109"</x:f>
        <x:v>62456112000109</x:v>
      </x:c>
      <x:c r="F1290" s="22" t="str">
        <x:f>"132.237.236-50"</x:f>
        <x:v>132.237.236-50</x:v>
      </x:c>
      <x:c r="G1290" s="22" t="str">
        <x:f>"13223723650"</x:f>
        <x:v>13223723650</x:v>
      </x:c>
      <x:c r="H1290" s="23" t="str">
        <x:v>sousadasfloresflavia@gmail.com</x:v>
      </x:c>
      <x:c r="I1290" s="22" t="str">
        <x:f>"34 9839-6350"</x:f>
        <x:v>34 9839-6350</x:v>
      </x:c>
      <x:c r="J1290" s="23" t="str">
        <x:v>SPOT</x:v>
      </x:c>
      <x:c r="K1290" s="23" t="str">
        <x:v>favored_only</x:v>
      </x:c>
      <x:c r="L1290" s="24" t="b">
        <x:v>1</x:v>
      </x:c>
      <x:c r="M1290" s="23" t="n">
        <x:v>1</x:v>
      </x:c>
      <x:c r="N1290" s="28" t="n">
        <x:v>46203.921904421295</x:v>
      </x:c>
      <x:c r="O1290" s="28" t="n">
        <x:v>46219.812988715275</x:v>
      </x:c>
      <x:c r="P1290" s="23" t="str">
        <x:v>PATOS DE MINAS</x:v>
      </x:c>
      <x:c r="Q1290" s="30" t="n">
        <x:v>35080</x:v>
      </x:c>
      <x:c r="R1290" s="22" t="str">
        <x:f>"MG 19961928"</x:f>
        <x:v>MG 19961928</x:v>
      </x:c>
      <x:c r="S1290" s="23" t="str">
        <x:v>feminino</x:v>
      </x:c>
      <x:c r="T1290" s="22" t="str">
        <x:f>"PAI0A70"</x:f>
        <x:v>PAI0A70</x:v>
      </x:c>
      <x:c r="U1290" s="23" t="str">
        <x:v>FLAVIA SOUSA DAS FLORES</x:v>
      </x:c>
      <x:c r="V1290" s="22" t="str">
        <x:f>"132.237.236-50"</x:f>
        <x:v>132.237.236-50</x:v>
      </x:c>
      <x:c r="W1290" s="22" t="str">
        <x:f>"13223723650"</x:f>
        <x:v>13223723650</x:v>
      </x:c>
      <x:c r="X1290" s="23" t="str">
        <x:v>sousadasfloresflavia@gmail.com</x:v>
      </x:c>
      <x:c r="Y1290" s="22" t="str">
        <x:f>"34 9839-6350"</x:f>
        <x:v>34 9839-6350</x:v>
      </x:c>
      <x:c r="Z1290" s="30" t="n">
        <x:v>46367</x:v>
      </x:c>
    </x:row>
    <x:row r="1291" ht="18" customHeight="1">
      <x:c r="A1291" s="22" t="str">
        <x:f>"567bdf3b-595b-4490-a391-29020b30ec6e"</x:f>
        <x:v>567bdf3b-595b-4490-a391-29020b30ec6e</x:v>
      </x:c>
      <x:c r="B1291" s="23" t="str">
        <x:v>FLAVIA TAIANE DA SILVA BANDEIRA</x:v>
      </x:c>
      <x:c r="C1291" s="23" t="str">
        <x:v>flavia taiane da silva bandeira</x:v>
      </x:c>
      <x:c r="D1291" s="22" t="str">
        <x:f>"49.288.652/0001-62"</x:f>
        <x:v>49.288.652/0001-62</x:v>
      </x:c>
      <x:c r="E1291" s="22" t="str">
        <x:f>"49288652000162"</x:f>
        <x:v>49288652000162</x:v>
      </x:c>
      <x:c r="F1291" s="22" t="str">
        <x:f>"476.544.028-13"</x:f>
        <x:v>476.544.028-13</x:v>
      </x:c>
      <x:c r="G1291" s="22" t="str">
        <x:f>"47654402813"</x:f>
        <x:v>47654402813</x:v>
      </x:c>
      <x:c r="H1291" s="23" t="str">
        <x:v>flaviataiane21@gmail.com</x:v>
      </x:c>
      <x:c r="I1291" s="22" t="str">
        <x:f>"11948603435"</x:f>
        <x:v>11948603435</x:v>
      </x:c>
      <x:c r="J1291" s="23" t="str">
        <x:v>SPOT</x:v>
      </x:c>
      <x:c r="K1291" s="23" t="str">
        <x:v>favored_only</x:v>
      </x:c>
      <x:c r="L1291" s="24" t="b">
        <x:v>1</x:v>
      </x:c>
      <x:c r="M1291" s="23" t="n">
        <x:v>1</x:v>
      </x:c>
      <x:c r="N1291" s="28" t="n">
        <x:v>46205.60465443287</x:v>
      </x:c>
      <x:c r="O1291" s="28" t="n">
        <x:v>46219.812988715275</x:v>
      </x:c>
      <x:c r="P1291" s="23" t="str">
        <x:v>BARUERI</x:v>
      </x:c>
      <x:c r="Q1291" s="30" t="n">
        <x:v>37260</x:v>
      </x:c>
      <x:c r="R1291" s="22" t="str">
        <x:f>"587497403"</x:f>
        <x:v>587497403</x:v>
      </x:c>
      <x:c r="S1291" s="23" t="str">
        <x:v>feminino</x:v>
      </x:c>
      <x:c r="T1291" s="22" t="str">
        <x:f>"PAR3D19"</x:f>
        <x:v>PAR3D19</x:v>
      </x:c>
      <x:c r="U1291" s="23" t="str">
        <x:v>VINICIUS PEREIRA TIZZIO</x:v>
      </x:c>
      <x:c r="V1291" s="22" t="str">
        <x:f>"487.786.768-60"</x:f>
        <x:v>487.786.768-60</x:v>
      </x:c>
      <x:c r="W1291" s="22" t="str">
        <x:f>"48778676860"</x:f>
        <x:v>48778676860</x:v>
      </x:c>
      <x:c r="X1291" s="23" t="str">
        <x:v>Vinicius.tizzio@gmail.com</x:v>
      </x:c>
      <x:c r="Y1291" s="22" t="str">
        <x:f>"11993276004"</x:f>
        <x:v>11993276004</x:v>
      </x:c>
      <x:c r="Z1291" s="30" t="n">
        <x:v>46288</x:v>
      </x:c>
    </x:row>
    <x:row r="1292" ht="18" customHeight="1">
      <x:c r="A1292" s="22" t="str">
        <x:f>"0c3344df-89bc-4904-b97f-33aa79639b0a"</x:f>
        <x:v>0c3344df-89bc-4904-b97f-33aa79639b0a</x:v>
      </x:c>
      <x:c r="B1292" s="23" t="str">
        <x:v>FLAVIO AUGUSTO OLIVEIRA CAMPOS</x:v>
      </x:c>
      <x:c r="C1292" s="23" t="str">
        <x:v>flavio augusto oliveira campos</x:v>
      </x:c>
      <x:c r="D1292" s="22" t="str">
        <x:f>"62.443.500/0001-55"</x:f>
        <x:v>62.443.500/0001-55</x:v>
      </x:c>
      <x:c r="E1292" s="22" t="str">
        <x:f>"62443500000155"</x:f>
        <x:v>62443500000155</x:v>
      </x:c>
      <x:c r="F1292" s="22" t="str">
        <x:f>"704.319.841-07"</x:f>
        <x:v>704.319.841-07</x:v>
      </x:c>
      <x:c r="G1292" s="22" t="str">
        <x:f>"70431984107"</x:f>
        <x:v>70431984107</x:v>
      </x:c>
      <x:c r="H1292" s="23" t="str">
        <x:v>flavioaugustooliveiracampos0@gmail.com</x:v>
      </x:c>
      <x:c r="I1292" s="22" t="str">
        <x:f>"18981361209"</x:f>
        <x:v>18981361209</x:v>
      </x:c>
      <x:c r="J1292" s="23" t="str">
        <x:v>RENTAL</x:v>
      </x:c>
      <x:c r="K1292" s="23" t="str">
        <x:v>rental_company</x:v>
      </x:c>
      <x:c r="L1292" s="24" t="b">
        <x:v>1</x:v>
      </x:c>
      <x:c r="M1292" s="23" t="n">
        <x:v>2</x:v>
      </x:c>
      <x:c r="N1292" s="28" t="n">
        <x:v>46219.812988715275</x:v>
      </x:c>
      <x:c r="O1292" s="28" t="n">
        <x:v>46219.812988715275</x:v>
      </x:c>
      <x:c r="P1292" s="23" t="str">
        <x:v>PRESIDENTE PRUDENTE</x:v>
      </x:c>
      <x:c r="Q1292" s="30" t="n">
        <x:v>34902</x:v>
      </x:c>
      <x:c r="R1292" s="22" t="str">
        <x:f>"646529572"</x:f>
        <x:v>646529572</x:v>
      </x:c>
      <x:c r="S1292" s="23" t="str">
        <x:v>masculino</x:v>
      </x:c>
      <x:c r="T1292" s="22" t="str"/>
      <x:c r="U1292" s="23" t="str">
        <x:v>FLAVIO AUGUSTO OLIVEIRA CAMPOS</x:v>
      </x:c>
      <x:c r="V1292" s="22" t="str">
        <x:f>"704.319.841-07"</x:f>
        <x:v>704.319.841-07</x:v>
      </x:c>
      <x:c r="W1292" s="22" t="str">
        <x:f>"70431984107"</x:f>
        <x:v>70431984107</x:v>
      </x:c>
      <x:c r="X1292" s="23" t="str">
        <x:v>flavioaugustooliveiracampos0@gmail.com</x:v>
      </x:c>
      <x:c r="Y1292" s="22" t="str">
        <x:f>"18981361209"</x:f>
        <x:v>18981361209</x:v>
      </x:c>
      <x:c r="Z1292" s="30" t="n">
        <x:v>46465</x:v>
      </x:c>
    </x:row>
    <x:row r="1293" ht="18" customHeight="1">
      <x:c r="A1293" s="22" t="str">
        <x:f>"7f6eedea-7029-4bcd-9659-a7cb2548844f"</x:f>
        <x:v>7f6eedea-7029-4bcd-9659-a7cb2548844f</x:v>
      </x:c>
      <x:c r="B1293" s="23" t="str">
        <x:v>FLAVIO CHAGAS DE MATOS</x:v>
      </x:c>
      <x:c r="C1293" s="23" t="str">
        <x:v>flavio chagas de matos</x:v>
      </x:c>
      <x:c r="D1293" s="22" t="str">
        <x:f>"65.174.699/0001-51"</x:f>
        <x:v>65.174.699/0001-51</x:v>
      </x:c>
      <x:c r="E1293" s="22" t="str">
        <x:f>"65174699000151"</x:f>
        <x:v>65174699000151</x:v>
      </x:c>
      <x:c r="F1293" s="22" t="str">
        <x:f>"107.902.166-39"</x:f>
        <x:v>107.902.166-39</x:v>
      </x:c>
      <x:c r="G1293" s="22" t="str">
        <x:f>"10790216639"</x:f>
        <x:v>10790216639</x:v>
      </x:c>
      <x:c r="H1293" s="23" t="str">
        <x:v>flaviomatos679@gmail.com</x:v>
      </x:c>
      <x:c r="I1293" s="22" t="str">
        <x:f>"(17) 99671-0672"</x:f>
        <x:v>(17) 99671-0672</x:v>
      </x:c>
      <x:c r="J1293" s="23" t="str">
        <x:v>SPOT</x:v>
      </x:c>
      <x:c r="K1293" s="23" t="str">
        <x:v>favored_only</x:v>
      </x:c>
      <x:c r="L1293" s="24" t="b">
        <x:v>1</x:v>
      </x:c>
      <x:c r="M1293" s="23" t="n">
        <x:v>1</x:v>
      </x:c>
      <x:c r="N1293" s="28" t="n">
        <x:v>46219.812988715275</x:v>
      </x:c>
      <x:c r="O1293" s="28" t="n">
        <x:v>46219.812988715275</x:v>
      </x:c>
      <x:c r="P1293" s="23" t="str">
        <x:v>SÃO JOSE DO RIO PRETO</x:v>
      </x:c>
      <x:c r="Q1293" s="30" t="n">
        <x:v>34211</x:v>
      </x:c>
      <x:c r="R1293" s="22" t="str">
        <x:f>"50520820"</x:f>
        <x:v>50520820</x:v>
      </x:c>
      <x:c r="S1293" s="23" t="str">
        <x:v>masculino</x:v>
      </x:c>
      <x:c r="T1293" s="22" t="str">
        <x:f>"EAG4I95"</x:f>
        <x:v>EAG4I95</x:v>
      </x:c>
      <x:c r="U1293" s="23" t="str">
        <x:v>DILZA DOS SANTOS CHAGAS</x:v>
      </x:c>
      <x:c r="V1293" s="22" t="str">
        <x:f>"765.307.605-04"</x:f>
        <x:v>765.307.605-04</x:v>
      </x:c>
      <x:c r="W1293" s="22" t="str">
        <x:f>"76530760504"</x:f>
        <x:v>76530760504</x:v>
      </x:c>
      <x:c r="X1293" s="23" t="str">
        <x:v>dilzachagas679@gmail.com</x:v>
      </x:c>
      <x:c r="Y1293" s="22" t="str">
        <x:f>"(17) 99671-0672"</x:f>
        <x:v>(17) 99671-0672</x:v>
      </x:c>
      <x:c r="Z1293" s="30" t="n">
        <x:v>46438</x:v>
      </x:c>
    </x:row>
    <x:row r="1294" ht="18" customHeight="1">
      <x:c r="A1294" s="22" t="str">
        <x:f>"f3462302-6c8d-4a4c-8330-ef65027793fc"</x:f>
        <x:v>f3462302-6c8d-4a4c-8330-ef65027793fc</x:v>
      </x:c>
      <x:c r="B1294" s="23" t="str">
        <x:v>FLAVIO DE ANDRADE</x:v>
      </x:c>
      <x:c r="C1294" s="23" t="str">
        <x:v>flavio de andrade</x:v>
      </x:c>
      <x:c r="D1294" s="22" t="str">
        <x:f>"58.407.296/0001-40"</x:f>
        <x:v>58.407.296/0001-40</x:v>
      </x:c>
      <x:c r="E1294" s="22" t="str">
        <x:f>"58407296000140"</x:f>
        <x:v>58407296000140</x:v>
      </x:c>
      <x:c r="F1294" s="22" t="str">
        <x:f>"034.105.747-94"</x:f>
        <x:v>034.105.747-94</x:v>
      </x:c>
      <x:c r="G1294" s="22" t="str">
        <x:f>"03410574794"</x:f>
        <x:v>03410574794</x:v>
      </x:c>
      <x:c r="H1294" s="23" t="str">
        <x:v>flaviopqdt2009@gmail.com</x:v>
      </x:c>
      <x:c r="I1294" s="22" t="str">
        <x:f>"21969050281"</x:f>
        <x:v>21969050281</x:v>
      </x:c>
      <x:c r="J1294" s="23" t="str">
        <x:v>SPOT</x:v>
      </x:c>
      <x:c r="K1294" s="23" t="str">
        <x:v>favored_only</x:v>
      </x:c>
      <x:c r="L1294" s="24" t="b">
        <x:v>1</x:v>
      </x:c>
      <x:c r="M1294" s="23" t="n">
        <x:v>1</x:v>
      </x:c>
      <x:c r="N1294" s="28" t="n">
        <x:v>46203.921904421295</x:v>
      </x:c>
      <x:c r="O1294" s="28" t="n">
        <x:v>46219.812988715275</x:v>
      </x:c>
      <x:c r="P1294" s="23" t="str">
        <x:v>CAMPO GRANDE</x:v>
      </x:c>
      <x:c r="Q1294" s="30" t="n">
        <x:v>28226</x:v>
      </x:c>
      <x:c r="R1294" s="22" t="str">
        <x:f>"278913231"</x:f>
        <x:v>278913231</x:v>
      </x:c>
      <x:c r="S1294" s="23" t="str">
        <x:v>masculino</x:v>
      </x:c>
      <x:c r="T1294" s="22" t="str">
        <x:f>"OYN0H86"</x:f>
        <x:v>OYN0H86</x:v>
      </x:c>
      <x:c r="U1294" s="23" t="str">
        <x:v>FLAVIO DE ANDRADE</x:v>
      </x:c>
      <x:c r="V1294" s="22" t="str">
        <x:f>"034.105.474-94"</x:f>
        <x:v>034.105.474-94</x:v>
      </x:c>
      <x:c r="W1294" s="22" t="str">
        <x:f>"03410547494"</x:f>
        <x:v>03410547494</x:v>
      </x:c>
      <x:c r="X1294" s="23" t="str">
        <x:v>flaviopqdt2009@gmail.com</x:v>
      </x:c>
      <x:c r="Y1294" s="22" t="str">
        <x:f>"21969050281"</x:f>
        <x:v>21969050281</x:v>
      </x:c>
      <x:c r="Z1294" s="30" t="n">
        <x:v>46366</x:v>
      </x:c>
    </x:row>
    <x:row r="1295" ht="18" customHeight="1">
      <x:c r="A1295" s="22" t="str">
        <x:f>"c7fb8605-b10f-4d2b-bc38-6446ace999fc"</x:f>
        <x:v>c7fb8605-b10f-4d2b-bc38-6446ace999fc</x:v>
      </x:c>
      <x:c r="B1295" s="23" t="str">
        <x:v>FLAVIO DE ASSIS EVANGELISTA CARVALHO</x:v>
      </x:c>
      <x:c r="C1295" s="23" t="str">
        <x:v>flavio de assis evangelista carvalho</x:v>
      </x:c>
      <x:c r="D1295" s="22" t="str">
        <x:f>"64.199.355/0001-34"</x:f>
        <x:v>64.199.355/0001-34</x:v>
      </x:c>
      <x:c r="E1295" s="22" t="str">
        <x:f>"64199355000134"</x:f>
        <x:v>64199355000134</x:v>
      </x:c>
      <x:c r="F1295" s="22" t="str">
        <x:f>"093.286.445-77"</x:f>
        <x:v>093.286.445-77</x:v>
      </x:c>
      <x:c r="G1295" s="22" t="str">
        <x:f>"09328644577"</x:f>
        <x:v>09328644577</x:v>
      </x:c>
      <x:c r="H1295" s="23" t="str">
        <x:v>flavioassis700@gmail.com</x:v>
      </x:c>
      <x:c r="I1295" s="22" t="str">
        <x:f>"62994989736"</x:f>
        <x:v>62994989736</x:v>
      </x:c>
      <x:c r="J1295" s="23" t="str">
        <x:v>RENTAL</x:v>
      </x:c>
      <x:c r="K1295" s="23" t="str">
        <x:v>rental_company</x:v>
      </x:c>
      <x:c r="L1295" s="24" t="b">
        <x:v>1</x:v>
      </x:c>
      <x:c r="M1295" s="23" t="n">
        <x:v>1</x:v>
      </x:c>
      <x:c r="N1295" s="28" t="n">
        <x:v>46219.812988715275</x:v>
      </x:c>
      <x:c r="O1295" s="28" t="n">
        <x:v>46219.812988715275</x:v>
      </x:c>
      <x:c r="P1295" s="23" t="str">
        <x:v>GOIANIA</x:v>
      </x:c>
      <x:c r="Q1295" s="30" t="n">
        <x:v>37951</x:v>
      </x:c>
      <x:c r="R1295" s="22" t="str">
        <x:f>"7035366"</x:f>
        <x:v>7035366</x:v>
      </x:c>
      <x:c r="S1295" s="23" t="str">
        <x:v>masculino</x:v>
      </x:c>
      <x:c r="T1295" s="22" t="str"/>
      <x:c r="U1295" s="23" t="str">
        <x:v>FLAVIO DE ASSIS EVANGELISTA CARVALHO</x:v>
      </x:c>
      <x:c r="V1295" s="22" t="str">
        <x:f>"093.286.445-77"</x:f>
        <x:v>093.286.445-77</x:v>
      </x:c>
      <x:c r="W1295" s="22" t="str">
        <x:f>"09328644577"</x:f>
        <x:v>09328644577</x:v>
      </x:c>
      <x:c r="X1295" s="23" t="str">
        <x:v>flavioassis700@gmail.com</x:v>
      </x:c>
      <x:c r="Y1295" s="22" t="str">
        <x:f>"62994989736"</x:f>
        <x:v>62994989736</x:v>
      </x:c>
      <x:c r="Z1295" s="30" t="n">
        <x:v>46578</x:v>
      </x:c>
    </x:row>
    <x:row r="1296" ht="18" customHeight="1">
      <x:c r="A1296" s="22" t="str">
        <x:f>"12e53505-8af2-4636-8bf4-c23c22a4f9ed"</x:f>
        <x:v>12e53505-8af2-4636-8bf4-c23c22a4f9ed</x:v>
      </x:c>
      <x:c r="B1296" s="23" t="str">
        <x:v>FLAVIO DE OLIVEIRA DE SOUZA</x:v>
      </x:c>
      <x:c r="C1296" s="23" t="str">
        <x:v>flavio de oliveira de souza</x:v>
      </x:c>
      <x:c r="D1296" s="22" t="str">
        <x:f>"36.900.848/0001-14"</x:f>
        <x:v>36.900.848/0001-14</x:v>
      </x:c>
      <x:c r="E1296" s="22" t="str">
        <x:f>"36900848000114"</x:f>
        <x:v>36900848000114</x:v>
      </x:c>
      <x:c r="F1296" s="22" t="str">
        <x:f>"054.295.317-07"</x:f>
        <x:v>054.295.317-07</x:v>
      </x:c>
      <x:c r="G1296" s="22" t="str">
        <x:f>"05429531707"</x:f>
        <x:v>05429531707</x:v>
      </x:c>
      <x:c r="H1296" s="23" t="str">
        <x:v>Flaviosmds@hotmail.com</x:v>
      </x:c>
      <x:c r="I1296" s="22" t="str">
        <x:f>"21 9764440700"</x:f>
        <x:v>21 9764440700</x:v>
      </x:c>
      <x:c r="J1296" s="23" t="str">
        <x:v>SPOT</x:v>
      </x:c>
      <x:c r="K1296" s="23" t="str">
        <x:v>favored_only</x:v>
      </x:c>
      <x:c r="L1296" s="24" t="b">
        <x:v>1</x:v>
      </x:c>
      <x:c r="M1296" s="23" t="n">
        <x:v>2</x:v>
      </x:c>
      <x:c r="N1296" s="28" t="n">
        <x:v>46203.9218771875</x:v>
      </x:c>
      <x:c r="O1296" s="28" t="n">
        <x:v>46219.812988715275</x:v>
      </x:c>
      <x:c r="P1296" s="23" t="str">
        <x:v>QUEIMADOS</x:v>
      </x:c>
      <x:c r="Q1296" s="30" t="n">
        <x:v>29828</x:v>
      </x:c>
      <x:c r="R1296" s="22" t="str">
        <x:f>"127213455"</x:f>
        <x:v>127213455</x:v>
      </x:c>
      <x:c r="S1296" s="23" t="str">
        <x:v>masculino</x:v>
      </x:c>
      <x:c r="T1296" s="22" t="str">
        <x:f>"KXH9H36"</x:f>
        <x:v>KXH9H36</x:v>
      </x:c>
      <x:c r="U1296" s="23" t="str">
        <x:v>FLAVIO DE OLIVEIRA DE SOUZA</x:v>
      </x:c>
      <x:c r="V1296" s="22" t="str">
        <x:f>"054.295.317-07"</x:f>
        <x:v>054.295.317-07</x:v>
      </x:c>
      <x:c r="W1296" s="22" t="str">
        <x:f>"05429531707"</x:f>
        <x:v>05429531707</x:v>
      </x:c>
      <x:c r="X1296" s="23" t="str">
        <x:v>Flaviosmds@hotmail.com</x:v>
      </x:c>
      <x:c r="Y1296" s="22" t="str">
        <x:f>"21 9764440700"</x:f>
        <x:v>21 9764440700</x:v>
      </x:c>
      <x:c r="Z1296" s="30" t="n">
        <x:v>46488</x:v>
      </x:c>
    </x:row>
    <x:row r="1297" ht="18" customHeight="1">
      <x:c r="A1297" s="22" t="str">
        <x:f>"bbb6ab42-88e3-42bd-ba16-40b9c7143abc"</x:f>
        <x:v>bbb6ab42-88e3-42bd-ba16-40b9c7143abc</x:v>
      </x:c>
      <x:c r="B1297" s="23" t="str">
        <x:v>FLAVIO DOS REIS ROCHA</x:v>
      </x:c>
      <x:c r="C1297" s="23" t="str">
        <x:v>flavio dos reis rocha</x:v>
      </x:c>
      <x:c r="D1297" s="22" t="str">
        <x:f>"67.021.798/0001-29"</x:f>
        <x:v>67.021.798/0001-29</x:v>
      </x:c>
      <x:c r="E1297" s="22" t="str">
        <x:f>"67021798000129"</x:f>
        <x:v>67021798000129</x:v>
      </x:c>
      <x:c r="F1297" s="22" t="str">
        <x:f>"010.389.776-30"</x:f>
        <x:v>010.389.776-30</x:v>
      </x:c>
      <x:c r="G1297" s="22" t="str">
        <x:f>"01038977630"</x:f>
        <x:v>01038977630</x:v>
      </x:c>
      <x:c r="H1297" s="23" t="str">
        <x:v>6161CHIQUINHO@GMAIL.COM</x:v>
      </x:c>
      <x:c r="I1297" s="22" t="str">
        <x:f>"34997630161"</x:f>
        <x:v>34997630161</x:v>
      </x:c>
      <x:c r="J1297" s="23" t="str">
        <x:v>RENTAL</x:v>
      </x:c>
      <x:c r="K1297" s="23" t="str">
        <x:v>rental_company</x:v>
      </x:c>
      <x:c r="L1297" s="24" t="b">
        <x:v>1</x:v>
      </x:c>
      <x:c r="M1297" s="23" t="n">
        <x:v>1</x:v>
      </x:c>
      <x:c r="N1297" s="28" t="n">
        <x:v>46219.812988715275</x:v>
      </x:c>
      <x:c r="O1297" s="28" t="n">
        <x:v>46219.812988715275</x:v>
      </x:c>
      <x:c r="P1297" s="23" t="str">
        <x:v>UBERLANDIA</x:v>
      </x:c>
      <x:c r="Q1297" s="30" t="n">
        <x:v>27903</x:v>
      </x:c>
      <x:c r="R1297" s="22" t="str">
        <x:f>"MG8303439"</x:f>
        <x:v>MG8303439</x:v>
      </x:c>
      <x:c r="S1297" s="23" t="str">
        <x:v>masculino</x:v>
      </x:c>
      <x:c r="T1297" s="22" t="str"/>
      <x:c r="U1297" s="23" t="str">
        <x:v>FLAVIO DOS REIS ROCHA</x:v>
      </x:c>
      <x:c r="V1297" s="22" t="str">
        <x:f>"010.389.776-30"</x:f>
        <x:v>010.389.776-30</x:v>
      </x:c>
      <x:c r="W1297" s="22" t="str">
        <x:f>"01038977630"</x:f>
        <x:v>01038977630</x:v>
      </x:c>
      <x:c r="X1297" s="23" t="str">
        <x:v>6161CHIQUINHO@GMAIL.COM</x:v>
      </x:c>
      <x:c r="Y1297" s="22" t="str">
        <x:f>"34997630161"</x:f>
        <x:v>34997630161</x:v>
      </x:c>
      <x:c r="Z1297" s="30" t="n">
        <x:v>46534</x:v>
      </x:c>
    </x:row>
    <x:row r="1298" ht="18" customHeight="1">
      <x:c r="A1298" s="22" t="str">
        <x:f>"7ffa8edc-83ad-4714-b9aa-4a5bf539cdd9"</x:f>
        <x:v>7ffa8edc-83ad-4714-b9aa-4a5bf539cdd9</x:v>
      </x:c>
      <x:c r="B1298" s="23" t="str">
        <x:v>FLAVIO FELIPE POEIRAME AVELINO</x:v>
      </x:c>
      <x:c r="C1298" s="23" t="str">
        <x:v>flavio felipe poeirame avelino</x:v>
      </x:c>
      <x:c r="D1298" s="22" t="str">
        <x:f>"47.908.795/0001-02"</x:f>
        <x:v>47.908.795/0001-02</x:v>
      </x:c>
      <x:c r="E1298" s="22" t="str">
        <x:f>"47908795000102"</x:f>
        <x:v>47908795000102</x:v>
      </x:c>
      <x:c r="F1298" s="22" t="str">
        <x:f>"449.486.078-60"</x:f>
        <x:v>449.486.078-60</x:v>
      </x:c>
      <x:c r="G1298" s="22" t="str">
        <x:f>"44948607860"</x:f>
        <x:v>44948607860</x:v>
      </x:c>
      <x:c r="H1298" s="23" t="str">
        <x:v>flaviofelipeff007@gmail.com</x:v>
      </x:c>
      <x:c r="I1298" s="22" t="str">
        <x:f>"11976263347"</x:f>
        <x:v>11976263347</x:v>
      </x:c>
      <x:c r="J1298" s="23" t="str">
        <x:v>SPOT</x:v>
      </x:c>
      <x:c r="K1298" s="23" t="str">
        <x:v>favored_only</x:v>
      </x:c>
      <x:c r="L1298" s="24" t="b">
        <x:v>1</x:v>
      </x:c>
      <x:c r="M1298" s="23" t="n">
        <x:v>1</x:v>
      </x:c>
      <x:c r="N1298" s="28" t="n">
        <x:v>46219.812988715275</x:v>
      </x:c>
      <x:c r="O1298" s="28" t="n">
        <x:v>46219.812988715275</x:v>
      </x:c>
      <x:c r="P1298" s="23" t="str">
        <x:v>BARUERI</x:v>
      </x:c>
      <x:c r="Q1298" s="30" t="n">
        <x:v>34324</x:v>
      </x:c>
      <x:c r="R1298" s="22" t="str">
        <x:f>"49702000-2"</x:f>
        <x:v>49702000-2</x:v>
      </x:c>
      <x:c r="S1298" s="23" t="str">
        <x:v>masculino</x:v>
      </x:c>
      <x:c r="T1298" s="22" t="str">
        <x:f>"RTL8I64"</x:f>
        <x:v>RTL8I64</x:v>
      </x:c>
      <x:c r="U1298" s="23" t="str">
        <x:v>FLAVIO FELIPE POEIRAME AVELINO</x:v>
      </x:c>
      <x:c r="V1298" s="22" t="str">
        <x:f>"449.486.078-60"</x:f>
        <x:v>449.486.078-60</x:v>
      </x:c>
      <x:c r="W1298" s="22" t="str">
        <x:f>"44948607860"</x:f>
        <x:v>44948607860</x:v>
      </x:c>
      <x:c r="X1298" s="23" t="str">
        <x:v>flaviofelipeff007@gmail.com</x:v>
      </x:c>
      <x:c r="Y1298" s="22" t="str">
        <x:f>"11976263347"</x:f>
        <x:v>11976263347</x:v>
      </x:c>
      <x:c r="Z1298" s="30" t="n">
        <x:v>46431</x:v>
      </x:c>
    </x:row>
    <x:row r="1299" ht="18" customHeight="1">
      <x:c r="A1299" s="22" t="str">
        <x:f>"a80416df-33da-4293-916b-f9046408c1ca"</x:f>
        <x:v>a80416df-33da-4293-916b-f9046408c1ca</x:v>
      </x:c>
      <x:c r="B1299" s="23" t="str">
        <x:v>FLAVIO FELIPE POEIRAME AVELINO</x:v>
      </x:c>
      <x:c r="C1299" s="23" t="str">
        <x:v>flavio felipe poeirame avelino</x:v>
      </x:c>
      <x:c r="D1299" s="22" t="str">
        <x:f>"65.274.341/0001-09"</x:f>
        <x:v>65.274.341/0001-09</x:v>
      </x:c>
      <x:c r="E1299" s="22" t="str">
        <x:f>"65274341000109"</x:f>
        <x:v>65274341000109</x:v>
      </x:c>
      <x:c r="F1299" s="22" t="str">
        <x:f>"449.486.078-60"</x:f>
        <x:v>449.486.078-60</x:v>
      </x:c>
      <x:c r="G1299" s="22" t="str">
        <x:f>"44948607860"</x:f>
        <x:v>44948607860</x:v>
      </x:c>
      <x:c r="H1299" s="23" t="str">
        <x:v>flaviofelipeff007@gmail.com</x:v>
      </x:c>
      <x:c r="I1299" s="22" t="str">
        <x:f>"11 97626-3347"</x:f>
        <x:v>11 97626-3347</x:v>
      </x:c>
      <x:c r="J1299" s="23" t="str">
        <x:v>SPOT</x:v>
      </x:c>
      <x:c r="K1299" s="23" t="str">
        <x:v>favored_only</x:v>
      </x:c>
      <x:c r="L1299" s="24" t="b">
        <x:v>1</x:v>
      </x:c>
      <x:c r="M1299" s="23" t="n">
        <x:v>1</x:v>
      </x:c>
      <x:c r="N1299" s="28" t="n">
        <x:v>46219.812988715275</x:v>
      </x:c>
      <x:c r="O1299" s="28" t="n">
        <x:v>46219.812988715275</x:v>
      </x:c>
      <x:c r="P1299" s="23" t="str">
        <x:v>BARUERI</x:v>
      </x:c>
      <x:c r="Q1299" s="30" t="n">
        <x:v>34324</x:v>
      </x:c>
      <x:c r="R1299" s="22" t="str">
        <x:f>"49.702.000-2"</x:f>
        <x:v>49.702.000-2</x:v>
      </x:c>
      <x:c r="S1299" s="23" t="str">
        <x:v>masculino</x:v>
      </x:c>
      <x:c r="T1299" s="22" t="str">
        <x:f>"RTL8I64"</x:f>
        <x:v>RTL8I64</x:v>
      </x:c>
      <x:c r="U1299" s="23" t="str">
        <x:v>MARINALVA PEREIRA DA SILVA</x:v>
      </x:c>
      <x:c r="V1299" s="22" t="str">
        <x:f>"112.929.818-30"</x:f>
        <x:v>112.929.818-30</x:v>
      </x:c>
      <x:c r="W1299" s="22" t="str">
        <x:f>"11292981830"</x:f>
        <x:v>11292981830</x:v>
      </x:c>
      <x:c r="X1299" s="23" t="str">
        <x:v>vehsalles@gmail.com</x:v>
      </x:c>
      <x:c r="Y1299" s="22" t="str">
        <x:f>"11 97888-9541"</x:f>
        <x:v>11 97888-9541</x:v>
      </x:c>
      <x:c r="Z1299" s="30" t="n">
        <x:v>46443</x:v>
      </x:c>
    </x:row>
    <x:row r="1300" ht="18" customHeight="1">
      <x:c r="A1300" s="22" t="str">
        <x:f>"ba8581e1-ac0d-4dcf-ac42-08f39863cfd7"</x:f>
        <x:v>ba8581e1-ac0d-4dcf-ac42-08f39863cfd7</x:v>
      </x:c>
      <x:c r="B1300" s="23" t="str">
        <x:v>FLAVIO FERNANDES FIGUEIREDO REIS</x:v>
      </x:c>
      <x:c r="C1300" s="23" t="str">
        <x:v>flavio fernandes figueiredo reis</x:v>
      </x:c>
      <x:c r="D1300" s="22" t="str">
        <x:f>"63.500.120/0001-78"</x:f>
        <x:v>63.500.120/0001-78</x:v>
      </x:c>
      <x:c r="E1300" s="22" t="str">
        <x:f>"63500120000178"</x:f>
        <x:v>63500120000178</x:v>
      </x:c>
      <x:c r="F1300" s="22" t="str">
        <x:f>"142.950.356-45"</x:f>
        <x:v>142.950.356-45</x:v>
      </x:c>
      <x:c r="G1300" s="22" t="str">
        <x:f>"14295035645"</x:f>
        <x:v>14295035645</x:v>
      </x:c>
      <x:c r="H1300" s="23" t="str">
        <x:v>flaviofdosreis@hotmail.com</x:v>
      </x:c>
      <x:c r="I1300" s="22" t="str">
        <x:f>"31988481719"</x:f>
        <x:v>31988481719</x:v>
      </x:c>
      <x:c r="J1300" s="23" t="str">
        <x:v>SPOT</x:v>
      </x:c>
      <x:c r="K1300" s="23" t="str">
        <x:v>favored_only</x:v>
      </x:c>
      <x:c r="L1300" s="24" t="b">
        <x:v>1</x:v>
      </x:c>
      <x:c r="M1300" s="23" t="n">
        <x:v>1</x:v>
      </x:c>
      <x:c r="N1300" s="28" t="n">
        <x:v>46219.812988715275</x:v>
      </x:c>
      <x:c r="O1300" s="28" t="n">
        <x:v>46219.812988715275</x:v>
      </x:c>
      <x:c r="P1300" s="23" t="str">
        <x:v>CONTAGEM</x:v>
      </x:c>
      <x:c r="Q1300" s="30" t="n">
        <x:v>36307</x:v>
      </x:c>
      <x:c r="R1300" s="22" t="str">
        <x:f>"MG18466168"</x:f>
        <x:v>MG18466168</x:v>
      </x:c>
      <x:c r="S1300" s="23" t="str">
        <x:v>masculino</x:v>
      </x:c>
      <x:c r="T1300" s="22" t="str">
        <x:f>"OWI3D21"</x:f>
        <x:v>OWI3D21</x:v>
      </x:c>
      <x:c r="U1300" s="23" t="str">
        <x:v>FLAVIO FERNANDES FIGUEIREDO REIS</x:v>
      </x:c>
      <x:c r="V1300" s="22" t="str">
        <x:f>"142.950.356-45"</x:f>
        <x:v>142.950.356-45</x:v>
      </x:c>
      <x:c r="W1300" s="22" t="str">
        <x:f>"14295035645"</x:f>
        <x:v>14295035645</x:v>
      </x:c>
      <x:c r="X1300" s="23" t="str">
        <x:v>flaviofdosreis@hotmail.com</x:v>
      </x:c>
      <x:c r="Y1300" s="22" t="str">
        <x:f>"31988481719"</x:f>
        <x:v>31988481719</x:v>
      </x:c>
      <x:c r="Z1300" s="30" t="n">
        <x:v>46409</x:v>
      </x:c>
    </x:row>
    <x:row r="1301" ht="18" customHeight="1">
      <x:c r="A1301" s="22" t="str">
        <x:f>"5ad1667c-fc45-41a8-9bab-06b542e8108c"</x:f>
        <x:v>5ad1667c-fc45-41a8-9bab-06b542e8108c</x:v>
      </x:c>
      <x:c r="B1301" s="23" t="str">
        <x:v>FLAVIO HENRIQUE DE NOVAES ROSA</x:v>
      </x:c>
      <x:c r="C1301" s="23" t="str">
        <x:v>flavio henrique de novaes rosa</x:v>
      </x:c>
      <x:c r="D1301" s="22" t="str">
        <x:f>"63.032.915/0001-07"</x:f>
        <x:v>63.032.915/0001-07</x:v>
      </x:c>
      <x:c r="E1301" s="22" t="str">
        <x:f>"63032915000107"</x:f>
        <x:v>63032915000107</x:v>
      </x:c>
      <x:c r="F1301" s="22" t="str">
        <x:f>"358.900.738-93"</x:f>
        <x:v>358.900.738-93</x:v>
      </x:c>
      <x:c r="G1301" s="22" t="str">
        <x:f>"35890073893"</x:f>
        <x:v>35890073893</x:v>
      </x:c>
      <x:c r="H1301" s="23" t="str">
        <x:v>rickflavio1@gmail.com</x:v>
      </x:c>
      <x:c r="I1301" s="22" t="str">
        <x:f>"17982268878"</x:f>
        <x:v>17982268878</x:v>
      </x:c>
      <x:c r="J1301" s="23" t="str">
        <x:v>SPOT</x:v>
      </x:c>
      <x:c r="K1301" s="23" t="str">
        <x:v>favored_only</x:v>
      </x:c>
      <x:c r="L1301" s="24" t="b">
        <x:v>1</x:v>
      </x:c>
      <x:c r="M1301" s="23" t="n">
        <x:v>1</x:v>
      </x:c>
      <x:c r="N1301" s="28" t="n">
        <x:v>46203.9219084375</x:v>
      </x:c>
      <x:c r="O1301" s="28" t="n">
        <x:v>46219.812988715275</x:v>
      </x:c>
      <x:c r="P1301" s="23" t="str">
        <x:v>SÃO JOSE DO RIO PRETO</x:v>
      </x:c>
      <x:c r="Q1301" s="30" t="n">
        <x:v>32216</x:v>
      </x:c>
      <x:c r="R1301" s="22" t="str">
        <x:f>"414931518"</x:f>
        <x:v>414931518</x:v>
      </x:c>
      <x:c r="S1301" s="23" t="str">
        <x:v>masculino</x:v>
      </x:c>
      <x:c r="T1301" s="22" t="str">
        <x:f>"FOP1B33"</x:f>
        <x:v>FOP1B33</x:v>
      </x:c>
      <x:c r="U1301" s="23" t="str">
        <x:v>FLAVIO HENRIQUE DE NOVAES ROSA</x:v>
      </x:c>
      <x:c r="V1301" s="22" t="str">
        <x:f>"358.900.738-93"</x:f>
        <x:v>358.900.738-93</x:v>
      </x:c>
      <x:c r="W1301" s="22" t="str">
        <x:f>"35890073893"</x:f>
        <x:v>35890073893</x:v>
      </x:c>
      <x:c r="X1301" s="23" t="str">
        <x:v>rickflavio1@gmail.com</x:v>
      </x:c>
      <x:c r="Y1301" s="22" t="str">
        <x:f>"17982268878"</x:f>
        <x:v>17982268878</x:v>
      </x:c>
      <x:c r="Z1301" s="30" t="n">
        <x:v>46394</x:v>
      </x:c>
    </x:row>
    <x:row r="1302" ht="18" customHeight="1">
      <x:c r="A1302" s="22" t="str">
        <x:f>"fb67c287-1e2f-45ba-b897-d1462d8f5f16"</x:f>
        <x:v>fb67c287-1e2f-45ba-b897-d1462d8f5f16</x:v>
      </x:c>
      <x:c r="B1302" s="23" t="str">
        <x:v>FLAVIO HENRIQUE SOARES CARDOSO</x:v>
      </x:c>
      <x:c r="C1302" s="23" t="str">
        <x:v>flavio henrique soares cardoso</x:v>
      </x:c>
      <x:c r="D1302" s="22" t="str">
        <x:f>"62.057.803/0001-30"</x:f>
        <x:v>62.057.803/0001-30</x:v>
      </x:c>
      <x:c r="E1302" s="22" t="str">
        <x:f>"62057803000130"</x:f>
        <x:v>62057803000130</x:v>
      </x:c>
      <x:c r="F1302" s="22" t="str">
        <x:f>"014.322.276-70"</x:f>
        <x:v>014.322.276-70</x:v>
      </x:c>
      <x:c r="G1302" s="22" t="str">
        <x:f>"01432227670"</x:f>
        <x:v>01432227670</x:v>
      </x:c>
      <x:c r="H1302" s="23" t="str">
        <x:v>flaviotelecom@gmail.com</x:v>
      </x:c>
      <x:c r="I1302" s="22" t="str">
        <x:f>"(31) 99148-8423"</x:f>
        <x:v>(31) 99148-8423</x:v>
      </x:c>
      <x:c r="J1302" s="23" t="str">
        <x:v>SPOT</x:v>
      </x:c>
      <x:c r="K1302" s="23" t="str">
        <x:v>favored_only</x:v>
      </x:c>
      <x:c r="L1302" s="24" t="b">
        <x:v>1</x:v>
      </x:c>
      <x:c r="M1302" s="23" t="n">
        <x:v>1</x:v>
      </x:c>
      <x:c r="N1302" s="28" t="n">
        <x:v>46203.92189349537</x:v>
      </x:c>
      <x:c r="O1302" s="28" t="n">
        <x:v>46219.812988715275</x:v>
      </x:c>
      <x:c r="P1302" s="23" t="str">
        <x:v>VESPASIANO</x:v>
      </x:c>
      <x:c r="Q1302" s="30" t="n">
        <x:v>29606</x:v>
      </x:c>
      <x:c r="R1302" s="22" t="str">
        <x:f>"RG: MG11150062"</x:f>
        <x:v>RG: MG11150062</x:v>
      </x:c>
      <x:c r="S1302" s="23" t="str">
        <x:v>masculino</x:v>
      </x:c>
      <x:c r="T1302" s="22" t="str">
        <x:f>"PXD1H96"</x:f>
        <x:v>PXD1H96</x:v>
      </x:c>
      <x:c r="U1302" s="23" t="str">
        <x:v>FLAVIO HENRIQUE SOARES CARDOSO</x:v>
      </x:c>
      <x:c r="V1302" s="22" t="str">
        <x:f>"014.322.276-70"</x:f>
        <x:v>014.322.276-70</x:v>
      </x:c>
      <x:c r="W1302" s="22" t="str">
        <x:f>"01432227670"</x:f>
        <x:v>01432227670</x:v>
      </x:c>
      <x:c r="X1302" s="23" t="str">
        <x:v>flaviotelecom@gmail.com</x:v>
      </x:c>
      <x:c r="Y1302" s="22" t="str">
        <x:f>"(31) 99148-8423"</x:f>
        <x:v>(31) 99148-8423</x:v>
      </x:c>
      <x:c r="Z1302" s="30" t="n">
        <x:v>46338</x:v>
      </x:c>
    </x:row>
    <x:row r="1303" ht="18" customHeight="1">
      <x:c r="A1303" s="22" t="str">
        <x:f>"53eaa2b5-34c6-44b1-84fa-8943dbd3cdce"</x:f>
        <x:v>53eaa2b5-34c6-44b1-84fa-8943dbd3cdce</x:v>
      </x:c>
      <x:c r="B1303" s="23" t="str">
        <x:v>FLAVIO LEAL GONCALVES JUNIOR</x:v>
      </x:c>
      <x:c r="C1303" s="23" t="str">
        <x:v>flavio leal goncalves junior</x:v>
      </x:c>
      <x:c r="D1303" s="22" t="str">
        <x:f>"53.189.497/0001-02"</x:f>
        <x:v>53.189.497/0001-02</x:v>
      </x:c>
      <x:c r="E1303" s="22" t="str">
        <x:f>"53189497000102"</x:f>
        <x:v>53189497000102</x:v>
      </x:c>
      <x:c r="F1303" s="22" t="str">
        <x:f>"700.268.206-76"</x:f>
        <x:v>700.268.206-76</x:v>
      </x:c>
      <x:c r="G1303" s="22" t="str">
        <x:f>"70026820676"</x:f>
        <x:v>70026820676</x:v>
      </x:c>
      <x:c r="H1303" s="23" t="str">
        <x:v>flavioleag@gmail.com</x:v>
      </x:c>
      <x:c r="I1303" s="22" t="str">
        <x:f>"33988843524"</x:f>
        <x:v>33988843524</x:v>
      </x:c>
      <x:c r="J1303" s="23" t="str">
        <x:v>RENTAL</x:v>
      </x:c>
      <x:c r="K1303" s="23" t="str">
        <x:v>rental_company</x:v>
      </x:c>
      <x:c r="L1303" s="24" t="b">
        <x:v>1</x:v>
      </x:c>
      <x:c r="M1303" s="23" t="n">
        <x:v>1</x:v>
      </x:c>
      <x:c r="N1303" s="28" t="n">
        <x:v>46203.92183017361</x:v>
      </x:c>
      <x:c r="O1303" s="28" t="n">
        <x:v>46219.812988715275</x:v>
      </x:c>
      <x:c r="P1303" s="23" t="str">
        <x:v>TEOFILO OTONI</x:v>
      </x:c>
      <x:c r="Q1303" s="30" t="n">
        <x:v>36532</x:v>
      </x:c>
      <x:c r="R1303" s="22" t="str">
        <x:f>"21241588"</x:f>
        <x:v>21241588</x:v>
      </x:c>
      <x:c r="S1303" s="23" t="str">
        <x:v>masculino</x:v>
      </x:c>
      <x:c r="T1303" s="22" t="str"/>
      <x:c r="U1303" s="23" t="str">
        <x:v>FLAVIO LEAL GONCALVES JUNIOR</x:v>
      </x:c>
      <x:c r="V1303" s="22" t="str">
        <x:f>"700.268.206-76"</x:f>
        <x:v>700.268.206-76</x:v>
      </x:c>
      <x:c r="W1303" s="22" t="str">
        <x:f>"70026820676"</x:f>
        <x:v>70026820676</x:v>
      </x:c>
      <x:c r="X1303" s="23" t="str">
        <x:v>flavioleag@gmail.com</x:v>
      </x:c>
      <x:c r="Y1303" s="22" t="str">
        <x:f>"33988843524"</x:f>
        <x:v>33988843524</x:v>
      </x:c>
      <x:c r="Z1303" s="30" t="n">
        <x:v>46283</x:v>
      </x:c>
    </x:row>
    <x:row r="1304" ht="18" customHeight="1">
      <x:c r="A1304" s="22" t="str">
        <x:f>"ce67075f-3efe-4e57-933c-3600cd24900f"</x:f>
        <x:v>ce67075f-3efe-4e57-933c-3600cd24900f</x:v>
      </x:c>
      <x:c r="B1304" s="23" t="str">
        <x:v>FLAVIO LUDOGERIO FEITOSA</x:v>
      </x:c>
      <x:c r="C1304" s="23" t="str">
        <x:v>flavio ludogerio feitosa</x:v>
      </x:c>
      <x:c r="D1304" s="22" t="str">
        <x:f>"62.430.999/0001-66"</x:f>
        <x:v>62.430.999/0001-66</x:v>
      </x:c>
      <x:c r="E1304" s="22" t="str">
        <x:f>"62430999000166"</x:f>
        <x:v>62430999000166</x:v>
      </x:c>
      <x:c r="F1304" s="22" t="str">
        <x:f>"853.934.791-15"</x:f>
        <x:v>853.934.791-15</x:v>
      </x:c>
      <x:c r="G1304" s="22" t="str">
        <x:f>"85393479115"</x:f>
        <x:v>85393479115</x:v>
      </x:c>
      <x:c r="H1304" s="23" t="str">
        <x:v>flavioludogerio@gmail.com</x:v>
      </x:c>
      <x:c r="I1304" s="22" t="str">
        <x:f>"62984319033"</x:f>
        <x:v>62984319033</x:v>
      </x:c>
      <x:c r="J1304" s="23" t="str">
        <x:v>SPOT</x:v>
      </x:c>
      <x:c r="K1304" s="23" t="str">
        <x:v>favored_only</x:v>
      </x:c>
      <x:c r="L1304" s="24" t="b">
        <x:v>1</x:v>
      </x:c>
      <x:c r="M1304" s="23" t="n">
        <x:v>1</x:v>
      </x:c>
      <x:c r="N1304" s="28" t="n">
        <x:v>46203.921858726855</x:v>
      </x:c>
      <x:c r="O1304" s="28" t="n">
        <x:v>46219.812988715275</x:v>
      </x:c>
      <x:c r="P1304" s="23" t="str">
        <x:v>GOIANIA</x:v>
      </x:c>
      <x:c r="Q1304" s="30" t="n">
        <x:v>29269</x:v>
      </x:c>
      <x:c r="R1304" s="22" t="str">
        <x:f>"3748946"</x:f>
        <x:v>3748946</x:v>
      </x:c>
      <x:c r="S1304" s="23" t="str">
        <x:v>masculino</x:v>
      </x:c>
      <x:c r="T1304" s="22" t="str">
        <x:f>"PRJ6C65"</x:f>
        <x:v>PRJ6C65</x:v>
      </x:c>
      <x:c r="U1304" s="23" t="str">
        <x:v>FLAVIO LUDOGERIO FEITOSA</x:v>
      </x:c>
      <x:c r="V1304" s="22" t="str">
        <x:f>"853.934.791-15"</x:f>
        <x:v>853.934.791-15</x:v>
      </x:c>
      <x:c r="W1304" s="22" t="str">
        <x:f>"85393479115"</x:f>
        <x:v>85393479115</x:v>
      </x:c>
      <x:c r="X1304" s="23" t="str">
        <x:v>flavioludogerio@gmail.com</x:v>
      </x:c>
      <x:c r="Y1304" s="22" t="str">
        <x:f>"62984319033"</x:f>
        <x:v>62984319033</x:v>
      </x:c>
      <x:c r="Z1304" s="30" t="n">
        <x:v>46262</x:v>
      </x:c>
    </x:row>
    <x:row r="1305" ht="18" customHeight="1">
      <x:c r="A1305" s="22" t="str">
        <x:f>"f82e6740-7355-4eb0-bc3e-016bef86c83d"</x:f>
        <x:v>f82e6740-7355-4eb0-bc3e-016bef86c83d</x:v>
      </x:c>
      <x:c r="B1305" s="23" t="str">
        <x:v>FLAVIO MANOEL SANTOS DA SILVA</x:v>
      </x:c>
      <x:c r="C1305" s="23" t="str">
        <x:v>flavio manoel santos da silva</x:v>
      </x:c>
      <x:c r="D1305" s="22" t="str">
        <x:f>"37.823.997/0001-90"</x:f>
        <x:v>37.823.997/0001-90</x:v>
      </x:c>
      <x:c r="E1305" s="22" t="str">
        <x:f>"37823997000190"</x:f>
        <x:v>37823997000190</x:v>
      </x:c>
      <x:c r="F1305" s="22" t="str">
        <x:f>"694.421.931-04"</x:f>
        <x:v>694.421.931-04</x:v>
      </x:c>
      <x:c r="G1305" s="22" t="str">
        <x:f>"69442193104"</x:f>
        <x:v>69442193104</x:v>
      </x:c>
      <x:c r="H1305" s="23" t="str">
        <x:v>flaviomanoel_2012@hotmail.com</x:v>
      </x:c>
      <x:c r="I1305" s="22" t="str">
        <x:f>"65984444946"</x:f>
        <x:v>65984444946</x:v>
      </x:c>
      <x:c r="J1305" s="23" t="str">
        <x:v>SPOT</x:v>
      </x:c>
      <x:c r="K1305" s="23" t="str">
        <x:v>favored_only</x:v>
      </x:c>
      <x:c r="L1305" s="24" t="b">
        <x:v>1</x:v>
      </x:c>
      <x:c r="M1305" s="23" t="n">
        <x:v>1</x:v>
      </x:c>
      <x:c r="N1305" s="28" t="n">
        <x:v>46205.604784930554</x:v>
      </x:c>
      <x:c r="O1305" s="28" t="n">
        <x:v>46219.812988715275</x:v>
      </x:c>
      <x:c r="P1305" s="23" t="str">
        <x:v>PONTES E LACERDA</x:v>
      </x:c>
      <x:c r="Q1305" s="30" t="n">
        <x:v>29712</x:v>
      </x:c>
      <x:c r="R1305" s="22" t="str">
        <x:f>"12798100"</x:f>
        <x:v>12798100</x:v>
      </x:c>
      <x:c r="S1305" s="23" t="str">
        <x:v>masculino</x:v>
      </x:c>
      <x:c r="T1305" s="22" t="str">
        <x:f>"NTY7C67"</x:f>
        <x:v>NTY7C67</x:v>
      </x:c>
      <x:c r="U1305" s="23" t="str">
        <x:v>DANILLO BACIEL ALMEIDA</x:v>
      </x:c>
      <x:c r="V1305" s="22" t="str">
        <x:f>"038.768.901-01"</x:f>
        <x:v>038.768.901-01</x:v>
      </x:c>
      <x:c r="W1305" s="22" t="str">
        <x:f>"03876890101"</x:f>
        <x:v>03876890101</x:v>
      </x:c>
      <x:c r="X1305" s="23" t="str">
        <x:v>rtp.cargas@gmail.com</x:v>
      </x:c>
      <x:c r="Y1305" s="22" t="str">
        <x:f>"62991277279"</x:f>
        <x:v>62991277279</x:v>
      </x:c>
      <x:c r="Z1305" s="30" t="n">
        <x:v>46297</x:v>
      </x:c>
    </x:row>
    <x:row r="1306" ht="18" customHeight="1">
      <x:c r="A1306" s="22" t="str">
        <x:f>"2dc9ec7b-e39b-4910-ad57-76bd92a94941"</x:f>
        <x:v>2dc9ec7b-e39b-4910-ad57-76bd92a94941</x:v>
      </x:c>
      <x:c r="B1306" s="23" t="str">
        <x:v>FLAVIO MATOS XAVIER</x:v>
      </x:c>
      <x:c r="C1306" s="23" t="str">
        <x:v>flavio matos xavier</x:v>
      </x:c>
      <x:c r="D1306" s="22" t="str">
        <x:f>"64.366.989/0001-34"</x:f>
        <x:v>64.366.989/0001-34</x:v>
      </x:c>
      <x:c r="E1306" s="22" t="str">
        <x:f>"64366989000134"</x:f>
        <x:v>64366989000134</x:v>
      </x:c>
      <x:c r="F1306" s="22" t="str">
        <x:f>"421.701.108-36"</x:f>
        <x:v>421.701.108-36</x:v>
      </x:c>
      <x:c r="G1306" s="22" t="str">
        <x:f>"42170110836"</x:f>
        <x:v>42170110836</x:v>
      </x:c>
      <x:c r="H1306" s="23" t="str">
        <x:v>flaviomatos467@gmail.com</x:v>
      </x:c>
      <x:c r="I1306" s="22" t="str">
        <x:f>"11951729856"</x:f>
        <x:v>11951729856</x:v>
      </x:c>
      <x:c r="J1306" s="23" t="str">
        <x:v>SPOT</x:v>
      </x:c>
      <x:c r="K1306" s="23" t="str">
        <x:v>favored_only</x:v>
      </x:c>
      <x:c r="L1306" s="24" t="b">
        <x:v>1</x:v>
      </x:c>
      <x:c r="M1306" s="23" t="n">
        <x:v>1</x:v>
      </x:c>
      <x:c r="N1306" s="28" t="n">
        <x:v>46219.812988715275</x:v>
      </x:c>
      <x:c r="O1306" s="28" t="n">
        <x:v>46219.812988715275</x:v>
      </x:c>
      <x:c r="P1306" s="23" t="str">
        <x:v>BARUERI</x:v>
      </x:c>
      <x:c r="Q1306" s="30" t="n">
        <x:v>36945</x:v>
      </x:c>
      <x:c r="R1306" s="22" t="str">
        <x:f>"53.03.00.15-1"</x:f>
        <x:v>53.03.00.15-1</x:v>
      </x:c>
      <x:c r="S1306" s="23" t="str">
        <x:v>masculino</x:v>
      </x:c>
      <x:c r="T1306" s="22" t="str">
        <x:f>"GDW5E97"</x:f>
        <x:v>GDW5E97</x:v>
      </x:c>
      <x:c r="U1306" s="23" t="str">
        <x:v>FLAVIO MATOS XAVIER</x:v>
      </x:c>
      <x:c r="V1306" s="22" t="str">
        <x:f>"421.701.108-36"</x:f>
        <x:v>421.701.108-36</x:v>
      </x:c>
      <x:c r="W1306" s="22" t="str">
        <x:f>"42170110836"</x:f>
        <x:v>42170110836</x:v>
      </x:c>
      <x:c r="X1306" s="23" t="str">
        <x:v>flaviomatos467@gmail.com</x:v>
      </x:c>
      <x:c r="Y1306" s="22" t="str">
        <x:f>"11951729856"</x:f>
        <x:v>11951729856</x:v>
      </x:c>
      <x:c r="Z1306" s="30" t="n">
        <x:v>46416</x:v>
      </x:c>
    </x:row>
    <x:row r="1307" ht="18" customHeight="1">
      <x:c r="A1307" s="22" t="str">
        <x:f>"506827d3-37f2-4508-9775-bd6c9e0980b5"</x:f>
        <x:v>506827d3-37f2-4508-9775-bd6c9e0980b5</x:v>
      </x:c>
      <x:c r="B1307" s="23" t="str">
        <x:v>FLAVIO SILVA</x:v>
      </x:c>
      <x:c r="C1307" s="23" t="str">
        <x:v>flavio silva</x:v>
      </x:c>
      <x:c r="D1307" s="22" t="str">
        <x:f>"62.812.246/0001-15"</x:f>
        <x:v>62.812.246/0001-15</x:v>
      </x:c>
      <x:c r="E1307" s="22" t="str">
        <x:f>"62812246000115"</x:f>
        <x:v>62812246000115</x:v>
      </x:c>
      <x:c r="F1307" s="22" t="str">
        <x:f>"099.871.946-30"</x:f>
        <x:v>099.871.946-30</x:v>
      </x:c>
      <x:c r="G1307" s="22" t="str">
        <x:f>"09987194630"</x:f>
        <x:v>09987194630</x:v>
      </x:c>
      <x:c r="H1307" s="23" t="str">
        <x:v>flaviosilva090622@gmail.com</x:v>
      </x:c>
      <x:c r="I1307" s="22" t="str">
        <x:f>"(35) 98413-3835"</x:f>
        <x:v>(35) 98413-3835</x:v>
      </x:c>
      <x:c r="J1307" s="23" t="str">
        <x:v>SPOT</x:v>
      </x:c>
      <x:c r="K1307" s="23" t="str">
        <x:v>favored_only</x:v>
      </x:c>
      <x:c r="L1307" s="24" t="b">
        <x:v>1</x:v>
      </x:c>
      <x:c r="M1307" s="23" t="n">
        <x:v>1</x:v>
      </x:c>
      <x:c r="N1307" s="28" t="n">
        <x:v>46205.60539804398</x:v>
      </x:c>
      <x:c r="O1307" s="28" t="n">
        <x:v>46219.812988715275</x:v>
      </x:c>
      <x:c r="P1307" s="23" t="str">
        <x:v>POUSO ALEGRE</x:v>
      </x:c>
      <x:c r="Q1307" s="30" t="n">
        <x:v>33300</x:v>
      </x:c>
      <x:c r="R1307" s="22" t="str">
        <x:f>"MG15454020 SSP MG"</x:f>
        <x:v>MG15454020 SSP MG</x:v>
      </x:c>
      <x:c r="S1307" s="23" t="str">
        <x:v>masculino</x:v>
      </x:c>
      <x:c r="T1307" s="22" t="str">
        <x:f>"SHB1E72"</x:f>
        <x:v>SHB1E72</x:v>
      </x:c>
      <x:c r="U1307" s="23" t="str">
        <x:v>FLAVIOSILVA090622@GMAIL.COM</x:v>
      </x:c>
      <x:c r="V1307" s="22" t="str">
        <x:f>"099.871.946-30"</x:f>
        <x:v>099.871.946-30</x:v>
      </x:c>
      <x:c r="W1307" s="22" t="str">
        <x:f>"09987194630"</x:f>
        <x:v>09987194630</x:v>
      </x:c>
      <x:c r="X1307" s="23" t="str">
        <x:v>flaviosilva090622@gmail.com</x:v>
      </x:c>
      <x:c r="Y1307" s="22" t="str">
        <x:f>"(35) 98413-3835"</x:f>
        <x:v>(35) 98413-3835</x:v>
      </x:c>
      <x:c r="Z1307" s="30" t="n">
        <x:v>46322</x:v>
      </x:c>
    </x:row>
    <x:row r="1308" ht="18" customHeight="1">
      <x:c r="A1308" s="22" t="str">
        <x:f>"276e7847-5c78-4615-b3f6-18512e8c1b3a"</x:f>
        <x:v>276e7847-5c78-4615-b3f6-18512e8c1b3a</x:v>
      </x:c>
      <x:c r="B1308" s="23" t="str">
        <x:v>FLAVIO VILLAS BOAS AGERO</x:v>
      </x:c>
      <x:c r="C1308" s="23" t="str">
        <x:v>flavio villas boas agero</x:v>
      </x:c>
      <x:c r="D1308" s="22" t="str">
        <x:f>"65.560.820/0001-83"</x:f>
        <x:v>65.560.820/0001-83</x:v>
      </x:c>
      <x:c r="E1308" s="22" t="str">
        <x:f>"65560820000183"</x:f>
        <x:v>65560820000183</x:v>
      </x:c>
      <x:c r="F1308" s="22" t="str">
        <x:f>"096.382.737-55"</x:f>
        <x:v>096.382.737-55</x:v>
      </x:c>
      <x:c r="G1308" s="22" t="str">
        <x:f>"09638273755"</x:f>
        <x:v>09638273755</x:v>
      </x:c>
      <x:c r="H1308" s="23" t="str">
        <x:v>fvillasboasagero@gmail.com</x:v>
      </x:c>
      <x:c r="I1308" s="22" t="str">
        <x:f>"21 99959-3241"</x:f>
        <x:v>21 99959-3241</x:v>
      </x:c>
      <x:c r="J1308" s="23" t="str">
        <x:v>SPOT</x:v>
      </x:c>
      <x:c r="K1308" s="23" t="str">
        <x:v>favored_only</x:v>
      </x:c>
      <x:c r="L1308" s="24" t="b">
        <x:v>1</x:v>
      </x:c>
      <x:c r="M1308" s="23" t="n">
        <x:v>1</x:v>
      </x:c>
      <x:c r="N1308" s="28" t="n">
        <x:v>46219.812988715275</x:v>
      </x:c>
      <x:c r="O1308" s="28" t="n">
        <x:v>46219.812988715275</x:v>
      </x:c>
      <x:c r="P1308" s="23" t="str">
        <x:v>CAMPOS DOS GOYTACAZES</x:v>
      </x:c>
      <x:c r="Q1308" s="30" t="n">
        <x:v>30125</x:v>
      </x:c>
      <x:c r="R1308" s="22" t="str">
        <x:f>"127433308"</x:f>
        <x:v>127433308</x:v>
      </x:c>
      <x:c r="S1308" s="23" t="str">
        <x:v>masculino</x:v>
      </x:c>
      <x:c r="T1308" s="22" t="str">
        <x:f>"FKC6I38"</x:f>
        <x:v>FKC6I38</x:v>
      </x:c>
      <x:c r="U1308" s="23" t="str">
        <x:v>MAYCON JONATHAN ROSARIO DE SOUZA</x:v>
      </x:c>
      <x:c r="V1308" s="22" t="str">
        <x:f>"173.910.657-14"</x:f>
        <x:v>173.910.657-14</x:v>
      </x:c>
      <x:c r="W1308" s="22" t="str">
        <x:f>"17391065714"</x:f>
        <x:v>17391065714</x:v>
      </x:c>
      <x:c r="X1308" s="23" t="str">
        <x:v>mj7rosariodesouza@gmail.com</x:v>
      </x:c>
      <x:c r="Y1308" s="22" t="str">
        <x:f>"22992280678"</x:f>
        <x:v>22992280678</x:v>
      </x:c>
      <x:c r="Z1308" s="30" t="n">
        <x:v>46529</x:v>
      </x:c>
    </x:row>
    <x:row r="1309" ht="18" customHeight="1">
      <x:c r="A1309" s="22" t="str">
        <x:f>"2c2bc0d3-247b-4c81-b882-b2983e56c7dd"</x:f>
        <x:v>2c2bc0d3-247b-4c81-b882-b2983e56c7dd</x:v>
      </x:c>
      <x:c r="B1309" s="23" t="str">
        <x:v>FLAVIO VILLAS BOAS ANGERO</x:v>
      </x:c>
      <x:c r="C1309" s="23" t="str">
        <x:v>flavio villas boas angero</x:v>
      </x:c>
      <x:c r="D1309" s="22" t="str">
        <x:f>"58.547.763/0001-37"</x:f>
        <x:v>58.547.763/0001-37</x:v>
      </x:c>
      <x:c r="E1309" s="22" t="str">
        <x:f>"58547763000137"</x:f>
        <x:v>58547763000137</x:v>
      </x:c>
      <x:c r="F1309" s="22" t="str">
        <x:f>"096.382.737-55"</x:f>
        <x:v>096.382.737-55</x:v>
      </x:c>
      <x:c r="G1309" s="22" t="str">
        <x:f>"09638273755"</x:f>
        <x:v>09638273755</x:v>
      </x:c>
      <x:c r="H1309" s="23" t="str">
        <x:v>fvillasboasagero@gmail.com</x:v>
      </x:c>
      <x:c r="I1309" s="22" t="str">
        <x:f>"21999593241"</x:f>
        <x:v>21999593241</x:v>
      </x:c>
      <x:c r="J1309" s="23" t="str">
        <x:v>SPOT</x:v>
      </x:c>
      <x:c r="K1309" s="23" t="str">
        <x:v>favored_only</x:v>
      </x:c>
      <x:c r="L1309" s="24" t="b">
        <x:v>1</x:v>
      </x:c>
      <x:c r="M1309" s="23" t="n">
        <x:v>1</x:v>
      </x:c>
      <x:c r="N1309" s="28" t="n">
        <x:v>46219.812988715275</x:v>
      </x:c>
      <x:c r="O1309" s="28" t="n">
        <x:v>46219.812988715275</x:v>
      </x:c>
      <x:c r="P1309" s="23" t="str">
        <x:v>CAMPOS DOS GOYTACAZES</x:v>
      </x:c>
      <x:c r="Q1309" s="30" t="n">
        <x:v>30125</x:v>
      </x:c>
      <x:c r="R1309" s="22" t="str">
        <x:f>"127433308"</x:f>
        <x:v>127433308</x:v>
      </x:c>
      <x:c r="S1309" s="23" t="str">
        <x:v>masculino</x:v>
      </x:c>
      <x:c r="T1309" s="22" t="str">
        <x:f>"LQI4H22"</x:f>
        <x:v>LQI4H22</x:v>
      </x:c>
      <x:c r="U1309" s="23" t="str">
        <x:v>GIAN LUIZ FERREIRA MENDES</x:v>
      </x:c>
      <x:c r="V1309" s="22" t="str">
        <x:f>"150.312.347-25"</x:f>
        <x:v>150.312.347-25</x:v>
      </x:c>
      <x:c r="W1309" s="22" t="str">
        <x:f>"15031234725"</x:f>
        <x:v>15031234725</x:v>
      </x:c>
      <x:c r="X1309" s="23" t="str">
        <x:v>gianluizmendes@gmail.com</x:v>
      </x:c>
      <x:c r="Y1309" s="22" t="str">
        <x:f>"22998287560"</x:f>
        <x:v>22998287560</x:v>
      </x:c>
      <x:c r="Z1309" s="30" t="n">
        <x:v>46526</x:v>
      </x:c>
    </x:row>
    <x:row r="1310" ht="18" customHeight="1">
      <x:c r="A1310" s="22" t="str">
        <x:f>"d9e4a55a-8c0c-456e-9171-42c81c85a0d1"</x:f>
        <x:v>d9e4a55a-8c0c-456e-9171-42c81c85a0d1</x:v>
      </x:c>
      <x:c r="B1310" s="23" t="str">
        <x:v>FLORIANO PEREZ JUNIOR</x:v>
      </x:c>
      <x:c r="C1310" s="23" t="str">
        <x:v>floriano perez junior</x:v>
      </x:c>
      <x:c r="D1310" s="22" t="str">
        <x:f>"51.822.437/0001-41"</x:f>
        <x:v>51.822.437/0001-41</x:v>
      </x:c>
      <x:c r="E1310" s="22" t="str">
        <x:f>"51822437000141"</x:f>
        <x:v>51822437000141</x:v>
      </x:c>
      <x:c r="F1310" s="22" t="str">
        <x:f>"047.147.118-00"</x:f>
        <x:v>047.147.118-00</x:v>
      </x:c>
      <x:c r="G1310" s="22" t="str">
        <x:f>"04714711800"</x:f>
        <x:v>04714711800</x:v>
      </x:c>
      <x:c r="H1310" s="23" t="str">
        <x:v>Juniorperezfloriano@gmail.com</x:v>
      </x:c>
      <x:c r="I1310" s="22" t="str">
        <x:f>"18 98147-3132"</x:f>
        <x:v>18 98147-3132</x:v>
      </x:c>
      <x:c r="J1310" s="23" t="str">
        <x:v>RENTAL</x:v>
      </x:c>
      <x:c r="K1310" s="23" t="str">
        <x:v>rental_company</x:v>
      </x:c>
      <x:c r="L1310" s="24" t="b">
        <x:v>1</x:v>
      </x:c>
      <x:c r="M1310" s="23" t="n">
        <x:v>1</x:v>
      </x:c>
      <x:c r="N1310" s="28" t="n">
        <x:v>46203.92186462963</x:v>
      </x:c>
      <x:c r="O1310" s="28" t="n">
        <x:v>46219.812988715275</x:v>
      </x:c>
      <x:c r="P1310" s="23" t="str">
        <x:v>PRESIDENTE PRUDENTE</x:v>
      </x:c>
      <x:c r="Q1310" s="30" t="n">
        <x:v>37188</x:v>
      </x:c>
      <x:c r="R1310" s="22" t="str">
        <x:f>"567795652"</x:f>
        <x:v>567795652</x:v>
      </x:c>
      <x:c r="S1310" s="23" t="str">
        <x:v>masculino</x:v>
      </x:c>
      <x:c r="T1310" s="22" t="str"/>
      <x:c r="U1310" s="23" t="str">
        <x:v>FLORIANO PEREZ JUNIOR</x:v>
      </x:c>
      <x:c r="V1310" s="22" t="str">
        <x:f>"047.147.118-00"</x:f>
        <x:v>047.147.118-00</x:v>
      </x:c>
      <x:c r="W1310" s="22" t="str">
        <x:f>"04714711800"</x:f>
        <x:v>04714711800</x:v>
      </x:c>
      <x:c r="X1310" s="23" t="str">
        <x:v>Juniorperezfloriano@gmail.com</x:v>
      </x:c>
      <x:c r="Y1310" s="22" t="str">
        <x:f>"18 98147-3132"</x:f>
        <x:v>18 98147-3132</x:v>
      </x:c>
      <x:c r="Z1310" s="30" t="n">
        <x:v>46288</x:v>
      </x:c>
    </x:row>
    <x:row r="1311" ht="18" customHeight="1">
      <x:c r="A1311" s="22" t="str">
        <x:f>"a3c09ba4-3829-4c41-98ab-a1d00051205a"</x:f>
        <x:v>a3c09ba4-3829-4c41-98ab-a1d00051205a</x:v>
      </x:c>
      <x:c r="B1311" s="23" t="str">
        <x:v>FRANCIELE ALVES DOS SANTOS</x:v>
      </x:c>
      <x:c r="C1311" s="23" t="str">
        <x:v>franciele alves dos santos</x:v>
      </x:c>
      <x:c r="D1311" s="22" t="str">
        <x:f>"54.585.455/0001-45"</x:f>
        <x:v>54.585.455/0001-45</x:v>
      </x:c>
      <x:c r="E1311" s="22" t="str">
        <x:f>"54585455000145"</x:f>
        <x:v>54585455000145</x:v>
      </x:c>
      <x:c r="F1311" s="22" t="str">
        <x:f>"479.517.788-00"</x:f>
        <x:v>479.517.788-00</x:v>
      </x:c>
      <x:c r="G1311" s="22" t="str">
        <x:f>"47951778800"</x:f>
        <x:v>47951778800</x:v>
      </x:c>
      <x:c r="H1311" s="23" t="str">
        <x:v>franalvescmd@gmail.com</x:v>
      </x:c>
      <x:c r="I1311" s="22" t="str">
        <x:f>"31982621229"</x:f>
        <x:v>31982621229</x:v>
      </x:c>
      <x:c r="J1311" s="23" t="str">
        <x:v>SPOT</x:v>
      </x:c>
      <x:c r="K1311" s="23" t="str">
        <x:v>favored_only</x:v>
      </x:c>
      <x:c r="L1311" s="24" t="b">
        <x:v>1</x:v>
      </x:c>
      <x:c r="M1311" s="23" t="n">
        <x:v>1</x:v>
      </x:c>
      <x:c r="N1311" s="28" t="n">
        <x:v>46203.921824756944</x:v>
      </x:c>
      <x:c r="O1311" s="28" t="n">
        <x:v>46219.812988715275</x:v>
      </x:c>
      <x:c r="P1311" s="23" t="str">
        <x:v>CONCEIÇÃO DO MATO DENTRO</x:v>
      </x:c>
      <x:c r="Q1311" s="30" t="n">
        <x:v>36189</x:v>
      </x:c>
      <x:c r="R1311" s="22" t="str">
        <x:f>"21396660"</x:f>
        <x:v>21396660</x:v>
      </x:c>
      <x:c r="S1311" s="23" t="str">
        <x:v>feminino</x:v>
      </x:c>
      <x:c r="T1311" s="22" t="str">
        <x:f>"RUN2F18"</x:f>
        <x:v>RUN2F18</x:v>
      </x:c>
      <x:c r="U1311" s="23" t="str">
        <x:v>FRANCIELE ALVES DOS SANTOS</x:v>
      </x:c>
      <x:c r="V1311" s="22" t="str">
        <x:f>"479.517.788-00"</x:f>
        <x:v>479.517.788-00</x:v>
      </x:c>
      <x:c r="W1311" s="22" t="str">
        <x:f>"47951778800"</x:f>
        <x:v>47951778800</x:v>
      </x:c>
      <x:c r="X1311" s="23" t="str">
        <x:v>franalvescmd@gmail.com</x:v>
      </x:c>
      <x:c r="Y1311" s="22" t="str">
        <x:f>"31982621229"</x:f>
        <x:v>31982621229</x:v>
      </x:c>
      <x:c r="Z1311" s="30" t="n">
        <x:v>46520</x:v>
      </x:c>
    </x:row>
    <x:row r="1312" ht="18" customHeight="1">
      <x:c r="A1312" s="22" t="str">
        <x:f>"5a193f6a-46cc-49ba-838e-33e74db87aae"</x:f>
        <x:v>5a193f6a-46cc-49ba-838e-33e74db87aae</x:v>
      </x:c>
      <x:c r="B1312" s="23" t="str">
        <x:v>FRANCISCO ANDRADE DA SILVA</x:v>
      </x:c>
      <x:c r="C1312" s="23" t="str">
        <x:v>francisco andrade da silva</x:v>
      </x:c>
      <x:c r="D1312" s="22" t="str">
        <x:f>"67.139.066/0001-38"</x:f>
        <x:v>67.139.066/0001-38</x:v>
      </x:c>
      <x:c r="E1312" s="22" t="str">
        <x:f>"67139066000138"</x:f>
        <x:v>67139066000138</x:v>
      </x:c>
      <x:c r="F1312" s="22" t="str">
        <x:f>"349.866.678-90"</x:f>
        <x:v>349.866.678-90</x:v>
      </x:c>
      <x:c r="G1312" s="22" t="str">
        <x:f>"34986667890"</x:f>
        <x:v>34986667890</x:v>
      </x:c>
      <x:c r="H1312" s="23" t="str">
        <x:v>franciscosilva5741@gmail.com</x:v>
      </x:c>
      <x:c r="I1312" s="22" t="str">
        <x:f>"(14) 988357364"</x:f>
        <x:v>(14) 988357364</x:v>
      </x:c>
      <x:c r="J1312" s="23" t="str">
        <x:v>RENTAL</x:v>
      </x:c>
      <x:c r="K1312" s="23" t="str">
        <x:v>rental_company</x:v>
      </x:c>
      <x:c r="L1312" s="24" t="b">
        <x:v>1</x:v>
      </x:c>
      <x:c r="M1312" s="23" t="n">
        <x:v>1</x:v>
      </x:c>
      <x:c r="N1312" s="28" t="n">
        <x:v>46219.812988715275</x:v>
      </x:c>
      <x:c r="O1312" s="28" t="n">
        <x:v>46219.812988715275</x:v>
      </x:c>
      <x:c r="P1312" s="23" t="str">
        <x:v>BAURU</x:v>
      </x:c>
      <x:c r="Q1312" s="30" t="n">
        <x:v>31322</x:v>
      </x:c>
      <x:c r="R1312" s="22" t="str">
        <x:f>"43064146-1"</x:f>
        <x:v>43064146-1</x:v>
      </x:c>
      <x:c r="S1312" s="23" t="str">
        <x:v>masculino</x:v>
      </x:c>
      <x:c r="T1312" s="22" t="str"/>
      <x:c r="U1312" s="23" t="str">
        <x:v>FRANCISCO ANDRADE DA SILVA</x:v>
      </x:c>
      <x:c r="V1312" s="22" t="str">
        <x:f>"349.866.678-90"</x:f>
        <x:v>349.866.678-90</x:v>
      </x:c>
      <x:c r="W1312" s="22" t="str">
        <x:f>"34986667890"</x:f>
        <x:v>34986667890</x:v>
      </x:c>
      <x:c r="X1312" s="23" t="str">
        <x:v>franciscosilva5741@gmail.com</x:v>
      </x:c>
      <x:c r="Y1312" s="22" t="str">
        <x:f>"(14) 988357364"</x:f>
        <x:v>(14) 988357364</x:v>
      </x:c>
      <x:c r="Z1312" s="30" t="n">
        <x:v>46541</x:v>
      </x:c>
    </x:row>
    <x:row r="1313" ht="18" customHeight="1">
      <x:c r="A1313" s="22" t="str">
        <x:f>"4cb2dfc6-44bb-4fbb-9ae0-278c87ab95a9"</x:f>
        <x:v>4cb2dfc6-44bb-4fbb-9ae0-278c87ab95a9</x:v>
      </x:c>
      <x:c r="B1313" s="23" t="str">
        <x:v>FRANCISCO BARROS DE LIMA JUNIOR</x:v>
      </x:c>
      <x:c r="C1313" s="23" t="str">
        <x:v>francisco barros de lima junior</x:v>
      </x:c>
      <x:c r="D1313" s="22" t="str">
        <x:f>"47.352.784/0001-80"</x:f>
        <x:v>47.352.784/0001-80</x:v>
      </x:c>
      <x:c r="E1313" s="22" t="str">
        <x:f>"47352784000180"</x:f>
        <x:v>47352784000180</x:v>
      </x:c>
      <x:c r="F1313" s="22" t="str">
        <x:f>"060.768.001-60"</x:f>
        <x:v>060.768.001-60</x:v>
      </x:c>
      <x:c r="G1313" s="22" t="str">
        <x:f>"06076800160"</x:f>
        <x:v>06076800160</x:v>
      </x:c>
      <x:c r="H1313" s="23" t="str">
        <x:v>bfrancisco743@gmail.com</x:v>
      </x:c>
      <x:c r="I1313" s="22" t="str">
        <x:f>"65999863918"</x:f>
        <x:v>65999863918</x:v>
      </x:c>
      <x:c r="J1313" s="23" t="str">
        <x:v>SPOT</x:v>
      </x:c>
      <x:c r="K1313" s="23" t="str">
        <x:v>favored_only</x:v>
      </x:c>
      <x:c r="L1313" s="24" t="b">
        <x:v>1</x:v>
      </x:c>
      <x:c r="M1313" s="23" t="n">
        <x:v>1</x:v>
      </x:c>
      <x:c r="N1313" s="28" t="n">
        <x:v>46205.60600623843</x:v>
      </x:c>
      <x:c r="O1313" s="28" t="n">
        <x:v>46219.812988715275</x:v>
      </x:c>
      <x:c r="P1313" s="23" t="str">
        <x:v>PONTES E LACERDA</x:v>
      </x:c>
      <x:c r="Q1313" s="30" t="n">
        <x:v>37604</x:v>
      </x:c>
      <x:c r="R1313" s="22" t="str">
        <x:f>"30799880"</x:f>
        <x:v>30799880</x:v>
      </x:c>
      <x:c r="S1313" s="23" t="str">
        <x:v>masculino</x:v>
      </x:c>
      <x:c r="T1313" s="22" t="str">
        <x:f>"NCZ3I25"</x:f>
        <x:v>NCZ3I25</x:v>
      </x:c>
      <x:c r="U1313" s="23" t="str">
        <x:v>WESLEY SANTOS ABREU</x:v>
      </x:c>
      <x:c r="V1313" s="22" t="str">
        <x:f>"062.631.491-75"</x:f>
        <x:v>062.631.491-75</x:v>
      </x:c>
      <x:c r="W1313" s="22" t="str">
        <x:f>"06263149175"</x:f>
        <x:v>06263149175</x:v>
      </x:c>
      <x:c r="X1313" s="23" t="str">
        <x:v>wesleysantosabreu13@gmail.com</x:v>
      </x:c>
      <x:c r="Y1313" s="22" t="str">
        <x:f>"65993081162"</x:f>
        <x:v>65993081162</x:v>
      </x:c>
      <x:c r="Z1313" s="30" t="n">
        <x:v>46339</x:v>
      </x:c>
    </x:row>
    <x:row r="1314" ht="18" customHeight="1">
      <x:c r="A1314" s="22" t="str">
        <x:f>"22cb5e2a-82b1-4174-9a2b-e26f53470dbe"</x:f>
        <x:v>22cb5e2a-82b1-4174-9a2b-e26f53470dbe</x:v>
      </x:c>
      <x:c r="B1314" s="23" t="str">
        <x:v>FRANCISCO BRAZ DA SILVA</x:v>
      </x:c>
      <x:c r="C1314" s="23" t="str">
        <x:v>francisco braz da silva</x:v>
      </x:c>
      <x:c r="D1314" s="22" t="str">
        <x:f>"61.207.688/0001-70"</x:f>
        <x:v>61.207.688/0001-70</x:v>
      </x:c>
      <x:c r="E1314" s="22" t="str">
        <x:f>"61207688000170"</x:f>
        <x:v>61207688000170</x:v>
      </x:c>
      <x:c r="F1314" s="22" t="str">
        <x:f>"085.730.333-39"</x:f>
        <x:v>085.730.333-39</x:v>
      </x:c>
      <x:c r="G1314" s="22" t="str">
        <x:f>"08573033339"</x:f>
        <x:v>08573033339</x:v>
      </x:c>
      <x:c r="H1314" s="23" t="str">
        <x:v>franciscobrazdasilvabraz10@gmail.com</x:v>
      </x:c>
      <x:c r="I1314" s="22" t="str">
        <x:f>"62994045171"</x:f>
        <x:v>62994045171</x:v>
      </x:c>
      <x:c r="J1314" s="23" t="str">
        <x:v>SPOT</x:v>
      </x:c>
      <x:c r="K1314" s="23" t="str">
        <x:v>favored_only</x:v>
      </x:c>
      <x:c r="L1314" s="24" t="b">
        <x:v>1</x:v>
      </x:c>
      <x:c r="M1314" s="23" t="n">
        <x:v>1</x:v>
      </x:c>
      <x:c r="N1314" s="28" t="n">
        <x:v>46219.812988715275</x:v>
      </x:c>
      <x:c r="O1314" s="28" t="n">
        <x:v>46219.812988715275</x:v>
      </x:c>
      <x:c r="P1314" s="23" t="str">
        <x:v>GOIANIA</x:v>
      </x:c>
      <x:c r="Q1314" s="30" t="n">
        <x:v>36700</x:v>
      </x:c>
      <x:c r="R1314" s="22" t="str">
        <x:f>"598677020161"</x:f>
        <x:v>598677020161</x:v>
      </x:c>
      <x:c r="S1314" s="23" t="str">
        <x:v>masculino</x:v>
      </x:c>
      <x:c r="T1314" s="22" t="str">
        <x:f>"NLC4H22"</x:f>
        <x:v>NLC4H22</x:v>
      </x:c>
      <x:c r="U1314" s="23" t="str">
        <x:v>FRANCISCO BRAZ DA SILVA</x:v>
      </x:c>
      <x:c r="V1314" s="22" t="str">
        <x:f>"085.730.333-39"</x:f>
        <x:v>085.730.333-39</x:v>
      </x:c>
      <x:c r="W1314" s="22" t="str">
        <x:f>"08573033339"</x:f>
        <x:v>08573033339</x:v>
      </x:c>
      <x:c r="X1314" s="23" t="str">
        <x:v>franciscobrazdasilvabraz10@gmail.com</x:v>
      </x:c>
      <x:c r="Y1314" s="22" t="str">
        <x:f>"62994045171"</x:f>
        <x:v>62994045171</x:v>
      </x:c>
      <x:c r="Z1314" s="30" t="n">
        <x:v>46457</x:v>
      </x:c>
    </x:row>
    <x:row r="1315" ht="18" customHeight="1">
      <x:c r="A1315" s="22" t="str">
        <x:f>"43ea5408-3a65-417c-b0d4-ce616999665f"</x:f>
        <x:v>43ea5408-3a65-417c-b0d4-ce616999665f</x:v>
      </x:c>
      <x:c r="B1315" s="23" t="str">
        <x:v>FRANCISCO DE SALES BRILHANTE DANTAS</x:v>
      </x:c>
      <x:c r="C1315" s="23" t="str">
        <x:v>francisco de sales brilhante dantas</x:v>
      </x:c>
      <x:c r="D1315" s="22" t="str">
        <x:f>"63.175.520/0001-55"</x:f>
        <x:v>63.175.520/0001-55</x:v>
      </x:c>
      <x:c r="E1315" s="22" t="str">
        <x:f>"63175520000155"</x:f>
        <x:v>63175520000155</x:v>
      </x:c>
      <x:c r="F1315" s="22" t="str">
        <x:f>"038.243.644-09"</x:f>
        <x:v>038.243.644-09</x:v>
      </x:c>
      <x:c r="G1315" s="22" t="str">
        <x:f>"03824364409"</x:f>
        <x:v>03824364409</x:v>
      </x:c>
      <x:c r="H1315" s="23" t="str">
        <x:v>dantassales5@gmail.com</x:v>
      </x:c>
      <x:c r="I1315" s="22" t="str">
        <x:f>"67 8447-1632"</x:f>
        <x:v>67 8447-1632</x:v>
      </x:c>
      <x:c r="J1315" s="23" t="str">
        <x:v>SPOT</x:v>
      </x:c>
      <x:c r="K1315" s="23" t="str">
        <x:v>favored_only</x:v>
      </x:c>
      <x:c r="L1315" s="24" t="b">
        <x:v>1</x:v>
      </x:c>
      <x:c r="M1315" s="23" t="n">
        <x:v>1</x:v>
      </x:c>
      <x:c r="N1315" s="28" t="n">
        <x:v>46219.812988715275</x:v>
      </x:c>
      <x:c r="O1315" s="28" t="n">
        <x:v>46219.812988715275</x:v>
      </x:c>
      <x:c r="P1315" s="23" t="str">
        <x:v>CHAPADÃO DO SUL</x:v>
      </x:c>
      <x:c r="Q1315" s="30" t="n">
        <x:v>29913</x:v>
      </x:c>
      <x:c r="R1315" s="22" t="str">
        <x:f>"2059340"</x:f>
        <x:v>2059340</x:v>
      </x:c>
      <x:c r="S1315" s="23" t="str">
        <x:v>masculino</x:v>
      </x:c>
      <x:c r="T1315" s="22" t="str">
        <x:f>"ONZ9J85"</x:f>
        <x:v>ONZ9J85</x:v>
      </x:c>
      <x:c r="U1315" s="23" t="str">
        <x:v>FRANCISCO DE SALES BRILHANTE DANTAS</x:v>
      </x:c>
      <x:c r="V1315" s="22" t="str">
        <x:f>"038.243.644-09"</x:f>
        <x:v>038.243.644-09</x:v>
      </x:c>
      <x:c r="W1315" s="22" t="str">
        <x:f>"03824364409"</x:f>
        <x:v>03824364409</x:v>
      </x:c>
      <x:c r="X1315" s="23" t="str">
        <x:v>dantassales5@gmail.com</x:v>
      </x:c>
      <x:c r="Y1315" s="22" t="str">
        <x:f>"67 8447-1632"</x:f>
        <x:v>67 8447-1632</x:v>
      </x:c>
      <x:c r="Z1315" s="30" t="n">
        <x:v>46430</x:v>
      </x:c>
    </x:row>
    <x:row r="1316" ht="18" customHeight="1">
      <x:c r="A1316" s="22" t="str">
        <x:f>"9ab2b4f9-d463-41e1-b826-0d93139a93b6"</x:f>
        <x:v>9ab2b4f9-d463-41e1-b826-0d93139a93b6</x:v>
      </x:c>
      <x:c r="B1316" s="23" t="str">
        <x:v>FRANCISCO DE SALES BRILHANTE DANTAS</x:v>
      </x:c>
      <x:c r="C1316" s="23" t="str">
        <x:v>francisco de sales brilhante dantas</x:v>
      </x:c>
      <x:c r="D1316" s="22" t="str">
        <x:f>"06.317.520/0001-55"</x:f>
        <x:v>06.317.520/0001-55</x:v>
      </x:c>
      <x:c r="E1316" s="22" t="str">
        <x:f>"06317520000155"</x:f>
        <x:v>06317520000155</x:v>
      </x:c>
      <x:c r="F1316" s="22" t="str">
        <x:f>"038.243.644-09"</x:f>
        <x:v>038.243.644-09</x:v>
      </x:c>
      <x:c r="G1316" s="22" t="str">
        <x:f>"03824364409"</x:f>
        <x:v>03824364409</x:v>
      </x:c>
      <x:c r="H1316" s="23" t="str">
        <x:v>dantassales5@gmail.com</x:v>
      </x:c>
      <x:c r="I1316" s="22" t="str">
        <x:f>"67 8447-1632"</x:f>
        <x:v>67 8447-1632</x:v>
      </x:c>
      <x:c r="J1316" s="23" t="str">
        <x:v>SPOT</x:v>
      </x:c>
      <x:c r="K1316" s="23" t="str">
        <x:v>favored_only</x:v>
      </x:c>
      <x:c r="L1316" s="24" t="b">
        <x:v>1</x:v>
      </x:c>
      <x:c r="M1316" s="23" t="n">
        <x:v>1</x:v>
      </x:c>
      <x:c r="N1316" s="28" t="n">
        <x:v>46203.9218771875</x:v>
      </x:c>
      <x:c r="O1316" s="28" t="n">
        <x:v>46219.812988715275</x:v>
      </x:c>
      <x:c r="P1316" s="23" t="str">
        <x:v>CHAPADÃO DO SUL</x:v>
      </x:c>
      <x:c r="Q1316" s="30" t="n">
        <x:v>29913</x:v>
      </x:c>
      <x:c r="R1316" s="22" t="str">
        <x:f>"2059340"</x:f>
        <x:v>2059340</x:v>
      </x:c>
      <x:c r="S1316" s="23" t="str">
        <x:v>masculino</x:v>
      </x:c>
      <x:c r="T1316" s="22" t="str">
        <x:f>"ONZ9J85"</x:f>
        <x:v>ONZ9J85</x:v>
      </x:c>
      <x:c r="U1316" s="23" t="str">
        <x:v>FRANCISCO DE SALES BRILHANTE DANTAS</x:v>
      </x:c>
      <x:c r="V1316" s="22" t="str">
        <x:f>"038.243.644-09"</x:f>
        <x:v>038.243.644-09</x:v>
      </x:c>
      <x:c r="W1316" s="22" t="str">
        <x:f>"03824364409"</x:f>
        <x:v>03824364409</x:v>
      </x:c>
      <x:c r="X1316" s="23" t="str">
        <x:v>dantassales5@gmail.com</x:v>
      </x:c>
      <x:c r="Y1316" s="22" t="str">
        <x:f>"67 8447-1632"</x:f>
        <x:v>67 8447-1632</x:v>
      </x:c>
      <x:c r="Z1316" s="30" t="n">
        <x:v>46312</x:v>
      </x:c>
    </x:row>
    <x:row r="1317" ht="18" customHeight="1">
      <x:c r="A1317" s="22" t="str">
        <x:f>"f19d4896-c4d0-408b-ae0e-f8f4e7e80558"</x:f>
        <x:v>f19d4896-c4d0-408b-ae0e-f8f4e7e80558</x:v>
      </x:c>
      <x:c r="B1317" s="23" t="str">
        <x:v>FRANCISCO DE SALES BRILHANTE DANTAS</x:v>
      </x:c>
      <x:c r="C1317" s="23" t="str">
        <x:v>francisco de sales brilhante dantas</x:v>
      </x:c>
      <x:c r="D1317" s="22" t="str">
        <x:f>"40.467.543/0001-38"</x:f>
        <x:v>40.467.543/0001-38</x:v>
      </x:c>
      <x:c r="E1317" s="22" t="str">
        <x:f>"40467543000138"</x:f>
        <x:v>40467543000138</x:v>
      </x:c>
      <x:c r="F1317" s="22" t="str">
        <x:f>"038.243.644-09"</x:f>
        <x:v>038.243.644-09</x:v>
      </x:c>
      <x:c r="G1317" s="22" t="str">
        <x:f>"03824364409"</x:f>
        <x:v>03824364409</x:v>
      </x:c>
      <x:c r="H1317" s="23" t="str">
        <x:v>jackspce@homail.com</x:v>
      </x:c>
      <x:c r="I1317" s="22" t="str">
        <x:f>"67 8447-1632"</x:f>
        <x:v>67 8447-1632</x:v>
      </x:c>
      <x:c r="J1317" s="23" t="str">
        <x:v>SPOT</x:v>
      </x:c>
      <x:c r="K1317" s="23" t="str">
        <x:v>favored_only</x:v>
      </x:c>
      <x:c r="L1317" s="24" t="b">
        <x:v>1</x:v>
      </x:c>
      <x:c r="M1317" s="23" t="n">
        <x:v>1</x:v>
      </x:c>
      <x:c r="N1317" s="28" t="n">
        <x:v>46205.601893541665</x:v>
      </x:c>
      <x:c r="O1317" s="28" t="n">
        <x:v>46219.812988715275</x:v>
      </x:c>
      <x:c r="P1317" s="23" t="str">
        <x:v>CHAPADÃO DO SUL</x:v>
      </x:c>
      <x:c r="Q1317" s="30" t="n">
        <x:v>29913</x:v>
      </x:c>
      <x:c r="R1317" s="22" t="str">
        <x:f>"2059340"</x:f>
        <x:v>2059340</x:v>
      </x:c>
      <x:c r="S1317" s="23" t="str">
        <x:v>masculino</x:v>
      </x:c>
      <x:c r="T1317" s="22" t="str">
        <x:f>"JIP1H03"</x:f>
        <x:v>JIP1H03</x:v>
      </x:c>
      <x:c r="U1317" s="23" t="str">
        <x:v>MARIA CABRAL DA SILVA FILHA DANTAS</x:v>
      </x:c>
      <x:c r="V1317" s="22" t="str">
        <x:f>"051.923.244-59"</x:f>
        <x:v>051.923.244-59</x:v>
      </x:c>
      <x:c r="W1317" s="22" t="str">
        <x:f>"05192324459"</x:f>
        <x:v>05192324459</x:v>
      </x:c>
      <x:c r="X1317" s="23" t="str">
        <x:v>mariadantas01101981@gmail.com</x:v>
      </x:c>
      <x:c r="Y1317" s="22" t="str">
        <x:f>"67984471632"</x:f>
        <x:v>67984471632</x:v>
      </x:c>
      <x:c r="Z1317" s="30" t="n">
        <x:v>46164</x:v>
      </x:c>
    </x:row>
    <x:row r="1318" ht="18" customHeight="1">
      <x:c r="A1318" s="22" t="str">
        <x:f>"954f15c0-ff2f-483c-b319-74a178662168"</x:f>
        <x:v>954f15c0-ff2f-483c-b319-74a178662168</x:v>
      </x:c>
      <x:c r="B1318" s="23" t="str">
        <x:v>FRANCISCO EDSON RODRIGUES</x:v>
      </x:c>
      <x:c r="C1318" s="23" t="str">
        <x:v>francisco edson rodrigues</x:v>
      </x:c>
      <x:c r="D1318" s="22" t="str">
        <x:f>"59.022.523/0001-81"</x:f>
        <x:v>59.022.523/0001-81</x:v>
      </x:c>
      <x:c r="E1318" s="22" t="str">
        <x:f>"59022523000181"</x:f>
        <x:v>59022523000181</x:v>
      </x:c>
      <x:c r="F1318" s="22" t="str">
        <x:f>"383.917.388-41"</x:f>
        <x:v>383.917.388-41</x:v>
      </x:c>
      <x:c r="G1318" s="22" t="str">
        <x:f>"38391738841"</x:f>
        <x:v>38391738841</x:v>
      </x:c>
      <x:c r="H1318" s="23" t="str">
        <x:v>edsonrodrigues0606@gmail.com</x:v>
      </x:c>
      <x:c r="I1318" s="22" t="str">
        <x:f>"11 91669 9978"</x:f>
        <x:v>11 91669 9978</x:v>
      </x:c>
      <x:c r="J1318" s="23" t="str">
        <x:v>RENTAL</x:v>
      </x:c>
      <x:c r="K1318" s="23" t="str">
        <x:v>rental_company</x:v>
      </x:c>
      <x:c r="L1318" s="24" t="b">
        <x:v>1</x:v>
      </x:c>
      <x:c r="M1318" s="23" t="n">
        <x:v>1</x:v>
      </x:c>
      <x:c r="N1318" s="28" t="n">
        <x:v>46219.812988715275</x:v>
      </x:c>
      <x:c r="O1318" s="28" t="n">
        <x:v>46219.812988715275</x:v>
      </x:c>
      <x:c r="P1318" s="23" t="str">
        <x:v>BARUERI</x:v>
      </x:c>
      <x:c r="Q1318" s="30" t="n">
        <x:v>32118</x:v>
      </x:c>
      <x:c r="R1318" s="22" t="str">
        <x:f>"57964105"</x:f>
        <x:v>57964105</x:v>
      </x:c>
      <x:c r="S1318" s="23" t="str">
        <x:v>masculino</x:v>
      </x:c>
      <x:c r="T1318" s="22" t="str"/>
      <x:c r="U1318" s="23" t="str">
        <x:v>FRANCISCO EDSON RODRIGUES</x:v>
      </x:c>
      <x:c r="V1318" s="22" t="str">
        <x:f>"383.917.388-41"</x:f>
        <x:v>383.917.388-41</x:v>
      </x:c>
      <x:c r="W1318" s="22" t="str">
        <x:f>"38391738841"</x:f>
        <x:v>38391738841</x:v>
      </x:c>
      <x:c r="X1318" s="23" t="str">
        <x:v>edsonrodrigues0606@gmail.com</x:v>
      </x:c>
      <x:c r="Y1318" s="22" t="str">
        <x:f>"11 91669 9978"</x:f>
        <x:v>11 91669 9978</x:v>
      </x:c>
      <x:c r="Z1318" s="30" t="n">
        <x:v>46577</x:v>
      </x:c>
    </x:row>
    <x:row r="1319" ht="18" customHeight="1">
      <x:c r="A1319" s="22" t="str">
        <x:f>"b4025b07-2a55-471b-a186-f58cb77293a5"</x:f>
        <x:v>b4025b07-2a55-471b-a186-f58cb77293a5</x:v>
      </x:c>
      <x:c r="B1319" s="23" t="str">
        <x:v>FRANCISCO HENRIQUE VIEIRA NUNES</x:v>
      </x:c>
      <x:c r="C1319" s="23" t="str">
        <x:v>francisco henrique vieira nunes</x:v>
      </x:c>
      <x:c r="D1319" s="22" t="str">
        <x:f>"65.983.466/0001-08"</x:f>
        <x:v>65.983.466/0001-08</x:v>
      </x:c>
      <x:c r="E1319" s="22" t="str">
        <x:f>"65983466000108"</x:f>
        <x:v>65983466000108</x:v>
      </x:c>
      <x:c r="F1319" s="22" t="str">
        <x:f>"176.728.477-24"</x:f>
        <x:v>176.728.477-24</x:v>
      </x:c>
      <x:c r="G1319" s="22" t="str">
        <x:f>"17672847724"</x:f>
        <x:v>17672847724</x:v>
      </x:c>
      <x:c r="H1319" s="23" t="str">
        <x:v>eularissabarros11@gmail.com</x:v>
      </x:c>
      <x:c r="I1319" s="22" t="str">
        <x:f>"21 98236-0261"</x:f>
        <x:v>21 98236-0261</x:v>
      </x:c>
      <x:c r="J1319" s="23" t="str">
        <x:v>SPOT</x:v>
      </x:c>
      <x:c r="K1319" s="23" t="str">
        <x:v>favored_only</x:v>
      </x:c>
      <x:c r="L1319" s="24" t="b">
        <x:v>1</x:v>
      </x:c>
      <x:c r="M1319" s="23" t="n">
        <x:v>1</x:v>
      </x:c>
      <x:c r="N1319" s="28" t="n">
        <x:v>46219.812988715275</x:v>
      </x:c>
      <x:c r="O1319" s="28" t="n">
        <x:v>46219.812988715275</x:v>
      </x:c>
      <x:c r="P1319" s="23" t="str">
        <x:v>ITABORAI</x:v>
      </x:c>
      <x:c r="Q1319" s="30" t="n">
        <x:v>35092</x:v>
      </x:c>
      <x:c r="R1319" s="22" t="str">
        <x:f>"292016086"</x:f>
        <x:v>292016086</x:v>
      </x:c>
      <x:c r="S1319" s="23" t="str">
        <x:v>masculino</x:v>
      </x:c>
      <x:c r="T1319" s="22" t="str">
        <x:f>"KPZ4371"</x:f>
        <x:v>KPZ4371</x:v>
      </x:c>
      <x:c r="U1319" s="23" t="str">
        <x:v>FRANCISCO HENRIQUE VIEIRA NUNES</x:v>
      </x:c>
      <x:c r="V1319" s="22" t="str">
        <x:f>"176.728.477-24"</x:f>
        <x:v>176.728.477-24</x:v>
      </x:c>
      <x:c r="W1319" s="22" t="str">
        <x:f>"17672847724"</x:f>
        <x:v>17672847724</x:v>
      </x:c>
      <x:c r="X1319" s="23" t="str">
        <x:v>eularissabarros11@gmail.com</x:v>
      </x:c>
      <x:c r="Y1319" s="22" t="str">
        <x:f>"21 98236-0261"</x:f>
        <x:v>21 98236-0261</x:v>
      </x:c>
      <x:c r="Z1319" s="30" t="n">
        <x:v>46493</x:v>
      </x:c>
    </x:row>
    <x:row r="1320" ht="18" customHeight="1">
      <x:c r="A1320" s="22" t="str">
        <x:f>"5b15c51f-67c5-4884-b18b-0c9fc2805413"</x:f>
        <x:v>5b15c51f-67c5-4884-b18b-0c9fc2805413</x:v>
      </x:c>
      <x:c r="B1320" s="23" t="str">
        <x:v>Francisco Natanael Alves Estêvão</x:v>
      </x:c>
      <x:c r="C1320" s="23" t="str">
        <x:v>francisco natanael alves estevao</x:v>
      </x:c>
      <x:c r="D1320" s="22" t="str">
        <x:f>"49.187.162/0001-70"</x:f>
        <x:v>49.187.162/0001-70</x:v>
      </x:c>
      <x:c r="E1320" s="22" t="str">
        <x:f>"49187162000170"</x:f>
        <x:v>49187162000170</x:v>
      </x:c>
      <x:c r="F1320" s="22" t="str">
        <x:f>"181.961.676-28"</x:f>
        <x:v>181.961.676-28</x:v>
      </x:c>
      <x:c r="G1320" s="22" t="str">
        <x:f>"18196167628"</x:f>
        <x:v>18196167628</x:v>
      </x:c>
      <x:c r="H1320" s="23" t="str">
        <x:v>Francisconatanael2001@icloud.com</x:v>
      </x:c>
      <x:c r="I1320" s="22" t="str">
        <x:f>"31991736270"</x:f>
        <x:v>31991736270</x:v>
      </x:c>
      <x:c r="J1320" s="23" t="str">
        <x:v>SPOT</x:v>
      </x:c>
      <x:c r="K1320" s="23" t="str">
        <x:v>favored_only</x:v>
      </x:c>
      <x:c r="L1320" s="24" t="b">
        <x:v>1</x:v>
      </x:c>
      <x:c r="M1320" s="23" t="n">
        <x:v>1</x:v>
      </x:c>
      <x:c r="N1320" s="28" t="n">
        <x:v>46203.92183332176</x:v>
      </x:c>
      <x:c r="O1320" s="28" t="n">
        <x:v>46205.604788923614</x:v>
      </x:c>
      <x:c r="P1320" s="23" t="str">
        <x:v>CONTAGEM</x:v>
      </x:c>
      <x:c r="Q1320" s="30" t="n">
        <x:v>37249</x:v>
      </x:c>
      <x:c r="R1320" s="22" t="str">
        <x:f>"23003382"</x:f>
        <x:v>23003382</x:v>
      </x:c>
      <x:c r="S1320" s="23" t="str">
        <x:v>Masculino</x:v>
      </x:c>
      <x:c r="T1320" s="22" t="str">
        <x:f>"QOQ7B09"</x:f>
        <x:v>QOQ7B09</x:v>
      </x:c>
      <x:c r="U1320" s="23" t="str">
        <x:v>Francisco Natanael Alves Estêvão</x:v>
      </x:c>
      <x:c r="V1320" s="22" t="str">
        <x:f>"18196167628"</x:f>
        <x:v>18196167628</x:v>
      </x:c>
      <x:c r="W1320" s="22" t="str">
        <x:f>"18196167628"</x:f>
        <x:v>18196167628</x:v>
      </x:c>
      <x:c r="X1320" s="23" t="str">
        <x:v>Francisconatanael2001@icloud.com</x:v>
      </x:c>
      <x:c r="Y1320" s="22" t="str">
        <x:f>"31991736270"</x:f>
        <x:v>31991736270</x:v>
      </x:c>
      <x:c r="Z1320" s="30" t="n">
        <x:v>46212</x:v>
      </x:c>
    </x:row>
    <x:row r="1321" ht="18" customHeight="1">
      <x:c r="A1321" s="22" t="str">
        <x:f>"46e07c0b-1f4d-4bc3-8e33-9b32a573c5e1"</x:f>
        <x:v>46e07c0b-1f4d-4bc3-8e33-9b32a573c5e1</x:v>
      </x:c>
      <x:c r="B1321" s="23" t="str">
        <x:v>FRANCISCO RICARDO SOUZA</x:v>
      </x:c>
      <x:c r="C1321" s="23" t="str">
        <x:v>francisco ricardo souza</x:v>
      </x:c>
      <x:c r="D1321" s="22" t="str">
        <x:f>"63.269.032/0001-07"</x:f>
        <x:v>63.269.032/0001-07</x:v>
      </x:c>
      <x:c r="E1321" s="22" t="str">
        <x:f>"63269032000107"</x:f>
        <x:v>63269032000107</x:v>
      </x:c>
      <x:c r="F1321" s="22" t="str">
        <x:f>"050.204.641-47"</x:f>
        <x:v>050.204.641-47</x:v>
      </x:c>
      <x:c r="G1321" s="22" t="str">
        <x:f>"05020464147"</x:f>
        <x:v>05020464147</x:v>
      </x:c>
      <x:c r="H1321" s="23" t="str">
        <x:v>ricardo2souza55444@gmail.com</x:v>
      </x:c>
      <x:c r="I1321" s="22" t="str">
        <x:f>"65 992855651"</x:f>
        <x:v>65 992855651</x:v>
      </x:c>
      <x:c r="J1321" s="23" t="str">
        <x:v>SPOT</x:v>
      </x:c>
      <x:c r="K1321" s="23" t="str">
        <x:v>favored_only</x:v>
      </x:c>
      <x:c r="L1321" s="24" t="b">
        <x:v>1</x:v>
      </x:c>
      <x:c r="M1321" s="23" t="n">
        <x:v>2</x:v>
      </x:c>
      <x:c r="N1321" s="28" t="n">
        <x:v>46203.9218771875</x:v>
      </x:c>
      <x:c r="O1321" s="28" t="n">
        <x:v>46219.812988715275</x:v>
      </x:c>
      <x:c r="P1321" s="23" t="str">
        <x:v>CUIABA</x:v>
      </x:c>
      <x:c r="Q1321" s="30" t="n">
        <x:v>33762</x:v>
      </x:c>
      <x:c r="R1321" s="22" t="str">
        <x:f>"18720323"</x:f>
        <x:v>18720323</x:v>
      </x:c>
      <x:c r="S1321" s="23" t="str">
        <x:v>masculino</x:v>
      </x:c>
      <x:c r="T1321" s="22" t="str">
        <x:f>"QUV0J23"</x:f>
        <x:v>QUV0J23</x:v>
      </x:c>
      <x:c r="U1321" s="23" t="str">
        <x:v>FRANCISCO RICARDO SOUZA</x:v>
      </x:c>
      <x:c r="V1321" s="22" t="str">
        <x:f>"050.204.641-47"</x:f>
        <x:v>050.204.641-47</x:v>
      </x:c>
      <x:c r="W1321" s="22" t="str">
        <x:f>"05020464147"</x:f>
        <x:v>05020464147</x:v>
      </x:c>
      <x:c r="X1321" s="23" t="str">
        <x:v>ricardo2souza55444@gmail.com</x:v>
      </x:c>
      <x:c r="Y1321" s="22" t="str">
        <x:f>"65 992855651"</x:f>
        <x:v>65 992855651</x:v>
      </x:c>
      <x:c r="Z1321" s="30" t="n">
        <x:v>46437</x:v>
      </x:c>
    </x:row>
    <x:row r="1322" ht="18" customHeight="1">
      <x:c r="A1322" s="22" t="str">
        <x:f>"5dadf1e9-94bb-4870-ab65-4b0c5c8a3f2b"</x:f>
        <x:v>5dadf1e9-94bb-4870-ab65-4b0c5c8a3f2b</x:v>
      </x:c>
      <x:c r="B1322" s="23" t="str">
        <x:v>FRANCISCO ROBSON SOUSA MARCELINO</x:v>
      </x:c>
      <x:c r="C1322" s="23" t="str">
        <x:v>francisco robson sousa marcelino</x:v>
      </x:c>
      <x:c r="D1322" s="22" t="str">
        <x:f>"55.923.785/0001-66"</x:f>
        <x:v>55.923.785/0001-66</x:v>
      </x:c>
      <x:c r="E1322" s="22" t="str">
        <x:f>"55923785000166"</x:f>
        <x:v>55923785000166</x:v>
      </x:c>
      <x:c r="F1322" s="22" t="str">
        <x:f>"482.727.298-06"</x:f>
        <x:v>482.727.298-06</x:v>
      </x:c>
      <x:c r="G1322" s="22" t="str">
        <x:f>"48272729806"</x:f>
        <x:v>48272729806</x:v>
      </x:c>
      <x:c r="H1322" s="23" t="str">
        <x:v>robsonmarcelino986@gmail.com</x:v>
      </x:c>
      <x:c r="I1322" s="22" t="str">
        <x:f>"16 99724-0950"</x:f>
        <x:v>16 99724-0950</x:v>
      </x:c>
      <x:c r="J1322" s="23" t="str">
        <x:v>RENTAL</x:v>
      </x:c>
      <x:c r="K1322" s="23" t="str">
        <x:v>rental_company</x:v>
      </x:c>
      <x:c r="L1322" s="24" t="b">
        <x:v>1</x:v>
      </x:c>
      <x:c r="M1322" s="23" t="n">
        <x:v>1</x:v>
      </x:c>
      <x:c r="N1322" s="28" t="n">
        <x:v>46203.92183017361</x:v>
      </x:c>
      <x:c r="O1322" s="28" t="n">
        <x:v>46219.812988715275</x:v>
      </x:c>
      <x:c r="P1322" s="23" t="str">
        <x:v>SÃO CARLOS</x:v>
      </x:c>
      <x:c r="Q1322" s="30" t="n">
        <x:v>35033</x:v>
      </x:c>
      <x:c r="R1322" s="22" t="str">
        <x:f>"54373137"</x:f>
        <x:v>54373137</x:v>
      </x:c>
      <x:c r="S1322" s="23" t="str">
        <x:v>masculino</x:v>
      </x:c>
      <x:c r="T1322" s="22" t="str"/>
      <x:c r="U1322" s="23" t="str">
        <x:v>FRANCISCO ROBSON SOUSA MARCELINO</x:v>
      </x:c>
      <x:c r="V1322" s="22" t="str">
        <x:f>"482.727.298-06"</x:f>
        <x:v>482.727.298-06</x:v>
      </x:c>
      <x:c r="W1322" s="22" t="str">
        <x:f>"48272729806"</x:f>
        <x:v>48272729806</x:v>
      </x:c>
      <x:c r="X1322" s="23" t="str">
        <x:v>robsonmarcelino986@gmail.com</x:v>
      </x:c>
      <x:c r="Y1322" s="22" t="str">
        <x:f>"16 99724-0950"</x:f>
        <x:v>16 99724-0950</x:v>
      </x:c>
      <x:c r="Z1322" s="30" t="n">
        <x:v>46318</x:v>
      </x:c>
    </x:row>
    <x:row r="1323" ht="18" customHeight="1">
      <x:c r="A1323" s="22" t="str">
        <x:f>"80eb5391-aad7-42c5-8059-3fb5235bf486"</x:f>
        <x:v>80eb5391-aad7-42c5-8059-3fb5235bf486</x:v>
      </x:c>
      <x:c r="B1323" s="23" t="str">
        <x:v>FRANCIS GONCALVES DIAS GERGEN</x:v>
      </x:c>
      <x:c r="C1323" s="23" t="str">
        <x:v>francis goncalves dias gergen</x:v>
      </x:c>
      <x:c r="D1323" s="22" t="str">
        <x:f>"01.358.668/0001-78"</x:f>
        <x:v>01.358.668/0001-78</x:v>
      </x:c>
      <x:c r="E1323" s="22" t="str">
        <x:f>"01358668000178"</x:f>
        <x:v>01358668000178</x:v>
      </x:c>
      <x:c r="F1323" s="22" t="str">
        <x:f>"049.686.776-85"</x:f>
        <x:v>049.686.776-85</x:v>
      </x:c>
      <x:c r="G1323" s="22" t="str">
        <x:f>"04968677685"</x:f>
        <x:v>04968677685</x:v>
      </x:c>
      <x:c r="H1323" s="23" t="str">
        <x:v>francisgergen13@gmail.com</x:v>
      </x:c>
      <x:c r="I1323" s="22" t="str">
        <x:f>"31986365442"</x:f>
        <x:v>31986365442</x:v>
      </x:c>
      <x:c r="J1323" s="23" t="str">
        <x:v>SPOT</x:v>
      </x:c>
      <x:c r="K1323" s="23" t="str">
        <x:v>favored_only</x:v>
      </x:c>
      <x:c r="L1323" s="24" t="b">
        <x:v>1</x:v>
      </x:c>
      <x:c r="M1323" s="23" t="n">
        <x:v>1</x:v>
      </x:c>
      <x:c r="N1323" s="28" t="n">
        <x:v>46219.812988715275</x:v>
      </x:c>
      <x:c r="O1323" s="28" t="n">
        <x:v>46219.812988715275</x:v>
      </x:c>
      <x:c r="P1323" s="23" t="str">
        <x:v>CONTAGEM</x:v>
      </x:c>
      <x:c r="Q1323" s="30" t="n">
        <x:v>30023</x:v>
      </x:c>
      <x:c r="R1323" s="22" t="str">
        <x:f>"MG11674319"</x:f>
        <x:v>MG11674319</x:v>
      </x:c>
      <x:c r="S1323" s="23" t="str">
        <x:v>masculino</x:v>
      </x:c>
      <x:c r="T1323" s="22" t="str">
        <x:f>"SHF6H94"</x:f>
        <x:v>SHF6H94</x:v>
      </x:c>
      <x:c r="U1323" s="23" t="str">
        <x:v>FRANCIS GONCALVES DIAS GERGEN</x:v>
      </x:c>
      <x:c r="V1323" s="22" t="str">
        <x:f>"049.686.776-85"</x:f>
        <x:v>049.686.776-85</x:v>
      </x:c>
      <x:c r="W1323" s="22" t="str">
        <x:f>"04968677685"</x:f>
        <x:v>04968677685</x:v>
      </x:c>
      <x:c r="X1323" s="23" t="str">
        <x:v>francisgergen13@gmail.com</x:v>
      </x:c>
      <x:c r="Y1323" s="22" t="str">
        <x:f>"31986365442"</x:f>
        <x:v>31986365442</x:v>
      </x:c>
      <x:c r="Z1323" s="30" t="n">
        <x:v>46483</x:v>
      </x:c>
    </x:row>
    <x:row r="1324" ht="18" customHeight="1">
      <x:c r="A1324" s="22" t="str">
        <x:f>"78b1e2ae-5c27-47a2-acfd-fd3a71b0e41d"</x:f>
        <x:v>78b1e2ae-5c27-47a2-acfd-fd3a71b0e41d</x:v>
      </x:c>
      <x:c r="B1324" s="23" t="str">
        <x:v>FRANCIS GOUVEIA FERREIRA DE OLIVEIRA</x:v>
      </x:c>
      <x:c r="C1324" s="23" t="str">
        <x:v>francis gouveia ferreira de oliveira</x:v>
      </x:c>
      <x:c r="D1324" s="22" t="str">
        <x:f>"61.563.798/0001-74"</x:f>
        <x:v>61.563.798/0001-74</x:v>
      </x:c>
      <x:c r="E1324" s="22" t="str">
        <x:f>"61563798000174"</x:f>
        <x:v>61563798000174</x:v>
      </x:c>
      <x:c r="F1324" s="22" t="str">
        <x:f>"145.291.777-93"</x:f>
        <x:v>145.291.777-93</x:v>
      </x:c>
      <x:c r="G1324" s="22" t="str">
        <x:f>"14529177793"</x:f>
        <x:v>14529177793</x:v>
      </x:c>
      <x:c r="H1324" s="23" t="str">
        <x:v>francisgouveia20@gmail.com</x:v>
      </x:c>
      <x:c r="I1324" s="22" t="str">
        <x:f>"21971819463"</x:f>
        <x:v>21971819463</x:v>
      </x:c>
      <x:c r="J1324" s="23" t="str">
        <x:v>SPOT</x:v>
      </x:c>
      <x:c r="K1324" s="23" t="str">
        <x:v>favored_only</x:v>
      </x:c>
      <x:c r="L1324" s="24" t="b">
        <x:v>1</x:v>
      </x:c>
      <x:c r="M1324" s="23" t="n">
        <x:v>2</x:v>
      </x:c>
      <x:c r="N1324" s="28" t="n">
        <x:v>46203.92188238426</x:v>
      </x:c>
      <x:c r="O1324" s="28" t="n">
        <x:v>46219.812988715275</x:v>
      </x:c>
      <x:c r="P1324" s="23" t="str">
        <x:v>QUEIMADOS</x:v>
      </x:c>
      <x:c r="Q1324" s="30" t="n">
        <x:v>33348</x:v>
      </x:c>
      <x:c r="R1324" s="22" t="str">
        <x:f>"271309635"</x:f>
        <x:v>271309635</x:v>
      </x:c>
      <x:c r="S1324" s="23" t="str">
        <x:v>masculino</x:v>
      </x:c>
      <x:c r="T1324" s="22" t="str">
        <x:f>"LTY7D11"</x:f>
        <x:v>LTY7D11</x:v>
      </x:c>
      <x:c r="U1324" s="23" t="str">
        <x:v>FRANCIS GOUVEIA FERREIRA DE OLIVEIRA</x:v>
      </x:c>
      <x:c r="V1324" s="22" t="str">
        <x:f>"145.291.777-93"</x:f>
        <x:v>145.291.777-93</x:v>
      </x:c>
      <x:c r="W1324" s="22" t="str">
        <x:f>"14529177793"</x:f>
        <x:v>14529177793</x:v>
      </x:c>
      <x:c r="X1324" s="23" t="str">
        <x:v>francisgouveia20@gmail.com</x:v>
      </x:c>
      <x:c r="Y1324" s="22" t="str">
        <x:f>"21971819463"</x:f>
        <x:v>21971819463</x:v>
      </x:c>
      <x:c r="Z1324" s="30" t="n">
        <x:v>46576</x:v>
      </x:c>
    </x:row>
    <x:row r="1325" ht="18" customHeight="1">
      <x:c r="A1325" s="22" t="str">
        <x:f>"db849b17-7ce1-4063-9927-6f0594e60d48"</x:f>
        <x:v>db849b17-7ce1-4063-9927-6f0594e60d48</x:v>
      </x:c>
      <x:c r="B1325" s="23" t="str">
        <x:v>FRANK DA SILVA MOURA</x:v>
      </x:c>
      <x:c r="C1325" s="23" t="str">
        <x:v>frank da silva moura</x:v>
      </x:c>
      <x:c r="D1325" s="22" t="str">
        <x:f>"59.988.129/0001-00"</x:f>
        <x:v>59.988.129/0001-00</x:v>
      </x:c>
      <x:c r="E1325" s="22" t="str">
        <x:f>"59988129000100"</x:f>
        <x:v>59988129000100</x:v>
      </x:c>
      <x:c r="F1325" s="22" t="str">
        <x:f>"212.870.718-80"</x:f>
        <x:v>212.870.718-80</x:v>
      </x:c>
      <x:c r="G1325" s="22" t="str">
        <x:f>"21287071880"</x:f>
        <x:v>21287071880</x:v>
      </x:c>
      <x:c r="H1325" s="23" t="str">
        <x:v>Frankdasilvajm@gmail.com</x:v>
      </x:c>
      <x:c r="I1325" s="22" t="str">
        <x:f>"16 992345325"</x:f>
        <x:v>16 992345325</x:v>
      </x:c>
      <x:c r="J1325" s="23" t="str">
        <x:v>SPOT</x:v>
      </x:c>
      <x:c r="K1325" s="23" t="str">
        <x:v>favored_only</x:v>
      </x:c>
      <x:c r="L1325" s="24" t="b">
        <x:v>1</x:v>
      </x:c>
      <x:c r="M1325" s="23" t="n">
        <x:v>1</x:v>
      </x:c>
      <x:c r="N1325" s="28" t="n">
        <x:v>46203.9218771875</x:v>
      </x:c>
      <x:c r="O1325" s="28" t="n">
        <x:v>46219.812988715275</x:v>
      </x:c>
      <x:c r="P1325" s="23" t="str">
        <x:v>BARRETOS</x:v>
      </x:c>
      <x:c r="Q1325" s="30" t="n">
        <x:v>29199</x:v>
      </x:c>
      <x:c r="R1325" s="22" t="str">
        <x:f>"32660266"</x:f>
        <x:v>32660266</x:v>
      </x:c>
      <x:c r="S1325" s="23" t="str">
        <x:v>masculino</x:v>
      </x:c>
      <x:c r="T1325" s="22" t="str">
        <x:f>"NVR2D93"</x:f>
        <x:v>NVR2D93</x:v>
      </x:c>
      <x:c r="U1325" s="23" t="str">
        <x:v>FRANK DA SILVA MOURA</x:v>
      </x:c>
      <x:c r="V1325" s="22" t="str">
        <x:f>"212.870.718-80"</x:f>
        <x:v>212.870.718-80</x:v>
      </x:c>
      <x:c r="W1325" s="22" t="str">
        <x:f>"21287071880"</x:f>
        <x:v>21287071880</x:v>
      </x:c>
      <x:c r="X1325" s="23" t="str">
        <x:v>Frankdasilvajm@gmail.com</x:v>
      </x:c>
      <x:c r="Y1325" s="22" t="str">
        <x:f>"16 992345325"</x:f>
        <x:v>16 992345325</x:v>
      </x:c>
      <x:c r="Z1325" s="30" t="n">
        <x:v>46315</x:v>
      </x:c>
    </x:row>
    <x:row r="1326" ht="18" customHeight="1">
      <x:c r="A1326" s="22" t="str">
        <x:f>"6dff40fb-ad85-4d4f-860c-e463a2d35864"</x:f>
        <x:v>6dff40fb-ad85-4d4f-860c-e463a2d35864</x:v>
      </x:c>
      <x:c r="B1326" s="23" t="str">
        <x:v>FREDERICO LUAN MORAES CALDAS</x:v>
      </x:c>
      <x:c r="C1326" s="23" t="str">
        <x:v>frederico luan moraes caldas</x:v>
      </x:c>
      <x:c r="D1326" s="22" t="str">
        <x:f>"47.697.580/0001-81"</x:f>
        <x:v>47.697.580/0001-81</x:v>
      </x:c>
      <x:c r="E1326" s="22" t="str">
        <x:f>"47697580000181"</x:f>
        <x:v>47697580000181</x:v>
      </x:c>
      <x:c r="F1326" s="22" t="str">
        <x:f>"946.874.712-34"</x:f>
        <x:v>946.874.712-34</x:v>
      </x:c>
      <x:c r="G1326" s="22" t="str">
        <x:f>"94687471234"</x:f>
        <x:v>94687471234</x:v>
      </x:c>
      <x:c r="H1326" s="23" t="str">
        <x:v>fredericocaldas34@gmail.com</x:v>
      </x:c>
      <x:c r="I1326" s="22" t="str">
        <x:f>"69 9229-9711"</x:f>
        <x:v>69 9229-9711</x:v>
      </x:c>
      <x:c r="J1326" s="23" t="str">
        <x:v>SPOT</x:v>
      </x:c>
      <x:c r="K1326" s="23" t="str">
        <x:v>favored_only</x:v>
      </x:c>
      <x:c r="L1326" s="24" t="b">
        <x:v>1</x:v>
      </x:c>
      <x:c r="M1326" s="23" t="n">
        <x:v>1</x:v>
      </x:c>
      <x:c r="N1326" s="28" t="n">
        <x:v>46219.812988715275</x:v>
      </x:c>
      <x:c r="O1326" s="28" t="n">
        <x:v>46219.812988715275</x:v>
      </x:c>
      <x:c r="P1326" s="23" t="str">
        <x:v>SINOP</x:v>
      </x:c>
      <x:c r="Q1326" s="30" t="n">
        <x:v>32608</x:v>
      </x:c>
      <x:c r="R1326" s="22" t="str">
        <x:f>"1058921"</x:f>
        <x:v>1058921</x:v>
      </x:c>
      <x:c r="S1326" s="23" t="str">
        <x:v>masculino</x:v>
      </x:c>
      <x:c r="T1326" s="22" t="str">
        <x:f>"FHM3623"</x:f>
        <x:v>FHM3623</x:v>
      </x:c>
      <x:c r="U1326" s="23" t="str">
        <x:v>FREDERICO LUAN MORAES CALDAS</x:v>
      </x:c>
      <x:c r="V1326" s="22" t="str">
        <x:f>"946.874.712-34"</x:f>
        <x:v>946.874.712-34</x:v>
      </x:c>
      <x:c r="W1326" s="22" t="str">
        <x:f>"94687471234"</x:f>
        <x:v>94687471234</x:v>
      </x:c>
      <x:c r="X1326" s="23" t="str">
        <x:v>fredericocaldas34@gmail.com</x:v>
      </x:c>
      <x:c r="Y1326" s="22" t="str">
        <x:f>"69 9229-9711"</x:f>
        <x:v>69 9229-9711</x:v>
      </x:c>
      <x:c r="Z1326" s="30" t="n">
        <x:v>46416</x:v>
      </x:c>
    </x:row>
    <x:row r="1327" ht="18" customHeight="1">
      <x:c r="A1327" s="22" t="str">
        <x:f>"7c8c02b9-3c1f-404f-8fbe-b72248bce8d3"</x:f>
        <x:v>7c8c02b9-3c1f-404f-8fbe-b72248bce8d3</x:v>
      </x:c>
      <x:c r="B1327" s="23" t="str">
        <x:v>GABRIELA ALVES MARCONDES DE SOUZA</x:v>
      </x:c>
      <x:c r="C1327" s="23" t="str">
        <x:v>gabriela alves marcondes de souza</x:v>
      </x:c>
      <x:c r="D1327" s="22" t="str">
        <x:f>"61.877.559/0001-99"</x:f>
        <x:v>61.877.559/0001-99</x:v>
      </x:c>
      <x:c r="E1327" s="22" t="str">
        <x:f>"61877559000199"</x:f>
        <x:v>61877559000199</x:v>
      </x:c>
      <x:c r="F1327" s="22" t="str">
        <x:f>"478.028.158-00"</x:f>
        <x:v>478.028.158-00</x:v>
      </x:c>
      <x:c r="G1327" s="22" t="str">
        <x:f>"47802815800"</x:f>
        <x:v>47802815800</x:v>
      </x:c>
      <x:c r="H1327" s="23" t="str">
        <x:v>galvesmarcondesdesouza@gmail.com</x:v>
      </x:c>
      <x:c r="I1327" s="22" t="str">
        <x:f>"17 99114-2365"</x:f>
        <x:v>17 99114-2365</x:v>
      </x:c>
      <x:c r="J1327" s="23" t="str">
        <x:v>RENTAL</x:v>
      </x:c>
      <x:c r="K1327" s="23" t="str">
        <x:v>rental_company</x:v>
      </x:c>
      <x:c r="L1327" s="24" t="b">
        <x:v>1</x:v>
      </x:c>
      <x:c r="M1327" s="23" t="n">
        <x:v>1</x:v>
      </x:c>
      <x:c r="N1327" s="28" t="n">
        <x:v>46203.92184908565</x:v>
      </x:c>
      <x:c r="O1327" s="28" t="n">
        <x:v>46219.812988715275</x:v>
      </x:c>
      <x:c r="P1327" s="23" t="str">
        <x:v>BARRETOS</x:v>
      </x:c>
      <x:c r="Q1327" s="30" t="n">
        <x:v>36179</x:v>
      </x:c>
      <x:c r="R1327" s="22" t="str">
        <x:f>"451158246"</x:f>
        <x:v>451158246</x:v>
      </x:c>
      <x:c r="S1327" s="23" t="str">
        <x:v>feminino</x:v>
      </x:c>
      <x:c r="T1327" s="22" t="str"/>
      <x:c r="U1327" s="23" t="str">
        <x:v>GABRIELA ALVES MARCONDES DE SOUZA</x:v>
      </x:c>
      <x:c r="V1327" s="22" t="str">
        <x:f>"478.028.158-00"</x:f>
        <x:v>478.028.158-00</x:v>
      </x:c>
      <x:c r="W1327" s="22" t="str">
        <x:f>"47802815800"</x:f>
        <x:v>47802815800</x:v>
      </x:c>
      <x:c r="X1327" s="23" t="str">
        <x:v>galvesmarcondesdesouza@gmail.com</x:v>
      </x:c>
      <x:c r="Y1327" s="22" t="str">
        <x:f>"17 99114-2365"</x:f>
        <x:v>17 99114-2365</x:v>
      </x:c>
      <x:c r="Z1327" s="30" t="n">
        <x:v>46489</x:v>
      </x:c>
    </x:row>
    <x:row r="1328" ht="18" customHeight="1">
      <x:c r="A1328" s="22" t="str">
        <x:f>"ead599e5-9b63-4db7-98a9-6ac5b4928d01"</x:f>
        <x:v>ead599e5-9b63-4db7-98a9-6ac5b4928d01</x:v>
      </x:c>
      <x:c r="B1328" s="23" t="str">
        <x:v>GABRIELA DE OLIVEIRA LIMA</x:v>
      </x:c>
      <x:c r="C1328" s="23" t="str">
        <x:v>gabriela de oliveira lima</x:v>
      </x:c>
      <x:c r="D1328" s="22" t="str">
        <x:f>"61.185.242/0001-91"</x:f>
        <x:v>61.185.242/0001-91</x:v>
      </x:c>
      <x:c r="E1328" s="22" t="str">
        <x:f>"61185242000191"</x:f>
        <x:v>61185242000191</x:v>
      </x:c>
      <x:c r="F1328" s="22" t="str">
        <x:f>"037.909.871-74"</x:f>
        <x:v>037.909.871-74</x:v>
      </x:c>
      <x:c r="G1328" s="22" t="str">
        <x:f>"03790987174"</x:f>
        <x:v>03790987174</x:v>
      </x:c>
      <x:c r="H1328" s="23" t="str">
        <x:v>gabimercadopago007@gmail.com</x:v>
      </x:c>
      <x:c r="I1328" s="22" t="str">
        <x:f>"65-99615-2016"</x:f>
        <x:v>65-99615-2016</x:v>
      </x:c>
      <x:c r="J1328" s="23" t="str">
        <x:v>RENTAL</x:v>
      </x:c>
      <x:c r="K1328" s="23" t="str">
        <x:v>rental_company</x:v>
      </x:c>
      <x:c r="L1328" s="24" t="b">
        <x:v>1</x:v>
      </x:c>
      <x:c r="M1328" s="23" t="n">
        <x:v>1</x:v>
      </x:c>
      <x:c r="N1328" s="28" t="n">
        <x:v>46203.92188238426</x:v>
      </x:c>
      <x:c r="O1328" s="28" t="n">
        <x:v>46219.812988715275</x:v>
      </x:c>
      <x:c r="P1328" s="23" t="str">
        <x:v>CUIABA</x:v>
      </x:c>
      <x:c r="Q1328" s="30" t="n">
        <x:v>33893</x:v>
      </x:c>
      <x:c r="R1328" s="22" t="str">
        <x:f>"2167389-6"</x:f>
        <x:v>2167389-6</x:v>
      </x:c>
      <x:c r="S1328" s="23" t="str">
        <x:v>feminino</x:v>
      </x:c>
      <x:c r="T1328" s="22" t="str"/>
      <x:c r="U1328" s="23" t="str">
        <x:v>GABRIELA DE OLIVEIRA LIMA</x:v>
      </x:c>
      <x:c r="V1328" s="22" t="str">
        <x:f>"037.909.871-74"</x:f>
        <x:v>037.909.871-74</x:v>
      </x:c>
      <x:c r="W1328" s="22" t="str">
        <x:f>"03790987174"</x:f>
        <x:v>03790987174</x:v>
      </x:c>
      <x:c r="X1328" s="23" t="str">
        <x:v>gabimercadopago007@gmail.com</x:v>
      </x:c>
      <x:c r="Y1328" s="22" t="str">
        <x:f>"65-99615-2016"</x:f>
        <x:v>65-99615-2016</x:v>
      </x:c>
      <x:c r="Z1328" s="30" t="n">
        <x:v>46318</x:v>
      </x:c>
    </x:row>
    <x:row r="1329" ht="18" customHeight="1">
      <x:c r="A1329" s="22" t="str">
        <x:f>"405d35fb-be04-49a6-b9f8-7458b09b6d54"</x:f>
        <x:v>405d35fb-be04-49a6-b9f8-7458b09b6d54</x:v>
      </x:c>
      <x:c r="B1329" s="23" t="str">
        <x:v>GABRIEL ALMEIDA DE OLIVEIRA</x:v>
      </x:c>
      <x:c r="C1329" s="23" t="str">
        <x:v>gabriel almeida de oliveira</x:v>
      </x:c>
      <x:c r="D1329" s="22" t="str">
        <x:f>"63.243.864/0001-54"</x:f>
        <x:v>63.243.864/0001-54</x:v>
      </x:c>
      <x:c r="E1329" s="22" t="str">
        <x:f>"63243864000154"</x:f>
        <x:v>63243864000154</x:v>
      </x:c>
      <x:c r="F1329" s="22" t="str">
        <x:f>"132.493.776-94"</x:f>
        <x:v>132.493.776-94</x:v>
      </x:c>
      <x:c r="G1329" s="22" t="str">
        <x:f>"13249377694"</x:f>
        <x:v>13249377694</x:v>
      </x:c>
      <x:c r="H1329" s="23" t="str">
        <x:v>gabriel.alm.cmd@gmail.com</x:v>
      </x:c>
      <x:c r="I1329" s="22" t="str">
        <x:f>"(31)98235-3225"</x:f>
        <x:v>(31)98235-3225</x:v>
      </x:c>
      <x:c r="J1329" s="23" t="str">
        <x:v>SPOT</x:v>
      </x:c>
      <x:c r="K1329" s="23" t="str">
        <x:v>favored_only</x:v>
      </x:c>
      <x:c r="L1329" s="24" t="b">
        <x:v>1</x:v>
      </x:c>
      <x:c r="M1329" s="23" t="n">
        <x:v>1</x:v>
      </x:c>
      <x:c r="N1329" s="28" t="n">
        <x:v>46205.605292754626</x:v>
      </x:c>
      <x:c r="O1329" s="28" t="n">
        <x:v>46219.812988715275</x:v>
      </x:c>
      <x:c r="P1329" s="23" t="str">
        <x:v>CONCEIÇÃO DO MATO DENTRO</x:v>
      </x:c>
      <x:c r="Q1329" s="30" t="n">
        <x:v>35469</x:v>
      </x:c>
      <x:c r="R1329" s="22" t="str">
        <x:f>"MG-18491172"</x:f>
        <x:v>MG-18491172</x:v>
      </x:c>
      <x:c r="S1329" s="23" t="str">
        <x:v>masculino</x:v>
      </x:c>
      <x:c r="T1329" s="22" t="str">
        <x:f>"HMQ2I47"</x:f>
        <x:v>HMQ2I47</x:v>
      </x:c>
      <x:c r="U1329" s="23" t="str">
        <x:v>KYANNE STEFANE DE SOUSA</x:v>
      </x:c>
      <x:c r="V1329" s="22" t="str">
        <x:f>"124.966.016-54"</x:f>
        <x:v>124.966.016-54</x:v>
      </x:c>
      <x:c r="W1329" s="22" t="str">
        <x:f>"12496601654"</x:f>
        <x:v>12496601654</x:v>
      </x:c>
      <x:c r="X1329" s="23" t="str">
        <x:v>Kyannestefane25@gmail.com</x:v>
      </x:c>
      <x:c r="Y1329" s="22" t="str">
        <x:f>"31995793525"</x:f>
        <x:v>31995793525</x:v>
      </x:c>
      <x:c r="Z1329" s="30" t="n">
        <x:v>46318</x:v>
      </x:c>
    </x:row>
    <x:row r="1330" ht="18" customHeight="1">
      <x:c r="A1330" s="22" t="str">
        <x:f>"1dd0a4b1-fd4d-42ba-ad95-c32ec6a820ce"</x:f>
        <x:v>1dd0a4b1-fd4d-42ba-ad95-c32ec6a820ce</x:v>
      </x:c>
      <x:c r="B1330" s="23" t="str">
        <x:v>GABRIEL ALMEIDA DE SOUZA</x:v>
      </x:c>
      <x:c r="C1330" s="23" t="str">
        <x:v>gabriel almeida de souza</x:v>
      </x:c>
      <x:c r="D1330" s="22" t="str">
        <x:f>"64.814.776/0001-28"</x:f>
        <x:v>64.814.776/0001-28</x:v>
      </x:c>
      <x:c r="E1330" s="22" t="str">
        <x:f>"64814776000128"</x:f>
        <x:v>64814776000128</x:v>
      </x:c>
      <x:c r="F1330" s="22" t="str">
        <x:f>"162.426.386-06"</x:f>
        <x:v>162.426.386-06</x:v>
      </x:c>
      <x:c r="G1330" s="22" t="str">
        <x:f>"16242638606"</x:f>
        <x:v>16242638606</x:v>
      </x:c>
      <x:c r="H1330" s="23" t="str">
        <x:v>gabrielsouzagsa18@gmail.com</x:v>
      </x:c>
      <x:c r="I1330" s="22" t="str">
        <x:f>"(33) 99825-6118"</x:f>
        <x:v>(33) 99825-6118</x:v>
      </x:c>
      <x:c r="J1330" s="23" t="str">
        <x:v>SPOT</x:v>
      </x:c>
      <x:c r="K1330" s="23" t="str">
        <x:v>favored_only</x:v>
      </x:c>
      <x:c r="L1330" s="24" t="b">
        <x:v>1</x:v>
      </x:c>
      <x:c r="M1330" s="23" t="n">
        <x:v>1</x:v>
      </x:c>
      <x:c r="N1330" s="28" t="n">
        <x:v>46219.812988715275</x:v>
      </x:c>
      <x:c r="O1330" s="28" t="n">
        <x:v>46219.812988715275</x:v>
      </x:c>
      <x:c r="P1330" s="23" t="str">
        <x:v>GUANHAES</x:v>
      </x:c>
      <x:c r="Q1330" s="30" t="n">
        <x:v>38391</x:v>
      </x:c>
      <x:c r="R1330" s="22" t="str">
        <x:f>"22354242"</x:f>
        <x:v>22354242</x:v>
      </x:c>
      <x:c r="S1330" s="23" t="str">
        <x:v>masculino</x:v>
      </x:c>
      <x:c r="T1330" s="22" t="str">
        <x:f>"PUE8B75"</x:f>
        <x:v>PUE8B75</x:v>
      </x:c>
      <x:c r="U1330" s="23" t="str">
        <x:v>GABRIEL ALMEIDA DE SOUZA</x:v>
      </x:c>
      <x:c r="V1330" s="22" t="str">
        <x:f>"162.426.386-06"</x:f>
        <x:v>162.426.386-06</x:v>
      </x:c>
      <x:c r="W1330" s="22" t="str">
        <x:f>"16242638606"</x:f>
        <x:v>16242638606</x:v>
      </x:c>
      <x:c r="X1330" s="23" t="str">
        <x:v>gabrielsouzagsa18@gmail.com</x:v>
      </x:c>
      <x:c r="Y1330" s="22" t="str">
        <x:f>"33) 99825-6118"</x:f>
        <x:v>33) 99825-6118</x:v>
      </x:c>
      <x:c r="Z1330" s="30" t="n">
        <x:v>46443</x:v>
      </x:c>
    </x:row>
    <x:row r="1331" ht="18" customHeight="1">
      <x:c r="A1331" s="22" t="str">
        <x:f>"15515cc6-91c6-4a56-802d-2b311d31bcf0"</x:f>
        <x:v>15515cc6-91c6-4a56-802d-2b311d31bcf0</x:v>
      </x:c>
      <x:c r="B1331" s="23" t="str">
        <x:v>GABRIEL ANDRADE TEIXEIRA</x:v>
      </x:c>
      <x:c r="C1331" s="23" t="str">
        <x:v>gabriel andrade teixeira</x:v>
      </x:c>
      <x:c r="D1331" s="22" t="str">
        <x:f>"62.817.301/0001-60"</x:f>
        <x:v>62.817.301/0001-60</x:v>
      </x:c>
      <x:c r="E1331" s="22" t="str">
        <x:f>"62817301000160"</x:f>
        <x:v>62817301000160</x:v>
      </x:c>
      <x:c r="F1331" s="22" t="str">
        <x:f>"167.918.427-09"</x:f>
        <x:v>167.918.427-09</x:v>
      </x:c>
      <x:c r="G1331" s="22" t="str">
        <x:f>"16791842709"</x:f>
        <x:v>16791842709</x:v>
      </x:c>
      <x:c r="H1331" s="23" t="str">
        <x:v>gbandrade.jl15@gmail.com</x:v>
      </x:c>
      <x:c r="I1331" s="22" t="str">
        <x:f>"21 97467-4225"</x:f>
        <x:v>21 97467-4225</x:v>
      </x:c>
      <x:c r="J1331" s="23" t="str">
        <x:v>SPOT</x:v>
      </x:c>
      <x:c r="K1331" s="23" t="str">
        <x:v>favored_only</x:v>
      </x:c>
      <x:c r="L1331" s="24" t="b">
        <x:v>1</x:v>
      </x:c>
      <x:c r="M1331" s="23" t="n">
        <x:v>2</x:v>
      </x:c>
      <x:c r="N1331" s="28" t="n">
        <x:v>46219.812988715275</x:v>
      </x:c>
      <x:c r="O1331" s="28" t="n">
        <x:v>46219.812988715275</x:v>
      </x:c>
      <x:c r="P1331" s="23" t="str">
        <x:v>CORDOVIL</x:v>
      </x:c>
      <x:c r="Q1331" s="30" t="n">
        <x:v>34587</x:v>
      </x:c>
      <x:c r="R1331" s="22" t="str">
        <x:f>"205867872"</x:f>
        <x:v>205867872</x:v>
      </x:c>
      <x:c r="S1331" s="23" t="str">
        <x:v>masculino</x:v>
      </x:c>
      <x:c r="T1331" s="22" t="str">
        <x:f>"SHI2E58"</x:f>
        <x:v>SHI2E58</x:v>
      </x:c>
      <x:c r="U1331" s="23" t="str">
        <x:v>GABRIEL ANDRADE TEIXEIRA</x:v>
      </x:c>
      <x:c r="V1331" s="22" t="str">
        <x:f>"167.918.427-09"</x:f>
        <x:v>167.918.427-09</x:v>
      </x:c>
      <x:c r="W1331" s="22" t="str">
        <x:f>"16791842709"</x:f>
        <x:v>16791842709</x:v>
      </x:c>
      <x:c r="X1331" s="23" t="str">
        <x:v>gbandrade.jl15@gmail.com</x:v>
      </x:c>
      <x:c r="Y1331" s="22" t="str">
        <x:f>"21 97467-4225"</x:f>
        <x:v>21 97467-4225</x:v>
      </x:c>
      <x:c r="Z1331" s="30" t="n">
        <x:v>46488</x:v>
      </x:c>
    </x:row>
    <x:row r="1332" ht="18" customHeight="1">
      <x:c r="A1332" s="22" t="str">
        <x:f>"6e23d393-46d4-491b-94e1-367eb9a04acd"</x:f>
        <x:v>6e23d393-46d4-491b-94e1-367eb9a04acd</x:v>
      </x:c>
      <x:c r="B1332" s="23" t="str">
        <x:v>GABRIELA NEGREIROS DE ANDRADE</x:v>
      </x:c>
      <x:c r="C1332" s="23" t="str">
        <x:v>gabriela negreiros de andrade</x:v>
      </x:c>
      <x:c r="D1332" s="22" t="str">
        <x:f>"45.341.603/0001-95"</x:f>
        <x:v>45.341.603/0001-95</x:v>
      </x:c>
      <x:c r="E1332" s="22" t="str">
        <x:f>"45341603000195"</x:f>
        <x:v>45341603000195</x:v>
      </x:c>
      <x:c r="F1332" s="22" t="str">
        <x:f>"421.333.258-67"</x:f>
        <x:v>421.333.258-67</x:v>
      </x:c>
      <x:c r="G1332" s="22" t="str">
        <x:f>"42133325867"</x:f>
        <x:v>42133325867</x:v>
      </x:c>
      <x:c r="H1332" s="23" t="str">
        <x:v>gabiisnegreiros@gmail.com</x:v>
      </x:c>
      <x:c r="I1332" s="22" t="str">
        <x:f>"(11) 962050547"</x:f>
        <x:v>(11) 962050547</x:v>
      </x:c>
      <x:c r="J1332" s="23" t="str">
        <x:v>RENTAL</x:v>
      </x:c>
      <x:c r="K1332" s="23" t="str">
        <x:v>rental_company</x:v>
      </x:c>
      <x:c r="L1332" s="24" t="b">
        <x:v>1</x:v>
      </x:c>
      <x:c r="M1332" s="23" t="n">
        <x:v>1</x:v>
      </x:c>
      <x:c r="N1332" s="28" t="n">
        <x:v>46203.921852962965</x:v>
      </x:c>
      <x:c r="O1332" s="28" t="n">
        <x:v>46219.812988715275</x:v>
      </x:c>
      <x:c r="P1332" s="23" t="str">
        <x:v>MADEIRA MADEIRA</x:v>
      </x:c>
      <x:c r="Q1332" s="30" t="n">
        <x:v>34856</x:v>
      </x:c>
      <x:c r="R1332" s="22" t="str">
        <x:f>"53657158"</x:f>
        <x:v>53657158</x:v>
      </x:c>
      <x:c r="S1332" s="23" t="str">
        <x:v>feminino</x:v>
      </x:c>
      <x:c r="T1332" s="22" t="str"/>
      <x:c r="U1332" s="23" t="str">
        <x:v>GABRIELA NEGREIROS DE ANDRADE</x:v>
      </x:c>
      <x:c r="V1332" s="22" t="str">
        <x:f>"421.333.258-67"</x:f>
        <x:v>421.333.258-67</x:v>
      </x:c>
      <x:c r="W1332" s="22" t="str">
        <x:f>"42133325867"</x:f>
        <x:v>42133325867</x:v>
      </x:c>
      <x:c r="X1332" s="23" t="str">
        <x:v>gabiisnegreiros@gmail.com</x:v>
      </x:c>
      <x:c r="Y1332" s="22" t="str">
        <x:f>"(11) 962050547"</x:f>
        <x:v>(11) 962050547</x:v>
      </x:c>
      <x:c r="Z1332" s="30" t="n">
        <x:v>46254</x:v>
      </x:c>
    </x:row>
    <x:row r="1333" ht="18" customHeight="1">
      <x:c r="A1333" s="22" t="str">
        <x:f>"5027749f-a58c-4032-98c2-ba1c94e35dfb"</x:f>
        <x:v>5027749f-a58c-4032-98c2-ba1c94e35dfb</x:v>
      </x:c>
      <x:c r="B1333" s="23" t="str">
        <x:v>GABRIEL APARECIDO DA SILVA FONSECA</x:v>
      </x:c>
      <x:c r="C1333" s="23" t="str">
        <x:v>gabriel aparecido da silva fonseca</x:v>
      </x:c>
      <x:c r="D1333" s="22" t="str">
        <x:f>"60.745.037/0001-70"</x:f>
        <x:v>60.745.037/0001-70</x:v>
      </x:c>
      <x:c r="E1333" s="22" t="str">
        <x:f>"60745037000170"</x:f>
        <x:v>60745037000170</x:v>
      </x:c>
      <x:c r="F1333" s="22" t="str">
        <x:f>"482.355.908-83"</x:f>
        <x:v>482.355.908-83</x:v>
      </x:c>
      <x:c r="G1333" s="22" t="str">
        <x:f>"48235590883"</x:f>
        <x:v>48235590883</x:v>
      </x:c>
      <x:c r="H1333" s="23" t="str">
        <x:v>gabriel.silvafonseca344@gmail.com</x:v>
      </x:c>
      <x:c r="I1333" s="22" t="str">
        <x:f>"19990189340"</x:f>
        <x:v>19990189340</x:v>
      </x:c>
      <x:c r="J1333" s="23" t="str">
        <x:v>RENTAL</x:v>
      </x:c>
      <x:c r="K1333" s="23" t="str">
        <x:v>rental_company</x:v>
      </x:c>
      <x:c r="L1333" s="24" t="b">
        <x:v>1</x:v>
      </x:c>
      <x:c r="M1333" s="23" t="n">
        <x:v>1</x:v>
      </x:c>
      <x:c r="N1333" s="28" t="n">
        <x:v>46219.812988715275</x:v>
      </x:c>
      <x:c r="O1333" s="28" t="n">
        <x:v>46219.812988715275</x:v>
      </x:c>
      <x:c r="P1333" s="23" t="str">
        <x:v>MADEIRA MADEIRA</x:v>
      </x:c>
      <x:c r="Q1333" s="30" t="n">
        <x:v>37791</x:v>
      </x:c>
      <x:c r="R1333" s="22" t="str">
        <x:f>"585020254"</x:f>
        <x:v>585020254</x:v>
      </x:c>
      <x:c r="S1333" s="23" t="str">
        <x:v>masculino</x:v>
      </x:c>
      <x:c r="T1333" s="22" t="str"/>
      <x:c r="U1333" s="23" t="str">
        <x:v>GABRIEL APARECIDO DA SILVA FONSECA</x:v>
      </x:c>
      <x:c r="V1333" s="22" t="str">
        <x:f>"482.355.908-83"</x:f>
        <x:v>482.355.908-83</x:v>
      </x:c>
      <x:c r="W1333" s="22" t="str">
        <x:f>"48235590883"</x:f>
        <x:v>48235590883</x:v>
      </x:c>
      <x:c r="X1333" s="23" t="str">
        <x:v>gabriel.silvafonseca344@gmail.com</x:v>
      </x:c>
      <x:c r="Y1333" s="22" t="str">
        <x:f>"19990189340"</x:f>
        <x:v>19990189340</x:v>
      </x:c>
      <x:c r="Z1333" s="30" t="n">
        <x:v>46470</x:v>
      </x:c>
    </x:row>
    <x:row r="1334" ht="18" customHeight="1">
      <x:c r="A1334" s="22" t="str">
        <x:f>"575a759a-35f3-4aeb-9953-2b6d059ce4f7"</x:f>
        <x:v>575a759a-35f3-4aeb-9953-2b6d059ce4f7</x:v>
      </x:c>
      <x:c r="B1334" s="23" t="str">
        <x:v>GABRIEL AUGUSTO SANTOS BARBOSA SILVA</x:v>
      </x:c>
      <x:c r="C1334" s="23" t="str">
        <x:v>gabriel augusto santos barbosa silva</x:v>
      </x:c>
      <x:c r="D1334" s="22" t="str">
        <x:f>"18.203.288/0001-67"</x:f>
        <x:v>18.203.288/0001-67</x:v>
      </x:c>
      <x:c r="E1334" s="22" t="str">
        <x:f>"18203288000167"</x:f>
        <x:v>18203288000167</x:v>
      </x:c>
      <x:c r="F1334" s="22" t="str">
        <x:f>"108.933.726-41"</x:f>
        <x:v>108.933.726-41</x:v>
      </x:c>
      <x:c r="G1334" s="22" t="str">
        <x:f>"10893372641"</x:f>
        <x:v>10893372641</x:v>
      </x:c>
      <x:c r="H1334" s="23" t="str">
        <x:v>Gabrielgbfps@gmail.com</x:v>
      </x:c>
      <x:c r="I1334" s="22" t="str">
        <x:f>"35 98419-1002"</x:f>
        <x:v>35 98419-1002</x:v>
      </x:c>
      <x:c r="J1334" s="23" t="str">
        <x:v>SPOT</x:v>
      </x:c>
      <x:c r="K1334" s="23" t="str">
        <x:v>favored_only</x:v>
      </x:c>
      <x:c r="L1334" s="24" t="b">
        <x:v>1</x:v>
      </x:c>
      <x:c r="M1334" s="23" t="n">
        <x:v>1</x:v>
      </x:c>
      <x:c r="N1334" s="28" t="n">
        <x:v>46203.9219084375</x:v>
      </x:c>
      <x:c r="O1334" s="28" t="n">
        <x:v>46219.812988715275</x:v>
      </x:c>
      <x:c r="P1334" s="23" t="str">
        <x:v>POCOS DE CALDAS</x:v>
      </x:c>
      <x:c r="Q1334" s="30" t="n">
        <x:v>34286</x:v>
      </x:c>
      <x:c r="R1334" s="22" t="str">
        <x:f>"18368714"</x:f>
        <x:v>18368714</x:v>
      </x:c>
      <x:c r="S1334" s="23" t="str">
        <x:v>masculino</x:v>
      </x:c>
      <x:c r="T1334" s="22" t="str">
        <x:f>"TDV0I19"</x:f>
        <x:v>TDV0I19</x:v>
      </x:c>
      <x:c r="U1334" s="23" t="str">
        <x:v>GABRIEL AUGUSTO SANTOS BARBOSA SILVA</x:v>
      </x:c>
      <x:c r="V1334" s="22" t="str">
        <x:f>"108.933.726-41"</x:f>
        <x:v>108.933.726-41</x:v>
      </x:c>
      <x:c r="W1334" s="22" t="str">
        <x:f>"10893372641"</x:f>
        <x:v>10893372641</x:v>
      </x:c>
      <x:c r="X1334" s="23" t="str">
        <x:v>Gabrielgbfps@gmail.com</x:v>
      </x:c>
      <x:c r="Y1334" s="22" t="str">
        <x:f>"35 98419-1002"</x:f>
        <x:v>35 98419-1002</x:v>
      </x:c>
      <x:c r="Z1334" s="30" t="n">
        <x:v>46395</x:v>
      </x:c>
    </x:row>
    <x:row r="1335" ht="18" customHeight="1">
      <x:c r="A1335" s="22" t="str">
        <x:f>"5be03406-1b0f-4066-9a52-6f19961f5cdb"</x:f>
        <x:v>5be03406-1b0f-4066-9a52-6f19961f5cdb</x:v>
      </x:c>
      <x:c r="B1335" s="23" t="str">
        <x:v>GABRIEL BATISTA DE ORNELAS</x:v>
      </x:c>
      <x:c r="C1335" s="23" t="str">
        <x:v>gabriel batista de ornelas</x:v>
      </x:c>
      <x:c r="D1335" s="22" t="str">
        <x:f>"59.047.185/0001-32"</x:f>
        <x:v>59.047.185/0001-32</x:v>
      </x:c>
      <x:c r="E1335" s="22" t="str">
        <x:f>"59047185000132"</x:f>
        <x:v>59047185000132</x:v>
      </x:c>
      <x:c r="F1335" s="22" t="str">
        <x:f>"190.364.957-92"</x:f>
        <x:v>190.364.957-92</x:v>
      </x:c>
      <x:c r="G1335" s="22" t="str">
        <x:f>"19036495792"</x:f>
        <x:v>19036495792</x:v>
      </x:c>
      <x:c r="H1335" s="23" t="str">
        <x:v>gabrielmercadolivre2200@gmail.com</x:v>
      </x:c>
      <x:c r="I1335" s="22" t="str">
        <x:f>"21992808629"</x:f>
        <x:v>21992808629</x:v>
      </x:c>
      <x:c r="J1335" s="23" t="str">
        <x:v>SPOT</x:v>
      </x:c>
      <x:c r="K1335" s="23" t="str">
        <x:v>favored_only</x:v>
      </x:c>
      <x:c r="L1335" s="24" t="b">
        <x:v>1</x:v>
      </x:c>
      <x:c r="M1335" s="23" t="n">
        <x:v>1</x:v>
      </x:c>
      <x:c r="N1335" s="28" t="n">
        <x:v>46219.812988715275</x:v>
      </x:c>
      <x:c r="O1335" s="28" t="n">
        <x:v>46219.812988715275</x:v>
      </x:c>
      <x:c r="P1335" s="23" t="str">
        <x:v>QUEIMADOS</x:v>
      </x:c>
      <x:c r="Q1335" s="30" t="n">
        <x:v>36614</x:v>
      </x:c>
      <x:c r="R1335" s="22" t="str">
        <x:f>"317134468"</x:f>
        <x:v>317134468</x:v>
      </x:c>
      <x:c r="S1335" s="23" t="str">
        <x:v>masculino</x:v>
      </x:c>
      <x:c r="T1335" s="22" t="str">
        <x:f>"SRU0B97"</x:f>
        <x:v>SRU0B97</x:v>
      </x:c>
      <x:c r="U1335" s="23" t="str">
        <x:v>DANIEL BATISTA DE ORNELAS</x:v>
      </x:c>
      <x:c r="V1335" s="22" t="str">
        <x:f>"149.020.867-43"</x:f>
        <x:v>149.020.867-43</x:v>
      </x:c>
      <x:c r="W1335" s="22" t="str">
        <x:f>"14902086743"</x:f>
        <x:v>14902086743</x:v>
      </x:c>
      <x:c r="X1335" s="23" t="str">
        <x:v>danielornelas660@gmail.com</x:v>
      </x:c>
      <x:c r="Y1335" s="22" t="str">
        <x:f>"21992808629"</x:f>
        <x:v>21992808629</x:v>
      </x:c>
      <x:c r="Z1335" s="30" t="n">
        <x:v>46471</x:v>
      </x:c>
    </x:row>
    <x:row r="1336" ht="18" customHeight="1">
      <x:c r="A1336" s="22" t="str">
        <x:f>"45fc2768-e0bf-4226-a554-b4dd3d8f4336"</x:f>
        <x:v>45fc2768-e0bf-4226-a554-b4dd3d8f4336</x:v>
      </x:c>
      <x:c r="B1336" s="23" t="str">
        <x:v>GABRIEL BRANTES DOS SANTOS</x:v>
      </x:c>
      <x:c r="C1336" s="23" t="str">
        <x:v>gabriel brantes dos santos</x:v>
      </x:c>
      <x:c r="D1336" s="22" t="str">
        <x:f>"32.789.804/0001-08"</x:f>
        <x:v>32.789.804/0001-08</x:v>
      </x:c>
      <x:c r="E1336" s="22" t="str">
        <x:f>"32789804000108"</x:f>
        <x:v>32789804000108</x:v>
      </x:c>
      <x:c r="F1336" s="22" t="str">
        <x:f>"506.471.658-30"</x:f>
        <x:v>506.471.658-30</x:v>
      </x:c>
      <x:c r="G1336" s="22" t="str">
        <x:f>"50647165830"</x:f>
        <x:v>50647165830</x:v>
      </x:c>
      <x:c r="H1336" s="23" t="str">
        <x:v>bielbrantes244@gmail.com</x:v>
      </x:c>
      <x:c r="I1336" s="22" t="str">
        <x:f>"19996003141"</x:f>
        <x:v>19996003141</x:v>
      </x:c>
      <x:c r="J1336" s="23" t="str">
        <x:v>SPOT</x:v>
      </x:c>
      <x:c r="K1336" s="23" t="str">
        <x:v>favored_only</x:v>
      </x:c>
      <x:c r="L1336" s="24" t="b">
        <x:v>1</x:v>
      </x:c>
      <x:c r="M1336" s="23" t="n">
        <x:v>1</x:v>
      </x:c>
      <x:c r="N1336" s="28" t="n">
        <x:v>46219.812988715275</x:v>
      </x:c>
      <x:c r="O1336" s="28" t="n">
        <x:v>46219.812988715275</x:v>
      </x:c>
      <x:c r="P1336" s="23" t="str">
        <x:v>GUAXUPE</x:v>
      </x:c>
      <x:c r="Q1336" s="30" t="n">
        <x:v>37365</x:v>
      </x:c>
      <x:c r="R1336" s="22" t="str">
        <x:f>"572547924"</x:f>
        <x:v>572547924</x:v>
      </x:c>
      <x:c r="S1336" s="23" t="str">
        <x:v>masculino</x:v>
      </x:c>
      <x:c r="T1336" s="22" t="str">
        <x:f>"FUN5680"</x:f>
        <x:v>FUN5680</x:v>
      </x:c>
      <x:c r="U1336" s="23" t="str">
        <x:v>ALEX DUTRA VIEIRA</x:v>
      </x:c>
      <x:c r="V1336" s="22" t="str">
        <x:f>"114.948.956-17"</x:f>
        <x:v>114.948.956-17</x:v>
      </x:c>
      <x:c r="W1336" s="22" t="str">
        <x:f>"11494895617"</x:f>
        <x:v>11494895617</x:v>
      </x:c>
      <x:c r="X1336" s="23" t="str">
        <x:v>ALEXDUTRA166.AD@GMAIL.COM</x:v>
      </x:c>
      <x:c r="Y1336" s="22" t="str">
        <x:f>"35 992761663"</x:f>
        <x:v>35 992761663</x:v>
      </x:c>
      <x:c r="Z1336" s="30" t="n">
        <x:v>46444</x:v>
      </x:c>
    </x:row>
    <x:row r="1337" ht="18" customHeight="1">
      <x:c r="A1337" s="22" t="str">
        <x:f>"785b79a3-ca4d-4964-9c56-934bfb3603dd"</x:f>
        <x:v>785b79a3-ca4d-4964-9c56-934bfb3603dd</x:v>
      </x:c>
      <x:c r="B1337" s="23" t="str">
        <x:v>GABRIEL CAMARA DA SILVA AGUIAR</x:v>
      </x:c>
      <x:c r="C1337" s="23" t="str">
        <x:v>gabriel camara da silva aguiar</x:v>
      </x:c>
      <x:c r="D1337" s="22" t="str">
        <x:f>"47.459.293/0001-33"</x:f>
        <x:v>47.459.293/0001-33</x:v>
      </x:c>
      <x:c r="E1337" s="22" t="str">
        <x:f>"47459293000133"</x:f>
        <x:v>47459293000133</x:v>
      </x:c>
      <x:c r="F1337" s="22" t="str">
        <x:f>"168.695.827-77"</x:f>
        <x:v>168.695.827-77</x:v>
      </x:c>
      <x:c r="G1337" s="22" t="str">
        <x:f>"16869582777"</x:f>
        <x:v>16869582777</x:v>
      </x:c>
      <x:c r="H1337" s="23" t="str">
        <x:v>gabrielaguiar64660@gmail.com</x:v>
      </x:c>
      <x:c r="I1337" s="22" t="str">
        <x:f>"22 999354908"</x:f>
        <x:v>22 999354908</x:v>
      </x:c>
      <x:c r="J1337" s="23" t="str">
        <x:v>SPOT</x:v>
      </x:c>
      <x:c r="K1337" s="23" t="str">
        <x:v>favored_only</x:v>
      </x:c>
      <x:c r="L1337" s="24" t="b">
        <x:v>1</x:v>
      </x:c>
      <x:c r="M1337" s="23" t="n">
        <x:v>1</x:v>
      </x:c>
      <x:c r="N1337" s="28" t="n">
        <x:v>46219.812988715275</x:v>
      </x:c>
      <x:c r="O1337" s="28" t="n">
        <x:v>46219.812988715275</x:v>
      </x:c>
      <x:c r="P1337" s="23" t="str">
        <x:v>CAMPOS DOS GOYTACAZES</x:v>
      </x:c>
      <x:c r="Q1337" s="30" t="n">
        <x:v>42706</x:v>
      </x:c>
      <x:c r="R1337" s="22" t="str">
        <x:f>"243368784"</x:f>
        <x:v>243368784</x:v>
      </x:c>
      <x:c r="S1337" s="23" t="str">
        <x:v>masculino</x:v>
      </x:c>
      <x:c r="T1337" s="22" t="str">
        <x:f>"PVD3E72"</x:f>
        <x:v>PVD3E72</x:v>
      </x:c>
      <x:c r="U1337" s="23" t="str">
        <x:v>SERGIO VIEIRA MONNERAT JUNIOR</x:v>
      </x:c>
      <x:c r="V1337" s="22" t="str">
        <x:f>"100.877.347-61"</x:f>
        <x:v>100.877.347-61</x:v>
      </x:c>
      <x:c r="W1337" s="22" t="str">
        <x:f>"10087734761"</x:f>
        <x:v>10087734761</x:v>
      </x:c>
      <x:c r="X1337" s="23" t="str">
        <x:v>SERGIOV.MONNERATJR@GMAIL.COM</x:v>
      </x:c>
      <x:c r="Y1337" s="22" t="str">
        <x:f>"22 981380350"</x:f>
        <x:v>22 981380350</x:v>
      </x:c>
      <x:c r="Z1337" s="30" t="n">
        <x:v>46403</x:v>
      </x:c>
    </x:row>
    <x:row r="1338" ht="18" customHeight="1">
      <x:c r="A1338" s="22" t="str">
        <x:f>"c5c6b240-6ce3-42cf-8277-bbf7db8a1fd1"</x:f>
        <x:v>c5c6b240-6ce3-42cf-8277-bbf7db8a1fd1</x:v>
      </x:c>
      <x:c r="B1338" s="23" t="str">
        <x:v>GABRIEL CAMARA DA SILVA AGUIAR</x:v>
      </x:c>
      <x:c r="C1338" s="23" t="str">
        <x:v>gabriel camara da silva aguiar</x:v>
      </x:c>
      <x:c r="D1338" s="22" t="str">
        <x:f>"40.244.846/0001-91"</x:f>
        <x:v>40.244.846/0001-91</x:v>
      </x:c>
      <x:c r="E1338" s="22" t="str">
        <x:f>"40244846000191"</x:f>
        <x:v>40244846000191</x:v>
      </x:c>
      <x:c r="F1338" s="22" t="str">
        <x:f>"168.695.827-77"</x:f>
        <x:v>168.695.827-77</x:v>
      </x:c>
      <x:c r="G1338" s="22" t="str">
        <x:f>"16869582777"</x:f>
        <x:v>16869582777</x:v>
      </x:c>
      <x:c r="H1338" s="23" t="str">
        <x:v>gabrielaguiar64660@gmail.com</x:v>
      </x:c>
      <x:c r="I1338" s="22" t="str">
        <x:f>"22 999354908"</x:f>
        <x:v>22 999354908</x:v>
      </x:c>
      <x:c r="J1338" s="23" t="str">
        <x:v>SPOT</x:v>
      </x:c>
      <x:c r="K1338" s="23" t="str">
        <x:v>favored_only</x:v>
      </x:c>
      <x:c r="L1338" s="24" t="b">
        <x:v>1</x:v>
      </x:c>
      <x:c r="M1338" s="23" t="n">
        <x:v>2</x:v>
      </x:c>
      <x:c r="N1338" s="28" t="n">
        <x:v>46205.606694016205</x:v>
      </x:c>
      <x:c r="O1338" s="28" t="n">
        <x:v>46219.812988715275</x:v>
      </x:c>
      <x:c r="P1338" s="23" t="str">
        <x:v>CAMPOS DOS GOYTACAZES</x:v>
      </x:c>
      <x:c r="Q1338" s="30" t="n">
        <x:v>34749</x:v>
      </x:c>
      <x:c r="R1338" s="22" t="str">
        <x:f>"243368784"</x:f>
        <x:v>243368784</x:v>
      </x:c>
      <x:c r="S1338" s="23" t="str">
        <x:v>masculino</x:v>
      </x:c>
      <x:c r="T1338" s="22" t="str">
        <x:f>"PVD3E72"</x:f>
        <x:v>PVD3E72</x:v>
      </x:c>
      <x:c r="U1338" s="23" t="str">
        <x:v>SERGIO PEREIRA VENTURA JUNIOR</x:v>
      </x:c>
      <x:c r="V1338" s="22" t="str">
        <x:f>"162.701.557-46"</x:f>
        <x:v>162.701.557-46</x:v>
      </x:c>
      <x:c r="W1338" s="22" t="str">
        <x:f>"16270155746"</x:f>
        <x:v>16270155746</x:v>
      </x:c>
      <x:c r="X1338" s="23" t="str">
        <x:v>juniorventuratj@gmail.com</x:v>
      </x:c>
      <x:c r="Y1338" s="22" t="str">
        <x:f>"22981640126"</x:f>
        <x:v>22981640126</x:v>
      </x:c>
      <x:c r="Z1338" s="30" t="n">
        <x:v>46497</x:v>
      </x:c>
    </x:row>
    <x:row r="1339" ht="18" customHeight="1">
      <x:c r="A1339" s="22" t="str">
        <x:f>"6d65916c-11ab-49a0-9c10-f159b9334682"</x:f>
        <x:v>6d65916c-11ab-49a0-9c10-f159b9334682</x:v>
      </x:c>
      <x:c r="B1339" s="23" t="str">
        <x:v>GABRIEL CAREZOLLI CAMILO</x:v>
      </x:c>
      <x:c r="C1339" s="23" t="str">
        <x:v>gabriel carezolli camilo</x:v>
      </x:c>
      <x:c r="D1339" s="22" t="str">
        <x:f>"67.758.812/0001-71"</x:f>
        <x:v>67.758.812/0001-71</x:v>
      </x:c>
      <x:c r="E1339" s="22" t="str">
        <x:f>"67758812000171"</x:f>
        <x:v>67758812000171</x:v>
      </x:c>
      <x:c r="F1339" s="22" t="str">
        <x:f>"711.047.261-22"</x:f>
        <x:v>711.047.261-22</x:v>
      </x:c>
      <x:c r="G1339" s="22" t="str">
        <x:f>"71104726122"</x:f>
        <x:v>71104726122</x:v>
      </x:c>
      <x:c r="H1339" s="23" t="str">
        <x:v>bcarezolli@gmail.com</x:v>
      </x:c>
      <x:c r="I1339" s="22" t="str">
        <x:f>"62993246226"</x:f>
        <x:v>62993246226</x:v>
      </x:c>
      <x:c r="J1339" s="23" t="str">
        <x:v>RENTAL</x:v>
      </x:c>
      <x:c r="K1339" s="23" t="str">
        <x:v>rental_company</x:v>
      </x:c>
      <x:c r="L1339" s="24" t="b">
        <x:v>1</x:v>
      </x:c>
      <x:c r="M1339" s="23" t="n">
        <x:v>1</x:v>
      </x:c>
      <x:c r="N1339" s="28" t="n">
        <x:v>46219.812988715275</x:v>
      </x:c>
      <x:c r="O1339" s="28" t="n">
        <x:v>46219.812988715275</x:v>
      </x:c>
      <x:c r="P1339" s="23" t="str">
        <x:v>GOIANIA</x:v>
      </x:c>
      <x:c r="Q1339" s="30" t="n">
        <x:v>38210</x:v>
      </x:c>
      <x:c r="R1339" s="22" t="str">
        <x:f>"7329418"</x:f>
        <x:v>7329418</x:v>
      </x:c>
      <x:c r="S1339" s="23" t="str">
        <x:v>masculino</x:v>
      </x:c>
      <x:c r="T1339" s="22" t="str"/>
      <x:c r="U1339" s="23" t="str">
        <x:v>GABRIEL CAREZOLLI CAMILO</x:v>
      </x:c>
      <x:c r="V1339" s="22" t="str">
        <x:f>"711.047.261-22"</x:f>
        <x:v>711.047.261-22</x:v>
      </x:c>
      <x:c r="W1339" s="22" t="str">
        <x:f>"71104726122"</x:f>
        <x:v>71104726122</x:v>
      </x:c>
      <x:c r="X1339" s="23" t="str">
        <x:v>bcarezolli@gmail.com</x:v>
      </x:c>
      <x:c r="Y1339" s="22" t="str">
        <x:f>"62993246226"</x:f>
        <x:v>62993246226</x:v>
      </x:c>
      <x:c r="Z1339" s="30" t="n">
        <x:v>46569</x:v>
      </x:c>
    </x:row>
    <x:row r="1340" ht="18" customHeight="1">
      <x:c r="A1340" s="22" t="str">
        <x:f>"ff2c89f8-3045-481e-ac39-cc31ffb3f0f8"</x:f>
        <x:v>ff2c89f8-3045-481e-ac39-cc31ffb3f0f8</x:v>
      </x:c>
      <x:c r="B1340" s="23" t="str">
        <x:v>GABRIEL CARVALHO DOS REIS</x:v>
      </x:c>
      <x:c r="C1340" s="23" t="str">
        <x:v>gabriel carvalho dos reis</x:v>
      </x:c>
      <x:c r="D1340" s="22" t="str">
        <x:f>"46.174.855/0001-30"</x:f>
        <x:v>46.174.855/0001-30</x:v>
      </x:c>
      <x:c r="E1340" s="22" t="str">
        <x:f>"46174855000130"</x:f>
        <x:v>46174855000130</x:v>
      </x:c>
      <x:c r="F1340" s="22" t="str">
        <x:f>"582.588.198-01"</x:f>
        <x:v>582.588.198-01</x:v>
      </x:c>
      <x:c r="G1340" s="22" t="str">
        <x:f>"58258819801"</x:f>
        <x:v>58258819801</x:v>
      </x:c>
      <x:c r="H1340" s="23" t="str">
        <x:v>gabrielreis200414@gmail.com</x:v>
      </x:c>
      <x:c r="I1340" s="22" t="str">
        <x:f>"18 93085-5157"</x:f>
        <x:v>18 93085-5157</x:v>
      </x:c>
      <x:c r="J1340" s="23" t="str">
        <x:v>RENTAL</x:v>
      </x:c>
      <x:c r="K1340" s="23" t="str">
        <x:v>rental_company</x:v>
      </x:c>
      <x:c r="L1340" s="24" t="b">
        <x:v>1</x:v>
      </x:c>
      <x:c r="M1340" s="23" t="n">
        <x:v>1</x:v>
      </x:c>
      <x:c r="N1340" s="28" t="n">
        <x:v>46219.812988715275</x:v>
      </x:c>
      <x:c r="O1340" s="28" t="n">
        <x:v>46219.812988715275</x:v>
      </x:c>
      <x:c r="P1340" s="23" t="str">
        <x:v>PRESIDENTE PRUDENTE</x:v>
      </x:c>
      <x:c r="Q1340" s="30" t="n">
        <x:v>38031</x:v>
      </x:c>
      <x:c r="R1340" s="22" t="str">
        <x:f>"59199215"</x:f>
        <x:v>59199215</x:v>
      </x:c>
      <x:c r="S1340" s="23" t="str">
        <x:v>masculino</x:v>
      </x:c>
      <x:c r="T1340" s="22" t="str"/>
      <x:c r="U1340" s="23" t="str">
        <x:v>GABRIEL CARVALHO DOS REIS</x:v>
      </x:c>
      <x:c r="V1340" s="22" t="str">
        <x:f>"582.588.198-01"</x:f>
        <x:v>582.588.198-01</x:v>
      </x:c>
      <x:c r="W1340" s="22" t="str">
        <x:f>"58258819801"</x:f>
        <x:v>58258819801</x:v>
      </x:c>
      <x:c r="X1340" s="23" t="str">
        <x:v>gabrielreis200414@gmail.com</x:v>
      </x:c>
      <x:c r="Y1340" s="22" t="str">
        <x:f>"18 93085-5157"</x:f>
        <x:v>18 93085-5157</x:v>
      </x:c>
      <x:c r="Z1340" s="30" t="n">
        <x:v>46410</x:v>
      </x:c>
    </x:row>
    <x:row r="1341" ht="18" customHeight="1">
      <x:c r="A1341" s="22" t="str">
        <x:f>"7edaa3b3-b80d-47d0-a1d8-55b78320ddbc"</x:f>
        <x:v>7edaa3b3-b80d-47d0-a1d8-55b78320ddbc</x:v>
      </x:c>
      <x:c r="B1341" s="23" t="str">
        <x:v>GABRIEL CLEYTON CARNEIRO DAS NEVES</x:v>
      </x:c>
      <x:c r="C1341" s="23" t="str">
        <x:v>gabriel cleyton carneiro das neves</x:v>
      </x:c>
      <x:c r="D1341" s="22" t="str">
        <x:f>"53.324.274/0001-00"</x:f>
        <x:v>53.324.274/0001-00</x:v>
      </x:c>
      <x:c r="E1341" s="22" t="str">
        <x:f>"53324274000100"</x:f>
        <x:v>53324274000100</x:v>
      </x:c>
      <x:c r="F1341" s="22" t="str">
        <x:f>"066.236.515-19"</x:f>
        <x:v>066.236.515-19</x:v>
      </x:c>
      <x:c r="G1341" s="22" t="str">
        <x:f>"06623651519"</x:f>
        <x:v>06623651519</x:v>
      </x:c>
      <x:c r="H1341" s="23" t="str">
        <x:v>nvscleyton@gmail.com</x:v>
      </x:c>
      <x:c r="I1341" s="22" t="str">
        <x:f>"(11)971750285"</x:f>
        <x:v>(11)971750285</x:v>
      </x:c>
      <x:c r="J1341" s="23" t="str">
        <x:v>RENTAL</x:v>
      </x:c>
      <x:c r="K1341" s="23" t="str">
        <x:v>rental_company</x:v>
      </x:c>
      <x:c r="L1341" s="24" t="b">
        <x:v>1</x:v>
      </x:c>
      <x:c r="M1341" s="23" t="n">
        <x:v>1</x:v>
      </x:c>
      <x:c r="N1341" s="28" t="n">
        <x:v>46219.812988715275</x:v>
      </x:c>
      <x:c r="O1341" s="28" t="n">
        <x:v>46219.812988715275</x:v>
      </x:c>
      <x:c r="P1341" s="23" t="str">
        <x:v>BARUERI</x:v>
      </x:c>
      <x:c r="Q1341" s="30" t="n">
        <x:v>34357</x:v>
      </x:c>
      <x:c r="R1341" s="22" t="str">
        <x:f>"2362171353"</x:f>
        <x:v>2362171353</x:v>
      </x:c>
      <x:c r="S1341" s="23" t="str">
        <x:v>masculino</x:v>
      </x:c>
      <x:c r="T1341" s="22" t="str"/>
      <x:c r="U1341" s="23" t="str">
        <x:v>GABRIEL CLEYTON CARNEIRO DAS NEVES</x:v>
      </x:c>
      <x:c r="V1341" s="22" t="str">
        <x:f>"066.236.515-19"</x:f>
        <x:v>066.236.515-19</x:v>
      </x:c>
      <x:c r="W1341" s="22" t="str">
        <x:f>"06623651519"</x:f>
        <x:v>06623651519</x:v>
      </x:c>
      <x:c r="X1341" s="23" t="str">
        <x:v>nvscleyton@gmail.com</x:v>
      </x:c>
      <x:c r="Y1341" s="22" t="str">
        <x:f>"(11)971750285"</x:f>
        <x:v>(11)971750285</x:v>
      </x:c>
      <x:c r="Z1341" s="30" t="n">
        <x:v>46451</x:v>
      </x:c>
    </x:row>
    <x:row r="1342" ht="18" customHeight="1">
      <x:c r="A1342" s="22" t="str">
        <x:f>"7a92b078-0690-4897-bd8b-9fa592d6dcb7"</x:f>
        <x:v>7a92b078-0690-4897-bd8b-9fa592d6dcb7</x:v>
      </x:c>
      <x:c r="B1342" s="23" t="str">
        <x:v>GABRIEL DE CARES RODRIGUES MARTINS</x:v>
      </x:c>
      <x:c r="C1342" s="23" t="str">
        <x:v>gabriel de cares rodrigues martins</x:v>
      </x:c>
      <x:c r="D1342" s="22" t="str">
        <x:f>"56.064.668/0001-57"</x:f>
        <x:v>56.064.668/0001-57</x:v>
      </x:c>
      <x:c r="E1342" s="22" t="str">
        <x:f>"56064668000157"</x:f>
        <x:v>56064668000157</x:v>
      </x:c>
      <x:c r="F1342" s="22" t="str">
        <x:f>"403.223.108-73"</x:f>
        <x:v>403.223.108-73</x:v>
      </x:c>
      <x:c r="G1342" s="22" t="str">
        <x:f>"40322310873"</x:f>
        <x:v>40322310873</x:v>
      </x:c>
      <x:c r="H1342" s="23" t="str">
        <x:v>gabrielcarescompositor@gmail.com</x:v>
      </x:c>
      <x:c r="I1342" s="22" t="str">
        <x:f>"11 93342-0116"</x:f>
        <x:v>11 93342-0116</x:v>
      </x:c>
      <x:c r="J1342" s="23" t="str">
        <x:v>RENTAL</x:v>
      </x:c>
      <x:c r="K1342" s="23" t="str">
        <x:v>rental_company</x:v>
      </x:c>
      <x:c r="L1342" s="24" t="b">
        <x:v>1</x:v>
      </x:c>
      <x:c r="M1342" s="23" t="n">
        <x:v>2</x:v>
      </x:c>
      <x:c r="N1342" s="28" t="n">
        <x:v>46203.92189349537</x:v>
      </x:c>
      <x:c r="O1342" s="28" t="n">
        <x:v>46219.812988715275</x:v>
      </x:c>
      <x:c r="P1342" s="23" t="str">
        <x:v>PRESIDENTE PRUDENTE</x:v>
      </x:c>
      <x:c r="Q1342" s="30" t="n">
        <x:v>35263</x:v>
      </x:c>
      <x:c r="R1342" s="22" t="str">
        <x:f>"545408180"</x:f>
        <x:v>545408180</x:v>
      </x:c>
      <x:c r="S1342" s="23" t="str">
        <x:v>masculino</x:v>
      </x:c>
      <x:c r="T1342" s="22" t="str"/>
      <x:c r="U1342" s="23" t="str">
        <x:v>GABRIEL DE CARES RODRIGUES MARTINS</x:v>
      </x:c>
      <x:c r="V1342" s="22" t="str">
        <x:f>"403.223.108-73"</x:f>
        <x:v>403.223.108-73</x:v>
      </x:c>
      <x:c r="W1342" s="22" t="str">
        <x:f>"40322310873"</x:f>
        <x:v>40322310873</x:v>
      </x:c>
      <x:c r="X1342" s="23" t="str">
        <x:v>gabrielcarescompositor@gmail.com</x:v>
      </x:c>
      <x:c r="Y1342" s="22" t="str">
        <x:f>"11 93342-0116"</x:f>
        <x:v>11 93342-0116</x:v>
      </x:c>
      <x:c r="Z1342" s="30" t="n">
        <x:v>46343</x:v>
      </x:c>
    </x:row>
    <x:row r="1343" ht="18" customHeight="1">
      <x:c r="A1343" s="22" t="str">
        <x:f>"86f8a334-7171-45f9-8acb-5d5efdafd18b"</x:f>
        <x:v>86f8a334-7171-45f9-8acb-5d5efdafd18b</x:v>
      </x:c>
      <x:c r="B1343" s="23" t="str">
        <x:v>GABRIEL DE FREITAS SILVA</x:v>
      </x:c>
      <x:c r="C1343" s="23" t="str">
        <x:v>gabriel de freitas silva</x:v>
      </x:c>
      <x:c r="D1343" s="22" t="str">
        <x:f>"55.109.817/0001-94"</x:f>
        <x:v>55.109.817/0001-94</x:v>
      </x:c>
      <x:c r="E1343" s="22" t="str">
        <x:f>"55109817000194"</x:f>
        <x:v>55109817000194</x:v>
      </x:c>
      <x:c r="F1343" s="22" t="str">
        <x:f>"064.913.727-23"</x:f>
        <x:v>064.913.727-23</x:v>
      </x:c>
      <x:c r="G1343" s="22" t="str">
        <x:f>"06491372723"</x:f>
        <x:v>06491372723</x:v>
      </x:c>
      <x:c r="H1343" s="23" t="str">
        <x:v>Gabrieldefreitas047@gmail.com</x:v>
      </x:c>
      <x:c r="I1343" s="22" t="str">
        <x:f>"21987264994"</x:f>
        <x:v>21987264994</x:v>
      </x:c>
      <x:c r="J1343" s="23" t="str">
        <x:v>RENTAL</x:v>
      </x:c>
      <x:c r="K1343" s="23" t="str">
        <x:v>rental_company</x:v>
      </x:c>
      <x:c r="L1343" s="24" t="b">
        <x:v>1</x:v>
      </x:c>
      <x:c r="M1343" s="23" t="n">
        <x:v>1</x:v>
      </x:c>
      <x:c r="N1343" s="28" t="n">
        <x:v>46219.812988715275</x:v>
      </x:c>
      <x:c r="O1343" s="28" t="n">
        <x:v>46219.812988715275</x:v>
      </x:c>
      <x:c r="P1343" s="23" t="str">
        <x:v>ITABORAI</x:v>
      </x:c>
      <x:c r="Q1343" s="30" t="n">
        <x:v>38565</x:v>
      </x:c>
      <x:c r="R1343" s="22" t="str">
        <x:f>"25891477"</x:f>
        <x:v>25891477</x:v>
      </x:c>
      <x:c r="S1343" s="23" t="str">
        <x:v>masculino</x:v>
      </x:c>
      <x:c r="T1343" s="22" t="str">
        <x:f>"PVD9E87"</x:f>
        <x:v>PVD9E87</x:v>
      </x:c>
      <x:c r="U1343" s="23" t="str">
        <x:v>GABRIEL DE FREITAS SILVA</x:v>
      </x:c>
      <x:c r="V1343" s="22" t="str">
        <x:f>"064.913.727-23"</x:f>
        <x:v>064.913.727-23</x:v>
      </x:c>
      <x:c r="W1343" s="22" t="str">
        <x:f>"06491372723"</x:f>
        <x:v>06491372723</x:v>
      </x:c>
      <x:c r="X1343" s="23" t="str">
        <x:v>Gabrieldefreitas047@gmail.com</x:v>
      </x:c>
      <x:c r="Y1343" s="22" t="str">
        <x:f>"21987264994"</x:f>
        <x:v>21987264994</x:v>
      </x:c>
      <x:c r="Z1343" s="30" t="n">
        <x:v>46511</x:v>
      </x:c>
    </x:row>
    <x:row r="1344" ht="18" customHeight="1">
      <x:c r="A1344" s="22" t="str">
        <x:f>"0abba663-adf8-422b-a71f-49469929e3f5"</x:f>
        <x:v>0abba663-adf8-422b-a71f-49469929e3f5</x:v>
      </x:c>
      <x:c r="B1344" s="23" t="str">
        <x:v>GABRIEL DE JESUS FIUZA DE AQUINO</x:v>
      </x:c>
      <x:c r="C1344" s="23" t="str">
        <x:v>gabriel de jesus fiuza de aquino</x:v>
      </x:c>
      <x:c r="D1344" s="22" t="str">
        <x:f>"63.153.199/0001-08"</x:f>
        <x:v>63.153.199/0001-08</x:v>
      </x:c>
      <x:c r="E1344" s="22" t="str">
        <x:f>"63153199000108"</x:f>
        <x:v>63153199000108</x:v>
      </x:c>
      <x:c r="F1344" s="22" t="str">
        <x:f>"445.158.588-07"</x:f>
        <x:v>445.158.588-07</x:v>
      </x:c>
      <x:c r="G1344" s="22" t="str">
        <x:f>"44515858807"</x:f>
        <x:v>44515858807</x:v>
      </x:c>
      <x:c r="H1344" s="23" t="str">
        <x:v>fiuzaaquino403@gmail.com</x:v>
      </x:c>
      <x:c r="I1344" s="22" t="str">
        <x:f>"11 91672-1027"</x:f>
        <x:v>11 91672-1027</x:v>
      </x:c>
      <x:c r="J1344" s="23" t="str">
        <x:v>SPOT</x:v>
      </x:c>
      <x:c r="K1344" s="23" t="str">
        <x:v>favored_only</x:v>
      </x:c>
      <x:c r="L1344" s="24" t="b">
        <x:v>1</x:v>
      </x:c>
      <x:c r="M1344" s="23" t="n">
        <x:v>1</x:v>
      </x:c>
      <x:c r="N1344" s="28" t="n">
        <x:v>46219.812988715275</x:v>
      </x:c>
      <x:c r="O1344" s="28" t="n">
        <x:v>46219.812988715275</x:v>
      </x:c>
      <x:c r="P1344" s="23" t="str">
        <x:v>BARUERI</x:v>
      </x:c>
      <x:c r="Q1344" s="30" t="n">
        <x:v>36458</x:v>
      </x:c>
      <x:c r="R1344" s="22" t="str">
        <x:f>"36458"</x:f>
        <x:v>36458</x:v>
      </x:c>
      <x:c r="S1344" s="23" t="str">
        <x:v>masculino</x:v>
      </x:c>
      <x:c r="T1344" s="22" t="str">
        <x:f>"EQF1H14"</x:f>
        <x:v>EQF1H14</x:v>
      </x:c>
      <x:c r="U1344" s="23" t="str">
        <x:v>GABRIEL DE JESUS FIUZA DE AQUINO</x:v>
      </x:c>
      <x:c r="V1344" s="22" t="str">
        <x:f>"445.158.588-07"</x:f>
        <x:v>445.158.588-07</x:v>
      </x:c>
      <x:c r="W1344" s="22" t="str">
        <x:f>"44515858807"</x:f>
        <x:v>44515858807</x:v>
      </x:c>
      <x:c r="X1344" s="23" t="str">
        <x:v>fiuzaaquino403@gmail.com</x:v>
      </x:c>
      <x:c r="Y1344" s="22" t="str">
        <x:f>"11 91672-1027"</x:f>
        <x:v>11 91672-1027</x:v>
      </x:c>
      <x:c r="Z1344" s="30" t="n">
        <x:v>46548</x:v>
      </x:c>
    </x:row>
    <x:row r="1345" ht="18" customHeight="1">
      <x:c r="A1345" s="22" t="str">
        <x:f>"198568ac-ecf0-483c-a42c-85ddf8a9a2fa"</x:f>
        <x:v>198568ac-ecf0-483c-a42c-85ddf8a9a2fa</x:v>
      </x:c>
      <x:c r="B1345" s="23" t="str">
        <x:v>GABRIEL DE OLIVEIRA REIS</x:v>
      </x:c>
      <x:c r="C1345" s="23" t="str">
        <x:v>gabriel de oliveira reis</x:v>
      </x:c>
      <x:c r="D1345" s="22" t="str">
        <x:f>"66.193.847/0001-48"</x:f>
        <x:v>66.193.847/0001-48</x:v>
      </x:c>
      <x:c r="E1345" s="22" t="str">
        <x:f>"66193847000148"</x:f>
        <x:v>66193847000148</x:v>
      </x:c>
      <x:c r="F1345" s="22" t="str">
        <x:f>"467.800.668-00"</x:f>
        <x:v>467.800.668-00</x:v>
      </x:c>
      <x:c r="G1345" s="22" t="str">
        <x:f>"46780066800"</x:f>
        <x:v>46780066800</x:v>
      </x:c>
      <x:c r="H1345" s="23" t="str">
        <x:v>gabrieloreis2001@gmail.com</x:v>
      </x:c>
      <x:c r="I1345" s="22" t="str">
        <x:f>"17 98127-0903"</x:f>
        <x:v>17 98127-0903</x:v>
      </x:c>
      <x:c r="J1345" s="23" t="str">
        <x:v>RENTAL</x:v>
      </x:c>
      <x:c r="K1345" s="23" t="str">
        <x:v>rental_company</x:v>
      </x:c>
      <x:c r="L1345" s="24" t="b">
        <x:v>1</x:v>
      </x:c>
      <x:c r="M1345" s="23" t="n">
        <x:v>1</x:v>
      </x:c>
      <x:c r="N1345" s="28" t="n">
        <x:v>46219.812988715275</x:v>
      </x:c>
      <x:c r="O1345" s="28" t="n">
        <x:v>46219.812988715275</x:v>
      </x:c>
      <x:c r="P1345" s="23" t="str">
        <x:v>BARRETOS</x:v>
      </x:c>
      <x:c r="Q1345" s="30" t="n">
        <x:v>37116</x:v>
      </x:c>
      <x:c r="R1345" s="22" t="str">
        <x:f>"55040618"</x:f>
        <x:v>55040618</x:v>
      </x:c>
      <x:c r="S1345" s="23" t="str">
        <x:v>masculino</x:v>
      </x:c>
      <x:c r="T1345" s="22" t="str"/>
      <x:c r="U1345" s="23" t="str">
        <x:v>GABRIEL DE OLIVEIRA REIS</x:v>
      </x:c>
      <x:c r="V1345" s="22" t="str">
        <x:f>"467.800.668-00"</x:f>
        <x:v>467.800.668-00</x:v>
      </x:c>
      <x:c r="W1345" s="22" t="str">
        <x:f>"46780066800"</x:f>
        <x:v>46780066800</x:v>
      </x:c>
      <x:c r="X1345" s="23" t="str">
        <x:v>gabrieloreis2001@gmail.com</x:v>
      </x:c>
      <x:c r="Y1345" s="22" t="str">
        <x:f>"17 98127-0903"</x:f>
        <x:v>17 98127-0903</x:v>
      </x:c>
      <x:c r="Z1345" s="30" t="n">
        <x:v>46568</x:v>
      </x:c>
    </x:row>
    <x:row r="1346" ht="18" customHeight="1">
      <x:c r="A1346" s="22" t="str">
        <x:f>"ba9a7525-656d-485b-90cb-44274107a717"</x:f>
        <x:v>ba9a7525-656d-485b-90cb-44274107a717</x:v>
      </x:c>
      <x:c r="B1346" s="23" t="str">
        <x:v>GABRIEL DO NASCIMENTO CASARIN</x:v>
      </x:c>
      <x:c r="C1346" s="23" t="str">
        <x:v>gabriel do nascimento casarin</x:v>
      </x:c>
      <x:c r="D1346" s="22" t="str">
        <x:f>"64.811.976/0001-27"</x:f>
        <x:v>64.811.976/0001-27</x:v>
      </x:c>
      <x:c r="E1346" s="22" t="str">
        <x:f>"64811976000127"</x:f>
        <x:v>64811976000127</x:v>
      </x:c>
      <x:c r="F1346" s="22" t="str">
        <x:f>"523.805.108-57"</x:f>
        <x:v>523.805.108-57</x:v>
      </x:c>
      <x:c r="G1346" s="22" t="str">
        <x:f>"52380510857"</x:f>
        <x:v>52380510857</x:v>
      </x:c>
      <x:c r="H1346" s="23" t="str">
        <x:v>gaabriel.casarin29@gmail.com</x:v>
      </x:c>
      <x:c r="I1346" s="22" t="str">
        <x:f>"16997631092"</x:f>
        <x:v>16997631092</x:v>
      </x:c>
      <x:c r="J1346" s="23" t="str">
        <x:v>SPOT</x:v>
      </x:c>
      <x:c r="K1346" s="23" t="str">
        <x:v>favored_only</x:v>
      </x:c>
      <x:c r="L1346" s="24" t="b">
        <x:v>1</x:v>
      </x:c>
      <x:c r="M1346" s="23" t="n">
        <x:v>2</x:v>
      </x:c>
      <x:c r="N1346" s="28" t="n">
        <x:v>46219.812988715275</x:v>
      </x:c>
      <x:c r="O1346" s="28" t="n">
        <x:v>46219.812988715275</x:v>
      </x:c>
      <x:c r="P1346" s="23" t="str">
        <x:v>SÃO CARLOS</x:v>
      </x:c>
      <x:c r="Q1346" s="30" t="n">
        <x:v>36920</x:v>
      </x:c>
      <x:c r="R1346" s="22" t="str">
        <x:f>"569881705"</x:f>
        <x:v>569881705</x:v>
      </x:c>
      <x:c r="S1346" s="23" t="str">
        <x:v>masculino</x:v>
      </x:c>
      <x:c r="T1346" s="22" t="str">
        <x:f>"FWZ3A01"</x:f>
        <x:v>FWZ3A01</x:v>
      </x:c>
      <x:c r="U1346" s="23" t="str">
        <x:v>GABRIEL DO NASCIMENTO CASARIN</x:v>
      </x:c>
      <x:c r="V1346" s="22" t="str">
        <x:f>"523.805.108-57"</x:f>
        <x:v>523.805.108-57</x:v>
      </x:c>
      <x:c r="W1346" s="22" t="str">
        <x:f>"52380510857"</x:f>
        <x:v>52380510857</x:v>
      </x:c>
      <x:c r="X1346" s="23" t="str">
        <x:v>gaabriel.casarin29@gmail.com</x:v>
      </x:c>
      <x:c r="Y1346" s="22" t="str">
        <x:f>"16997631092"</x:f>
        <x:v>16997631092</x:v>
      </x:c>
      <x:c r="Z1346" s="30" t="n">
        <x:v>46425</x:v>
      </x:c>
    </x:row>
    <x:row r="1347" ht="18" customHeight="1">
      <x:c r="A1347" s="22" t="str">
        <x:f>"ef5ce482-8bfd-4505-b3bd-82cf2cf75ad0"</x:f>
        <x:v>ef5ce482-8bfd-4505-b3bd-82cf2cf75ad0</x:v>
      </x:c>
      <x:c r="B1347" s="23" t="str">
        <x:v>GABRIEL DOS SANTOS PORTUGAL</x:v>
      </x:c>
      <x:c r="C1347" s="23" t="str">
        <x:v>gabriel dos santos portugal</x:v>
      </x:c>
      <x:c r="D1347" s="22" t="str">
        <x:f>"39.565.165/0001-46"</x:f>
        <x:v>39.565.165/0001-46</x:v>
      </x:c>
      <x:c r="E1347" s="22" t="str">
        <x:f>"39565165000146"</x:f>
        <x:v>39565165000146</x:v>
      </x:c>
      <x:c r="F1347" s="22" t="str">
        <x:f>"093.586.777-59"</x:f>
        <x:v>093.586.777-59</x:v>
      </x:c>
      <x:c r="G1347" s="22" t="str">
        <x:f>"09358677759"</x:f>
        <x:v>09358677759</x:v>
      </x:c>
      <x:c r="H1347" s="23" t="str">
        <x:v>gsportugal_0406@hotmail.com</x:v>
      </x:c>
      <x:c r="I1347" s="22" t="str">
        <x:f>"2196429-2447"</x:f>
        <x:v>2196429-2447</x:v>
      </x:c>
      <x:c r="J1347" s="23" t="str">
        <x:v>SPOT</x:v>
      </x:c>
      <x:c r="K1347" s="23" t="str">
        <x:v>favored_only</x:v>
      </x:c>
      <x:c r="L1347" s="24" t="b">
        <x:v>1</x:v>
      </x:c>
      <x:c r="M1347" s="23" t="n">
        <x:v>2</x:v>
      </x:c>
      <x:c r="N1347" s="28" t="n">
        <x:v>46203.921887453704</x:v>
      </x:c>
      <x:c r="O1347" s="28" t="n">
        <x:v>46219.812988715275</x:v>
      </x:c>
      <x:c r="P1347" s="23" t="str">
        <x:v>CAMPO GRANDE</x:v>
      </x:c>
      <x:c r="Q1347" s="30" t="n">
        <x:v>29741</x:v>
      </x:c>
      <x:c r="R1347" s="22" t="str">
        <x:f>"124150459"</x:f>
        <x:v>124150459</x:v>
      </x:c>
      <x:c r="S1347" s="23" t="str">
        <x:v>masculino</x:v>
      </x:c>
      <x:c r="T1347" s="22" t="str">
        <x:f>"RIQ9E04"</x:f>
        <x:v>RIQ9E04</x:v>
      </x:c>
      <x:c r="U1347" s="23" t="str">
        <x:v>GABRIEL DOS SANTOS PORTUGAL</x:v>
      </x:c>
      <x:c r="V1347" s="22" t="str">
        <x:f>"093.586.777-59"</x:f>
        <x:v>093.586.777-59</x:v>
      </x:c>
      <x:c r="W1347" s="22" t="str">
        <x:f>"09358677759"</x:f>
        <x:v>09358677759</x:v>
      </x:c>
      <x:c r="X1347" s="23" t="str">
        <x:v>gsportugal_0406@hotmail.com</x:v>
      </x:c>
      <x:c r="Y1347" s="22" t="str">
        <x:f>"2196429-2447"</x:f>
        <x:v>2196429-2447</x:v>
      </x:c>
      <x:c r="Z1347" s="30" t="n">
        <x:v>46574</x:v>
      </x:c>
    </x:row>
    <x:row r="1348" ht="18" customHeight="1">
      <x:c r="A1348" s="22" t="str">
        <x:f>"8b017c38-5284-4ae4-aa31-8031fe193437"</x:f>
        <x:v>8b017c38-5284-4ae4-aa31-8031fe193437</x:v>
      </x:c>
      <x:c r="B1348" s="23" t="str">
        <x:v>GABRIEL FELIPE LEAL FIDELIX</x:v>
      </x:c>
      <x:c r="C1348" s="23" t="str">
        <x:v>gabriel felipe leal fidelix</x:v>
      </x:c>
      <x:c r="D1348" s="22" t="str">
        <x:f>"09.028.164/0001-00"</x:f>
        <x:v>09.028.164/0001-00</x:v>
      </x:c>
      <x:c r="E1348" s="22" t="str">
        <x:f>"09028164000100"</x:f>
        <x:v>09028164000100</x:v>
      </x:c>
      <x:c r="F1348" s="22" t="str">
        <x:f>"441.923.698-18"</x:f>
        <x:v>441.923.698-18</x:v>
      </x:c>
      <x:c r="G1348" s="22" t="str">
        <x:f>"44192369818"</x:f>
        <x:v>44192369818</x:v>
      </x:c>
      <x:c r="H1348" s="23" t="str">
        <x:v>vgfmaqagricola@gmail.com</x:v>
      </x:c>
      <x:c r="I1348" s="22" t="str">
        <x:f>"16997452721"</x:f>
        <x:v>16997452721</x:v>
      </x:c>
      <x:c r="J1348" s="23" t="str">
        <x:v>SP</x:v>
      </x:c>
      <x:c r="K1348" s="23" t="str">
        <x:v>favored_only</x:v>
      </x:c>
      <x:c r="L1348" s="24" t="b">
        <x:v>1</x:v>
      </x:c>
      <x:c r="M1348" s="23" t="n">
        <x:v>1</x:v>
      </x:c>
      <x:c r="N1348" s="28" t="n">
        <x:v>46219.812988715275</x:v>
      </x:c>
      <x:c r="O1348" s="28" t="n">
        <x:v>46219.812988715275</x:v>
      </x:c>
      <x:c r="P1348" s="23" t="str">
        <x:v>SÃO CARLOS</x:v>
      </x:c>
      <x:c r="Q1348" s="30" t="n">
        <x:v>36634</x:v>
      </x:c>
      <x:c r="R1348" s="22" t="str">
        <x:f>"553967745"</x:f>
        <x:v>553967745</x:v>
      </x:c>
      <x:c r="S1348" s="23" t="str">
        <x:v>masculino</x:v>
      </x:c>
      <x:c r="T1348" s="22" t="str"/>
      <x:c r="U1348" s="23" t="str">
        <x:v>GABRIEL FELIPE LEAL FIDELIX</x:v>
      </x:c>
      <x:c r="V1348" s="22" t="str">
        <x:f>"441.923.698-18"</x:f>
        <x:v>441.923.698-18</x:v>
      </x:c>
      <x:c r="W1348" s="22" t="str">
        <x:f>"44192369818"</x:f>
        <x:v>44192369818</x:v>
      </x:c>
      <x:c r="X1348" s="23" t="str">
        <x:v>vgfmaqagricola@gmail.com</x:v>
      </x:c>
      <x:c r="Y1348" s="22" t="str">
        <x:f>"16997452721"</x:f>
        <x:v>16997452721</x:v>
      </x:c>
      <x:c r="Z1348" s="30" t="n">
        <x:v>46407</x:v>
      </x:c>
    </x:row>
    <x:row r="1349" ht="18" customHeight="1">
      <x:c r="A1349" s="22" t="str">
        <x:f>"be57b7de-90f2-4e77-81ea-a16b31ebf126"</x:f>
        <x:v>be57b7de-90f2-4e77-81ea-a16b31ebf126</x:v>
      </x:c>
      <x:c r="B1349" s="23" t="str">
        <x:v>GABRIEL FERNANDES DE ARAUJO</x:v>
      </x:c>
      <x:c r="C1349" s="23" t="str">
        <x:v>gabriel fernandes de araujo</x:v>
      </x:c>
      <x:c r="D1349" s="22" t="str">
        <x:f>"25.989.947/0001-06"</x:f>
        <x:v>25.989.947/0001-06</x:v>
      </x:c>
      <x:c r="E1349" s="22" t="str">
        <x:f>"25989947000106"</x:f>
        <x:v>25989947000106</x:v>
      </x:c>
      <x:c r="F1349" s="22" t="str">
        <x:f>"392.110.268-57"</x:f>
        <x:v>392.110.268-57</x:v>
      </x:c>
      <x:c r="G1349" s="22" t="str">
        <x:f>"39211026857"</x:f>
        <x:v>39211026857</x:v>
      </x:c>
      <x:c r="H1349" s="23" t="str">
        <x:v>Garaujo279@gmail.com</x:v>
      </x:c>
      <x:c r="I1349" s="22" t="str">
        <x:f>"14998601997"</x:f>
        <x:v>14998601997</x:v>
      </x:c>
      <x:c r="J1349" s="23" t="str">
        <x:v>RENTAL</x:v>
      </x:c>
      <x:c r="K1349" s="23" t="str">
        <x:v>rental_company</x:v>
      </x:c>
      <x:c r="L1349" s="24" t="b">
        <x:v>1</x:v>
      </x:c>
      <x:c r="M1349" s="23" t="n">
        <x:v>1</x:v>
      </x:c>
      <x:c r="N1349" s="28" t="n">
        <x:v>46219.812988715275</x:v>
      </x:c>
      <x:c r="O1349" s="28" t="n">
        <x:v>46219.812988715275</x:v>
      </x:c>
      <x:c r="P1349" s="23" t="str">
        <x:v>BAURU</x:v>
      </x:c>
      <x:c r="Q1349" s="30" t="n">
        <x:v>33980</x:v>
      </x:c>
      <x:c r="R1349" s="22" t="str">
        <x:f>"48825368-8"</x:f>
        <x:v>48825368-8</x:v>
      </x:c>
      <x:c r="S1349" s="23" t="str">
        <x:v>masculino</x:v>
      </x:c>
      <x:c r="T1349" s="22" t="str"/>
      <x:c r="U1349" s="23" t="str">
        <x:v>GABRIEL FERNANDES DE ARAUJO</x:v>
      </x:c>
      <x:c r="V1349" s="22" t="str">
        <x:f>"392.110.268-57"</x:f>
        <x:v>392.110.268-57</x:v>
      </x:c>
      <x:c r="W1349" s="22" t="str">
        <x:f>"39211026857"</x:f>
        <x:v>39211026857</x:v>
      </x:c>
      <x:c r="X1349" s="23" t="str">
        <x:v>Garaujo279@gmail.com</x:v>
      </x:c>
      <x:c r="Y1349" s="22" t="str">
        <x:f>"14998601997"</x:f>
        <x:v>14998601997</x:v>
      </x:c>
      <x:c r="Z1349" s="30" t="n">
        <x:v>46512</x:v>
      </x:c>
    </x:row>
    <x:row r="1350" ht="18" customHeight="1">
      <x:c r="A1350" s="22" t="str">
        <x:f>"3b687c81-907f-4c55-983d-8b08fa9f7ea8"</x:f>
        <x:v>3b687c81-907f-4c55-983d-8b08fa9f7ea8</x:v>
      </x:c>
      <x:c r="B1350" s="23" t="str">
        <x:v>GABRIEL FRANCA REIS</x:v>
      </x:c>
      <x:c r="C1350" s="23" t="str">
        <x:v>gabriel franca reis</x:v>
      </x:c>
      <x:c r="D1350" s="22" t="str">
        <x:f>"53.907.824/0001-06"</x:f>
        <x:v>53.907.824/0001-06</x:v>
      </x:c>
      <x:c r="E1350" s="22" t="str">
        <x:f>"53907824000106"</x:f>
        <x:v>53907824000106</x:v>
      </x:c>
      <x:c r="F1350" s="22" t="str">
        <x:f>"137.923.626-60"</x:f>
        <x:v>137.923.626-60</x:v>
      </x:c>
      <x:c r="G1350" s="22" t="str">
        <x:f>"13792362660"</x:f>
        <x:v>13792362660</x:v>
      </x:c>
      <x:c r="H1350" s="23" t="str">
        <x:v>motoristagabrielreis@gmail.com</x:v>
      </x:c>
      <x:c r="I1350" s="22" t="str">
        <x:f>"31973105847"</x:f>
        <x:v>31973105847</x:v>
      </x:c>
      <x:c r="J1350" s="23" t="str">
        <x:v>SPOT</x:v>
      </x:c>
      <x:c r="K1350" s="23" t="str">
        <x:v>favored_only</x:v>
      </x:c>
      <x:c r="L1350" s="24" t="b">
        <x:v>1</x:v>
      </x:c>
      <x:c r="M1350" s="23" t="n">
        <x:v>1</x:v>
      </x:c>
      <x:c r="N1350" s="28" t="n">
        <x:v>46219.812988715275</x:v>
      </x:c>
      <x:c r="O1350" s="28" t="n">
        <x:v>46219.812988715275</x:v>
      </x:c>
      <x:c r="P1350" s="23" t="str">
        <x:v>NOVA LIMA</x:v>
      </x:c>
      <x:c r="Q1350" s="30" t="n">
        <x:v>35574</x:v>
      </x:c>
      <x:c r="R1350" s="22" t="str">
        <x:f>"18200926"</x:f>
        <x:v>18200926</x:v>
      </x:c>
      <x:c r="S1350" s="23" t="str">
        <x:v>masculino</x:v>
      </x:c>
      <x:c r="T1350" s="22" t="str">
        <x:f>"TXG9J76"</x:f>
        <x:v>TXG9J76</x:v>
      </x:c>
      <x:c r="U1350" s="23" t="str">
        <x:v>GABRIEL FRANCA REIS</x:v>
      </x:c>
      <x:c r="V1350" s="22" t="str">
        <x:f>"137.923.626-60"</x:f>
        <x:v>137.923.626-60</x:v>
      </x:c>
      <x:c r="W1350" s="22" t="str">
        <x:f>"13792362660"</x:f>
        <x:v>13792362660</x:v>
      </x:c>
      <x:c r="X1350" s="23" t="str">
        <x:v>motoristagabrielreis@gmail.com</x:v>
      </x:c>
      <x:c r="Y1350" s="22" t="str">
        <x:f>"31973105847"</x:f>
        <x:v>31973105847</x:v>
      </x:c>
      <x:c r="Z1350" s="30" t="n">
        <x:v>46466</x:v>
      </x:c>
    </x:row>
    <x:row r="1351" ht="18" customHeight="1">
      <x:c r="A1351" s="22" t="str">
        <x:f>"7d70e19c-756b-4091-9053-2575f18395e5"</x:f>
        <x:v>7d70e19c-756b-4091-9053-2575f18395e5</x:v>
      </x:c>
      <x:c r="B1351" s="23" t="str">
        <x:v>GABRIEL GODOI SOUZA E SILVA</x:v>
      </x:c>
      <x:c r="C1351" s="23" t="str">
        <x:v>gabriel godoi souza e silva</x:v>
      </x:c>
      <x:c r="D1351" s="22" t="str">
        <x:f>"52.526.960/0001-93"</x:f>
        <x:v>52.526.960/0001-93</x:v>
      </x:c>
      <x:c r="E1351" s="22" t="str">
        <x:f>"52526960000193"</x:f>
        <x:v>52526960000193</x:v>
      </x:c>
      <x:c r="F1351" s="22" t="str">
        <x:f>"465.265.248-85"</x:f>
        <x:v>465.265.248-85</x:v>
      </x:c>
      <x:c r="G1351" s="22" t="str">
        <x:f>"46526524885"</x:f>
        <x:v>46526524885</x:v>
      </x:c>
      <x:c r="H1351" s="23" t="str">
        <x:v>godoibiel25@gmail.com</x:v>
      </x:c>
      <x:c r="I1351" s="22" t="str">
        <x:f>"11952913753"</x:f>
        <x:v>11952913753</x:v>
      </x:c>
      <x:c r="J1351" s="23" t="str">
        <x:v>RENTAL</x:v>
      </x:c>
      <x:c r="K1351" s="23" t="str">
        <x:v>rental_company</x:v>
      </x:c>
      <x:c r="L1351" s="24" t="b">
        <x:v>1</x:v>
      </x:c>
      <x:c r="M1351" s="23" t="n">
        <x:v>1</x:v>
      </x:c>
      <x:c r="N1351" s="28" t="n">
        <x:v>46219.812988715275</x:v>
      </x:c>
      <x:c r="O1351" s="28" t="n">
        <x:v>46219.812988715275</x:v>
      </x:c>
      <x:c r="P1351" s="23" t="str">
        <x:v>BARUERI</x:v>
      </x:c>
      <x:c r="Q1351" s="30" t="n">
        <x:v>37456</x:v>
      </x:c>
      <x:c r="R1351" s="22" t="str">
        <x:f>"570928527"</x:f>
        <x:v>570928527</x:v>
      </x:c>
      <x:c r="S1351" s="23" t="str">
        <x:v>masculino</x:v>
      </x:c>
      <x:c r="T1351" s="22" t="str"/>
      <x:c r="U1351" s="23" t="str">
        <x:v>GABRIEL GODOI SOUZA E SILVA</x:v>
      </x:c>
      <x:c r="V1351" s="22" t="str">
        <x:f>"465.265.248-85"</x:f>
        <x:v>465.265.248-85</x:v>
      </x:c>
      <x:c r="W1351" s="22" t="str">
        <x:f>"46526524885"</x:f>
        <x:v>46526524885</x:v>
      </x:c>
      <x:c r="X1351" s="23" t="str">
        <x:v>godoibiel25@gmail.com</x:v>
      </x:c>
      <x:c r="Y1351" s="22" t="str">
        <x:f>"11952913753"</x:f>
        <x:v>11952913753</x:v>
      </x:c>
      <x:c r="Z1351" s="30" t="n">
        <x:v>46548</x:v>
      </x:c>
    </x:row>
    <x:row r="1352" ht="18" customHeight="1">
      <x:c r="A1352" s="22" t="str">
        <x:f>"5db64539-7d16-47f7-ab31-064ec086eebf"</x:f>
        <x:v>5db64539-7d16-47f7-ab31-064ec086eebf</x:v>
      </x:c>
      <x:c r="B1352" s="23" t="str">
        <x:v>GABRIEL HENRIQUE DE AQUINO MENDES</x:v>
      </x:c>
      <x:c r="C1352" s="23" t="str">
        <x:v>gabriel henrique de aquino mendes</x:v>
      </x:c>
      <x:c r="D1352" s="22" t="str">
        <x:f>"49.829.078/0001-02"</x:f>
        <x:v>49.829.078/0001-02</x:v>
      </x:c>
      <x:c r="E1352" s="22" t="str">
        <x:f>"49829078000102"</x:f>
        <x:v>49829078000102</x:v>
      </x:c>
      <x:c r="F1352" s="22" t="str">
        <x:f>"020.278.506-86"</x:f>
        <x:v>020.278.506-86</x:v>
      </x:c>
      <x:c r="G1352" s="22" t="str">
        <x:f>"02027850686"</x:f>
        <x:v>02027850686</x:v>
      </x:c>
      <x:c r="H1352" s="23" t="str">
        <x:v>gabrielhenriquedeaquinomendes@gmail.com</x:v>
      </x:c>
      <x:c r="I1352" s="22" t="str">
        <x:f>"31986985598"</x:f>
        <x:v>31986985598</x:v>
      </x:c>
      <x:c r="J1352" s="23" t="str">
        <x:v>RENTAL</x:v>
      </x:c>
      <x:c r="K1352" s="23" t="str">
        <x:v>rental_company</x:v>
      </x:c>
      <x:c r="L1352" s="24" t="b">
        <x:v>1</x:v>
      </x:c>
      <x:c r="M1352" s="23" t="n">
        <x:v>1</x:v>
      </x:c>
      <x:c r="N1352" s="28" t="n">
        <x:v>46219.812988715275</x:v>
      </x:c>
      <x:c r="O1352" s="28" t="n">
        <x:v>46219.812988715275</x:v>
      </x:c>
      <x:c r="P1352" s="23" t="str">
        <x:v>CONTAGEM</x:v>
      </x:c>
      <x:c r="Q1352" s="30" t="n">
        <x:v>35794</x:v>
      </x:c>
      <x:c r="R1352" s="22" t="str">
        <x:f>"mg17697668"</x:f>
        <x:v>mg17697668</x:v>
      </x:c>
      <x:c r="S1352" s="23" t="str">
        <x:v>masculino</x:v>
      </x:c>
      <x:c r="T1352" s="22" t="str"/>
      <x:c r="U1352" s="23" t="str">
        <x:v>GABRIEL HENRIQUE DE AQUINO MENDES</x:v>
      </x:c>
      <x:c r="V1352" s="22" t="str">
        <x:f>"020.278.506-86"</x:f>
        <x:v>020.278.506-86</x:v>
      </x:c>
      <x:c r="W1352" s="22" t="str">
        <x:f>"02027850686"</x:f>
        <x:v>02027850686</x:v>
      </x:c>
      <x:c r="X1352" s="23" t="str">
        <x:v>gabrielhenriquedeaquinomendes@gmail.com</x:v>
      </x:c>
      <x:c r="Y1352" s="22" t="str">
        <x:f>"31986985598"</x:f>
        <x:v>31986985598</x:v>
      </x:c>
      <x:c r="Z1352" s="30" t="n">
        <x:v>46465</x:v>
      </x:c>
    </x:row>
    <x:row r="1353" ht="18" customHeight="1">
      <x:c r="A1353" s="22" t="str">
        <x:f>"0f7c5d4e-b789-4ff4-8b82-78a184b8642d"</x:f>
        <x:v>0f7c5d4e-b789-4ff4-8b82-78a184b8642d</x:v>
      </x:c>
      <x:c r="B1353" s="23" t="str">
        <x:v>GABRIEL HENRIQUE DE SOUZA SANTOS</x:v>
      </x:c>
      <x:c r="C1353" s="23" t="str">
        <x:v>gabriel henrique de souza santos</x:v>
      </x:c>
      <x:c r="D1353" s="22" t="str">
        <x:f>"67.667.791/0001-89"</x:f>
        <x:v>67.667.791/0001-89</x:v>
      </x:c>
      <x:c r="E1353" s="22" t="str">
        <x:f>"67667791000189"</x:f>
        <x:v>67667791000189</x:v>
      </x:c>
      <x:c r="F1353" s="22" t="str">
        <x:f>"147.924.456-20"</x:f>
        <x:v>147.924.456-20</x:v>
      </x:c>
      <x:c r="G1353" s="22" t="str">
        <x:f>"14792445620"</x:f>
        <x:v>14792445620</x:v>
      </x:c>
      <x:c r="H1353" s="23" t="str">
        <x:v>Gabrieel.henrique0244@gmail.com</x:v>
      </x:c>
      <x:c r="I1353" s="22" t="str">
        <x:f>"(31)99707-5651"</x:f>
        <x:v>(31)99707-5651</x:v>
      </x:c>
      <x:c r="J1353" s="23" t="str">
        <x:v>RENTAL</x:v>
      </x:c>
      <x:c r="K1353" s="23" t="str">
        <x:v>rental_company</x:v>
      </x:c>
      <x:c r="L1353" s="24" t="b">
        <x:v>1</x:v>
      </x:c>
      <x:c r="M1353" s="23" t="n">
        <x:v>2</x:v>
      </x:c>
      <x:c r="N1353" s="28" t="n">
        <x:v>46219.812988715275</x:v>
      </x:c>
      <x:c r="O1353" s="28" t="n">
        <x:v>46219.812988715275</x:v>
      </x:c>
      <x:c r="P1353" s="23" t="str">
        <x:v>NOVA LIMA</x:v>
      </x:c>
      <x:c r="Q1353" s="30" t="n">
        <x:v>36693</x:v>
      </x:c>
      <x:c r="R1353" s="22" t="str">
        <x:f>"18988264"</x:f>
        <x:v>18988264</x:v>
      </x:c>
      <x:c r="S1353" s="23" t="str">
        <x:v>masculino</x:v>
      </x:c>
      <x:c r="T1353" s="22" t="str"/>
      <x:c r="U1353" s="23" t="str">
        <x:v>GABRIEL HENRIQUE DE SOUZA SANTOS</x:v>
      </x:c>
      <x:c r="V1353" s="22" t="str">
        <x:f>"147.924.456-20"</x:f>
        <x:v>147.924.456-20</x:v>
      </x:c>
      <x:c r="W1353" s="22" t="str">
        <x:f>"14792445620"</x:f>
        <x:v>14792445620</x:v>
      </x:c>
      <x:c r="X1353" s="23" t="str">
        <x:v>Gabrieel.henrique0244@gmail.com</x:v>
      </x:c>
      <x:c r="Y1353" s="22" t="str">
        <x:f>"(31)99707-5651"</x:f>
        <x:v>(31)99707-5651</x:v>
      </x:c>
      <x:c r="Z1353" s="30" t="n">
        <x:v>46564</x:v>
      </x:c>
    </x:row>
    <x:row r="1354" ht="18" customHeight="1">
      <x:c r="A1354" s="22" t="str">
        <x:f>"48f71d7d-9936-4188-89dd-72e0029dfd36"</x:f>
        <x:v>48f71d7d-9936-4188-89dd-72e0029dfd36</x:v>
      </x:c>
      <x:c r="B1354" s="23" t="str">
        <x:v>GABRIEL HENRIQUE PENHA FELIPE</x:v>
      </x:c>
      <x:c r="C1354" s="23" t="str">
        <x:v>gabriel henrique penha felipe</x:v>
      </x:c>
      <x:c r="D1354" s="22" t="str">
        <x:f>"51.914.028/0001-75"</x:f>
        <x:v>51.914.028/0001-75</x:v>
      </x:c>
      <x:c r="E1354" s="22" t="str">
        <x:f>"51914028000175"</x:f>
        <x:v>51914028000175</x:v>
      </x:c>
      <x:c r="F1354" s="22" t="str">
        <x:f>"591.604.868-80"</x:f>
        <x:v>591.604.868-80</x:v>
      </x:c>
      <x:c r="G1354" s="22" t="str">
        <x:f>"59160486880"</x:f>
        <x:v>59160486880</x:v>
      </x:c>
      <x:c r="H1354" s="23" t="str">
        <x:v>gh5582556@gmail.com</x:v>
      </x:c>
      <x:c r="I1354" s="22" t="str">
        <x:f>"17 981277634"</x:f>
        <x:v>17 981277634</x:v>
      </x:c>
      <x:c r="J1354" s="23" t="str">
        <x:v>SPOT</x:v>
      </x:c>
      <x:c r="K1354" s="23" t="str">
        <x:v>favored_only</x:v>
      </x:c>
      <x:c r="L1354" s="24" t="b">
        <x:v>1</x:v>
      </x:c>
      <x:c r="M1354" s="23" t="n">
        <x:v>1</x:v>
      </x:c>
      <x:c r="N1354" s="28" t="n">
        <x:v>46203.92188238426</x:v>
      </x:c>
      <x:c r="O1354" s="28" t="n">
        <x:v>46203.92188238426</x:v>
      </x:c>
      <x:c r="P1354" s="23" t="str"/>
      <x:c r="Q1354" s="30" t="str"/>
      <x:c r="R1354" s="22" t="str"/>
      <x:c r="S1354" s="23" t="str"/>
      <x:c r="T1354" s="22" t="str"/>
      <x:c r="U1354" s="23" t="str">
        <x:v>GABRIEL HENRIQUE PENHA FELIPE</x:v>
      </x:c>
      <x:c r="V1354" s="22" t="str">
        <x:f>"591.604.868-80"</x:f>
        <x:v>591.604.868-80</x:v>
      </x:c>
      <x:c r="W1354" s="22" t="str">
        <x:f>"59160486880"</x:f>
        <x:v>59160486880</x:v>
      </x:c>
      <x:c r="X1354" s="23" t="str">
        <x:v>gh5582556@gmail.com</x:v>
      </x:c>
      <x:c r="Y1354" s="22" t="str">
        <x:f>"17 981277634"</x:f>
        <x:v>17 981277634</x:v>
      </x:c>
      <x:c r="Z1354" s="30" t="str"/>
    </x:row>
    <x:row r="1355" ht="18" customHeight="1">
      <x:c r="A1355" s="22" t="str">
        <x:f>"bf2e2105-5345-4419-a056-a723dc925ce1"</x:f>
        <x:v>bf2e2105-5345-4419-a056-a723dc925ce1</x:v>
      </x:c>
      <x:c r="B1355" s="23" t="str">
        <x:v>GABRIEL JEFERSON MOREIRA</x:v>
      </x:c>
      <x:c r="C1355" s="23" t="str">
        <x:v>gabriel jeferson moreira</x:v>
      </x:c>
      <x:c r="D1355" s="22" t="str">
        <x:f>"59.093.472/0001-89"</x:f>
        <x:v>59.093.472/0001-89</x:v>
      </x:c>
      <x:c r="E1355" s="22" t="str">
        <x:f>"59093472000189"</x:f>
        <x:v>59093472000189</x:v>
      </x:c>
      <x:c r="F1355" s="22" t="str">
        <x:f>"123.620.596-00"</x:f>
        <x:v>123.620.596-00</x:v>
      </x:c>
      <x:c r="G1355" s="22" t="str">
        <x:f>"12362059600"</x:f>
        <x:v>12362059600</x:v>
      </x:c>
      <x:c r="H1355" s="23" t="str">
        <x:v>gabrieljeferson19@gmail.com</x:v>
      </x:c>
      <x:c r="I1355" s="22" t="str">
        <x:f>"31985332097"</x:f>
        <x:v>31985332097</x:v>
      </x:c>
      <x:c r="J1355" s="23" t="str">
        <x:v>SPOT</x:v>
      </x:c>
      <x:c r="K1355" s="23" t="str">
        <x:v>favored_only</x:v>
      </x:c>
      <x:c r="L1355" s="24" t="b">
        <x:v>1</x:v>
      </x:c>
      <x:c r="M1355" s="23" t="n">
        <x:v>1</x:v>
      </x:c>
      <x:c r="N1355" s="28" t="n">
        <x:v>46219.812988715275</x:v>
      </x:c>
      <x:c r="O1355" s="28" t="n">
        <x:v>46219.812988715275</x:v>
      </x:c>
      <x:c r="P1355" s="23" t="str">
        <x:v>CONTAGEM</x:v>
      </x:c>
      <x:c r="Q1355" s="30" t="n">
        <x:v>34443</x:v>
      </x:c>
      <x:c r="R1355" s="22" t="str">
        <x:f>"MG16947981"</x:f>
        <x:v>MG16947981</x:v>
      </x:c>
      <x:c r="S1355" s="23" t="str">
        <x:v>masculino</x:v>
      </x:c>
      <x:c r="T1355" s="22" t="str">
        <x:f>"HJB2D67"</x:f>
        <x:v>HJB2D67</x:v>
      </x:c>
      <x:c r="U1355" s="23" t="str">
        <x:v>GABRIEL JEFERSON MOREIRA</x:v>
      </x:c>
      <x:c r="V1355" s="22" t="str">
        <x:f>"123.620.596-00"</x:f>
        <x:v>123.620.596-00</x:v>
      </x:c>
      <x:c r="W1355" s="22" t="str">
        <x:f>"12362059600"</x:f>
        <x:v>12362059600</x:v>
      </x:c>
      <x:c r="X1355" s="23" t="str">
        <x:v>gabrieljeferson19@gmail.com</x:v>
      </x:c>
      <x:c r="Y1355" s="22" t="str">
        <x:f>"31985332097"</x:f>
        <x:v>31985332097</x:v>
      </x:c>
      <x:c r="Z1355" s="30" t="n">
        <x:v>46450</x:v>
      </x:c>
    </x:row>
    <x:row r="1356" ht="18" customHeight="1">
      <x:c r="A1356" s="22" t="str">
        <x:f>"be56e4a4-1f4c-4616-9930-3056936588a9"</x:f>
        <x:v>be56e4a4-1f4c-4616-9930-3056936588a9</x:v>
      </x:c>
      <x:c r="B1356" s="23" t="str">
        <x:v>GABRIEL JESUS DA SILVA</x:v>
      </x:c>
      <x:c r="C1356" s="23" t="str">
        <x:v>gabriel jesus da silva</x:v>
      </x:c>
      <x:c r="D1356" s="22" t="str">
        <x:f>"62.842.820/0001-88"</x:f>
        <x:v>62.842.820/0001-88</x:v>
      </x:c>
      <x:c r="E1356" s="22" t="str">
        <x:f>"62842820000188"</x:f>
        <x:v>62842820000188</x:v>
      </x:c>
      <x:c r="F1356" s="22" t="str">
        <x:f>"411.887.198-07"</x:f>
        <x:v>411.887.198-07</x:v>
      </x:c>
      <x:c r="G1356" s="22" t="str">
        <x:f>"41188719807"</x:f>
        <x:v>41188719807</x:v>
      </x:c>
      <x:c r="H1356" s="23" t="str">
        <x:v>gabrieljesus032@hotmail.com</x:v>
      </x:c>
      <x:c r="I1356" s="22" t="str">
        <x:f>"(13)99137-1991"</x:f>
        <x:v>(13)99137-1991</x:v>
      </x:c>
      <x:c r="J1356" s="23" t="str">
        <x:v>SPOT</x:v>
      </x:c>
      <x:c r="K1356" s="23" t="str">
        <x:v>favored_only</x:v>
      </x:c>
      <x:c r="L1356" s="24" t="b">
        <x:v>1</x:v>
      </x:c>
      <x:c r="M1356" s="23" t="n">
        <x:v>2</x:v>
      </x:c>
      <x:c r="N1356" s="28" t="n">
        <x:v>46203.92188238426</x:v>
      </x:c>
      <x:c r="O1356" s="28" t="n">
        <x:v>46219.812988715275</x:v>
      </x:c>
      <x:c r="P1356" s="23" t="str">
        <x:v>BARUERI</x:v>
      </x:c>
      <x:c r="Q1356" s="30" t="n">
        <x:v>35572</x:v>
      </x:c>
      <x:c r="R1356" s="22" t="str">
        <x:f>"52069425"</x:f>
        <x:v>52069425</x:v>
      </x:c>
      <x:c r="S1356" s="23" t="str">
        <x:v>masculino</x:v>
      </x:c>
      <x:c r="T1356" s="22" t="str">
        <x:f>"FPF4I94"</x:f>
        <x:v>FPF4I94</x:v>
      </x:c>
      <x:c r="U1356" s="23" t="str">
        <x:v>GABRIEL JESUS DA SILVA</x:v>
      </x:c>
      <x:c r="V1356" s="22" t="str">
        <x:f>"411.887.198-07"</x:f>
        <x:v>411.887.198-07</x:v>
      </x:c>
      <x:c r="W1356" s="22" t="str">
        <x:f>"41188719807"</x:f>
        <x:v>41188719807</x:v>
      </x:c>
      <x:c r="X1356" s="23" t="str">
        <x:v>gabrieljesus032@hotmail.com</x:v>
      </x:c>
      <x:c r="Y1356" s="22" t="str">
        <x:f>"(13)99137-1991"</x:f>
        <x:v>(13)99137-1991</x:v>
      </x:c>
      <x:c r="Z1356" s="30" t="n">
        <x:v>46359</x:v>
      </x:c>
    </x:row>
    <x:row r="1357" ht="18" customHeight="1">
      <x:c r="A1357" s="22" t="str">
        <x:f>"92022954-f6ca-44a0-b364-851958da5511"</x:f>
        <x:v>92022954-f6ca-44a0-b364-851958da5511</x:v>
      </x:c>
      <x:c r="B1357" s="23" t="str">
        <x:v>GABRIEL JHONATAN NETO SILVA</x:v>
      </x:c>
      <x:c r="C1357" s="23" t="str">
        <x:v>gabriel jhonatan neto silva</x:v>
      </x:c>
      <x:c r="D1357" s="22" t="str">
        <x:f>"61530339000194"</x:f>
        <x:v>61530339000194</x:v>
      </x:c>
      <x:c r="E1357" s="22" t="str">
        <x:f>"61530339000194"</x:f>
        <x:v>61530339000194</x:v>
      </x:c>
      <x:c r="F1357" s="22" t="str">
        <x:f>"11582184607"</x:f>
        <x:v>11582184607</x:v>
      </x:c>
      <x:c r="G1357" s="22" t="str">
        <x:f>"11582184607"</x:f>
        <x:v>11582184607</x:v>
      </x:c>
      <x:c r="H1357" s="23" t="str">
        <x:v>gabrieljhonataalc25@outlook.com</x:v>
      </x:c>
      <x:c r="I1357" s="22" t="str">
        <x:f>"31998983413"</x:f>
        <x:v>31998983413</x:v>
      </x:c>
      <x:c r="J1357" s="23" t="str">
        <x:v>SPOT</x:v>
      </x:c>
      <x:c r="K1357" s="23" t="str">
        <x:v>favored_only</x:v>
      </x:c>
      <x:c r="L1357" s="24" t="b">
        <x:v>1</x:v>
      </x:c>
      <x:c r="M1357" s="23" t="n">
        <x:v>3</x:v>
      </x:c>
      <x:c r="N1357" s="28" t="n">
        <x:v>46203.921904421295</x:v>
      </x:c>
      <x:c r="O1357" s="28" t="n">
        <x:v>46219.81489466435</x:v>
      </x:c>
      <x:c r="P1357" s="23" t="str"/>
      <x:c r="Q1357" s="30" t="str"/>
      <x:c r="R1357" s="22" t="str"/>
      <x:c r="S1357" s="23" t="str"/>
      <x:c r="T1357" s="22" t="str"/>
      <x:c r="U1357" s="23" t="str">
        <x:v>GABRIEL JHONATA NETO SILVA</x:v>
      </x:c>
      <x:c r="V1357" s="22" t="str">
        <x:f>"11582184607"</x:f>
        <x:v>11582184607</x:v>
      </x:c>
      <x:c r="W1357" s="22" t="str">
        <x:f>"11582184607"</x:f>
        <x:v>11582184607</x:v>
      </x:c>
      <x:c r="X1357" s="23" t="str">
        <x:v>gabrieljhonata450@gmail.com</x:v>
      </x:c>
      <x:c r="Y1357" s="22" t="str">
        <x:f>"+55 31 8976-7679"</x:f>
        <x:v>+55 31 8976-7679</x:v>
      </x:c>
      <x:c r="Z1357" s="30" t="str"/>
    </x:row>
    <x:row r="1358" ht="18" customHeight="1">
      <x:c r="A1358" s="22" t="str">
        <x:f>"3d8b93b6-ccd7-4129-b914-7bf914af4b5e"</x:f>
        <x:v>3d8b93b6-ccd7-4129-b914-7bf914af4b5e</x:v>
      </x:c>
      <x:c r="B1358" s="23" t="str">
        <x:v>GABRIEL KELVEN NUNES SILVA BRITO</x:v>
      </x:c>
      <x:c r="C1358" s="23" t="str">
        <x:v>gabriel kelven nunes silva brito</x:v>
      </x:c>
      <x:c r="D1358" s="22" t="str">
        <x:f>"50.668.049/0001-95"</x:f>
        <x:v>50.668.049/0001-95</x:v>
      </x:c>
      <x:c r="E1358" s="22" t="str">
        <x:f>"50668049000195"</x:f>
        <x:v>50668049000195</x:v>
      </x:c>
      <x:c r="F1358" s="22" t="str">
        <x:f>"478.745.418-80"</x:f>
        <x:v>478.745.418-80</x:v>
      </x:c>
      <x:c r="G1358" s="22" t="str">
        <x:f>"47874541880"</x:f>
        <x:v>47874541880</x:v>
      </x:c>
      <x:c r="H1358" s="23" t="str">
        <x:v>gabrielkelven@icloud.com</x:v>
      </x:c>
      <x:c r="I1358" s="22" t="str">
        <x:f>"(16)99121-4074"</x:f>
        <x:v>(16)99121-4074</x:v>
      </x:c>
      <x:c r="J1358" s="23" t="str">
        <x:v>RENTAL</x:v>
      </x:c>
      <x:c r="K1358" s="23" t="str">
        <x:v>rental_company</x:v>
      </x:c>
      <x:c r="L1358" s="24" t="b">
        <x:v>1</x:v>
      </x:c>
      <x:c r="M1358" s="23" t="n">
        <x:v>1</x:v>
      </x:c>
      <x:c r="N1358" s="28" t="n">
        <x:v>46219.812988715275</x:v>
      </x:c>
      <x:c r="O1358" s="28" t="n">
        <x:v>46219.812988715275</x:v>
      </x:c>
      <x:c r="P1358" s="23" t="str">
        <x:v>MADEIRA MADEIRA</x:v>
      </x:c>
      <x:c r="Q1358" s="30" t="n">
        <x:v>37769</x:v>
      </x:c>
      <x:c r="R1358" s="22" t="str">
        <x:f>"583203437"</x:f>
        <x:v>583203437</x:v>
      </x:c>
      <x:c r="S1358" s="23" t="str">
        <x:v>masculino</x:v>
      </x:c>
      <x:c r="T1358" s="22" t="str"/>
      <x:c r="U1358" s="23" t="str">
        <x:v>GABRIEL KELVEN NUNES SILVA BRITO</x:v>
      </x:c>
      <x:c r="V1358" s="22" t="str">
        <x:f>"478.745.418-80"</x:f>
        <x:v>478.745.418-80</x:v>
      </x:c>
      <x:c r="W1358" s="22" t="str">
        <x:f>"47874541880"</x:f>
        <x:v>47874541880</x:v>
      </x:c>
      <x:c r="X1358" s="23" t="str">
        <x:v>gabrielkelven@icloud.com</x:v>
      </x:c>
      <x:c r="Y1358" s="22" t="str">
        <x:f>"(16)99121-4074"</x:f>
        <x:v>(16)99121-4074</x:v>
      </x:c>
      <x:c r="Z1358" s="30" t="n">
        <x:v>46512</x:v>
      </x:c>
    </x:row>
    <x:row r="1359" ht="18" customHeight="1">
      <x:c r="A1359" s="22" t="str">
        <x:f>"769ea509-b3b2-492e-8699-bd54f4fe6269"</x:f>
        <x:v>769ea509-b3b2-492e-8699-bd54f4fe6269</x:v>
      </x:c>
      <x:c r="B1359" s="23" t="str">
        <x:v>GABRIEL KRUL GUIMARAES</x:v>
      </x:c>
      <x:c r="C1359" s="23" t="str">
        <x:v>gabriel krul guimaraes</x:v>
      </x:c>
      <x:c r="D1359" s="22" t="str">
        <x:f>"61.782.765/0001-15"</x:f>
        <x:v>61.782.765/0001-15</x:v>
      </x:c>
      <x:c r="E1359" s="22" t="str">
        <x:f>"61782765000115"</x:f>
        <x:v>61782765000115</x:v>
      </x:c>
      <x:c r="F1359" s="22" t="str">
        <x:f>"118.908.666-28"</x:f>
        <x:v>118.908.666-28</x:v>
      </x:c>
      <x:c r="G1359" s="22" t="str">
        <x:f>"11890866628"</x:f>
        <x:v>11890866628</x:v>
      </x:c>
      <x:c r="H1359" s="23" t="str">
        <x:v>gabrielkrulg@yahoo.com.br</x:v>
      </x:c>
      <x:c r="I1359" s="22" t="str">
        <x:f>"33 99133-6298"</x:f>
        <x:v>33 99133-6298</x:v>
      </x:c>
      <x:c r="J1359" s="23" t="str">
        <x:v>SPOT</x:v>
      </x:c>
      <x:c r="K1359" s="23" t="str">
        <x:v>favored_only</x:v>
      </x:c>
      <x:c r="L1359" s="24" t="b">
        <x:v>1</x:v>
      </x:c>
      <x:c r="M1359" s="23" t="n">
        <x:v>1</x:v>
      </x:c>
      <x:c r="N1359" s="28" t="n">
        <x:v>46219.812988715275</x:v>
      </x:c>
      <x:c r="O1359" s="28" t="n">
        <x:v>46219.812988715275</x:v>
      </x:c>
      <x:c r="P1359" s="23" t="str">
        <x:v>TEOFILO OTONI</x:v>
      </x:c>
      <x:c r="Q1359" s="30" t="n">
        <x:v>34576</x:v>
      </x:c>
      <x:c r="R1359" s="22" t="str">
        <x:f>"17428144"</x:f>
        <x:v>17428144</x:v>
      </x:c>
      <x:c r="S1359" s="23" t="str">
        <x:v>masculino</x:v>
      </x:c>
      <x:c r="T1359" s="22" t="str">
        <x:f>"OWV7E33"</x:f>
        <x:v>OWV7E33</x:v>
      </x:c>
      <x:c r="U1359" s="23" t="str">
        <x:v>GABRIEL KRUL GUIMARAES</x:v>
      </x:c>
      <x:c r="V1359" s="22" t="str">
        <x:f>"118.908.666-28"</x:f>
        <x:v>118.908.666-28</x:v>
      </x:c>
      <x:c r="W1359" s="22" t="str">
        <x:f>"11890866628"</x:f>
        <x:v>11890866628</x:v>
      </x:c>
      <x:c r="X1359" s="23" t="str">
        <x:v>gabrielkrulg@yahoo.com.br</x:v>
      </x:c>
      <x:c r="Y1359" s="22" t="str">
        <x:f>"33 99133-6298"</x:f>
        <x:v>33 99133-6298</x:v>
      </x:c>
      <x:c r="Z1359" s="30" t="n">
        <x:v>46534</x:v>
      </x:c>
    </x:row>
    <x:row r="1360" ht="18" customHeight="1">
      <x:c r="A1360" s="22" t="str">
        <x:f>"f0d8be06-08b6-42f5-a9d8-e6f3375f4ac6"</x:f>
        <x:v>f0d8be06-08b6-42f5-a9d8-e6f3375f4ac6</x:v>
      </x:c>
      <x:c r="B1360" s="23" t="str">
        <x:v>GABRIELLA DOS SANTOS OLIVEIRA</x:v>
      </x:c>
      <x:c r="C1360" s="23" t="str">
        <x:v>gabriella dos santos oliveira</x:v>
      </x:c>
      <x:c r="D1360" s="22" t="str">
        <x:f>"58.893.014/0001-61"</x:f>
        <x:v>58.893.014/0001-61</x:v>
      </x:c>
      <x:c r="E1360" s="22" t="str">
        <x:f>"58893014000161"</x:f>
        <x:v>58893014000161</x:v>
      </x:c>
      <x:c r="F1360" s="22" t="str">
        <x:f>"474.410.988-82"</x:f>
        <x:v>474.410.988-82</x:v>
      </x:c>
      <x:c r="G1360" s="22" t="str">
        <x:f>"47441098882"</x:f>
        <x:v>47441098882</x:v>
      </x:c>
      <x:c r="H1360" s="23" t="str">
        <x:v>Gabrielladossantos7782@gmail.com</x:v>
      </x:c>
      <x:c r="I1360" s="22" t="str">
        <x:f>"11949919340"</x:f>
        <x:v>11949919340</x:v>
      </x:c>
      <x:c r="J1360" s="23" t="str">
        <x:v>RENTAL</x:v>
      </x:c>
      <x:c r="K1360" s="23" t="str">
        <x:v>rental_company</x:v>
      </x:c>
      <x:c r="L1360" s="24" t="b">
        <x:v>1</x:v>
      </x:c>
      <x:c r="M1360" s="23" t="n">
        <x:v>1</x:v>
      </x:c>
      <x:c r="N1360" s="28" t="n">
        <x:v>46203.92188238426</x:v>
      </x:c>
      <x:c r="O1360" s="28" t="n">
        <x:v>46219.812988715275</x:v>
      </x:c>
      <x:c r="P1360" s="23" t="str">
        <x:v>PRESIDENTE PRUDENTE</x:v>
      </x:c>
      <x:c r="Q1360" s="30" t="n">
        <x:v>35835</x:v>
      </x:c>
      <x:c r="R1360" s="22" t="str">
        <x:f>"50527887"</x:f>
        <x:v>50527887</x:v>
      </x:c>
      <x:c r="S1360" s="23" t="str">
        <x:v>feminino</x:v>
      </x:c>
      <x:c r="T1360" s="22" t="str"/>
      <x:c r="U1360" s="23" t="str">
        <x:v>GABRIELLA DOS SANTOS OLIVEIRA</x:v>
      </x:c>
      <x:c r="V1360" s="22" t="str">
        <x:f>"474.410.988-82"</x:f>
        <x:v>474.410.988-82</x:v>
      </x:c>
      <x:c r="W1360" s="22" t="str">
        <x:f>"47441098882"</x:f>
        <x:v>47441098882</x:v>
      </x:c>
      <x:c r="X1360" s="23" t="str">
        <x:v>Gabrielladossantos7782@gmail.com</x:v>
      </x:c>
      <x:c r="Y1360" s="22" t="str">
        <x:f>"11949919340"</x:f>
        <x:v>11949919340</x:v>
      </x:c>
      <x:c r="Z1360" s="30" t="n">
        <x:v>46323</x:v>
      </x:c>
    </x:row>
    <x:row r="1361" ht="18" customHeight="1">
      <x:c r="A1361" s="22" t="str">
        <x:f>"054dfe23-e155-4b61-aa71-aa815a45e67c"</x:f>
        <x:v>054dfe23-e155-4b61-aa71-aa815a45e67c</x:v>
      </x:c>
      <x:c r="B1361" s="23" t="str">
        <x:v>GABRIEL LANCUNA RAINER</x:v>
      </x:c>
      <x:c r="C1361" s="23" t="str">
        <x:v>gabriel lancuna rainer</x:v>
      </x:c>
      <x:c r="D1361" s="22" t="str">
        <x:f>"53.745.248/0001-48"</x:f>
        <x:v>53.745.248/0001-48</x:v>
      </x:c>
      <x:c r="E1361" s="22" t="str">
        <x:f>"53745248000148"</x:f>
        <x:v>53745248000148</x:v>
      </x:c>
      <x:c r="F1361" s="22" t="str">
        <x:f>"123.182.536-76"</x:f>
        <x:v>123.182.536-76</x:v>
      </x:c>
      <x:c r="G1361" s="22" t="str">
        <x:f>"12318253676"</x:f>
        <x:v>12318253676</x:v>
      </x:c>
      <x:c r="H1361" s="23" t="str">
        <x:v>Gabriel_rainer@hotmail.com</x:v>
      </x:c>
      <x:c r="I1361" s="22" t="str">
        <x:f>"33988155105"</x:f>
        <x:v>33988155105</x:v>
      </x:c>
      <x:c r="J1361" s="23" t="str">
        <x:v>SPOT</x:v>
      </x:c>
      <x:c r="K1361" s="23" t="str">
        <x:v>favored_only</x:v>
      </x:c>
      <x:c r="L1361" s="24" t="b">
        <x:v>1</x:v>
      </x:c>
      <x:c r="M1361" s="23" t="n">
        <x:v>1</x:v>
      </x:c>
      <x:c r="N1361" s="28" t="n">
        <x:v>46219.812988715275</x:v>
      </x:c>
      <x:c r="O1361" s="28" t="n">
        <x:v>46219.812988715275</x:v>
      </x:c>
      <x:c r="P1361" s="23" t="str">
        <x:v>TEOFILO OTONI</x:v>
      </x:c>
      <x:c r="Q1361" s="30" t="n">
        <x:v>35231</x:v>
      </x:c>
      <x:c r="R1361" s="22" t="str">
        <x:f>"18251889"</x:f>
        <x:v>18251889</x:v>
      </x:c>
      <x:c r="S1361" s="23" t="str">
        <x:v>masculino</x:v>
      </x:c>
      <x:c r="T1361" s="22" t="str">
        <x:f>"OQK6B18"</x:f>
        <x:v>OQK6B18</x:v>
      </x:c>
      <x:c r="U1361" s="23" t="str">
        <x:v>GABRIEL LANCUNA RAINER</x:v>
      </x:c>
      <x:c r="V1361" s="22" t="str">
        <x:f>"123.182.536-76"</x:f>
        <x:v>123.182.536-76</x:v>
      </x:c>
      <x:c r="W1361" s="22" t="str">
        <x:f>"12318253676"</x:f>
        <x:v>12318253676</x:v>
      </x:c>
      <x:c r="X1361" s="23" t="str">
        <x:v>Gabriel_rainer@hotmail.com</x:v>
      </x:c>
      <x:c r="Y1361" s="22" t="str">
        <x:f>"33988155105"</x:f>
        <x:v>33988155105</x:v>
      </x:c>
      <x:c r="Z1361" s="30" t="n">
        <x:v>46555</x:v>
      </x:c>
    </x:row>
    <x:row r="1362" ht="18" customHeight="1">
      <x:c r="A1362" s="22" t="str">
        <x:f>"87c40c0a-45c7-4eb6-8cef-850590833cfe"</x:f>
        <x:v>87c40c0a-45c7-4eb6-8cef-850590833cfe</x:v>
      </x:c>
      <x:c r="B1362" s="23" t="str">
        <x:v>GABRIEL LEITE DOS SANTOS</x:v>
      </x:c>
      <x:c r="C1362" s="23" t="str">
        <x:v>gabriel leite dos santos</x:v>
      </x:c>
      <x:c r="D1362" s="22" t="str">
        <x:f>"61.403.073/0001-19"</x:f>
        <x:v>61.403.073/0001-19</x:v>
      </x:c>
      <x:c r="E1362" s="22" t="str">
        <x:f>"61403073000119"</x:f>
        <x:v>61403073000119</x:v>
      </x:c>
      <x:c r="F1362" s="22" t="str">
        <x:f>"056.856.031-00"</x:f>
        <x:v>056.856.031-00</x:v>
      </x:c>
      <x:c r="G1362" s="22" t="str">
        <x:f>"05685603100"</x:f>
        <x:v>05685603100</x:v>
      </x:c>
      <x:c r="H1362" s="23" t="str">
        <x:v>gabrieleitesantos2019@gmail.com</x:v>
      </x:c>
      <x:c r="I1362" s="22" t="str">
        <x:f>"18997987507"</x:f>
        <x:v>18997987507</x:v>
      </x:c>
      <x:c r="J1362" s="23" t="str">
        <x:v>RENTAL</x:v>
      </x:c>
      <x:c r="K1362" s="23" t="str">
        <x:v>rental_company</x:v>
      </x:c>
      <x:c r="L1362" s="24" t="b">
        <x:v>1</x:v>
      </x:c>
      <x:c r="M1362" s="23" t="n">
        <x:v>1</x:v>
      </x:c>
      <x:c r="N1362" s="28" t="n">
        <x:v>46203.921904421295</x:v>
      </x:c>
      <x:c r="O1362" s="28" t="n">
        <x:v>46219.812988715275</x:v>
      </x:c>
      <x:c r="P1362" s="23" t="str">
        <x:v>PRESIDENTE PRUDENTE</x:v>
      </x:c>
      <x:c r="Q1362" s="30" t="n">
        <x:v>37035</x:v>
      </x:c>
      <x:c r="R1362" s="22" t="str">
        <x:f>"57662239"</x:f>
        <x:v>57662239</x:v>
      </x:c>
      <x:c r="S1362" s="23" t="str">
        <x:v>masculino</x:v>
      </x:c>
      <x:c r="T1362" s="22" t="str"/>
      <x:c r="U1362" s="23" t="str">
        <x:v>GABRIEL LEITE DOS SANTOS</x:v>
      </x:c>
      <x:c r="V1362" s="22" t="str">
        <x:f>"056.856.031-00"</x:f>
        <x:v>056.856.031-00</x:v>
      </x:c>
      <x:c r="W1362" s="22" t="str">
        <x:f>"05685603100"</x:f>
        <x:v>05685603100</x:v>
      </x:c>
      <x:c r="X1362" s="23" t="str">
        <x:v>gabrieleitesantos2019@gmail.com</x:v>
      </x:c>
      <x:c r="Y1362" s="22" t="str">
        <x:f>"18997987507"</x:f>
        <x:v>18997987507</x:v>
      </x:c>
      <x:c r="Z1362" s="30" t="n">
        <x:v>46361</x:v>
      </x:c>
    </x:row>
    <x:row r="1363" ht="18" customHeight="1">
      <x:c r="A1363" s="22" t="str">
        <x:f>"e050962c-9421-4f72-924f-696db024845b"</x:f>
        <x:v>e050962c-9421-4f72-924f-696db024845b</x:v>
      </x:c>
      <x:c r="B1363" s="23" t="str">
        <x:v>GABRIEL LIMA GENARO</x:v>
      </x:c>
      <x:c r="C1363" s="23" t="str">
        <x:v>gabriel lima genaro</x:v>
      </x:c>
      <x:c r="D1363" s="22" t="str">
        <x:f>"66.861.765/0001-24"</x:f>
        <x:v>66.861.765/0001-24</x:v>
      </x:c>
      <x:c r="E1363" s="22" t="str">
        <x:f>"66861765000124"</x:f>
        <x:v>66861765000124</x:v>
      </x:c>
      <x:c r="F1363" s="22" t="str">
        <x:f>"436.423.098-79"</x:f>
        <x:v>436.423.098-79</x:v>
      </x:c>
      <x:c r="G1363" s="22" t="str">
        <x:f>"43642309879"</x:f>
        <x:v>43642309879</x:v>
      </x:c>
      <x:c r="H1363" s="23" t="str">
        <x:v>gbtrabalhoml@gmail.com</x:v>
      </x:c>
      <x:c r="I1363" s="22" t="str">
        <x:f>"14999040202"</x:f>
        <x:v>14999040202</x:v>
      </x:c>
      <x:c r="J1363" s="23" t="str">
        <x:v>SPOT</x:v>
      </x:c>
      <x:c r="K1363" s="23" t="str">
        <x:v>favored_only</x:v>
      </x:c>
      <x:c r="L1363" s="24" t="b">
        <x:v>1</x:v>
      </x:c>
      <x:c r="M1363" s="23" t="n">
        <x:v>1</x:v>
      </x:c>
      <x:c r="N1363" s="28" t="n">
        <x:v>46219.812988715275</x:v>
      </x:c>
      <x:c r="O1363" s="28" t="n">
        <x:v>46219.812988715275</x:v>
      </x:c>
      <x:c r="P1363" s="23" t="str">
        <x:v>BAURU</x:v>
      </x:c>
      <x:c r="Q1363" s="30" t="n">
        <x:v>38973</x:v>
      </x:c>
      <x:c r="R1363" s="22" t="str">
        <x:f>"549946408"</x:f>
        <x:v>549946408</x:v>
      </x:c>
      <x:c r="S1363" s="23" t="str">
        <x:v>masculino</x:v>
      </x:c>
      <x:c r="T1363" s="22" t="str">
        <x:f>"IWK4G21"</x:f>
        <x:v>IWK4G21</x:v>
      </x:c>
      <x:c r="U1363" s="23" t="str">
        <x:v>GABRIEL LIMA GENARO</x:v>
      </x:c>
      <x:c r="V1363" s="22" t="str">
        <x:f>"436.423.098-79"</x:f>
        <x:v>436.423.098-79</x:v>
      </x:c>
      <x:c r="W1363" s="22" t="str">
        <x:f>"43642309879"</x:f>
        <x:v>43642309879</x:v>
      </x:c>
      <x:c r="X1363" s="23" t="str">
        <x:v>gbtrabalhoml@gmail.com</x:v>
      </x:c>
      <x:c r="Y1363" s="22" t="str">
        <x:f>"14999040202"</x:f>
        <x:v>14999040202</x:v>
      </x:c>
      <x:c r="Z1363" s="30" t="n">
        <x:v>46575</x:v>
      </x:c>
    </x:row>
    <x:row r="1364" ht="18" customHeight="1">
      <x:c r="A1364" s="22" t="str">
        <x:f>"503c8e3a-feaf-4db8-a315-fa6036af798f"</x:f>
        <x:v>503c8e3a-feaf-4db8-a315-fa6036af798f</x:v>
      </x:c>
      <x:c r="B1364" s="23" t="str">
        <x:v>GABRIEL MARACCI SIMOES</x:v>
      </x:c>
      <x:c r="C1364" s="23" t="str">
        <x:v>gabriel maracci simoes</x:v>
      </x:c>
      <x:c r="D1364" s="22" t="str">
        <x:f>"36.320.057/0001-15"</x:f>
        <x:v>36.320.057/0001-15</x:v>
      </x:c>
      <x:c r="E1364" s="22" t="str">
        <x:f>"36320057000115"</x:f>
        <x:v>36320057000115</x:v>
      </x:c>
      <x:c r="F1364" s="22" t="str">
        <x:f>"463.809.128-86"</x:f>
        <x:v>463.809.128-86</x:v>
      </x:c>
      <x:c r="G1364" s="22" t="str">
        <x:f>"46380912886"</x:f>
        <x:v>46380912886</x:v>
      </x:c>
      <x:c r="H1364" s="23" t="str">
        <x:v>Gabriel.maracci@outlook.com</x:v>
      </x:c>
      <x:c r="I1364" s="22" t="str">
        <x:f>"18 997312371"</x:f>
        <x:v>18 997312371</x:v>
      </x:c>
      <x:c r="J1364" s="23" t="str">
        <x:v>RENTAL</x:v>
      </x:c>
      <x:c r="K1364" s="23" t="str">
        <x:v>rental_company</x:v>
      </x:c>
      <x:c r="L1364" s="24" t="b">
        <x:v>1</x:v>
      </x:c>
      <x:c r="M1364" s="23" t="n">
        <x:v>1</x:v>
      </x:c>
      <x:c r="N1364" s="28" t="n">
        <x:v>46203.92186888889</x:v>
      </x:c>
      <x:c r="O1364" s="28" t="n">
        <x:v>46219.812988715275</x:v>
      </x:c>
      <x:c r="P1364" s="23" t="str">
        <x:v>PRESIDENTE PRUDENTE</x:v>
      </x:c>
      <x:c r="Q1364" s="30" t="n">
        <x:v>35898</x:v>
      </x:c>
      <x:c r="R1364" s="22" t="str">
        <x:f>"460743521"</x:f>
        <x:v>460743521</x:v>
      </x:c>
      <x:c r="S1364" s="23" t="str">
        <x:v>masculino</x:v>
      </x:c>
      <x:c r="T1364" s="22" t="str"/>
      <x:c r="U1364" s="23" t="str">
        <x:v>GABRIEL MARACCI SIMOES</x:v>
      </x:c>
      <x:c r="V1364" s="22" t="str">
        <x:f>"463.809.128-86"</x:f>
        <x:v>463.809.128-86</x:v>
      </x:c>
      <x:c r="W1364" s="22" t="str">
        <x:f>"46380912886"</x:f>
        <x:v>46380912886</x:v>
      </x:c>
      <x:c r="X1364" s="23" t="str">
        <x:v>Gabriel.maracci@outlook.com</x:v>
      </x:c>
      <x:c r="Y1364" s="22" t="str">
        <x:f>"18 997312371"</x:f>
        <x:v>18 997312371</x:v>
      </x:c>
      <x:c r="Z1364" s="30" t="n">
        <x:v>46295</x:v>
      </x:c>
    </x:row>
    <x:row r="1365" ht="18" customHeight="1">
      <x:c r="A1365" s="22" t="str">
        <x:f>"33154b0b-3ff0-4ec9-96d8-da606a7ec30c"</x:f>
        <x:v>33154b0b-3ff0-4ec9-96d8-da606a7ec30c</x:v>
      </x:c>
      <x:c r="B1365" s="23" t="str">
        <x:v>GABRIEL PALMIERI MESQUITA</x:v>
      </x:c>
      <x:c r="C1365" s="23" t="str">
        <x:v>gabriel palmieri mesquita</x:v>
      </x:c>
      <x:c r="D1365" s="22" t="str">
        <x:f>"65.381.581/0001-02"</x:f>
        <x:v>65.381.581/0001-02</x:v>
      </x:c>
      <x:c r="E1365" s="22" t="str">
        <x:f>"65381581000102"</x:f>
        <x:v>65381581000102</x:v>
      </x:c>
      <x:c r="F1365" s="22" t="str">
        <x:f>"139.793.577-40"</x:f>
        <x:v>139.793.577-40</x:v>
      </x:c>
      <x:c r="G1365" s="22" t="str">
        <x:f>"13979357740"</x:f>
        <x:v>13979357740</x:v>
      </x:c>
      <x:c r="H1365" s="23" t="str">
        <x:v>gabrielpalmieri804@gmail.com</x:v>
      </x:c>
      <x:c r="I1365" s="22" t="str">
        <x:f>"21 96890‑1132"</x:f>
        <x:v>21 96890‑1132</x:v>
      </x:c>
      <x:c r="J1365" s="23" t="str">
        <x:v>SPOT</x:v>
      </x:c>
      <x:c r="K1365" s="23" t="str">
        <x:v>favored_only</x:v>
      </x:c>
      <x:c r="L1365" s="24" t="b">
        <x:v>1</x:v>
      </x:c>
      <x:c r="M1365" s="23" t="n">
        <x:v>1</x:v>
      </x:c>
      <x:c r="N1365" s="28" t="n">
        <x:v>46219.812988715275</x:v>
      </x:c>
      <x:c r="O1365" s="28" t="n">
        <x:v>46219.812988715275</x:v>
      </x:c>
      <x:c r="P1365" s="23" t="str">
        <x:v>ITABORAI</x:v>
      </x:c>
      <x:c r="Q1365" s="30" t="n">
        <x:v>38841</x:v>
      </x:c>
      <x:c r="R1365" s="22" t="str">
        <x:f>"13979357740"</x:f>
        <x:v>13979357740</x:v>
      </x:c>
      <x:c r="S1365" s="23" t="str">
        <x:v>masculino</x:v>
      </x:c>
      <x:c r="T1365" s="22" t="str">
        <x:f>"TUC5B33"</x:f>
        <x:v>TUC5B33</x:v>
      </x:c>
      <x:c r="U1365" s="23" t="str">
        <x:v>GABRIEL PALMIERI MESQUITA</x:v>
      </x:c>
      <x:c r="V1365" s="22" t="str">
        <x:f>"139.793.577-40"</x:f>
        <x:v>139.793.577-40</x:v>
      </x:c>
      <x:c r="W1365" s="22" t="str">
        <x:f>"13979357740"</x:f>
        <x:v>13979357740</x:v>
      </x:c>
      <x:c r="X1365" s="23" t="str">
        <x:v>gabrielpalmieri804@gmail.com</x:v>
      </x:c>
      <x:c r="Y1365" s="22" t="str">
        <x:f>"21 96890‑1132"</x:f>
        <x:v>21 96890‑1132</x:v>
      </x:c>
      <x:c r="Z1365" s="30" t="n">
        <x:v>46256</x:v>
      </x:c>
    </x:row>
    <x:row r="1366" ht="18" customHeight="1">
      <x:c r="A1366" s="22" t="str">
        <x:f>"5c4d799a-192f-48d1-b3aa-317fefccde47"</x:f>
        <x:v>5c4d799a-192f-48d1-b3aa-317fefccde47</x:v>
      </x:c>
      <x:c r="B1366" s="23" t="str">
        <x:v>GABRIEL PALUDETTI ALTON</x:v>
      </x:c>
      <x:c r="C1366" s="23" t="str">
        <x:v>gabriel paludetti alton</x:v>
      </x:c>
      <x:c r="D1366" s="22" t="str">
        <x:f>"64.564.308/0001-42"</x:f>
        <x:v>64.564.308/0001-42</x:v>
      </x:c>
      <x:c r="E1366" s="22" t="str">
        <x:f>"64564308000142"</x:f>
        <x:v>64564308000142</x:v>
      </x:c>
      <x:c r="F1366" s="22" t="str">
        <x:f>"453.667.188-99"</x:f>
        <x:v>453.667.188-99</x:v>
      </x:c>
      <x:c r="G1366" s="22" t="str">
        <x:f>"45366718899"</x:f>
        <x:v>45366718899</x:v>
      </x:c>
      <x:c r="H1366" s="23" t="str">
        <x:v>gabrielalton7@gmail.com</x:v>
      </x:c>
      <x:c r="I1366" s="22" t="str">
        <x:f>"(19) 991480316"</x:f>
        <x:v>(19) 991480316</x:v>
      </x:c>
      <x:c r="J1366" s="23" t="str">
        <x:v>SPOT</x:v>
      </x:c>
      <x:c r="K1366" s="23" t="str">
        <x:v>favored_only</x:v>
      </x:c>
      <x:c r="L1366" s="24" t="b">
        <x:v>1</x:v>
      </x:c>
      <x:c r="M1366" s="23" t="n">
        <x:v>1</x:v>
      </x:c>
      <x:c r="N1366" s="28" t="n">
        <x:v>46219.812988715275</x:v>
      </x:c>
      <x:c r="O1366" s="28" t="n">
        <x:v>46219.812988715275</x:v>
      </x:c>
      <x:c r="P1366" s="23" t="str">
        <x:v>SÃO CARLOS</x:v>
      </x:c>
      <x:c r="Q1366" s="30" t="n">
        <x:v>38719</x:v>
      </x:c>
      <x:c r="R1366" s="22" t="str">
        <x:f>"563884289"</x:f>
        <x:v>563884289</x:v>
      </x:c>
      <x:c r="S1366" s="23" t="str">
        <x:v>masculino</x:v>
      </x:c>
      <x:c r="T1366" s="22" t="str">
        <x:f>"GIG3G26"</x:f>
        <x:v>GIG3G26</x:v>
      </x:c>
      <x:c r="U1366" s="23" t="str">
        <x:v>GABRIEL PALUDETTI ALTON</x:v>
      </x:c>
      <x:c r="V1366" s="22" t="str">
        <x:f>"453.667.188-99"</x:f>
        <x:v>453.667.188-99</x:v>
      </x:c>
      <x:c r="W1366" s="22" t="str">
        <x:f>"45366718899"</x:f>
        <x:v>45366718899</x:v>
      </x:c>
      <x:c r="X1366" s="23" t="str">
        <x:v>gabrielalton7@gmail.com</x:v>
      </x:c>
      <x:c r="Y1366" s="22" t="str">
        <x:f>"(19) 991480316"</x:f>
        <x:v>(19) 991480316</x:v>
      </x:c>
      <x:c r="Z1366" s="30" t="n">
        <x:v>46483</x:v>
      </x:c>
    </x:row>
    <x:row r="1367" ht="18" customHeight="1">
      <x:c r="A1367" s="22" t="str">
        <x:f>"ae3aaad6-d011-42c4-9d32-8e231b841e80"</x:f>
        <x:v>ae3aaad6-d011-42c4-9d32-8e231b841e80</x:v>
      </x:c>
      <x:c r="B1367" s="23" t="str">
        <x:v>GABRIEL PEDRO BEZERRA DOS SANTOS</x:v>
      </x:c>
      <x:c r="C1367" s="23" t="str">
        <x:v>gabriel pedro bezerra dos santos</x:v>
      </x:c>
      <x:c r="D1367" s="22" t="str">
        <x:f>"37.433.313/0001-43"</x:f>
        <x:v>37.433.313/0001-43</x:v>
      </x:c>
      <x:c r="E1367" s="22" t="str">
        <x:f>"37433313000143"</x:f>
        <x:v>37433313000143</x:v>
      </x:c>
      <x:c r="F1367" s="22" t="str">
        <x:f>"164.016.227-50"</x:f>
        <x:v>164.016.227-50</x:v>
      </x:c>
      <x:c r="G1367" s="22" t="str">
        <x:f>"16401622750"</x:f>
        <x:v>16401622750</x:v>
      </x:c>
      <x:c r="H1367" s="23" t="str">
        <x:v>gpedro979@gmail.com</x:v>
      </x:c>
      <x:c r="I1367" s="22" t="str">
        <x:f>"21995012915"</x:f>
        <x:v>21995012915</x:v>
      </x:c>
      <x:c r="J1367" s="23" t="str">
        <x:v>spot</x:v>
      </x:c>
      <x:c r="K1367" s="23" t="str">
        <x:v>favored_only</x:v>
      </x:c>
      <x:c r="L1367" s="24" t="b">
        <x:v>1</x:v>
      </x:c>
      <x:c r="M1367" s="23" t="n">
        <x:v>1</x:v>
      </x:c>
      <x:c r="N1367" s="28" t="n">
        <x:v>46219.812988715275</x:v>
      </x:c>
      <x:c r="O1367" s="28" t="n">
        <x:v>46219.812988715275</x:v>
      </x:c>
      <x:c r="P1367" s="23" t="str">
        <x:v>QUEIMADOS</x:v>
      </x:c>
      <x:c r="Q1367" s="30" t="n">
        <x:v>35010</x:v>
      </x:c>
      <x:c r="R1367" s="22" t="str">
        <x:f>"29201893-4"</x:f>
        <x:v>29201893-4</x:v>
      </x:c>
      <x:c r="S1367" s="23" t="str">
        <x:v>masculino</x:v>
      </x:c>
      <x:c r="T1367" s="22" t="str">
        <x:f>"LPY9G59"</x:f>
        <x:v>LPY9G59</x:v>
      </x:c>
      <x:c r="U1367" s="23" t="str">
        <x:v>GABRIEL PEDRO BEZERRA DOS SANTOS</x:v>
      </x:c>
      <x:c r="V1367" s="22" t="str">
        <x:f>"164.016.227-50"</x:f>
        <x:v>164.016.227-50</x:v>
      </x:c>
      <x:c r="W1367" s="22" t="str">
        <x:f>"16401622750"</x:f>
        <x:v>16401622750</x:v>
      </x:c>
      <x:c r="X1367" s="23" t="str">
        <x:v>gpedro979@gmail.com</x:v>
      </x:c>
      <x:c r="Y1367" s="22" t="str">
        <x:f>"21995012915"</x:f>
        <x:v>21995012915</x:v>
      </x:c>
      <x:c r="Z1367" s="30" t="n">
        <x:v>46518</x:v>
      </x:c>
    </x:row>
    <x:row r="1368" ht="18" customHeight="1">
      <x:c r="A1368" s="22" t="str">
        <x:f>"d2715efe-8a71-46c0-a966-bc5bfb74352f"</x:f>
        <x:v>d2715efe-8a71-46c0-a966-bc5bfb74352f</x:v>
      </x:c>
      <x:c r="B1368" s="23" t="str">
        <x:v>GABRIEL PEDRO FECHE</x:v>
      </x:c>
      <x:c r="C1368" s="23" t="str">
        <x:v>gabriel pedro feche</x:v>
      </x:c>
      <x:c r="D1368" s="22" t="str">
        <x:f>"47.800.820/0001-21"</x:f>
        <x:v>47.800.820/0001-21</x:v>
      </x:c>
      <x:c r="E1368" s="22" t="str">
        <x:f>"47800820000121"</x:f>
        <x:v>47800820000121</x:v>
      </x:c>
      <x:c r="F1368" s="22" t="str">
        <x:f>"363.107.528-00"</x:f>
        <x:v>363.107.528-00</x:v>
      </x:c>
      <x:c r="G1368" s="22" t="str">
        <x:f>"36310752800"</x:f>
        <x:v>36310752800</x:v>
      </x:c>
      <x:c r="H1368" s="23" t="str">
        <x:v>ga.feche@gmail.com</x:v>
      </x:c>
      <x:c r="I1368" s="22" t="str">
        <x:f>"11992308579"</x:f>
        <x:v>11992308579</x:v>
      </x:c>
      <x:c r="J1368" s="23" t="str">
        <x:v>SPOT</x:v>
      </x:c>
      <x:c r="K1368" s="23" t="str">
        <x:v>favored_only</x:v>
      </x:c>
      <x:c r="L1368" s="24" t="b">
        <x:v>1</x:v>
      </x:c>
      <x:c r="M1368" s="23" t="n">
        <x:v>1</x:v>
      </x:c>
      <x:c r="N1368" s="28" t="n">
        <x:v>46203.92188238426</x:v>
      </x:c>
      <x:c r="O1368" s="28" t="n">
        <x:v>46219.812988715275</x:v>
      </x:c>
      <x:c r="P1368" s="23" t="str">
        <x:v>BARUERI</x:v>
      </x:c>
      <x:c r="Q1368" s="30" t="n">
        <x:v>32781</x:v>
      </x:c>
      <x:c r="R1368" s="22" t="str">
        <x:f>"35401167"</x:f>
        <x:v>35401167</x:v>
      </x:c>
      <x:c r="S1368" s="23" t="str">
        <x:v>masculino</x:v>
      </x:c>
      <x:c r="T1368" s="22" t="str">
        <x:f>"EGP1C09"</x:f>
        <x:v>EGP1C09</x:v>
      </x:c>
      <x:c r="U1368" s="23" t="str">
        <x:v>GABRIEL PEDRO FECHE</x:v>
      </x:c>
      <x:c r="V1368" s="22" t="str">
        <x:f>"363.107.528-00"</x:f>
        <x:v>363.107.528-00</x:v>
      </x:c>
      <x:c r="W1368" s="22" t="str">
        <x:f>"36310752800"</x:f>
        <x:v>36310752800</x:v>
      </x:c>
      <x:c r="X1368" s="23" t="str">
        <x:v>ga.feche@gmail.com</x:v>
      </x:c>
      <x:c r="Y1368" s="22" t="str">
        <x:f>"11992308579"</x:f>
        <x:v>11992308579</x:v>
      </x:c>
      <x:c r="Z1368" s="30" t="n">
        <x:v>46323</x:v>
      </x:c>
    </x:row>
    <x:row r="1369" ht="18" customHeight="1">
      <x:c r="A1369" s="22" t="str">
        <x:f>"ca497e43-f272-4293-b227-56322dd2f49c"</x:f>
        <x:v>ca497e43-f272-4293-b227-56322dd2f49c</x:v>
      </x:c>
      <x:c r="B1369" s="23" t="str">
        <x:v>GABRIEL PEIXOTO SANTOS</x:v>
      </x:c>
      <x:c r="C1369" s="23" t="str">
        <x:v>gabriel peixoto santos</x:v>
      </x:c>
      <x:c r="D1369" s="22" t="str">
        <x:f>"67.959.683/0001-80"</x:f>
        <x:v>67.959.683/0001-80</x:v>
      </x:c>
      <x:c r="E1369" s="22" t="str">
        <x:f>"67959683000180"</x:f>
        <x:v>67959683000180</x:v>
      </x:c>
      <x:c r="F1369" s="22" t="str">
        <x:f>"536.177.848-60"</x:f>
        <x:v>536.177.848-60</x:v>
      </x:c>
      <x:c r="G1369" s="22" t="str">
        <x:f>"53617784860"</x:f>
        <x:v>53617784860</x:v>
      </x:c>
      <x:c r="H1369" s="23" t="str">
        <x:v>biel43545@gmail.com</x:v>
      </x:c>
      <x:c r="I1369" s="22" t="str">
        <x:f>"11970144395"</x:f>
        <x:v>11970144395</x:v>
      </x:c>
      <x:c r="J1369" s="23" t="str">
        <x:v>RENTAL</x:v>
      </x:c>
      <x:c r="K1369" s="23" t="str">
        <x:v>rental_company</x:v>
      </x:c>
      <x:c r="L1369" s="24" t="b">
        <x:v>1</x:v>
      </x:c>
      <x:c r="M1369" s="23" t="n">
        <x:v>1</x:v>
      </x:c>
      <x:c r="N1369" s="28" t="n">
        <x:v>46219.812988715275</x:v>
      </x:c>
      <x:c r="O1369" s="28" t="n">
        <x:v>46219.812988715275</x:v>
      </x:c>
      <x:c r="P1369" s="23" t="str">
        <x:v>BARUERI</x:v>
      </x:c>
      <x:c r="Q1369" s="30" t="n">
        <x:v>38305</x:v>
      </x:c>
      <x:c r="R1369" s="22" t="str">
        <x:f>"638743163"</x:f>
        <x:v>638743163</x:v>
      </x:c>
      <x:c r="S1369" s="23" t="str">
        <x:v>masculino</x:v>
      </x:c>
      <x:c r="T1369" s="22" t="str"/>
      <x:c r="U1369" s="23" t="str">
        <x:v>GABRIEL PEIXOTO SANTOS</x:v>
      </x:c>
      <x:c r="V1369" s="22" t="str">
        <x:f>"536.177.848-60"</x:f>
        <x:v>536.177.848-60</x:v>
      </x:c>
      <x:c r="W1369" s="22" t="str">
        <x:f>"53617784860"</x:f>
        <x:v>53617784860</x:v>
      </x:c>
      <x:c r="X1369" s="23" t="str">
        <x:v>biel43545@gmail.com</x:v>
      </x:c>
      <x:c r="Y1369" s="22" t="str">
        <x:f>"11970144395"</x:f>
        <x:v>11970144395</x:v>
      </x:c>
      <x:c r="Z1369" s="30" t="n">
        <x:v>46581</x:v>
      </x:c>
    </x:row>
    <x:row r="1370" ht="18" customHeight="1">
      <x:c r="A1370" s="22" t="str">
        <x:f>"3cc28c91-628b-4405-8a70-9b0acc4ff441"</x:f>
        <x:v>3cc28c91-628b-4405-8a70-9b0acc4ff441</x:v>
      </x:c>
      <x:c r="B1370" s="23" t="str">
        <x:v>GABRIEL PEREIRA DOS SANTOS</x:v>
      </x:c>
      <x:c r="C1370" s="23" t="str">
        <x:v>gabriel pereira dos santos</x:v>
      </x:c>
      <x:c r="D1370" s="22" t="str">
        <x:f>"67.046.311/0001-62"</x:f>
        <x:v>67.046.311/0001-62</x:v>
      </x:c>
      <x:c r="E1370" s="22" t="str">
        <x:f>"67046311000162"</x:f>
        <x:v>67046311000162</x:v>
      </x:c>
      <x:c r="F1370" s="22" t="str">
        <x:f>"165.989.717-30"</x:f>
        <x:v>165.989.717-30</x:v>
      </x:c>
      <x:c r="G1370" s="22" t="str">
        <x:f>"16598971730"</x:f>
        <x:v>16598971730</x:v>
      </x:c>
      <x:c r="H1370" s="23" t="str">
        <x:v>Gabrielst.trance@gmail.com</x:v>
      </x:c>
      <x:c r="I1370" s="22" t="str">
        <x:f>"21985275724"</x:f>
        <x:v>21985275724</x:v>
      </x:c>
      <x:c r="J1370" s="23" t="str">
        <x:v>RENTAL</x:v>
      </x:c>
      <x:c r="K1370" s="23" t="str">
        <x:v>rental_company</x:v>
      </x:c>
      <x:c r="L1370" s="24" t="b">
        <x:v>1</x:v>
      </x:c>
      <x:c r="M1370" s="23" t="n">
        <x:v>1</x:v>
      </x:c>
      <x:c r="N1370" s="28" t="n">
        <x:v>46219.812988715275</x:v>
      </x:c>
      <x:c r="O1370" s="28" t="n">
        <x:v>46219.812988715275</x:v>
      </x:c>
      <x:c r="P1370" s="23" t="str">
        <x:v>QUEIMADOS</x:v>
      </x:c>
      <x:c r="Q1370" s="30" t="n">
        <x:v>35507</x:v>
      </x:c>
      <x:c r="R1370" s="22" t="str">
        <x:f>"294366257"</x:f>
        <x:v>294366257</x:v>
      </x:c>
      <x:c r="S1370" s="23" t="str">
        <x:v>masculino</x:v>
      </x:c>
      <x:c r="T1370" s="22" t="str"/>
      <x:c r="U1370" s="23" t="str">
        <x:v>GABRIEL PEREIRA DOS SANTOS</x:v>
      </x:c>
      <x:c r="V1370" s="22" t="str">
        <x:f>"165.989.717-30"</x:f>
        <x:v>165.989.717-30</x:v>
      </x:c>
      <x:c r="W1370" s="22" t="str">
        <x:f>"16598971730"</x:f>
        <x:v>16598971730</x:v>
      </x:c>
      <x:c r="X1370" s="23" t="str">
        <x:v>Gabrielst.trance@gmail.com</x:v>
      </x:c>
      <x:c r="Y1370" s="22" t="str">
        <x:f>"21985275724"</x:f>
        <x:v>21985275724</x:v>
      </x:c>
      <x:c r="Z1370" s="30" t="n">
        <x:v>46535</x:v>
      </x:c>
    </x:row>
    <x:row r="1371" ht="18" customHeight="1">
      <x:c r="A1371" s="22" t="str">
        <x:f>"684a50cd-011e-413b-ba0b-d94c0512a852"</x:f>
        <x:v>684a50cd-011e-413b-ba0b-d94c0512a852</x:v>
      </x:c>
      <x:c r="B1371" s="23" t="str">
        <x:v>GABRIEL PINTO CRECEMBENE</x:v>
      </x:c>
      <x:c r="C1371" s="23" t="str">
        <x:v>gabriel pinto crecembene</x:v>
      </x:c>
      <x:c r="D1371" s="22" t="str">
        <x:f>"57.706.536/0001-44"</x:f>
        <x:v>57.706.536/0001-44</x:v>
      </x:c>
      <x:c r="E1371" s="22" t="str">
        <x:f>"57706536000144"</x:f>
        <x:v>57706536000144</x:v>
      </x:c>
      <x:c r="F1371" s="22" t="str">
        <x:f>"462.975.248-07"</x:f>
        <x:v>462.975.248-07</x:v>
      </x:c>
      <x:c r="G1371" s="22" t="str">
        <x:f>"46297524807"</x:f>
        <x:v>46297524807</x:v>
      </x:c>
      <x:c r="H1371" s="23" t="str">
        <x:v>gabrielpcrecembene@gmail.com</x:v>
      </x:c>
      <x:c r="I1371" s="22" t="str">
        <x:f>"(16)99388-8094"</x:f>
        <x:v>(16)99388-8094</x:v>
      </x:c>
      <x:c r="J1371" s="23" t="str">
        <x:v>RENTAL</x:v>
      </x:c>
      <x:c r="K1371" s="23" t="str">
        <x:v>rental_company</x:v>
      </x:c>
      <x:c r="L1371" s="24" t="b">
        <x:v>1</x:v>
      </x:c>
      <x:c r="M1371" s="23" t="n">
        <x:v>1</x:v>
      </x:c>
      <x:c r="N1371" s="28" t="n">
        <x:v>46203.92183017361</x:v>
      </x:c>
      <x:c r="O1371" s="28" t="n">
        <x:v>46219.812988715275</x:v>
      </x:c>
      <x:c r="P1371" s="23" t="str">
        <x:v>SÃO CARLOS</x:v>
      </x:c>
      <x:c r="Q1371" s="30" t="n">
        <x:v>35341</x:v>
      </x:c>
      <x:c r="R1371" s="22" t="str">
        <x:f>"499138508"</x:f>
        <x:v>499138508</x:v>
      </x:c>
      <x:c r="S1371" s="23" t="str">
        <x:v>masculino</x:v>
      </x:c>
      <x:c r="T1371" s="22" t="str"/>
      <x:c r="U1371" s="23" t="str">
        <x:v>GABRIEL PINTO CRECEMBENE</x:v>
      </x:c>
      <x:c r="V1371" s="22" t="str">
        <x:f>"462.975.248-07"</x:f>
        <x:v>462.975.248-07</x:v>
      </x:c>
      <x:c r="W1371" s="22" t="str">
        <x:f>"46297524807"</x:f>
        <x:v>46297524807</x:v>
      </x:c>
      <x:c r="X1371" s="23" t="str">
        <x:v>gabrielpcrecembene@gmail.com</x:v>
      </x:c>
      <x:c r="Y1371" s="22" t="str">
        <x:f>"(16)99388-8094"</x:f>
        <x:v>(16)99388-8094</x:v>
      </x:c>
      <x:c r="Z1371" s="30" t="n">
        <x:v>46339</x:v>
      </x:c>
    </x:row>
    <x:row r="1372" ht="18" customHeight="1">
      <x:c r="A1372" s="22" t="str">
        <x:f>"d8af1dec-f706-45e9-8e43-77a336027e17"</x:f>
        <x:v>d8af1dec-f706-45e9-8e43-77a336027e17</x:v>
      </x:c>
      <x:c r="B1372" s="23" t="str">
        <x:v>GABRIEL RODRIGO COELHO BOTELHO</x:v>
      </x:c>
      <x:c r="C1372" s="23" t="str">
        <x:v>gabriel rodrigo coelho botelho</x:v>
      </x:c>
      <x:c r="D1372" s="22" t="str">
        <x:f>"33.267.641/0001-66"</x:f>
        <x:v>33.267.641/0001-66</x:v>
      </x:c>
      <x:c r="E1372" s="22" t="str">
        <x:f>"33267641000166"</x:f>
        <x:v>33267641000166</x:v>
      </x:c>
      <x:c r="F1372" s="22" t="str">
        <x:f>"168.890.697-57"</x:f>
        <x:v>168.890.697-57</x:v>
      </x:c>
      <x:c r="G1372" s="22" t="str">
        <x:f>"16889069757"</x:f>
        <x:v>16889069757</x:v>
      </x:c>
      <x:c r="H1372" s="23" t="str">
        <x:v>gabrielgrcb98@gmail.com</x:v>
      </x:c>
      <x:c r="I1372" s="22" t="str">
        <x:f>"21920089789"</x:f>
        <x:v>21920089789</x:v>
      </x:c>
      <x:c r="J1372" s="23" t="str">
        <x:v>SPOT</x:v>
      </x:c>
      <x:c r="K1372" s="23" t="str">
        <x:v>favored_only</x:v>
      </x:c>
      <x:c r="L1372" s="24" t="b">
        <x:v>1</x:v>
      </x:c>
      <x:c r="M1372" s="23" t="n">
        <x:v>1</x:v>
      </x:c>
      <x:c r="N1372" s="28" t="n">
        <x:v>46219.812988715275</x:v>
      </x:c>
      <x:c r="O1372" s="28" t="n">
        <x:v>46219.812988715275</x:v>
      </x:c>
      <x:c r="P1372" s="23" t="str">
        <x:v>SÃO JOAO DE MERITI</x:v>
      </x:c>
      <x:c r="Q1372" s="30" t="n">
        <x:v>35957</x:v>
      </x:c>
      <x:c r="R1372" s="22" t="str">
        <x:f>"283645349"</x:f>
        <x:v>283645349</x:v>
      </x:c>
      <x:c r="S1372" s="23" t="str">
        <x:v>masculino</x:v>
      </x:c>
      <x:c r="T1372" s="22" t="str">
        <x:f>"KRH9F19"</x:f>
        <x:v>KRH9F19</x:v>
      </x:c>
      <x:c r="U1372" s="23" t="str">
        <x:v>GABRIEL RODRIGO COELHO BOTELHO</x:v>
      </x:c>
      <x:c r="V1372" s="22" t="str">
        <x:f>"168.890.697-57"</x:f>
        <x:v>168.890.697-57</x:v>
      </x:c>
      <x:c r="W1372" s="22" t="str">
        <x:f>"16889069757"</x:f>
        <x:v>16889069757</x:v>
      </x:c>
      <x:c r="X1372" s="23" t="str">
        <x:v>gabrielgrcb98@gmail.com</x:v>
      </x:c>
      <x:c r="Y1372" s="22" t="str">
        <x:f>"21920089789"</x:f>
        <x:v>21920089789</x:v>
      </x:c>
      <x:c r="Z1372" s="30" t="n">
        <x:v>46450</x:v>
      </x:c>
    </x:row>
    <x:row r="1373" ht="18" customHeight="1">
      <x:c r="A1373" s="22" t="str">
        <x:f>"dc615bed-4e28-42c4-a743-3ba7d7d19fe3"</x:f>
        <x:v>dc615bed-4e28-42c4-a743-3ba7d7d19fe3</x:v>
      </x:c>
      <x:c r="B1373" s="23" t="str">
        <x:v>GABRIEL RODRIGO RIBEIRO DA CRUZ</x:v>
      </x:c>
      <x:c r="C1373" s="23" t="str">
        <x:v>gabriel rodrigo ribeiro da cruz</x:v>
      </x:c>
      <x:c r="D1373" s="22" t="str">
        <x:f>"65.168.233/0001-43"</x:f>
        <x:v>65.168.233/0001-43</x:v>
      </x:c>
      <x:c r="E1373" s="22" t="str">
        <x:f>"65168233000143"</x:f>
        <x:v>65168233000143</x:v>
      </x:c>
      <x:c r="F1373" s="22" t="str">
        <x:f>"187.729.027-01"</x:f>
        <x:v>187.729.027-01</x:v>
      </x:c>
      <x:c r="G1373" s="22" t="str">
        <x:f>"18772902701"</x:f>
        <x:v>18772902701</x:v>
      </x:c>
      <x:c r="H1373" s="23" t="str">
        <x:v>ribeirodacruzgabrielrodrigo@gmail.com</x:v>
      </x:c>
      <x:c r="I1373" s="22" t="str">
        <x:f>"21976175541"</x:f>
        <x:v>21976175541</x:v>
      </x:c>
      <x:c r="J1373" s="23" t="str">
        <x:v>SPOT</x:v>
      </x:c>
      <x:c r="K1373" s="23" t="str">
        <x:v>favored_only</x:v>
      </x:c>
      <x:c r="L1373" s="24" t="b">
        <x:v>1</x:v>
      </x:c>
      <x:c r="M1373" s="23" t="n">
        <x:v>1</x:v>
      </x:c>
      <x:c r="N1373" s="28" t="n">
        <x:v>46219.812988715275</x:v>
      </x:c>
      <x:c r="O1373" s="28" t="n">
        <x:v>46219.812988715275</x:v>
      </x:c>
      <x:c r="P1373" s="23" t="str">
        <x:v>QUEIMADOS</x:v>
      </x:c>
      <x:c r="Q1373" s="30" t="n">
        <x:v>36638</x:v>
      </x:c>
      <x:c r="R1373" s="22" t="str">
        <x:f>"0939765S0050"</x:f>
        <x:v>0939765S0050</x:v>
      </x:c>
      <x:c r="S1373" s="23" t="str">
        <x:v>masculino</x:v>
      </x:c>
      <x:c r="T1373" s="22" t="str">
        <x:f>"FUH4I82"</x:f>
        <x:v>FUH4I82</x:v>
      </x:c>
      <x:c r="U1373" s="23" t="str">
        <x:v>GABRIEL RODRIGO RIBEIRO DA CRUZ</x:v>
      </x:c>
      <x:c r="V1373" s="22" t="str">
        <x:f>"187.729.027-01"</x:f>
        <x:v>187.729.027-01</x:v>
      </x:c>
      <x:c r="W1373" s="22" t="str">
        <x:f>"18772902701"</x:f>
        <x:v>18772902701</x:v>
      </x:c>
      <x:c r="X1373" s="23" t="str">
        <x:v>ribeirodacruzgabrielrodrigo@gmail.com</x:v>
      </x:c>
      <x:c r="Y1373" s="22" t="str">
        <x:f>"21976175541"</x:f>
        <x:v>21976175541</x:v>
      </x:c>
      <x:c r="Z1373" s="30" t="n">
        <x:v>46471</x:v>
      </x:c>
    </x:row>
    <x:row r="1374" ht="18" customHeight="1">
      <x:c r="A1374" s="22" t="str">
        <x:f>"17249cd2-427d-4623-9312-244c13acf547"</x:f>
        <x:v>17249cd2-427d-4623-9312-244c13acf547</x:v>
      </x:c>
      <x:c r="B1374" s="23" t="str">
        <x:v>GABRIEL SALDANHA DOS SANTOS</x:v>
      </x:c>
      <x:c r="C1374" s="23" t="str">
        <x:v>gabriel saldanha dos santos</x:v>
      </x:c>
      <x:c r="D1374" s="22" t="str">
        <x:f>"58.856.274/0001-67"</x:f>
        <x:v>58.856.274/0001-67</x:v>
      </x:c>
      <x:c r="E1374" s="22" t="str">
        <x:f>"58856274000167"</x:f>
        <x:v>58856274000167</x:v>
      </x:c>
      <x:c r="F1374" s="22" t="str">
        <x:f>"019.967.046-30"</x:f>
        <x:v>019.967.046-30</x:v>
      </x:c>
      <x:c r="G1374" s="22" t="str">
        <x:f>"01996704630"</x:f>
        <x:v>01996704630</x:v>
      </x:c>
      <x:c r="H1374" s="23" t="str">
        <x:v>gabrielsaldanhadossantos@gmail.com</x:v>
      </x:c>
      <x:c r="I1374" s="22" t="str">
        <x:f>"(33) 99732-9360"</x:f>
        <x:v>(33) 99732-9360</x:v>
      </x:c>
      <x:c r="J1374" s="23" t="str">
        <x:v>SPOT</x:v>
      </x:c>
      <x:c r="K1374" s="23" t="str">
        <x:v>favored_only</x:v>
      </x:c>
      <x:c r="L1374" s="24" t="b">
        <x:v>1</x:v>
      </x:c>
      <x:c r="M1374" s="23" t="n">
        <x:v>1</x:v>
      </x:c>
      <x:c r="N1374" s="28" t="n">
        <x:v>46205.60677895833</x:v>
      </x:c>
      <x:c r="O1374" s="28" t="n">
        <x:v>46219.812988715275</x:v>
      </x:c>
      <x:c r="P1374" s="23" t="str">
        <x:v>TEOFILO OTONI</x:v>
      </x:c>
      <x:c r="Q1374" s="30" t="n">
        <x:v>35717</x:v>
      </x:c>
      <x:c r="R1374" s="22" t="str">
        <x:f>"19926615"</x:f>
        <x:v>19926615</x:v>
      </x:c>
      <x:c r="S1374" s="23" t="str">
        <x:v>masculino</x:v>
      </x:c>
      <x:c r="T1374" s="22" t="str">
        <x:f>"OQX4601"</x:f>
        <x:v>OQX4601</x:v>
      </x:c>
      <x:c r="U1374" s="23" t="str">
        <x:v>JEAN WARLEY SANTOS</x:v>
      </x:c>
      <x:c r="V1374" s="22" t="str">
        <x:f>"047.550.046-67"</x:f>
        <x:v>047.550.046-67</x:v>
      </x:c>
      <x:c r="W1374" s="22" t="str">
        <x:f>"04755004667"</x:f>
        <x:v>04755004667</x:v>
      </x:c>
      <x:c r="X1374" s="23" t="str">
        <x:v>jeanwarley460@gmail.com</x:v>
      </x:c>
      <x:c r="Y1374" s="22" t="str">
        <x:f>"(33) 99939-2747"</x:f>
        <x:v>(33) 99939-2747</x:v>
      </x:c>
      <x:c r="Z1374" s="30" t="n">
        <x:v>46374</x:v>
      </x:c>
    </x:row>
    <x:row r="1375" ht="18" customHeight="1">
      <x:c r="A1375" s="22" t="str">
        <x:f>"d8d7a560-e16e-4ab6-9a5c-817e99f265b2"</x:f>
        <x:v>d8d7a560-e16e-4ab6-9a5c-817e99f265b2</x:v>
      </x:c>
      <x:c r="B1375" s="23" t="str">
        <x:v>GABRIEL SILVA CHAMONE</x:v>
      </x:c>
      <x:c r="C1375" s="23" t="str">
        <x:v>gabriel silva chamone</x:v>
      </x:c>
      <x:c r="D1375" s="22" t="str">
        <x:f>"61.252.023/0001-88"</x:f>
        <x:v>61.252.023/0001-88</x:v>
      </x:c>
      <x:c r="E1375" s="22" t="str">
        <x:f>"61252023000188"</x:f>
        <x:v>61252023000188</x:v>
      </x:c>
      <x:c r="F1375" s="22" t="str">
        <x:f>"155.513.786-59"</x:f>
        <x:v>155.513.786-59</x:v>
      </x:c>
      <x:c r="G1375" s="22" t="str">
        <x:f>"15551378659"</x:f>
        <x:v>15551378659</x:v>
      </x:c>
      <x:c r="H1375" s="23" t="str">
        <x:v>gabrielchamone@icloud.com</x:v>
      </x:c>
      <x:c r="I1375" s="22" t="str">
        <x:f>"(31)97235 6792"</x:f>
        <x:v>(31)97235 6792</x:v>
      </x:c>
      <x:c r="J1375" s="23" t="str">
        <x:v>SPOT</x:v>
      </x:c>
      <x:c r="K1375" s="23" t="str">
        <x:v>favored_only</x:v>
      </x:c>
      <x:c r="L1375" s="24" t="b">
        <x:v>1</x:v>
      </x:c>
      <x:c r="M1375" s="23" t="n">
        <x:v>1</x:v>
      </x:c>
      <x:c r="N1375" s="28" t="n">
        <x:v>46219.812988715275</x:v>
      </x:c>
      <x:c r="O1375" s="28" t="n">
        <x:v>46219.812988715275</x:v>
      </x:c>
      <x:c r="P1375" s="23" t="str">
        <x:v>VESPASIANO</x:v>
      </x:c>
      <x:c r="Q1375" s="30" t="n">
        <x:v>38224</x:v>
      </x:c>
      <x:c r="R1375" s="22" t="str">
        <x:f>"RG: MG- 19 007 378"</x:f>
        <x:v>RG: MG- 19 007 378</x:v>
      </x:c>
      <x:c r="S1375" s="23" t="str">
        <x:v>masculino</x:v>
      </x:c>
      <x:c r="T1375" s="22" t="str">
        <x:f>"RFJ5D34"</x:f>
        <x:v>RFJ5D34</x:v>
      </x:c>
      <x:c r="U1375" s="23" t="str">
        <x:v>GABRIEL SILVA CHAMONE</x:v>
      </x:c>
      <x:c r="V1375" s="22" t="str">
        <x:f>"155.513.786-59"</x:f>
        <x:v>155.513.786-59</x:v>
      </x:c>
      <x:c r="W1375" s="22" t="str">
        <x:f>"15551378659"</x:f>
        <x:v>15551378659</x:v>
      </x:c>
      <x:c r="X1375" s="23" t="str">
        <x:v>gabrielchamone@icloud.com</x:v>
      </x:c>
      <x:c r="Y1375" s="22" t="str">
        <x:f>"(31)97235 6792"</x:f>
        <x:v>(31)97235 6792</x:v>
      </x:c>
      <x:c r="Z1375" s="30" t="n">
        <x:v>46416</x:v>
      </x:c>
    </x:row>
    <x:row r="1376" ht="18" customHeight="1">
      <x:c r="A1376" s="22" t="str">
        <x:f>"169df33c-4f58-404a-8d72-b66c500ee65d"</x:f>
        <x:v>169df33c-4f58-404a-8d72-b66c500ee65d</x:v>
      </x:c>
      <x:c r="B1376" s="23" t="str">
        <x:v>GABRIEL SILVA DE AMORIM</x:v>
      </x:c>
      <x:c r="C1376" s="23" t="str">
        <x:v>gabriel silva de amorim</x:v>
      </x:c>
      <x:c r="D1376" s="22" t="str">
        <x:f>"61.970.504/0001-29"</x:f>
        <x:v>61.970.504/0001-29</x:v>
      </x:c>
      <x:c r="E1376" s="22" t="str">
        <x:f>"61970504000129"</x:f>
        <x:v>61970504000129</x:v>
      </x:c>
      <x:c r="F1376" s="22" t="str">
        <x:f>"105.609.896-10"</x:f>
        <x:v>105.609.896-10</x:v>
      </x:c>
      <x:c r="G1376" s="22" t="str">
        <x:f>"10560989610"</x:f>
        <x:v>10560989610</x:v>
      </x:c>
      <x:c r="H1376" s="23" t="str">
        <x:v>adamantiunsamorim@gmail.com</x:v>
      </x:c>
      <x:c r="I1376" s="22" t="str">
        <x:f>"31983548685"</x:f>
        <x:v>31983548685</x:v>
      </x:c>
      <x:c r="J1376" s="23" t="str">
        <x:v>SPOT</x:v>
      </x:c>
      <x:c r="K1376" s="23" t="str">
        <x:v>favored_only</x:v>
      </x:c>
      <x:c r="L1376" s="24" t="b">
        <x:v>1</x:v>
      </x:c>
      <x:c r="M1376" s="23" t="n">
        <x:v>2</x:v>
      </x:c>
      <x:c r="N1376" s="28" t="n">
        <x:v>46203.921852962965</x:v>
      </x:c>
      <x:c r="O1376" s="28" t="n">
        <x:v>46219.812988715275</x:v>
      </x:c>
      <x:c r="P1376" s="23" t="str">
        <x:v>CONCEIÇÃO DO MATO DENTRO</x:v>
      </x:c>
      <x:c r="Q1376" s="30" t="n">
        <x:v>38650</x:v>
      </x:c>
      <x:c r="R1376" s="22" t="str">
        <x:f>"MG-17077322"</x:f>
        <x:v>MG-17077322</x:v>
      </x:c>
      <x:c r="S1376" s="23" t="str">
        <x:v>masculino</x:v>
      </x:c>
      <x:c r="T1376" s="22" t="str">
        <x:f>"QWW9E98"</x:f>
        <x:v>QWW9E98</x:v>
      </x:c>
      <x:c r="U1376" s="23" t="str">
        <x:v>GABRIEL SILVA DE AMORIM</x:v>
      </x:c>
      <x:c r="V1376" s="22" t="str">
        <x:f>"105.609.896-10"</x:f>
        <x:v>105.609.896-10</x:v>
      </x:c>
      <x:c r="W1376" s="22" t="str">
        <x:f>"10560989610"</x:f>
        <x:v>10560989610</x:v>
      </x:c>
      <x:c r="X1376" s="23" t="str">
        <x:v>adamantiunsamorim@gmail.com</x:v>
      </x:c>
      <x:c r="Y1376" s="22" t="str">
        <x:f>"31983548685"</x:f>
        <x:v>31983548685</x:v>
      </x:c>
      <x:c r="Z1376" s="30" t="n">
        <x:v>46269</x:v>
      </x:c>
    </x:row>
    <x:row r="1377" ht="18" customHeight="1">
      <x:c r="A1377" s="22" t="str">
        <x:f>"db0b63c9-3309-4ea2-846f-00e41c24fac6"</x:f>
        <x:v>db0b63c9-3309-4ea2-846f-00e41c24fac6</x:v>
      </x:c>
      <x:c r="B1377" s="23" t="str">
        <x:v>GABRIEL SILVA DE OLIVEIRA</x:v>
      </x:c>
      <x:c r="C1377" s="23" t="str">
        <x:v>gabriel silva de oliveira</x:v>
      </x:c>
      <x:c r="D1377" s="22" t="str">
        <x:f>"66.433.219/0001-92"</x:f>
        <x:v>66.433.219/0001-92</x:v>
      </x:c>
      <x:c r="E1377" s="22" t="str">
        <x:f>"66433219000192"</x:f>
        <x:v>66433219000192</x:v>
      </x:c>
      <x:c r="F1377" s="22" t="str">
        <x:f>"133.391.396-60"</x:f>
        <x:v>133.391.396-60</x:v>
      </x:c>
      <x:c r="G1377" s="22" t="str">
        <x:f>"13339139660"</x:f>
        <x:v>13339139660</x:v>
      </x:c>
      <x:c r="H1377" s="23" t="str">
        <x:v>Gabrielcapreta@gmail.com</x:v>
      </x:c>
      <x:c r="I1377" s="22" t="str">
        <x:f>"31 99316-3572"</x:f>
        <x:v>31 99316-3572</x:v>
      </x:c>
      <x:c r="J1377" s="23" t="str">
        <x:v>SPOT</x:v>
      </x:c>
      <x:c r="K1377" s="23" t="str">
        <x:v>favored_only</x:v>
      </x:c>
      <x:c r="L1377" s="24" t="b">
        <x:v>1</x:v>
      </x:c>
      <x:c r="M1377" s="23" t="n">
        <x:v>3</x:v>
      </x:c>
      <x:c r="N1377" s="28" t="n">
        <x:v>46219.812988715275</x:v>
      </x:c>
      <x:c r="O1377" s="28" t="n">
        <x:v>46219.812988715275</x:v>
      </x:c>
      <x:c r="P1377" s="23" t="str">
        <x:v>VESPASIANO</x:v>
      </x:c>
      <x:c r="Q1377" s="30" t="n">
        <x:v>36014</x:v>
      </x:c>
      <x:c r="R1377" s="22" t="str">
        <x:f>"19618277"</x:f>
        <x:v>19618277</x:v>
      </x:c>
      <x:c r="S1377" s="23" t="str">
        <x:v>masculino</x:v>
      </x:c>
      <x:c r="T1377" s="22" t="str">
        <x:f>"TZQ8E20"</x:f>
        <x:v>TZQ8E20</x:v>
      </x:c>
      <x:c r="U1377" s="23" t="str">
        <x:v>GABRIEL SILVA DE OLIVEIRA</x:v>
      </x:c>
      <x:c r="V1377" s="22" t="str">
        <x:f>"133.391.396-60"</x:f>
        <x:v>133.391.396-60</x:v>
      </x:c>
      <x:c r="W1377" s="22" t="str">
        <x:f>"13339139660"</x:f>
        <x:v>13339139660</x:v>
      </x:c>
      <x:c r="X1377" s="23" t="str">
        <x:v>Gabrielcapreta@gmail.com</x:v>
      </x:c>
      <x:c r="Y1377" s="22" t="str">
        <x:f>"31 99316-3572"</x:f>
        <x:v>31 99316-3572</x:v>
      </x:c>
      <x:c r="Z1377" s="30" t="n">
        <x:v>46541</x:v>
      </x:c>
    </x:row>
    <x:row r="1378" ht="18" customHeight="1">
      <x:c r="A1378" s="22" t="str">
        <x:f>"b32aba42-6b5b-42e1-86c1-d654e3f4a0bb"</x:f>
        <x:v>b32aba42-6b5b-42e1-86c1-d654e3f4a0bb</x:v>
      </x:c>
      <x:c r="B1378" s="23" t="str">
        <x:v>GABRIEL SILVA MONTEIRO</x:v>
      </x:c>
      <x:c r="C1378" s="23" t="str">
        <x:v>gabriel silva monteiro</x:v>
      </x:c>
      <x:c r="D1378" s="22" t="str">
        <x:f>"61.164.020/0001-92"</x:f>
        <x:v>61.164.020/0001-92</x:v>
      </x:c>
      <x:c r="E1378" s="22" t="str">
        <x:f>"61164020000192"</x:f>
        <x:v>61164020000192</x:v>
      </x:c>
      <x:c r="F1378" s="22" t="str">
        <x:f>"214.098.987-25"</x:f>
        <x:v>214.098.987-25</x:v>
      </x:c>
      <x:c r="G1378" s="22" t="str">
        <x:f>"21409898725"</x:f>
        <x:v>21409898725</x:v>
      </x:c>
      <x:c r="H1378" s="23" t="str">
        <x:v>gabrielsilvamonteiro91@gmail.com</x:v>
      </x:c>
      <x:c r="I1378" s="22" t="str">
        <x:f>"21973733854"</x:f>
        <x:v>21973733854</x:v>
      </x:c>
      <x:c r="J1378" s="23" t="str">
        <x:v>SPOT</x:v>
      </x:c>
      <x:c r="K1378" s="23" t="str">
        <x:v>favored_only</x:v>
      </x:c>
      <x:c r="L1378" s="24" t="b">
        <x:v>1</x:v>
      </x:c>
      <x:c r="M1378" s="23" t="n">
        <x:v>1</x:v>
      </x:c>
      <x:c r="N1378" s="28" t="n">
        <x:v>46219.812988715275</x:v>
      </x:c>
      <x:c r="O1378" s="28" t="n">
        <x:v>46219.812988715275</x:v>
      </x:c>
      <x:c r="P1378" s="23" t="str">
        <x:v>QUEIMADOS</x:v>
      </x:c>
      <x:c r="Q1378" s="30" t="n">
        <x:v>39208</x:v>
      </x:c>
      <x:c r="R1378" s="22" t="str">
        <x:f>"21409898725"</x:f>
        <x:v>21409898725</x:v>
      </x:c>
      <x:c r="S1378" s="23" t="str">
        <x:v>masculino</x:v>
      </x:c>
      <x:c r="T1378" s="22" t="str">
        <x:f>"LUQ8H06"</x:f>
        <x:v>LUQ8H06</x:v>
      </x:c>
      <x:c r="U1378" s="23" t="str">
        <x:v>GABRIEL SILVA MONTEIRO</x:v>
      </x:c>
      <x:c r="V1378" s="22" t="str">
        <x:f>"214.098.987-25"</x:f>
        <x:v>214.098.987-25</x:v>
      </x:c>
      <x:c r="W1378" s="22" t="str">
        <x:f>"21409898725"</x:f>
        <x:v>21409898725</x:v>
      </x:c>
      <x:c r="X1378" s="23" t="str">
        <x:v>gabrielsilvamonteiro91@gmail.com</x:v>
      </x:c>
      <x:c r="Y1378" s="22" t="str">
        <x:f>"21973733854"</x:f>
        <x:v>21973733854</x:v>
      </x:c>
      <x:c r="Z1378" s="30" t="n">
        <x:v>46471</x:v>
      </x:c>
    </x:row>
    <x:row r="1379" ht="18" customHeight="1">
      <x:c r="A1379" s="22" t="str">
        <x:f>"adaf72f1-2744-4952-989b-d628af6c79a0"</x:f>
        <x:v>adaf72f1-2744-4952-989b-d628af6c79a0</x:v>
      </x:c>
      <x:c r="B1379" s="23" t="str">
        <x:v>GABRIEL SOARES SILVA</x:v>
      </x:c>
      <x:c r="C1379" s="23" t="str">
        <x:v>gabriel soares silva</x:v>
      </x:c>
      <x:c r="D1379" s="22" t="str">
        <x:f>"65.471.778/0001-24"</x:f>
        <x:v>65.471.778/0001-24</x:v>
      </x:c>
      <x:c r="E1379" s="22" t="str">
        <x:f>"65471778000124"</x:f>
        <x:v>65471778000124</x:v>
      </x:c>
      <x:c r="F1379" s="22" t="str">
        <x:f>"060.616.441-32"</x:f>
        <x:v>060.616.441-32</x:v>
      </x:c>
      <x:c r="G1379" s="22" t="str">
        <x:f>"06061644132"</x:f>
        <x:v>06061644132</x:v>
      </x:c>
      <x:c r="H1379" s="23" t="str">
        <x:v>gabriel19313mastlag@gmail.com</x:v>
      </x:c>
      <x:c r="I1379" s="22" t="str">
        <x:f>"65999245821"</x:f>
        <x:v>65999245821</x:v>
      </x:c>
      <x:c r="J1379" s="23" t="str">
        <x:v>SPOT</x:v>
      </x:c>
      <x:c r="K1379" s="23" t="str">
        <x:v>favored_only</x:v>
      </x:c>
      <x:c r="L1379" s="24" t="b">
        <x:v>1</x:v>
      </x:c>
      <x:c r="M1379" s="23" t="n">
        <x:v>1</x:v>
      </x:c>
      <x:c r="N1379" s="28" t="n">
        <x:v>46219.812988715275</x:v>
      </x:c>
      <x:c r="O1379" s="28" t="n">
        <x:v>46219.812988715275</x:v>
      </x:c>
      <x:c r="P1379" s="23" t="str">
        <x:v>PONTES E LACERDA</x:v>
      </x:c>
      <x:c r="Q1379" s="30" t="n">
        <x:v>37696</x:v>
      </x:c>
      <x:c r="R1379" s="22" t="str">
        <x:f>"27205495"</x:f>
        <x:v>27205495</x:v>
      </x:c>
      <x:c r="S1379" s="23" t="str">
        <x:v>masculino</x:v>
      </x:c>
      <x:c r="T1379" s="22" t="str">
        <x:f>"QGQ7839"</x:f>
        <x:v>QGQ7839</x:v>
      </x:c>
      <x:c r="U1379" s="23" t="str">
        <x:v>GABRIEL SOARES SILVA</x:v>
      </x:c>
      <x:c r="V1379" s="22" t="str">
        <x:f>"060.616.441-32"</x:f>
        <x:v>060.616.441-32</x:v>
      </x:c>
      <x:c r="W1379" s="22" t="str">
        <x:f>"06061644132"</x:f>
        <x:v>06061644132</x:v>
      </x:c>
      <x:c r="X1379" s="23" t="str">
        <x:v>gabriel19313mastlag@gmail.com</x:v>
      </x:c>
      <x:c r="Y1379" s="22" t="str">
        <x:f>"65999245821"</x:f>
        <x:v>65999245821</x:v>
      </x:c>
      <x:c r="Z1379" s="30" t="n">
        <x:v>46450</x:v>
      </x:c>
    </x:row>
    <x:row r="1380" ht="18" customHeight="1">
      <x:c r="A1380" s="22" t="str">
        <x:f>"a97203ba-1424-4cf6-9187-77b908206fd6"</x:f>
        <x:v>a97203ba-1424-4cf6-9187-77b908206fd6</x:v>
      </x:c>
      <x:c r="B1380" s="23" t="str">
        <x:v>GABRIEL SOUZA PEREIRA DA SILVA</x:v>
      </x:c>
      <x:c r="C1380" s="23" t="str">
        <x:v>gabriel souza pereira da silva</x:v>
      </x:c>
      <x:c r="D1380" s="22" t="str">
        <x:f>"67.100.351/0001-45"</x:f>
        <x:v>67.100.351/0001-45</x:v>
      </x:c>
      <x:c r="E1380" s="22" t="str">
        <x:f>"67100351000145"</x:f>
        <x:v>67100351000145</x:v>
      </x:c>
      <x:c r="F1380" s="22" t="str">
        <x:f>"192.971.697-40"</x:f>
        <x:v>192.971.697-40</x:v>
      </x:c>
      <x:c r="G1380" s="22" t="str">
        <x:f>"19297169740"</x:f>
        <x:v>19297169740</x:v>
      </x:c>
      <x:c r="H1380" s="23" t="str">
        <x:v>souzagabriel2113@yahoo.com</x:v>
      </x:c>
      <x:c r="I1380" s="22" t="str">
        <x:f>"(35)99776-1966"</x:f>
        <x:v>(35)99776-1966</x:v>
      </x:c>
      <x:c r="J1380" s="23" t="str">
        <x:v>RENTAL</x:v>
      </x:c>
      <x:c r="K1380" s="23" t="str">
        <x:v>rental_company</x:v>
      </x:c>
      <x:c r="L1380" s="24" t="b">
        <x:v>1</x:v>
      </x:c>
      <x:c r="M1380" s="23" t="n">
        <x:v>1</x:v>
      </x:c>
      <x:c r="N1380" s="28" t="n">
        <x:v>46219.812988715275</x:v>
      </x:c>
      <x:c r="O1380" s="28" t="n">
        <x:v>46219.812988715275</x:v>
      </x:c>
      <x:c r="P1380" s="23" t="str">
        <x:v>POUSO ALEGRE</x:v>
      </x:c>
      <x:c r="Q1380" s="30" t="n">
        <x:v>37389</x:v>
      </x:c>
      <x:c r="R1380" s="22" t="str">
        <x:f>"325058394 DETRAN RJ"</x:f>
        <x:v>325058394 DETRAN RJ</x:v>
      </x:c>
      <x:c r="S1380" s="23" t="str">
        <x:v>masculino</x:v>
      </x:c>
      <x:c r="T1380" s="22" t="str"/>
      <x:c r="U1380" s="23" t="str">
        <x:v>GABRIEL SOUZA PEREIRA DA SILVA</x:v>
      </x:c>
      <x:c r="V1380" s="22" t="str">
        <x:f>"192.971.697-40"</x:f>
        <x:v>192.971.697-40</x:v>
      </x:c>
      <x:c r="W1380" s="22" t="str">
        <x:f>"19297169740"</x:f>
        <x:v>19297169740</x:v>
      </x:c>
      <x:c r="X1380" s="23" t="str">
        <x:v>souzagabriel2113@yahoo.com</x:v>
      </x:c>
      <x:c r="Y1380" s="22" t="str">
        <x:f>"(35)99776-1966"</x:f>
        <x:v>(35)99776-1966</x:v>
      </x:c>
      <x:c r="Z1380" s="30" t="n">
        <x:v>46539</x:v>
      </x:c>
    </x:row>
    <x:row r="1381" ht="18" customHeight="1">
      <x:c r="A1381" s="22" t="str">
        <x:f>"4bc65876-0f97-45c4-9828-2246bdb9cc79"</x:f>
        <x:v>4bc65876-0f97-45c4-9828-2246bdb9cc79</x:v>
      </x:c>
      <x:c r="B1381" s="23" t="str">
        <x:v>GABRIEL VIANA DA SILVA</x:v>
      </x:c>
      <x:c r="C1381" s="23" t="str">
        <x:v>gabriel viana da silva</x:v>
      </x:c>
      <x:c r="D1381" s="22" t="str">
        <x:f>"59.421.025/0001-01"</x:f>
        <x:v>59.421.025/0001-01</x:v>
      </x:c>
      <x:c r="E1381" s="22" t="str">
        <x:f>"59421025000101"</x:f>
        <x:v>59421025000101</x:v>
      </x:c>
      <x:c r="F1381" s="22" t="str">
        <x:f>"040.952.301-18"</x:f>
        <x:v>040.952.301-18</x:v>
      </x:c>
      <x:c r="G1381" s="22" t="str">
        <x:f>"04095230118"</x:f>
        <x:v>04095230118</x:v>
      </x:c>
      <x:c r="H1381" s="23" t="str">
        <x:v>gabrielvianadir@gmail.com</x:v>
      </x:c>
      <x:c r="I1381" s="22" t="str">
        <x:f>"‪‬65 996352102"</x:f>
        <x:v>‪‬65 996352102</x:v>
      </x:c>
      <x:c r="J1381" s="23" t="str">
        <x:v>spot</x:v>
      </x:c>
      <x:c r="K1381" s="23" t="str">
        <x:v>favored_only</x:v>
      </x:c>
      <x:c r="L1381" s="24" t="b">
        <x:v>1</x:v>
      </x:c>
      <x:c r="M1381" s="23" t="n">
        <x:v>1</x:v>
      </x:c>
      <x:c r="N1381" s="28" t="n">
        <x:v>46219.812988715275</x:v>
      </x:c>
      <x:c r="O1381" s="28" t="n">
        <x:v>46219.812988715275</x:v>
      </x:c>
      <x:c r="P1381" s="23" t="str">
        <x:v>CÁCERES</x:v>
      </x:c>
      <x:c r="Q1381" s="30" t="n">
        <x:v>34317</x:v>
      </x:c>
      <x:c r="R1381" s="22" t="str">
        <x:f>"20518757"</x:f>
        <x:v>20518757</x:v>
      </x:c>
      <x:c r="S1381" s="23" t="str">
        <x:v>masculino</x:v>
      </x:c>
      <x:c r="T1381" s="22" t="str">
        <x:f>"QBK5719"</x:f>
        <x:v>QBK5719</x:v>
      </x:c>
      <x:c r="U1381" s="23" t="str">
        <x:v>GABRIEL VIANA DA SILVA</x:v>
      </x:c>
      <x:c r="V1381" s="22" t="str">
        <x:f>"040.952.301-18"</x:f>
        <x:v>040.952.301-18</x:v>
      </x:c>
      <x:c r="W1381" s="22" t="str">
        <x:f>"04095230118"</x:f>
        <x:v>04095230118</x:v>
      </x:c>
      <x:c r="X1381" s="23" t="str">
        <x:v>gabrielvianadir@gmail.com</x:v>
      </x:c>
      <x:c r="Y1381" s="22" t="str">
        <x:f>"‪‬65 996352102"</x:f>
        <x:v>‪‬65 996352102</x:v>
      </x:c>
      <x:c r="Z1381" s="30" t="n">
        <x:v>46511</x:v>
      </x:c>
    </x:row>
    <x:row r="1382" ht="18" customHeight="1">
      <x:c r="A1382" s="22" t="str">
        <x:f>"a078a267-f42b-4c5a-8d66-17ec14ce614e"</x:f>
        <x:v>a078a267-f42b-4c5a-8d66-17ec14ce614e</x:v>
      </x:c>
      <x:c r="B1382" s="23" t="str">
        <x:v>GABRIEL VINICIUS LIMA DE BRITO</x:v>
      </x:c>
      <x:c r="C1382" s="23" t="str">
        <x:v>gabriel vinicius lima de brito</x:v>
      </x:c>
      <x:c r="D1382" s="22" t="str">
        <x:f>"62.692.615/0001-83"</x:f>
        <x:v>62.692.615/0001-83</x:v>
      </x:c>
      <x:c r="E1382" s="22" t="str">
        <x:f>"62692615000183"</x:f>
        <x:v>62692615000183</x:v>
      </x:c>
      <x:c r="F1382" s="22" t="str">
        <x:f>"700.348.431-59"</x:f>
        <x:v>700.348.431-59</x:v>
      </x:c>
      <x:c r="G1382" s="22" t="str">
        <x:f>"70034843159"</x:f>
        <x:v>70034843159</x:v>
      </x:c>
      <x:c r="H1382" s="23" t="str">
        <x:v>gabrielbrito12383@gmail.com</x:v>
      </x:c>
      <x:c r="I1382" s="22" t="str">
        <x:f>"64992416204"</x:f>
        <x:v>64992416204</x:v>
      </x:c>
      <x:c r="J1382" s="23" t="str">
        <x:v>RENTAL</x:v>
      </x:c>
      <x:c r="K1382" s="23" t="str">
        <x:v>rental_company</x:v>
      </x:c>
      <x:c r="L1382" s="24" t="b">
        <x:v>1</x:v>
      </x:c>
      <x:c r="M1382" s="23" t="n">
        <x:v>1</x:v>
      </x:c>
      <x:c r="N1382" s="28" t="n">
        <x:v>46203.92186462963</x:v>
      </x:c>
      <x:c r="O1382" s="28" t="n">
        <x:v>46219.812988715275</x:v>
      </x:c>
      <x:c r="P1382" s="23" t="str">
        <x:v>RIO VERDE</x:v>
      </x:c>
      <x:c r="Q1382" s="30" t="n">
        <x:v>37383</x:v>
      </x:c>
      <x:c r="R1382" s="22" t="str">
        <x:f>"6742542"</x:f>
        <x:v>6742542</x:v>
      </x:c>
      <x:c r="S1382" s="23" t="str">
        <x:v>masculino</x:v>
      </x:c>
      <x:c r="T1382" s="22" t="str"/>
      <x:c r="U1382" s="23" t="str">
        <x:v>GABRIEL VINICIUS LIMA DE BRITO</x:v>
      </x:c>
      <x:c r="V1382" s="22" t="str">
        <x:f>"700.348.431-59"</x:f>
        <x:v>700.348.431-59</x:v>
      </x:c>
      <x:c r="W1382" s="22" t="str">
        <x:f>"70034843159"</x:f>
        <x:v>70034843159</x:v>
      </x:c>
      <x:c r="X1382" s="23" t="str">
        <x:v>gabrielbrito12383@gmail.com</x:v>
      </x:c>
      <x:c r="Y1382" s="22" t="str">
        <x:f>"64992416204"</x:f>
        <x:v>64992416204</x:v>
      </x:c>
      <x:c r="Z1382" s="30" t="n">
        <x:v>46278</x:v>
      </x:c>
    </x:row>
    <x:row r="1383" ht="18" customHeight="1">
      <x:c r="A1383" s="22" t="str">
        <x:f>"1b235783-eadf-430a-9f16-c27f6786e765"</x:f>
        <x:v>1b235783-eadf-430a-9f16-c27f6786e765</x:v>
      </x:c>
      <x:c r="B1383" s="23" t="str">
        <x:v>GABRIEL VINICIUS RIBEIRO</x:v>
      </x:c>
      <x:c r="C1383" s="23" t="str">
        <x:v>gabriel vinicius ribeiro</x:v>
      </x:c>
      <x:c r="D1383" s="22" t="str">
        <x:f>"64.948.916/0001-50"</x:f>
        <x:v>64.948.916/0001-50</x:v>
      </x:c>
      <x:c r="E1383" s="22" t="str">
        <x:f>"64948916000150"</x:f>
        <x:v>64948916000150</x:v>
      </x:c>
      <x:c r="F1383" s="22" t="str">
        <x:f>"145.733.496-85"</x:f>
        <x:v>145.733.496-85</x:v>
      </x:c>
      <x:c r="G1383" s="22" t="str">
        <x:f>"14573349685"</x:f>
        <x:v>14573349685</x:v>
      </x:c>
      <x:c r="H1383" s="23" t="str">
        <x:v>bielyoucine321@gmail.com</x:v>
      </x:c>
      <x:c r="I1383" s="22" t="str">
        <x:f>"(35)98445-2189"</x:f>
        <x:v>(35)98445-2189</x:v>
      </x:c>
      <x:c r="J1383" s="23" t="str">
        <x:v>RENTAL</x:v>
      </x:c>
      <x:c r="K1383" s="23" t="str">
        <x:v>rental_company</x:v>
      </x:c>
      <x:c r="L1383" s="24" t="b">
        <x:v>1</x:v>
      </x:c>
      <x:c r="M1383" s="23" t="n">
        <x:v>1</x:v>
      </x:c>
      <x:c r="N1383" s="28" t="n">
        <x:v>46219.812988715275</x:v>
      </x:c>
      <x:c r="O1383" s="28" t="n">
        <x:v>46219.812988715275</x:v>
      </x:c>
      <x:c r="P1383" s="23" t="str">
        <x:v>POUSO ALEGRE</x:v>
      </x:c>
      <x:c r="Q1383" s="30" t="n">
        <x:v>38873</x:v>
      </x:c>
      <x:c r="R1383" s="22" t="str">
        <x:f>"MG21002955 SSP MG"</x:f>
        <x:v>MG21002955 SSP MG</x:v>
      </x:c>
      <x:c r="S1383" s="23" t="str">
        <x:v>masculino</x:v>
      </x:c>
      <x:c r="T1383" s="22" t="str"/>
      <x:c r="U1383" s="23" t="str">
        <x:v>GABRIEL VINICIUS RIBEIRO</x:v>
      </x:c>
      <x:c r="V1383" s="22" t="str">
        <x:f>"145.733.496-85"</x:f>
        <x:v>145.733.496-85</x:v>
      </x:c>
      <x:c r="W1383" s="22" t="str">
        <x:f>"14573349685"</x:f>
        <x:v>14573349685</x:v>
      </x:c>
      <x:c r="X1383" s="23" t="str">
        <x:v>bielyoucine321@gmail.com</x:v>
      </x:c>
      <x:c r="Y1383" s="22" t="str">
        <x:f>"(35)98445-2189"</x:f>
        <x:v>(35)98445-2189</x:v>
      </x:c>
      <x:c r="Z1383" s="30" t="n">
        <x:v>46541</x:v>
      </x:c>
    </x:row>
    <x:row r="1384" ht="18" customHeight="1">
      <x:c r="A1384" s="22" t="str">
        <x:f>"b4d28f9c-ef06-4a6b-a05d-26fb9bfa33bc"</x:f>
        <x:v>b4d28f9c-ef06-4a6b-a05d-26fb9bfa33bc</x:v>
      </x:c>
      <x:c r="B1384" s="23" t="str">
        <x:v>GABRIEL XAVIER SOARES SILVA</x:v>
      </x:c>
      <x:c r="C1384" s="23" t="str">
        <x:v>gabriel xavier soares silva</x:v>
      </x:c>
      <x:c r="D1384" s="22" t="str">
        <x:f>"61.165.321/0001-30"</x:f>
        <x:v>61.165.321/0001-30</x:v>
      </x:c>
      <x:c r="E1384" s="22" t="str">
        <x:f>"61165321000130"</x:f>
        <x:v>61165321000130</x:v>
      </x:c>
      <x:c r="F1384" s="22" t="str">
        <x:f>"092.569.186-09"</x:f>
        <x:v>092.569.186-09</x:v>
      </x:c>
      <x:c r="G1384" s="22" t="str">
        <x:f>"09256918609"</x:f>
        <x:v>09256918609</x:v>
      </x:c>
      <x:c r="H1384" s="23" t="str">
        <x:v>gabrielxs.silva@hotmail.com</x:v>
      </x:c>
      <x:c r="I1384" s="22" t="str">
        <x:f>"31994523791"</x:f>
        <x:v>31994523791</x:v>
      </x:c>
      <x:c r="J1384" s="23" t="str">
        <x:v>RENTAL</x:v>
      </x:c>
      <x:c r="K1384" s="23" t="str">
        <x:v>rental_company</x:v>
      </x:c>
      <x:c r="L1384" s="24" t="b">
        <x:v>1</x:v>
      </x:c>
      <x:c r="M1384" s="23" t="n">
        <x:v>1</x:v>
      </x:c>
      <x:c r="N1384" s="28" t="n">
        <x:v>46203.92183332176</x:v>
      </x:c>
      <x:c r="O1384" s="28" t="n">
        <x:v>46219.812988715275</x:v>
      </x:c>
      <x:c r="P1384" s="23" t="str">
        <x:v>NOVA LIMA</x:v>
      </x:c>
      <x:c r="Q1384" s="30" t="n">
        <x:v>32747</x:v>
      </x:c>
      <x:c r="R1384" s="22" t="str">
        <x:f>"MG14764713"</x:f>
        <x:v>MG14764713</x:v>
      </x:c>
      <x:c r="S1384" s="23" t="str">
        <x:v>masculino</x:v>
      </x:c>
      <x:c r="T1384" s="22" t="str"/>
      <x:c r="U1384" s="23" t="str">
        <x:v>GABRIEL XAVIER SOARES SILVA</x:v>
      </x:c>
      <x:c r="V1384" s="22" t="str">
        <x:f>"092.569.186-09"</x:f>
        <x:v>092.569.186-09</x:v>
      </x:c>
      <x:c r="W1384" s="22" t="str">
        <x:f>"09256918609"</x:f>
        <x:v>09256918609</x:v>
      </x:c>
      <x:c r="X1384" s="23" t="str">
        <x:v>gabrielxs.silva@hotmail.com</x:v>
      </x:c>
      <x:c r="Y1384" s="22" t="str">
        <x:f>"31994523791"</x:f>
        <x:v>31994523791</x:v>
      </x:c>
      <x:c r="Z1384" s="30" t="n">
        <x:v>46542</x:v>
      </x:c>
    </x:row>
    <x:row r="1385" ht="18" customHeight="1">
      <x:c r="A1385" s="22" t="str">
        <x:f>"cf7a04cd-a6eb-4718-ad09-51304faab70a"</x:f>
        <x:v>cf7a04cd-a6eb-4718-ad09-51304faab70a</x:v>
      </x:c>
      <x:c r="B1385" s="23" t="str">
        <x:v>GABRIEL ZACARIAS TASCA</x:v>
      </x:c>
      <x:c r="C1385" s="23" t="str">
        <x:v>gabriel zacarias tasca</x:v>
      </x:c>
      <x:c r="D1385" s="22" t="str">
        <x:f>"66.147.979/0001-33"</x:f>
        <x:v>66.147.979/0001-33</x:v>
      </x:c>
      <x:c r="E1385" s="22" t="str">
        <x:f>"66147979000133"</x:f>
        <x:v>66147979000133</x:v>
      </x:c>
      <x:c r="F1385" s="22" t="str">
        <x:f>"523.585.948-06"</x:f>
        <x:v>523.585.948-06</x:v>
      </x:c>
      <x:c r="G1385" s="22" t="str">
        <x:f>"52358594806"</x:f>
        <x:v>52358594806</x:v>
      </x:c>
      <x:c r="H1385" s="23" t="str">
        <x:v>bielzinho2020@icloud.com</x:v>
      </x:c>
      <x:c r="I1385" s="22" t="str">
        <x:f>"17996760185"</x:f>
        <x:v>17996760185</x:v>
      </x:c>
      <x:c r="J1385" s="23" t="str">
        <x:v>SPOT</x:v>
      </x:c>
      <x:c r="K1385" s="23" t="str">
        <x:v>favored_only</x:v>
      </x:c>
      <x:c r="L1385" s="24" t="b">
        <x:v>1</x:v>
      </x:c>
      <x:c r="M1385" s="23" t="n">
        <x:v>1</x:v>
      </x:c>
      <x:c r="N1385" s="28" t="n">
        <x:v>46219.812988715275</x:v>
      </x:c>
      <x:c r="O1385" s="28" t="n">
        <x:v>46219.812988715275</x:v>
      </x:c>
      <x:c r="P1385" s="23" t="str">
        <x:v>SÃO JOSE DO RIO PRETO</x:v>
      </x:c>
      <x:c r="Q1385" s="30" t="n">
        <x:v>36756</x:v>
      </x:c>
      <x:c r="R1385" s="22" t="str">
        <x:f>"52240166"</x:f>
        <x:v>52240166</x:v>
      </x:c>
      <x:c r="S1385" s="23" t="str">
        <x:v>masculino</x:v>
      </x:c>
      <x:c r="T1385" s="22" t="str">
        <x:f>"EAQ8H10"</x:f>
        <x:v>EAQ8H10</x:v>
      </x:c>
      <x:c r="U1385" s="23" t="str">
        <x:v>GABRIEL ZACARIAS TASCA</x:v>
      </x:c>
      <x:c r="V1385" s="22" t="str">
        <x:f>"523.585.948-06"</x:f>
        <x:v>523.585.948-06</x:v>
      </x:c>
      <x:c r="W1385" s="22" t="str">
        <x:f>"52358594806"</x:f>
        <x:v>52358594806</x:v>
      </x:c>
      <x:c r="X1385" s="23" t="str">
        <x:v>bielzinho2020@icloud.com</x:v>
      </x:c>
      <x:c r="Y1385" s="22" t="str">
        <x:f>"17996760185"</x:f>
        <x:v>17996760185</x:v>
      </x:c>
      <x:c r="Z1385" s="30" t="n">
        <x:v>46521</x:v>
      </x:c>
    </x:row>
    <x:row r="1386" ht="18" customHeight="1">
      <x:c r="A1386" s="22" t="str">
        <x:f>"d5c78bf4-f22d-45f4-9456-44e5eba8ccf3"</x:f>
        <x:v>d5c78bf4-f22d-45f4-9456-44e5eba8ccf3</x:v>
      </x:c>
      <x:c r="B1386" s="23" t="str">
        <x:v>GEAN MARCOS GABRIEL DAMIAO NERES DE SOUSA</x:v>
      </x:c>
      <x:c r="C1386" s="23" t="str">
        <x:v>gean marcos gabriel damiao neres de sousa</x:v>
      </x:c>
      <x:c r="D1386" s="22" t="str">
        <x:f>"57.295.235/0001-75"</x:f>
        <x:v>57.295.235/0001-75</x:v>
      </x:c>
      <x:c r="E1386" s="22" t="str">
        <x:f>"57295235000175"</x:f>
        <x:v>57295235000175</x:v>
      </x:c>
      <x:c r="F1386" s="22" t="str">
        <x:f>"231.036.178-01"</x:f>
        <x:v>231.036.178-01</x:v>
      </x:c>
      <x:c r="G1386" s="22" t="str">
        <x:f>"23103617801"</x:f>
        <x:v>23103617801</x:v>
      </x:c>
      <x:c r="H1386" s="23" t="str">
        <x:v>geansousa.gs33@gmail.com</x:v>
      </x:c>
      <x:c r="I1386" s="22" t="str">
        <x:f>"57295235000175"</x:f>
        <x:v>57295235000175</x:v>
      </x:c>
      <x:c r="J1386" s="23" t="str">
        <x:v>SPOT</x:v>
      </x:c>
      <x:c r="K1386" s="23" t="str">
        <x:v>favored_only</x:v>
      </x:c>
      <x:c r="L1386" s="24" t="b">
        <x:v>1</x:v>
      </x:c>
      <x:c r="M1386" s="23" t="n">
        <x:v>1</x:v>
      </x:c>
      <x:c r="N1386" s="28" t="n">
        <x:v>46219.812988715275</x:v>
      </x:c>
      <x:c r="O1386" s="28" t="n">
        <x:v>46219.812988715275</x:v>
      </x:c>
      <x:c r="P1386" s="23" t="str">
        <x:v>JALES</x:v>
      </x:c>
      <x:c r="Q1386" s="30" t="n">
        <x:v>36922</x:v>
      </x:c>
      <x:c r="R1386" s="22" t="str">
        <x:f>"378517879"</x:f>
        <x:v>378517879</x:v>
      </x:c>
      <x:c r="S1386" s="23" t="str">
        <x:v>masculino</x:v>
      </x:c>
      <x:c r="T1386" s="22" t="str">
        <x:f>"UFZ7D00"</x:f>
        <x:v>UFZ7D00</x:v>
      </x:c>
      <x:c r="U1386" s="23" t="str">
        <x:v>GEAN MARCOS GABRIEL DAMIAO NERES DE SOUSA</x:v>
      </x:c>
      <x:c r="V1386" s="22" t="str">
        <x:f>"231.036.178-01"</x:f>
        <x:v>231.036.178-01</x:v>
      </x:c>
      <x:c r="W1386" s="22" t="str">
        <x:f>"23103617801"</x:f>
        <x:v>23103617801</x:v>
      </x:c>
      <x:c r="X1386" s="23" t="str">
        <x:v>geansousa.gs33@gmail.com</x:v>
      </x:c>
      <x:c r="Y1386" s="22" t="str">
        <x:f>"57295235000175"</x:f>
        <x:v>57295235000175</x:v>
      </x:c>
      <x:c r="Z1386" s="30" t="n">
        <x:v>46563</x:v>
      </x:c>
    </x:row>
    <x:row r="1387" ht="18" customHeight="1">
      <x:c r="A1387" s="22" t="str">
        <x:f>"1fb3b564-a515-43f7-93fa-4159ee96a099"</x:f>
        <x:v>1fb3b564-a515-43f7-93fa-4159ee96a099</x:v>
      </x:c>
      <x:c r="B1387" s="23" t="str">
        <x:v>GEAN RODRIGO DA SILVA</x:v>
      </x:c>
      <x:c r="C1387" s="23" t="str">
        <x:v>gean rodrigo da silva</x:v>
      </x:c>
      <x:c r="D1387" s="22" t="str">
        <x:f>"47.343.507/0001-01"</x:f>
        <x:v>47.343.507/0001-01</x:v>
      </x:c>
      <x:c r="E1387" s="22" t="str">
        <x:f>"47343507000101"</x:f>
        <x:v>47343507000101</x:v>
      </x:c>
      <x:c r="F1387" s="22" t="str">
        <x:f>"784.821.942-91"</x:f>
        <x:v>784.821.942-91</x:v>
      </x:c>
      <x:c r="G1387" s="22" t="str">
        <x:f>"78482194291"</x:f>
        <x:v>78482194291</x:v>
      </x:c>
      <x:c r="H1387" s="23" t="str">
        <x:v>geansilva2609@gmail.com</x:v>
      </x:c>
      <x:c r="I1387" s="22" t="str">
        <x:f>"(67) 9874-3232"</x:f>
        <x:v>(67) 9874-3232</x:v>
      </x:c>
      <x:c r="J1387" s="23" t="str">
        <x:v>SPOT</x:v>
      </x:c>
      <x:c r="K1387" s="23" t="str">
        <x:v>favored_only</x:v>
      </x:c>
      <x:c r="L1387" s="24" t="b">
        <x:v>1</x:v>
      </x:c>
      <x:c r="M1387" s="23" t="n">
        <x:v>1</x:v>
      </x:c>
      <x:c r="N1387" s="28" t="n">
        <x:v>46203.92184908565</x:v>
      </x:c>
      <x:c r="O1387" s="28" t="n">
        <x:v>46219.812988715275</x:v>
      </x:c>
      <x:c r="P1387" s="23" t="str">
        <x:v>CHAPADÃO DO SUL</x:v>
      </x:c>
      <x:c r="Q1387" s="30" t="n">
        <x:v>30539</x:v>
      </x:c>
      <x:c r="R1387" s="22" t="str">
        <x:f>"1436502"</x:f>
        <x:v>1436502</x:v>
      </x:c>
      <x:c r="S1387" s="23" t="str">
        <x:v>masculino</x:v>
      </x:c>
      <x:c r="T1387" s="22" t="str">
        <x:f>"NRW3H89"</x:f>
        <x:v>NRW3H89</x:v>
      </x:c>
      <x:c r="U1387" s="23" t="str">
        <x:v>GEAN RODRIGO DA SILVA</x:v>
      </x:c>
      <x:c r="V1387" s="22" t="str">
        <x:f>"784.821.942-91"</x:f>
        <x:v>784.821.942-91</x:v>
      </x:c>
      <x:c r="W1387" s="22" t="str">
        <x:f>"78482194291"</x:f>
        <x:v>78482194291</x:v>
      </x:c>
      <x:c r="X1387" s="23" t="str">
        <x:v>geansilva2609@gmail.com</x:v>
      </x:c>
      <x:c r="Y1387" s="22" t="str">
        <x:f>"(67) 9874-3232"</x:f>
        <x:v>(67) 9874-3232</x:v>
      </x:c>
      <x:c r="Z1387" s="30" t="n">
        <x:v>46239</x:v>
      </x:c>
    </x:row>
    <x:row r="1388" ht="18" customHeight="1">
      <x:c r="A1388" s="22" t="str">
        <x:f>"7138f05e-4df7-4981-8cf0-e7e5f665464d"</x:f>
        <x:v>7138f05e-4df7-4981-8cf0-e7e5f665464d</x:v>
      </x:c>
      <x:c r="B1388" s="23" t="str">
        <x:v>GEDSON DE JESUS SOUZA</x:v>
      </x:c>
      <x:c r="C1388" s="23" t="str">
        <x:v>gedson de jesus souza</x:v>
      </x:c>
      <x:c r="D1388" s="22" t="str">
        <x:f>"48.365.153/0001-69"</x:f>
        <x:v>48.365.153/0001-69</x:v>
      </x:c>
      <x:c r="E1388" s="22" t="str">
        <x:f>"48365153000169"</x:f>
        <x:v>48365153000169</x:v>
      </x:c>
      <x:c r="F1388" s="22" t="str">
        <x:f>"137.893.526-83"</x:f>
        <x:v>137.893.526-83</x:v>
      </x:c>
      <x:c r="G1388" s="22" t="str">
        <x:f>"13789352683"</x:f>
        <x:v>13789352683</x:v>
      </x:c>
      <x:c r="H1388" s="23" t="str">
        <x:v>gedsondejesussouza@gmail.com</x:v>
      </x:c>
      <x:c r="I1388" s="22" t="str">
        <x:f>"34991576276"</x:f>
        <x:v>34991576276</x:v>
      </x:c>
      <x:c r="J1388" s="23" t="str">
        <x:v>RENTAL</x:v>
      </x:c>
      <x:c r="K1388" s="23" t="str">
        <x:v>rental_company</x:v>
      </x:c>
      <x:c r="L1388" s="24" t="b">
        <x:v>1</x:v>
      </x:c>
      <x:c r="M1388" s="23" t="n">
        <x:v>1</x:v>
      </x:c>
      <x:c r="N1388" s="28" t="n">
        <x:v>46203.921824756944</x:v>
      </x:c>
      <x:c r="O1388" s="28" t="n">
        <x:v>46219.812988715275</x:v>
      </x:c>
      <x:c r="P1388" s="23" t="str">
        <x:v>UBERLANDIA</x:v>
      </x:c>
      <x:c r="Q1388" s="30" t="n">
        <x:v>34812</x:v>
      </x:c>
      <x:c r="R1388" s="22" t="str">
        <x:f>"MG19105672"</x:f>
        <x:v>MG19105672</x:v>
      </x:c>
      <x:c r="S1388" s="23" t="str">
        <x:v>masculino</x:v>
      </x:c>
      <x:c r="T1388" s="22" t="str"/>
      <x:c r="U1388" s="23" t="str">
        <x:v>GEDSON DE JESUS SOUZA</x:v>
      </x:c>
      <x:c r="V1388" s="22" t="str">
        <x:f>"137.893.526-83"</x:f>
        <x:v>137.893.526-83</x:v>
      </x:c>
      <x:c r="W1388" s="22" t="str">
        <x:f>"13789352683"</x:f>
        <x:v>13789352683</x:v>
      </x:c>
      <x:c r="X1388" s="23" t="str">
        <x:v>gedsondejesussouza@gmail.com</x:v>
      </x:c>
      <x:c r="Y1388" s="22" t="str">
        <x:f>"34991576276"</x:f>
        <x:v>34991576276</x:v>
      </x:c>
      <x:c r="Z1388" s="30" t="n">
        <x:v>46344</x:v>
      </x:c>
    </x:row>
    <x:row r="1389" ht="18" customHeight="1">
      <x:c r="A1389" s="22" t="str">
        <x:f>"e018c4d5-170e-4358-9956-56485d5a7d46"</x:f>
        <x:v>e018c4d5-170e-4358-9956-56485d5a7d46</x:v>
      </x:c>
      <x:c r="B1389" s="23" t="str">
        <x:v>GEILSON FREITAS DE SOUZA</x:v>
      </x:c>
      <x:c r="C1389" s="23" t="str">
        <x:v>geilson freitas de souza</x:v>
      </x:c>
      <x:c r="D1389" s="22" t="str">
        <x:f>"63.059.632/0001-40"</x:f>
        <x:v>63.059.632/0001-40</x:v>
      </x:c>
      <x:c r="E1389" s="22" t="str">
        <x:f>"63059632000140"</x:f>
        <x:v>63059632000140</x:v>
      </x:c>
      <x:c r="F1389" s="22" t="str">
        <x:f>"120.866.436-08"</x:f>
        <x:v>120.866.436-08</x:v>
      </x:c>
      <x:c r="G1389" s="22" t="str">
        <x:f>"12086643608"</x:f>
        <x:v>12086643608</x:v>
      </x:c>
      <x:c r="H1389" s="23" t="str">
        <x:v>geisonfreitas979@gmail.com</x:v>
      </x:c>
      <x:c r="I1389" s="22" t="str">
        <x:f>"3491242288"</x:f>
        <x:v>3491242288</x:v>
      </x:c>
      <x:c r="J1389" s="23" t="str">
        <x:v>RENTAL</x:v>
      </x:c>
      <x:c r="K1389" s="23" t="str">
        <x:v>rental_company</x:v>
      </x:c>
      <x:c r="L1389" s="24" t="b">
        <x:v>1</x:v>
      </x:c>
      <x:c r="M1389" s="23" t="n">
        <x:v>1</x:v>
      </x:c>
      <x:c r="N1389" s="28" t="n">
        <x:v>46219.812988715275</x:v>
      </x:c>
      <x:c r="O1389" s="28" t="n">
        <x:v>46219.812988715275</x:v>
      </x:c>
      <x:c r="P1389" s="23" t="str">
        <x:v>UBERABA</x:v>
      </x:c>
      <x:c r="Q1389" s="30" t="n">
        <x:v>34640</x:v>
      </x:c>
      <x:c r="R1389" s="22" t="str">
        <x:f>"17924510"</x:f>
        <x:v>17924510</x:v>
      </x:c>
      <x:c r="S1389" s="23" t="str">
        <x:v>masculino</x:v>
      </x:c>
      <x:c r="T1389" s="22" t="str"/>
      <x:c r="U1389" s="23" t="str">
        <x:v>GEILSON FREITAS DE SOUZA</x:v>
      </x:c>
      <x:c r="V1389" s="22" t="str">
        <x:f>"120.866.436-08"</x:f>
        <x:v>120.866.436-08</x:v>
      </x:c>
      <x:c r="W1389" s="22" t="str">
        <x:f>"12086643608"</x:f>
        <x:v>12086643608</x:v>
      </x:c>
      <x:c r="X1389" s="23" t="str">
        <x:v>geisonfreitas979@gmail.com</x:v>
      </x:c>
      <x:c r="Y1389" s="22" t="str">
        <x:f>"3491242288"</x:f>
        <x:v>3491242288</x:v>
      </x:c>
      <x:c r="Z1389" s="30" t="n">
        <x:v>46545</x:v>
      </x:c>
    </x:row>
    <x:row r="1390" ht="18" customHeight="1">
      <x:c r="A1390" s="22" t="str">
        <x:f>"4fe3212e-f79f-4e08-b3b5-dd775d07d944"</x:f>
        <x:v>4fe3212e-f79f-4e08-b3b5-dd775d07d944</x:v>
      </x:c>
      <x:c r="B1390" s="23" t="str">
        <x:v>GELCIMAR DE OLIVEIRA DIAS</x:v>
      </x:c>
      <x:c r="C1390" s="23" t="str">
        <x:v>gelcimar de oliveira dias</x:v>
      </x:c>
      <x:c r="D1390" s="22" t="str">
        <x:f>"53.718.772/0001-20"</x:f>
        <x:v>53.718.772/0001-20</x:v>
      </x:c>
      <x:c r="E1390" s="22" t="str">
        <x:f>"53718772000120"</x:f>
        <x:v>53718772000120</x:v>
      </x:c>
      <x:c r="F1390" s="22" t="str">
        <x:f>"014.736.946-04"</x:f>
        <x:v>014.736.946-04</x:v>
      </x:c>
      <x:c r="G1390" s="22" t="str">
        <x:f>"01473694604"</x:f>
        <x:v>01473694604</x:v>
      </x:c>
      <x:c r="H1390" s="23" t="str">
        <x:v>deoliveiradiasgelcimar2@gmail.com</x:v>
      </x:c>
      <x:c r="I1390" s="22" t="str">
        <x:f>"+55 31 8697-2143"</x:f>
        <x:v>+55 31 8697-2143</x:v>
      </x:c>
      <x:c r="J1390" s="23" t="str">
        <x:v>SPOT</x:v>
      </x:c>
      <x:c r="K1390" s="23" t="str">
        <x:v>favored_only</x:v>
      </x:c>
      <x:c r="L1390" s="24" t="b">
        <x:v>1</x:v>
      </x:c>
      <x:c r="M1390" s="23" t="n">
        <x:v>1</x:v>
      </x:c>
      <x:c r="N1390" s="28" t="n">
        <x:v>46205.60729291667</x:v>
      </x:c>
      <x:c r="O1390" s="28" t="n">
        <x:v>46219.812988715275</x:v>
      </x:c>
      <x:c r="P1390" s="23" t="str">
        <x:v>CONCEIÇÃO DO MATO DENTRO</x:v>
      </x:c>
      <x:c r="Q1390" s="30" t="n">
        <x:v>30813</x:v>
      </x:c>
      <x:c r="R1390" s="22" t="str">
        <x:f>"13098680"</x:f>
        <x:v>13098680</x:v>
      </x:c>
      <x:c r="S1390" s="23" t="str">
        <x:v>masculino</x:v>
      </x:c>
      <x:c r="T1390" s="22" t="str">
        <x:f>"psd5c86"</x:f>
        <x:v>psd5c86</x:v>
      </x:c>
      <x:c r="U1390" s="23" t="str">
        <x:v>JESSICA MARTINS SANTOS</x:v>
      </x:c>
      <x:c r="V1390" s="22" t="str">
        <x:f>"117.866.606-95"</x:f>
        <x:v>117.866.606-95</x:v>
      </x:c>
      <x:c r="W1390" s="22" t="str">
        <x:f>"11786660695"</x:f>
        <x:v>11786660695</x:v>
      </x:c>
      <x:c r="X1390" s="23" t="str">
        <x:v>jessikmartins167@hotmail.com</x:v>
      </x:c>
      <x:c r="Y1390" s="22" t="str">
        <x:f>"31988382029"</x:f>
        <x:v>31988382029</x:v>
      </x:c>
      <x:c r="Z1390" s="30" t="n">
        <x:v>46541</x:v>
      </x:c>
    </x:row>
    <x:row r="1391" ht="18" customHeight="1">
      <x:c r="A1391" s="22" t="str">
        <x:f>"c0df3dbb-0a15-4534-b058-1cc0b30248cf"</x:f>
        <x:v>c0df3dbb-0a15-4534-b058-1cc0b30248cf</x:v>
      </x:c>
      <x:c r="B1391" s="23" t="str">
        <x:v>GELSEMAR DE ARAUJO PERIOTO</x:v>
      </x:c>
      <x:c r="C1391" s="23" t="str">
        <x:v>gelsemar de araujo perioto</x:v>
      </x:c>
      <x:c r="D1391" s="22" t="str">
        <x:f>"63.315.880/0001-05"</x:f>
        <x:v>63.315.880/0001-05</x:v>
      </x:c>
      <x:c r="E1391" s="22" t="str">
        <x:f>"63315880000105"</x:f>
        <x:v>63315880000105</x:v>
      </x:c>
      <x:c r="F1391" s="22" t="str">
        <x:f>"395.285.291-00"</x:f>
        <x:v>395.285.291-00</x:v>
      </x:c>
      <x:c r="G1391" s="22" t="str">
        <x:f>"39528529100"</x:f>
        <x:v>39528529100</x:v>
      </x:c>
      <x:c r="H1391" s="23" t="str">
        <x:v>joce_perioto@hotmail.com</x:v>
      </x:c>
      <x:c r="I1391" s="22" t="str">
        <x:f>"66999652759"</x:f>
        <x:v>66999652759</x:v>
      </x:c>
      <x:c r="J1391" s="23" t="str">
        <x:v>SPOT</x:v>
      </x:c>
      <x:c r="K1391" s="23" t="str">
        <x:v>favored_only</x:v>
      </x:c>
      <x:c r="L1391" s="24" t="b">
        <x:v>1</x:v>
      </x:c>
      <x:c r="M1391" s="23" t="n">
        <x:v>2</x:v>
      </x:c>
      <x:c r="N1391" s="28" t="n">
        <x:v>46203.92188238426</x:v>
      </x:c>
      <x:c r="O1391" s="28" t="n">
        <x:v>46219.812988715275</x:v>
      </x:c>
      <x:c r="P1391" s="23" t="str">
        <x:v>SINOP</x:v>
      </x:c>
      <x:c r="Q1391" s="30" t="n">
        <x:v>24491</x:v>
      </x:c>
      <x:c r="R1391" s="22" t="str">
        <x:f>"589828"</x:f>
        <x:v>589828</x:v>
      </x:c>
      <x:c r="S1391" s="23" t="str">
        <x:v>masculino</x:v>
      </x:c>
      <x:c r="T1391" s="22" t="str">
        <x:f>"RAP2B09"</x:f>
        <x:v>RAP2B09</x:v>
      </x:c>
      <x:c r="U1391" s="23" t="str">
        <x:v>GELSEMAR DE ARAUJO PERIOTO</x:v>
      </x:c>
      <x:c r="V1391" s="22" t="str">
        <x:f>"395.285.291-00"</x:f>
        <x:v>395.285.291-00</x:v>
      </x:c>
      <x:c r="W1391" s="22" t="str">
        <x:f>"39528529100"</x:f>
        <x:v>39528529100</x:v>
      </x:c>
      <x:c r="X1391" s="23" t="str">
        <x:v>joce_perioto@hotmail.com</x:v>
      </x:c>
      <x:c r="Y1391" s="22" t="str">
        <x:f>"66999652759"</x:f>
        <x:v>66999652759</x:v>
      </x:c>
      <x:c r="Z1391" s="30" t="n">
        <x:v>46322</x:v>
      </x:c>
    </x:row>
    <x:row r="1392" ht="18" customHeight="1">
      <x:c r="A1392" s="22" t="str">
        <x:f>"b8bfd88a-a27c-4eae-a070-faf0eef92261"</x:f>
        <x:v>b8bfd88a-a27c-4eae-a070-faf0eef92261</x:v>
      </x:c>
      <x:c r="B1392" s="23" t="str">
        <x:v>GELSON LUIZ ANANIAS</x:v>
      </x:c>
      <x:c r="C1392" s="23" t="str">
        <x:v>gelson luiz ananias</x:v>
      </x:c>
      <x:c r="D1392" s="22" t="str">
        <x:f>"46.235.425/0001-80"</x:f>
        <x:v>46.235.425/0001-80</x:v>
      </x:c>
      <x:c r="E1392" s="22" t="str">
        <x:f>"46235425000180"</x:f>
        <x:v>46235425000180</x:v>
      </x:c>
      <x:c r="F1392" s="22" t="str">
        <x:f>"34005884822"</x:f>
        <x:v>34005884822</x:v>
      </x:c>
      <x:c r="G1392" s="22" t="str">
        <x:f>"34005884822"</x:f>
        <x:v>34005884822</x:v>
      </x:c>
      <x:c r="H1392" s="23" t="str">
        <x:v>gelsonguaira640@gmail.com</x:v>
      </x:c>
      <x:c r="I1392" s="22" t="str">
        <x:f>"17 98167-9293"</x:f>
        <x:v>17 98167-9293</x:v>
      </x:c>
      <x:c r="J1392" s="23" t="str">
        <x:v>SPOT</x:v>
      </x:c>
      <x:c r="K1392" s="23" t="str">
        <x:v>favored_only</x:v>
      </x:c>
      <x:c r="L1392" s="24" t="b">
        <x:v>1</x:v>
      </x:c>
      <x:c r="M1392" s="23" t="n">
        <x:v>1</x:v>
      </x:c>
      <x:c r="N1392" s="28" t="n">
        <x:v>46203.92188238426</x:v>
      </x:c>
      <x:c r="O1392" s="28" t="n">
        <x:v>46203.92188238426</x:v>
      </x:c>
      <x:c r="P1392" s="23" t="str"/>
      <x:c r="Q1392" s="30" t="str"/>
      <x:c r="R1392" s="22" t="str"/>
      <x:c r="S1392" s="23" t="str"/>
      <x:c r="T1392" s="22" t="str"/>
      <x:c r="U1392" s="23" t="str">
        <x:v>GELSON LUIZ ANANIAS</x:v>
      </x:c>
      <x:c r="V1392" s="22" t="str">
        <x:f>"34005884822"</x:f>
        <x:v>34005884822</x:v>
      </x:c>
      <x:c r="W1392" s="22" t="str">
        <x:f>"34005884822"</x:f>
        <x:v>34005884822</x:v>
      </x:c>
      <x:c r="X1392" s="23" t="str">
        <x:v>gelsonguaira640@gmail.com</x:v>
      </x:c>
      <x:c r="Y1392" s="22" t="str">
        <x:f>"17 98167-9293"</x:f>
        <x:v>17 98167-9293</x:v>
      </x:c>
      <x:c r="Z1392" s="30" t="str"/>
    </x:row>
    <x:row r="1393" ht="18" customHeight="1">
      <x:c r="A1393" s="22" t="str">
        <x:f>"48514d4f-48da-4c98-9893-685780cd4974"</x:f>
        <x:v>48514d4f-48da-4c98-9893-685780cd4974</x:v>
      </x:c>
      <x:c r="B1393" s="23" t="str">
        <x:v>GEMERSON JANUARIO PEREIRA</x:v>
      </x:c>
      <x:c r="C1393" s="23" t="str">
        <x:v>gemerson januario pereira</x:v>
      </x:c>
      <x:c r="D1393" s="22" t="str">
        <x:f>"61.900.872/0001-09"</x:f>
        <x:v>61.900.872/0001-09</x:v>
      </x:c>
      <x:c r="E1393" s="22" t="str">
        <x:f>"61900872000109"</x:f>
        <x:v>61900872000109</x:v>
      </x:c>
      <x:c r="F1393" s="22" t="str">
        <x:f>"368.267.368-70"</x:f>
        <x:v>368.267.368-70</x:v>
      </x:c>
      <x:c r="G1393" s="22" t="str">
        <x:f>"36826736870"</x:f>
        <x:v>36826736870</x:v>
      </x:c>
      <x:c r="H1393" s="23" t="str">
        <x:v>naoseigermeson@gmail.com</x:v>
      </x:c>
      <x:c r="I1393" s="22" t="str">
        <x:f>"17 99277-9361"</x:f>
        <x:v>17 99277-9361</x:v>
      </x:c>
      <x:c r="J1393" s="23" t="str">
        <x:v>RENTAL</x:v>
      </x:c>
      <x:c r="K1393" s="23" t="str">
        <x:v>rental_company</x:v>
      </x:c>
      <x:c r="L1393" s="24" t="b">
        <x:v>1</x:v>
      </x:c>
      <x:c r="M1393" s="23" t="n">
        <x:v>1</x:v>
      </x:c>
      <x:c r="N1393" s="28" t="n">
        <x:v>46203.92184908565</x:v>
      </x:c>
      <x:c r="O1393" s="28" t="n">
        <x:v>46205.605124456015</x:v>
      </x:c>
      <x:c r="P1393" s="23" t="str">
        <x:v>BARRETOS</x:v>
      </x:c>
      <x:c r="Q1393" s="30" t="n">
        <x:v>30228</x:v>
      </x:c>
      <x:c r="R1393" s="22" t="str">
        <x:f>"37435408X"</x:f>
        <x:v>37435408X</x:v>
      </x:c>
      <x:c r="S1393" s="23" t="str">
        <x:v>Masculino</x:v>
      </x:c>
      <x:c r="T1393" s="22" t="str"/>
      <x:c r="U1393" s="23" t="str">
        <x:v>GEMERSON JANUARIO PEREIRA</x:v>
      </x:c>
      <x:c r="V1393" s="22" t="str">
        <x:f>"36826736870"</x:f>
        <x:v>36826736870</x:v>
      </x:c>
      <x:c r="W1393" s="22" t="str">
        <x:f>"36826736870"</x:f>
        <x:v>36826736870</x:v>
      </x:c>
      <x:c r="X1393" s="23" t="str">
        <x:v>naoseigermeson@gmail.com</x:v>
      </x:c>
      <x:c r="Y1393" s="22" t="str">
        <x:f>"17 99277-9361"</x:f>
        <x:v>17 99277-9361</x:v>
      </x:c>
      <x:c r="Z1393" s="30" t="n">
        <x:v>46227</x:v>
      </x:c>
    </x:row>
    <x:row r="1394" ht="18" customHeight="1">
      <x:c r="A1394" s="22" t="str">
        <x:f>"6e57a3b8-fbda-4b7d-8e61-72441b795f6f"</x:f>
        <x:v>6e57a3b8-fbda-4b7d-8e61-72441b795f6f</x:v>
      </x:c>
      <x:c r="B1394" s="23" t="str">
        <x:v>GENEIS NOGUEIRA DO AMARAL NETO</x:v>
      </x:c>
      <x:c r="C1394" s="23" t="str">
        <x:v>geneis nogueira do amaral neto</x:v>
      </x:c>
      <x:c r="D1394" s="22" t="str">
        <x:f>"62.748.685/0001-06"</x:f>
        <x:v>62.748.685/0001-06</x:v>
      </x:c>
      <x:c r="E1394" s="22" t="str">
        <x:f>"62748685000106"</x:f>
        <x:v>62748685000106</x:v>
      </x:c>
      <x:c r="F1394" s="22" t="str">
        <x:f>"009.135.521-43"</x:f>
        <x:v>009.135.521-43</x:v>
      </x:c>
      <x:c r="G1394" s="22" t="str">
        <x:f>"00913552143"</x:f>
        <x:v>00913552143</x:v>
      </x:c>
      <x:c r="H1394" s="23" t="str">
        <x:v>geneiskaiky18@gmail.com</x:v>
      </x:c>
      <x:c r="I1394" s="22" t="str">
        <x:f>"(64)99224-0651"</x:f>
        <x:v>(64)99224-0651</x:v>
      </x:c>
      <x:c r="J1394" s="23" t="str">
        <x:v>SPOT</x:v>
      </x:c>
      <x:c r="K1394" s="23" t="str">
        <x:v>favored_only</x:v>
      </x:c>
      <x:c r="L1394" s="24" t="b">
        <x:v>1</x:v>
      </x:c>
      <x:c r="M1394" s="23" t="n">
        <x:v>1</x:v>
      </x:c>
      <x:c r="N1394" s="28" t="n">
        <x:v>46203.92191240741</x:v>
      </x:c>
      <x:c r="O1394" s="28" t="n">
        <x:v>46219.812988715275</x:v>
      </x:c>
      <x:c r="P1394" s="23" t="str">
        <x:v>RIO VERDE</x:v>
      </x:c>
      <x:c r="Q1394" s="30" t="n">
        <x:v>30804</x:v>
      </x:c>
      <x:c r="R1394" s="22" t="str">
        <x:f>"4236954"</x:f>
        <x:v>4236954</x:v>
      </x:c>
      <x:c r="S1394" s="23" t="str">
        <x:v>masculino</x:v>
      </x:c>
      <x:c r="T1394" s="22" t="str">
        <x:f>"PRH8H56"</x:f>
        <x:v>PRH8H56</x:v>
      </x:c>
      <x:c r="U1394" s="23" t="str">
        <x:v>GENEIS NOGUEIRA DO AMARAL NETO</x:v>
      </x:c>
      <x:c r="V1394" s="22" t="str">
        <x:f>"009.135.521-43"</x:f>
        <x:v>009.135.521-43</x:v>
      </x:c>
      <x:c r="W1394" s="22" t="str">
        <x:f>"00913552143"</x:f>
        <x:v>00913552143</x:v>
      </x:c>
      <x:c r="X1394" s="23" t="str">
        <x:v>geneiskaiky18@gmail.com</x:v>
      </x:c>
      <x:c r="Y1394" s="22" t="str">
        <x:f>"(64)99224-0651"</x:f>
        <x:v>(64)99224-0651</x:v>
      </x:c>
      <x:c r="Z1394" s="30" t="n">
        <x:v>46288</x:v>
      </x:c>
    </x:row>
    <x:row r="1395" ht="18" customHeight="1">
      <x:c r="A1395" s="22" t="str">
        <x:f>"ca492815-6613-4403-bd65-85606ebda40c"</x:f>
        <x:v>ca492815-6613-4403-bd65-85606ebda40c</x:v>
      </x:c>
      <x:c r="B1395" s="23" t="str">
        <x:v>GENILSON AMARAL DOS SANTOS</x:v>
      </x:c>
      <x:c r="C1395" s="23" t="str">
        <x:v>genilson amaral dos santos</x:v>
      </x:c>
      <x:c r="D1395" s="22" t="str">
        <x:f>"57.344.439/0001-59"</x:f>
        <x:v>57.344.439/0001-59</x:v>
      </x:c>
      <x:c r="E1395" s="22" t="str">
        <x:f>"57344439000159"</x:f>
        <x:v>57344439000159</x:v>
      </x:c>
      <x:c r="F1395" s="22" t="str">
        <x:f>"106.021.676-04"</x:f>
        <x:v>106.021.676-04</x:v>
      </x:c>
      <x:c r="G1395" s="22" t="str">
        <x:f>"10602167604"</x:f>
        <x:v>10602167604</x:v>
      </x:c>
      <x:c r="H1395" s="23" t="str">
        <x:v>geninhoadsantos000@gmail.com</x:v>
      </x:c>
      <x:c r="I1395" s="22" t="str">
        <x:f>"31989728499"</x:f>
        <x:v>31989728499</x:v>
      </x:c>
      <x:c r="J1395" s="23" t="str">
        <x:v>SPOT</x:v>
      </x:c>
      <x:c r="K1395" s="23" t="str">
        <x:v>favored_only</x:v>
      </x:c>
      <x:c r="L1395" s="24" t="b">
        <x:v>1</x:v>
      </x:c>
      <x:c r="M1395" s="23" t="n">
        <x:v>1</x:v>
      </x:c>
      <x:c r="N1395" s="28" t="n">
        <x:v>46219.812988715275</x:v>
      </x:c>
      <x:c r="O1395" s="28" t="n">
        <x:v>46219.812988715275</x:v>
      </x:c>
      <x:c r="P1395" s="23" t="str">
        <x:v>IPATINGA</x:v>
      </x:c>
      <x:c r="Q1395" s="30" t="n">
        <x:v>34333</x:v>
      </x:c>
      <x:c r="R1395" s="22" t="str">
        <x:f>"MG 17168214 SSP MG"</x:f>
        <x:v>MG 17168214 SSP MG</x:v>
      </x:c>
      <x:c r="S1395" s="23" t="str">
        <x:v>masculino</x:v>
      </x:c>
      <x:c r="T1395" s="22" t="str">
        <x:f>"RUC3G91"</x:f>
        <x:v>RUC3G91</x:v>
      </x:c>
      <x:c r="U1395" s="23" t="str">
        <x:v>GENILSON AMARAL DOS SANTOS</x:v>
      </x:c>
      <x:c r="V1395" s="22" t="str">
        <x:f>"106.021.676-04"</x:f>
        <x:v>106.021.676-04</x:v>
      </x:c>
      <x:c r="W1395" s="22" t="str">
        <x:f>"10602167604"</x:f>
        <x:v>10602167604</x:v>
      </x:c>
      <x:c r="X1395" s="23" t="str">
        <x:v>geninhoadsantos000@gmail.com</x:v>
      </x:c>
      <x:c r="Y1395" s="22" t="str">
        <x:f>"31989728499"</x:f>
        <x:v>31989728499</x:v>
      </x:c>
      <x:c r="Z1395" s="30" t="n">
        <x:v>46477</x:v>
      </x:c>
    </x:row>
    <x:row r="1396" ht="18" customHeight="1">
      <x:c r="A1396" s="22" t="str">
        <x:f>"0d09fc85-52fd-44c6-9f02-185457e26c71"</x:f>
        <x:v>0d09fc85-52fd-44c6-9f02-185457e26c71</x:v>
      </x:c>
      <x:c r="B1396" s="23" t="str">
        <x:v>GENILSON MATHEUS PEREIRA DE SOUSA</x:v>
      </x:c>
      <x:c r="C1396" s="23" t="str">
        <x:v>genilson matheus pereira de sousa</x:v>
      </x:c>
      <x:c r="D1396" s="22" t="str">
        <x:f>"65.867.354/0001-83"</x:f>
        <x:v>65.867.354/0001-83</x:v>
      </x:c>
      <x:c r="E1396" s="22" t="str">
        <x:f>"65867354000183"</x:f>
        <x:v>65867354000183</x:v>
      </x:c>
      <x:c r="F1396" s="22" t="str">
        <x:f>"482.918.768-94"</x:f>
        <x:v>482.918.768-94</x:v>
      </x:c>
      <x:c r="G1396" s="22" t="str">
        <x:f>"48291876894"</x:f>
        <x:v>48291876894</x:v>
      </x:c>
      <x:c r="H1396" s="23" t="str">
        <x:v>gensionpereira17@gmail.com</x:v>
      </x:c>
      <x:c r="I1396" s="22" t="str">
        <x:f>"17 99166-9386"</x:f>
        <x:v>17 99166-9386</x:v>
      </x:c>
      <x:c r="J1396" s="23" t="str">
        <x:v>spot</x:v>
      </x:c>
      <x:c r="K1396" s="23" t="str">
        <x:v>favored_only</x:v>
      </x:c>
      <x:c r="L1396" s="24" t="b">
        <x:v>1</x:v>
      </x:c>
      <x:c r="M1396" s="23" t="n">
        <x:v>1</x:v>
      </x:c>
      <x:c r="N1396" s="28" t="n">
        <x:v>46219.812988715275</x:v>
      </x:c>
      <x:c r="O1396" s="28" t="n">
        <x:v>46219.812988715275</x:v>
      </x:c>
      <x:c r="P1396" s="23" t="str">
        <x:v>SÃO JOSE DO RIO PRETO</x:v>
      </x:c>
      <x:c r="Q1396" s="30" t="n">
        <x:v>36663</x:v>
      </x:c>
      <x:c r="R1396" s="22" t="str">
        <x:f>"58551082"</x:f>
        <x:v>58551082</x:v>
      </x:c>
      <x:c r="S1396" s="23" t="str">
        <x:v>masculino</x:v>
      </x:c>
      <x:c r="T1396" s="22" t="str">
        <x:f>"RUH6B79"</x:f>
        <x:v>RUH6B79</x:v>
      </x:c>
      <x:c r="U1396" s="23" t="str">
        <x:v>GENILSON MATHEUS PEREIRA DE SOUSA</x:v>
      </x:c>
      <x:c r="V1396" s="22" t="str">
        <x:f>"482.918.768-94"</x:f>
        <x:v>482.918.768-94</x:v>
      </x:c>
      <x:c r="W1396" s="22" t="str">
        <x:f>"48291876894"</x:f>
        <x:v>48291876894</x:v>
      </x:c>
      <x:c r="X1396" s="23" t="str">
        <x:v>gensionpereira17@gmail.com</x:v>
      </x:c>
      <x:c r="Y1396" s="22" t="str">
        <x:f>"17 99166-9386"</x:f>
        <x:v>17 99166-9386</x:v>
      </x:c>
      <x:c r="Z1396" s="30" t="n">
        <x:v>46528</x:v>
      </x:c>
    </x:row>
    <x:row r="1397" ht="18" customHeight="1">
      <x:c r="A1397" s="22" t="str">
        <x:f>"0e7b4d42-e2b1-4ee9-8924-02cc58fb5b10"</x:f>
        <x:v>0e7b4d42-e2b1-4ee9-8924-02cc58fb5b10</x:v>
      </x:c>
      <x:c r="B1397" s="23" t="str">
        <x:v>GENIVALDO CALDEIRA MARTINS</x:v>
      </x:c>
      <x:c r="C1397" s="23" t="str">
        <x:v>genivaldo caldeira martins</x:v>
      </x:c>
      <x:c r="D1397" s="22" t="str">
        <x:f>"57.604.487/0001-39"</x:f>
        <x:v>57.604.487/0001-39</x:v>
      </x:c>
      <x:c r="E1397" s="22" t="str">
        <x:f>"57604487000139"</x:f>
        <x:v>57604487000139</x:v>
      </x:c>
      <x:c r="F1397" s="22" t="str">
        <x:f>"057.395.456-92"</x:f>
        <x:v>057.395.456-92</x:v>
      </x:c>
      <x:c r="G1397" s="22" t="str">
        <x:f>"05739545692"</x:f>
        <x:v>05739545692</x:v>
      </x:c>
      <x:c r="H1397" s="23" t="str">
        <x:v>gecaldeira05@gmail.com</x:v>
      </x:c>
      <x:c r="I1397" s="22" t="str">
        <x:f>"33999250087"</x:f>
        <x:v>33999250087</x:v>
      </x:c>
      <x:c r="J1397" s="23" t="str">
        <x:v>SPOT</x:v>
      </x:c>
      <x:c r="K1397" s="23" t="str">
        <x:v>favored_only</x:v>
      </x:c>
      <x:c r="L1397" s="24" t="b">
        <x:v>1</x:v>
      </x:c>
      <x:c r="M1397" s="23" t="n">
        <x:v>1</x:v>
      </x:c>
      <x:c r="N1397" s="28" t="n">
        <x:v>46203.92189349537</x:v>
      </x:c>
      <x:c r="O1397" s="28" t="n">
        <x:v>46219.812988715275</x:v>
      </x:c>
      <x:c r="P1397" s="23" t="str">
        <x:v>GUANHAES</x:v>
      </x:c>
      <x:c r="Q1397" s="30" t="n">
        <x:v>30827</x:v>
      </x:c>
      <x:c r="R1397" s="22" t="str">
        <x:f>"12824375"</x:f>
        <x:v>12824375</x:v>
      </x:c>
      <x:c r="S1397" s="23" t="str">
        <x:v>masculino</x:v>
      </x:c>
      <x:c r="T1397" s="22" t="str">
        <x:f>"HEM7896"</x:f>
        <x:v>HEM7896</x:v>
      </x:c>
      <x:c r="U1397" s="23" t="str">
        <x:v>GENIVALDO CALDEIRA MARTINS</x:v>
      </x:c>
      <x:c r="V1397" s="22" t="str">
        <x:f>"057.395.456-92"</x:f>
        <x:v>057.395.456-92</x:v>
      </x:c>
      <x:c r="W1397" s="22" t="str">
        <x:f>"05739545692"</x:f>
        <x:v>05739545692</x:v>
      </x:c>
      <x:c r="X1397" s="23" t="str">
        <x:v>gecaldeira05@gmail.com</x:v>
      </x:c>
      <x:c r="Y1397" s="22" t="str">
        <x:f>"33999250087"</x:f>
        <x:v>33999250087</x:v>
      </x:c>
      <x:c r="Z1397" s="30" t="n">
        <x:v>46339</x:v>
      </x:c>
    </x:row>
    <x:row r="1398" ht="18" customHeight="1">
      <x:c r="A1398" s="22" t="str">
        <x:f>"0174f78c-e75e-43f1-a988-cce53f9770b4"</x:f>
        <x:v>0174f78c-e75e-43f1-a988-cce53f9770b4</x:v>
      </x:c>
      <x:c r="B1398" s="23" t="str">
        <x:v>GENIVALDO OLIVEIRA RAMOS FARIAS</x:v>
      </x:c>
      <x:c r="C1398" s="23" t="str">
        <x:v>genivaldo oliveira ramos farias</x:v>
      </x:c>
      <x:c r="D1398" s="22" t="str">
        <x:f>"63.272.182/0001-70"</x:f>
        <x:v>63.272.182/0001-70</x:v>
      </x:c>
      <x:c r="E1398" s="22" t="str">
        <x:f>"63272182000170"</x:f>
        <x:v>63272182000170</x:v>
      </x:c>
      <x:c r="F1398" s="22" t="str">
        <x:f>"482.909.488-59"</x:f>
        <x:v>482.909.488-59</x:v>
      </x:c>
      <x:c r="G1398" s="22" t="str">
        <x:f>"48290948859"</x:f>
        <x:v>48290948859</x:v>
      </x:c>
      <x:c r="H1398" s="23" t="str">
        <x:v>gefarias643@gmail.com</x:v>
      </x:c>
      <x:c r="I1398" s="22" t="str">
        <x:f>"17 99108-4401"</x:f>
        <x:v>17 99108-4401</x:v>
      </x:c>
      <x:c r="J1398" s="23" t="str">
        <x:v>RENTAL</x:v>
      </x:c>
      <x:c r="K1398" s="23" t="str">
        <x:v>rental_company</x:v>
      </x:c>
      <x:c r="L1398" s="24" t="b">
        <x:v>1</x:v>
      </x:c>
      <x:c r="M1398" s="23" t="n">
        <x:v>1</x:v>
      </x:c>
      <x:c r="N1398" s="28" t="n">
        <x:v>46203.9218771875</x:v>
      </x:c>
      <x:c r="O1398" s="28" t="n">
        <x:v>46219.812988715275</x:v>
      </x:c>
      <x:c r="P1398" s="23" t="str">
        <x:v>SÃO JOSE DO RIO PRETO</x:v>
      </x:c>
      <x:c r="Q1398" s="30" t="n">
        <x:v>38058</x:v>
      </x:c>
      <x:c r="R1398" s="22" t="str">
        <x:f>"652143817"</x:f>
        <x:v>652143817</x:v>
      </x:c>
      <x:c r="S1398" s="23" t="str">
        <x:v>masculino</x:v>
      </x:c>
      <x:c r="T1398" s="22" t="str"/>
      <x:c r="U1398" s="23" t="str">
        <x:v>GENIVALDO OLIVEIRA RAMOS FARIAS</x:v>
      </x:c>
      <x:c r="V1398" s="22" t="str">
        <x:f>"482.909.488-59"</x:f>
        <x:v>482.909.488-59</x:v>
      </x:c>
      <x:c r="W1398" s="22" t="str">
        <x:f>"48290948859"</x:f>
        <x:v>48290948859</x:v>
      </x:c>
      <x:c r="X1398" s="23" t="str">
        <x:v>gefarias643@gmail.com</x:v>
      </x:c>
      <x:c r="Y1398" s="22" t="str">
        <x:f>"17 99108-4401"</x:f>
        <x:v>17 99108-4401</x:v>
      </x:c>
      <x:c r="Z1398" s="30" t="n">
        <x:v>46315</x:v>
      </x:c>
    </x:row>
    <x:row r="1399" ht="18" customHeight="1">
      <x:c r="A1399" s="22" t="str">
        <x:f>"102d02c0-7a8a-4111-bb7c-3e661aa3e789"</x:f>
        <x:v>102d02c0-7a8a-4111-bb7c-3e661aa3e789</x:v>
      </x:c>
      <x:c r="B1399" s="23" t="str">
        <x:v>GEOVANA RAGATIERI</x:v>
      </x:c>
      <x:c r="C1399" s="23" t="str">
        <x:v>geovana ragatieri</x:v>
      </x:c>
      <x:c r="D1399" s="22" t="str">
        <x:f>"46.594.824/0001-38"</x:f>
        <x:v>46.594.824/0001-38</x:v>
      </x:c>
      <x:c r="E1399" s="22" t="str">
        <x:f>"46594824000138"</x:f>
        <x:v>46594824000138</x:v>
      </x:c>
      <x:c r="F1399" s="22" t="str">
        <x:f>"299.790.768-36"</x:f>
        <x:v>299.790.768-36</x:v>
      </x:c>
      <x:c r="G1399" s="22" t="str">
        <x:f>"29979076836"</x:f>
        <x:v>29979076836</x:v>
      </x:c>
      <x:c r="H1399" s="23" t="str">
        <x:v>geovanaregatieri1@gmail.com</x:v>
      </x:c>
      <x:c r="I1399" s="22" t="str">
        <x:f>"65999270801"</x:f>
        <x:v>65999270801</x:v>
      </x:c>
      <x:c r="J1399" s="23" t="str">
        <x:v>SPOT</x:v>
      </x:c>
      <x:c r="K1399" s="23" t="str">
        <x:v>favored_only</x:v>
      </x:c>
      <x:c r="L1399" s="24" t="b">
        <x:v>1</x:v>
      </x:c>
      <x:c r="M1399" s="23" t="n">
        <x:v>1</x:v>
      </x:c>
      <x:c r="N1399" s="28" t="n">
        <x:v>46219.812988715275</x:v>
      </x:c>
      <x:c r="O1399" s="28" t="n">
        <x:v>46219.812988715275</x:v>
      </x:c>
      <x:c r="P1399" s="23" t="str">
        <x:v>CÁCERES</x:v>
      </x:c>
      <x:c r="Q1399" s="30" t="n">
        <x:v>29367</x:v>
      </x:c>
      <x:c r="R1399" s="22" t="str">
        <x:f>"14226219"</x:f>
        <x:v>14226219</x:v>
      </x:c>
      <x:c r="S1399" s="23" t="str">
        <x:v>feminino</x:v>
      </x:c>
      <x:c r="T1399" s="22" t="str">
        <x:f>"rro7f67"</x:f>
        <x:v>rro7f67</x:v>
      </x:c>
      <x:c r="U1399" s="23" t="str">
        <x:v>LEONEL REGATIERI NETO</x:v>
      </x:c>
      <x:c r="V1399" s="22" t="str">
        <x:f>"076.207.311-05"</x:f>
        <x:v>076.207.311-05</x:v>
      </x:c>
      <x:c r="W1399" s="22" t="str">
        <x:f>"07620731105"</x:f>
        <x:v>07620731105</x:v>
      </x:c>
      <x:c r="X1399" s="23" t="str">
        <x:v>netoregatieri24@hotmail.com</x:v>
      </x:c>
      <x:c r="Y1399" s="22" t="str">
        <x:f>"+55 65 9644-1193"</x:f>
        <x:v>+55 65 9644-1193</x:v>
      </x:c>
      <x:c r="Z1399" s="30" t="n">
        <x:v>46463</x:v>
      </x:c>
    </x:row>
    <x:row r="1400" ht="18" customHeight="1">
      <x:c r="A1400" s="22" t="str">
        <x:f>"d9f1f1b2-8f5c-4d58-ae28-6e01f0e4bea1"</x:f>
        <x:v>d9f1f1b2-8f5c-4d58-ae28-6e01f0e4bea1</x:v>
      </x:c>
      <x:c r="B1400" s="23" t="str">
        <x:v>GEOVANE  CASSIANO MIRANDA MENDES</x:v>
      </x:c>
      <x:c r="C1400" s="23" t="str">
        <x:v>geovane  cassiano miranda mendes</x:v>
      </x:c>
      <x:c r="D1400" s="22" t="str">
        <x:f>"60.442.288/0001-86"</x:f>
        <x:v>60.442.288/0001-86</x:v>
      </x:c>
      <x:c r="E1400" s="22" t="str">
        <x:f>"60442288000186"</x:f>
        <x:v>60442288000186</x:v>
      </x:c>
      <x:c r="F1400" s="22" t="str">
        <x:f>"479.526.298-59"</x:f>
        <x:v>479.526.298-59</x:v>
      </x:c>
      <x:c r="G1400" s="22" t="str">
        <x:f>"47952629859"</x:f>
        <x:v>47952629859</x:v>
      </x:c>
      <x:c r="H1400" s="23" t="str">
        <x:v>geovanebarretos2001@gmail.com</x:v>
      </x:c>
      <x:c r="I1400" s="22" t="str">
        <x:f>"17991835621"</x:f>
        <x:v>17991835621</x:v>
      </x:c>
      <x:c r="J1400" s="23" t="str">
        <x:v>RENTAL</x:v>
      </x:c>
      <x:c r="K1400" s="23" t="str">
        <x:v>rental_company</x:v>
      </x:c>
      <x:c r="L1400" s="24" t="b">
        <x:v>1</x:v>
      </x:c>
      <x:c r="M1400" s="23" t="n">
        <x:v>1</x:v>
      </x:c>
      <x:c r="N1400" s="28" t="n">
        <x:v>46205.60345037037</x:v>
      </x:c>
      <x:c r="O1400" s="28" t="n">
        <x:v>46205.60499574074</x:v>
      </x:c>
      <x:c r="P1400" s="23" t="str">
        <x:v>BARRETOS</x:v>
      </x:c>
      <x:c r="Q1400" s="30" t="n">
        <x:v>37013</x:v>
      </x:c>
      <x:c r="R1400" s="22" t="str">
        <x:f>"58.370.466-9"</x:f>
        <x:v>58.370.466-9</x:v>
      </x:c>
      <x:c r="S1400" s="23" t="str">
        <x:v>Masculino</x:v>
      </x:c>
      <x:c r="T1400" s="22" t="str"/>
      <x:c r="U1400" s="23" t="str">
        <x:v>GEOVANE  CASSIANO MIRANDA MENDES</x:v>
      </x:c>
      <x:c r="V1400" s="22" t="str">
        <x:f>"479.526.298-59"</x:f>
        <x:v>479.526.298-59</x:v>
      </x:c>
      <x:c r="W1400" s="22" t="str">
        <x:f>"47952629859"</x:f>
        <x:v>47952629859</x:v>
      </x:c>
      <x:c r="X1400" s="23" t="str">
        <x:v>geovanebarretos2001@gmail.com</x:v>
      </x:c>
      <x:c r="Y1400" s="22" t="str">
        <x:f>"17991835621"</x:f>
        <x:v>17991835621</x:v>
      </x:c>
      <x:c r="Z1400" s="30" t="n">
        <x:v>46221</x:v>
      </x:c>
    </x:row>
    <x:row r="1401" ht="18" customHeight="1">
      <x:c r="A1401" s="22" t="str">
        <x:f>"4183ce00-55f3-470e-982a-33e98e9c80a2"</x:f>
        <x:v>4183ce00-55f3-470e-982a-33e98e9c80a2</x:v>
      </x:c>
      <x:c r="B1401" s="23" t="str">
        <x:v>GEOVANI ELIAS DA SILVA CELES</x:v>
      </x:c>
      <x:c r="C1401" s="23" t="str">
        <x:v>geovani elias da silva celes</x:v>
      </x:c>
      <x:c r="D1401" s="22" t="str">
        <x:f>"65.384.825/0001-00"</x:f>
        <x:v>65.384.825/0001-00</x:v>
      </x:c>
      <x:c r="E1401" s="22" t="str">
        <x:f>"65384825000100"</x:f>
        <x:v>65384825000100</x:v>
      </x:c>
      <x:c r="F1401" s="22" t="str">
        <x:f>"399.876.088-17"</x:f>
        <x:v>399.876.088-17</x:v>
      </x:c>
      <x:c r="G1401" s="22" t="str">
        <x:f>"39987608817"</x:f>
        <x:v>39987608817</x:v>
      </x:c>
      <x:c r="H1401" s="23" t="str">
        <x:v>geovani_elias@hotmail.com</x:v>
      </x:c>
      <x:c r="I1401" s="22" t="str">
        <x:f>"11 982185375"</x:f>
        <x:v>11 982185375</x:v>
      </x:c>
      <x:c r="J1401" s="23" t="str">
        <x:v>SPOT</x:v>
      </x:c>
      <x:c r="K1401" s="23" t="str">
        <x:v>favored_only</x:v>
      </x:c>
      <x:c r="L1401" s="24" t="b">
        <x:v>1</x:v>
      </x:c>
      <x:c r="M1401" s="23" t="n">
        <x:v>1</x:v>
      </x:c>
      <x:c r="N1401" s="28" t="n">
        <x:v>46219.812988715275</x:v>
      </x:c>
      <x:c r="O1401" s="28" t="n">
        <x:v>46219.812988715275</x:v>
      </x:c>
      <x:c r="P1401" s="23" t="str">
        <x:v>BARUERI</x:v>
      </x:c>
      <x:c r="Q1401" s="30" t="n">
        <x:v>33565</x:v>
      </x:c>
      <x:c r="R1401" s="22" t="str">
        <x:f>"48037150 7"</x:f>
        <x:v>48037150 7</x:v>
      </x:c>
      <x:c r="S1401" s="23" t="str">
        <x:v>masculino</x:v>
      </x:c>
      <x:c r="T1401" s="22" t="str">
        <x:f>"EVK7B35"</x:f>
        <x:v>EVK7B35</x:v>
      </x:c>
      <x:c r="U1401" s="23" t="str">
        <x:v>GEOVANI ELIAS DA SILVA CELES</x:v>
      </x:c>
      <x:c r="V1401" s="22" t="str">
        <x:f>"399.876.088-17"</x:f>
        <x:v>399.876.088-17</x:v>
      </x:c>
      <x:c r="W1401" s="22" t="str">
        <x:f>"39987608817"</x:f>
        <x:v>39987608817</x:v>
      </x:c>
      <x:c r="X1401" s="23" t="str">
        <x:v>geovani_elias@hotmail.com</x:v>
      </x:c>
      <x:c r="Y1401" s="22" t="str">
        <x:f>"11 982185375"</x:f>
        <x:v>11 982185375</x:v>
      </x:c>
      <x:c r="Z1401" s="30" t="n">
        <x:v>46448</x:v>
      </x:c>
    </x:row>
    <x:row r="1402" ht="18" customHeight="1">
      <x:c r="A1402" s="22" t="str">
        <x:f>"d294b27f-8bef-415c-8b85-faffbf3e85d0"</x:f>
        <x:v>d294b27f-8bef-415c-8b85-faffbf3e85d0</x:v>
      </x:c>
      <x:c r="B1402" s="23" t="str">
        <x:v>GERALDO EDINEY GOMES DOS REIS</x:v>
      </x:c>
      <x:c r="C1402" s="23" t="str">
        <x:v>geraldo ediney gomes dos reis</x:v>
      </x:c>
      <x:c r="D1402" s="22" t="str">
        <x:f>"65.327.906/0001-60"</x:f>
        <x:v>65.327.906/0001-60</x:v>
      </x:c>
      <x:c r="E1402" s="22" t="str">
        <x:f>"65327906000160"</x:f>
        <x:v>65327906000160</x:v>
      </x:c>
      <x:c r="F1402" s="22" t="str">
        <x:f>"039.867.936-31"</x:f>
        <x:v>039.867.936-31</x:v>
      </x:c>
      <x:c r="G1402" s="22" t="str">
        <x:f>"03986793631"</x:f>
        <x:v>03986793631</x:v>
      </x:c>
      <x:c r="H1402" s="23" t="str">
        <x:v>dineyg60@gmail.com</x:v>
      </x:c>
      <x:c r="I1402" s="22" t="str">
        <x:f>"3398443-0476"</x:f>
        <x:v>3398443-0476</x:v>
      </x:c>
      <x:c r="J1402" s="23" t="str">
        <x:v>SPOT</x:v>
      </x:c>
      <x:c r="K1402" s="23" t="str">
        <x:v>favored_only</x:v>
      </x:c>
      <x:c r="L1402" s="24" t="b">
        <x:v>1</x:v>
      </x:c>
      <x:c r="M1402" s="23" t="n">
        <x:v>1</x:v>
      </x:c>
      <x:c r="N1402" s="28" t="n">
        <x:v>46219.812988715275</x:v>
      </x:c>
      <x:c r="O1402" s="28" t="n">
        <x:v>46219.812988715275</x:v>
      </x:c>
      <x:c r="P1402" s="23" t="str">
        <x:v>GUANHAES</x:v>
      </x:c>
      <x:c r="Q1402" s="30" t="n">
        <x:v>29061</x:v>
      </x:c>
      <x:c r="R1402" s="22" t="str">
        <x:f>"11083481"</x:f>
        <x:v>11083481</x:v>
      </x:c>
      <x:c r="S1402" s="23" t="str">
        <x:v>masculino</x:v>
      </x:c>
      <x:c r="T1402" s="22" t="str">
        <x:f>"Hcyb206"</x:f>
        <x:v>Hcyb206</x:v>
      </x:c>
      <x:c r="U1402" s="23" t="str">
        <x:v>GERALDO EDINEY GOMES DOS REIS</x:v>
      </x:c>
      <x:c r="V1402" s="22" t="str">
        <x:f>"039.867.936-31"</x:f>
        <x:v>039.867.936-31</x:v>
      </x:c>
      <x:c r="W1402" s="22" t="str">
        <x:f>"03986793631"</x:f>
        <x:v>03986793631</x:v>
      </x:c>
      <x:c r="X1402" s="23" t="str">
        <x:v>dineyg60@gmail.com</x:v>
      </x:c>
      <x:c r="Y1402" s="22" t="str">
        <x:f>"3398443-0476"</x:f>
        <x:v>3398443-0476</x:v>
      </x:c>
      <x:c r="Z1402" s="30" t="n">
        <x:v>46444</x:v>
      </x:c>
    </x:row>
    <x:row r="1403" ht="18" customHeight="1">
      <x:c r="A1403" s="22" t="str">
        <x:f>"706eaa95-9057-4a6d-869d-95acb60f26b2"</x:f>
        <x:v>706eaa95-9057-4a6d-869d-95acb60f26b2</x:v>
      </x:c>
      <x:c r="B1403" s="23" t="str">
        <x:v>GERALDO MAGELA TEIXEIRA</x:v>
      </x:c>
      <x:c r="C1403" s="23" t="str">
        <x:v>geraldo magela teixeira</x:v>
      </x:c>
      <x:c r="D1403" s="22" t="str">
        <x:f>"66.857.423/0001-30"</x:f>
        <x:v>66.857.423/0001-30</x:v>
      </x:c>
      <x:c r="E1403" s="22" t="str">
        <x:f>"66857423000130"</x:f>
        <x:v>66857423000130</x:v>
      </x:c>
      <x:c r="F1403" s="22" t="str">
        <x:f>"010.206.038-01"</x:f>
        <x:v>010.206.038-01</x:v>
      </x:c>
      <x:c r="G1403" s="22" t="str">
        <x:f>"01020603801"</x:f>
        <x:v>01020603801</x:v>
      </x:c>
      <x:c r="H1403" s="23" t="str">
        <x:v>gegeteixeira1959@gmail.com</x:v>
      </x:c>
      <x:c r="I1403" s="22" t="str">
        <x:f>"34 8721-6619"</x:f>
        <x:v>34 8721-6619</x:v>
      </x:c>
      <x:c r="J1403" s="23" t="str">
        <x:v>SPOT</x:v>
      </x:c>
      <x:c r="K1403" s="23" t="str">
        <x:v>favored_only</x:v>
      </x:c>
      <x:c r="L1403" s="24" t="b">
        <x:v>1</x:v>
      </x:c>
      <x:c r="M1403" s="23" t="n">
        <x:v>1</x:v>
      </x:c>
      <x:c r="N1403" s="28" t="n">
        <x:v>46219.812988715275</x:v>
      </x:c>
      <x:c r="O1403" s="28" t="n">
        <x:v>46219.812988715275</x:v>
      </x:c>
      <x:c r="P1403" s="23" t="str">
        <x:v>ARAXÁ</x:v>
      </x:c>
      <x:c r="Q1403" s="30" t="n">
        <x:v>21800</x:v>
      </x:c>
      <x:c r="R1403" s="22" t="str">
        <x:f>"71832"</x:f>
        <x:v>71832</x:v>
      </x:c>
      <x:c r="S1403" s="23" t="str">
        <x:v>masculino</x:v>
      </x:c>
      <x:c r="T1403" s="22" t="str">
        <x:f>"QNO3F41"</x:f>
        <x:v>QNO3F41</x:v>
      </x:c>
      <x:c r="U1403" s="23" t="str">
        <x:v>SUZANAEGIDIANUNES</x:v>
      </x:c>
      <x:c r="V1403" s="22" t="str">
        <x:f>"405.180.006-72"</x:f>
        <x:v>405.180.006-72</x:v>
      </x:c>
      <x:c r="W1403" s="22" t="str">
        <x:f>"40518000672"</x:f>
        <x:v>40518000672</x:v>
      </x:c>
      <x:c r="X1403" s="23" t="str">
        <x:v>suzana_montina@hotmail.com</x:v>
      </x:c>
      <x:c r="Y1403" s="22" t="str">
        <x:f>"34 8721-6619"</x:f>
        <x:v>34 8721-6619</x:v>
      </x:c>
      <x:c r="Z1403" s="30" t="n">
        <x:v>46289</x:v>
      </x:c>
    </x:row>
    <x:row r="1404" ht="18" customHeight="1">
      <x:c r="A1404" s="22" t="str">
        <x:f>"68c10054-2de6-40bc-a23a-063be2649acc"</x:f>
        <x:v>68c10054-2de6-40bc-a23a-063be2649acc</x:v>
      </x:c>
      <x:c r="B1404" s="23" t="str">
        <x:v>GERALDO RODRIGUES DE OLIVEIRA</x:v>
      </x:c>
      <x:c r="C1404" s="23" t="str">
        <x:v>geraldo rodrigues de oliveira</x:v>
      </x:c>
      <x:c r="D1404" s="22" t="str">
        <x:f>"66.904.839/0001-62"</x:f>
        <x:v>66.904.839/0001-62</x:v>
      </x:c>
      <x:c r="E1404" s="22" t="str">
        <x:f>"66904839000162"</x:f>
        <x:v>66904839000162</x:v>
      </x:c>
      <x:c r="F1404" s="22" t="str">
        <x:f>"045.087.596-29"</x:f>
        <x:v>045.087.596-29</x:v>
      </x:c>
      <x:c r="G1404" s="22" t="str">
        <x:f>"04508759629"</x:f>
        <x:v>04508759629</x:v>
      </x:c>
      <x:c r="H1404" s="23" t="str">
        <x:v>ogeraldo501@gmail.com</x:v>
      </x:c>
      <x:c r="I1404" s="22" t="str">
        <x:f>"34996456450"</x:f>
        <x:v>34996456450</x:v>
      </x:c>
      <x:c r="J1404" s="23" t="str">
        <x:v>SPOT</x:v>
      </x:c>
      <x:c r="K1404" s="23" t="str">
        <x:v>favored_only</x:v>
      </x:c>
      <x:c r="L1404" s="24" t="b">
        <x:v>1</x:v>
      </x:c>
      <x:c r="M1404" s="23" t="n">
        <x:v>1</x:v>
      </x:c>
      <x:c r="N1404" s="28" t="n">
        <x:v>46219.812988715275</x:v>
      </x:c>
      <x:c r="O1404" s="28" t="n">
        <x:v>46219.812988715275</x:v>
      </x:c>
      <x:c r="P1404" s="23" t="str">
        <x:v>UBERLANDIA</x:v>
      </x:c>
      <x:c r="Q1404" s="30" t="n">
        <x:v>29661</x:v>
      </x:c>
      <x:c r="R1404" s="22" t="str">
        <x:f>"10370449"</x:f>
        <x:v>10370449</x:v>
      </x:c>
      <x:c r="S1404" s="23" t="str">
        <x:v>masculino</x:v>
      </x:c>
      <x:c r="T1404" s="22" t="str">
        <x:f>"QPT9J05"</x:f>
        <x:v>QPT9J05</x:v>
      </x:c>
      <x:c r="U1404" s="23" t="str">
        <x:v>GERALDO RODRIGUES DE OLIVEIRA</x:v>
      </x:c>
      <x:c r="V1404" s="22" t="str">
        <x:f>"045.087.596-29"</x:f>
        <x:v>045.087.596-29</x:v>
      </x:c>
      <x:c r="W1404" s="22" t="str">
        <x:f>"04508759629"</x:f>
        <x:v>04508759629</x:v>
      </x:c>
      <x:c r="X1404" s="23" t="str">
        <x:v>ogeraldo501@gmail.com</x:v>
      </x:c>
      <x:c r="Y1404" s="22" t="str">
        <x:f>"34996456450"</x:f>
        <x:v>34996456450</x:v>
      </x:c>
      <x:c r="Z1404" s="30" t="n">
        <x:v>46539</x:v>
      </x:c>
    </x:row>
    <x:row r="1405" ht="18" customHeight="1">
      <x:c r="A1405" s="22" t="str">
        <x:f>"0dd6f5a7-6d68-43de-91af-706cb2e4e990"</x:f>
        <x:v>0dd6f5a7-6d68-43de-91af-706cb2e4e990</x:v>
      </x:c>
      <x:c r="B1405" s="23" t="str">
        <x:v>GERALDO VIEIRA</x:v>
      </x:c>
      <x:c r="C1405" s="23" t="str">
        <x:v>geraldo vieira</x:v>
      </x:c>
      <x:c r="D1405" s="22" t="str">
        <x:f>"37.823.997/0001-90"</x:f>
        <x:v>37.823.997/0001-90</x:v>
      </x:c>
      <x:c r="E1405" s="22" t="str">
        <x:f>"37823997000190"</x:f>
        <x:v>37823997000190</x:v>
      </x:c>
      <x:c r="F1405" s="22" t="str">
        <x:f>"023.683.568-86"</x:f>
        <x:v>023.683.568-86</x:v>
      </x:c>
      <x:c r="G1405" s="22" t="str">
        <x:f>"02368356886"</x:f>
        <x:v>02368356886</x:v>
      </x:c>
      <x:c r="H1405" s="23" t="str">
        <x:v>Vieirageraldo738@gmail.com</x:v>
      </x:c>
      <x:c r="I1405" s="22" t="str">
        <x:f>"18 98110-5213"</x:f>
        <x:v>18 98110-5213</x:v>
      </x:c>
      <x:c r="J1405" s="23" t="str">
        <x:v>SPOT</x:v>
      </x:c>
      <x:c r="K1405" s="23" t="str">
        <x:v>favored_only</x:v>
      </x:c>
      <x:c r="L1405" s="24" t="b">
        <x:v>1</x:v>
      </x:c>
      <x:c r="M1405" s="23" t="n">
        <x:v>1</x:v>
      </x:c>
      <x:c r="N1405" s="28" t="n">
        <x:v>46205.60537752315</x:v>
      </x:c>
      <x:c r="O1405" s="28" t="n">
        <x:v>46219.812988715275</x:v>
      </x:c>
      <x:c r="P1405" s="23" t="str">
        <x:v>CHAPADÃO DO SUL</x:v>
      </x:c>
      <x:c r="Q1405" s="30" t="n">
        <x:v>23128</x:v>
      </x:c>
      <x:c r="R1405" s="22" t="str">
        <x:f>"16428460"</x:f>
        <x:v>16428460</x:v>
      </x:c>
      <x:c r="S1405" s="23" t="str">
        <x:v>masculino</x:v>
      </x:c>
      <x:c r="T1405" s="22" t="str">
        <x:f>"HBG6J96"</x:f>
        <x:v>HBG6J96</x:v>
      </x:c>
      <x:c r="U1405" s="23" t="str">
        <x:v>DANILLO BACIEL ALMEIDA</x:v>
      </x:c>
      <x:c r="V1405" s="22" t="str">
        <x:f>"962.005.291-91"</x:f>
        <x:v>962.005.291-91</x:v>
      </x:c>
      <x:c r="W1405" s="22" t="str">
        <x:f>"96200529191"</x:f>
        <x:v>96200529191</x:v>
      </x:c>
      <x:c r="X1405" s="23" t="str">
        <x:v>RPT.cargas@gmail.com</x:v>
      </x:c>
      <x:c r="Y1405" s="22" t="str">
        <x:f>"(62) 99661-0607"</x:f>
        <x:v>(62) 99661-0607</x:v>
      </x:c>
      <x:c r="Z1405" s="30" t="n">
        <x:v>46322</x:v>
      </x:c>
    </x:row>
    <x:row r="1406" ht="18" customHeight="1">
      <x:c r="A1406" s="22" t="str">
        <x:f>"975eb235-8947-4ece-a674-3b4ea71ba611"</x:f>
        <x:v>975eb235-8947-4ece-a674-3b4ea71ba611</x:v>
      </x:c>
      <x:c r="B1406" s="23" t="str">
        <x:v>GERALDO WAGNER DE OLIVEIRA</x:v>
      </x:c>
      <x:c r="C1406" s="23" t="str">
        <x:v>geraldo wagner de oliveira</x:v>
      </x:c>
      <x:c r="D1406" s="22" t="str">
        <x:f>"58.532.191/0001-12"</x:f>
        <x:v>58.532.191/0001-12</x:v>
      </x:c>
      <x:c r="E1406" s="22" t="str">
        <x:f>"58532191000112"</x:f>
        <x:v>58532191000112</x:v>
      </x:c>
      <x:c r="F1406" s="22" t="str">
        <x:f>"572.160.966-49"</x:f>
        <x:v>572.160.966-49</x:v>
      </x:c>
      <x:c r="G1406" s="22" t="str">
        <x:f>"57216096649"</x:f>
        <x:v>57216096649</x:v>
      </x:c>
      <x:c r="H1406" s="23" t="str">
        <x:v>gwagneroliveira@gmail.com</x:v>
      </x:c>
      <x:c r="I1406" s="22" t="str">
        <x:f>"33 9 8861-3324"</x:f>
        <x:v>33 9 8861-3324</x:v>
      </x:c>
      <x:c r="J1406" s="23" t="str">
        <x:v>SPOT</x:v>
      </x:c>
      <x:c r="K1406" s="23" t="str">
        <x:v>favored_only</x:v>
      </x:c>
      <x:c r="L1406" s="24" t="b">
        <x:v>1</x:v>
      </x:c>
      <x:c r="M1406" s="23" t="n">
        <x:v>1</x:v>
      </x:c>
      <x:c r="N1406" s="28" t="n">
        <x:v>46203.921840393516</x:v>
      </x:c>
      <x:c r="O1406" s="28" t="n">
        <x:v>46219.812988715275</x:v>
      </x:c>
      <x:c r="P1406" s="23" t="str">
        <x:v>GUANHAES</x:v>
      </x:c>
      <x:c r="Q1406" s="30" t="n">
        <x:v>26506</x:v>
      </x:c>
      <x:c r="R1406" s="22" t="str">
        <x:f>"5361743"</x:f>
        <x:v>5361743</x:v>
      </x:c>
      <x:c r="S1406" s="23" t="str">
        <x:v>masculino</x:v>
      </x:c>
      <x:c r="T1406" s="22" t="str">
        <x:f>"LSJ1H17"</x:f>
        <x:v>LSJ1H17</x:v>
      </x:c>
      <x:c r="U1406" s="23" t="str">
        <x:v>GERALDO WAGNER DE OLIVEIRA</x:v>
      </x:c>
      <x:c r="V1406" s="22" t="str">
        <x:f>"572.160.966-49"</x:f>
        <x:v>572.160.966-49</x:v>
      </x:c>
      <x:c r="W1406" s="22" t="str">
        <x:f>"57216096649"</x:f>
        <x:v>57216096649</x:v>
      </x:c>
      <x:c r="X1406" s="23" t="str">
        <x:v>gwagneroliveira@gmail.com</x:v>
      </x:c>
      <x:c r="Y1406" s="22" t="str">
        <x:f>"33 9 8861-3324"</x:f>
        <x:v>33 9 8861-3324</x:v>
      </x:c>
      <x:c r="Z1406" s="30" t="n">
        <x:v>46225</x:v>
      </x:c>
    </x:row>
    <x:row r="1407" ht="18" customHeight="1">
      <x:c r="A1407" s="22" t="str">
        <x:f>"3e2b127c-a749-4eab-b168-70c8cab196b1"</x:f>
        <x:v>3e2b127c-a749-4eab-b168-70c8cab196b1</x:v>
      </x:c>
      <x:c r="B1407" s="23" t="str">
        <x:v>GERSON CESAR JUNIOR</x:v>
      </x:c>
      <x:c r="C1407" s="23" t="str">
        <x:v>gerson cesar junior</x:v>
      </x:c>
      <x:c r="D1407" s="22" t="str">
        <x:f>"35.410.072/0001-91"</x:f>
        <x:v>35.410.072/0001-91</x:v>
      </x:c>
      <x:c r="E1407" s="22" t="str">
        <x:f>"35410072000191"</x:f>
        <x:v>35410072000191</x:v>
      </x:c>
      <x:c r="F1407" s="22" t="str">
        <x:f>"367.086.758-97"</x:f>
        <x:v>367.086.758-97</x:v>
      </x:c>
      <x:c r="G1407" s="22" t="str">
        <x:f>"36708675897"</x:f>
        <x:v>36708675897</x:v>
      </x:c>
      <x:c r="H1407" s="23" t="str">
        <x:v>gersoncesarjunior1812@gmail.com</x:v>
      </x:c>
      <x:c r="I1407" s="22" t="str">
        <x:f>"16999614462"</x:f>
        <x:v>16999614462</x:v>
      </x:c>
      <x:c r="J1407" s="23" t="str">
        <x:v>SPOT</x:v>
      </x:c>
      <x:c r="K1407" s="23" t="str">
        <x:v>favored_only</x:v>
      </x:c>
      <x:c r="L1407" s="24" t="b">
        <x:v>1</x:v>
      </x:c>
      <x:c r="M1407" s="23" t="n">
        <x:v>1</x:v>
      </x:c>
      <x:c r="N1407" s="28" t="n">
        <x:v>46219.812988715275</x:v>
      </x:c>
      <x:c r="O1407" s="28" t="n">
        <x:v>46219.812988715275</x:v>
      </x:c>
      <x:c r="P1407" s="23" t="str">
        <x:v>SÃO CARLOS</x:v>
      </x:c>
      <x:c r="Q1407" s="30" t="n">
        <x:v>32496</x:v>
      </x:c>
      <x:c r="R1407" s="22" t="str">
        <x:f>"46065390"</x:f>
        <x:v>46065390</x:v>
      </x:c>
      <x:c r="S1407" s="23" t="str">
        <x:v>masculino</x:v>
      </x:c>
      <x:c r="T1407" s="22" t="str">
        <x:f>"AUD7E37"</x:f>
        <x:v>AUD7E37</x:v>
      </x:c>
      <x:c r="U1407" s="23" t="str">
        <x:v>GERSON CESAR JUNIOR</x:v>
      </x:c>
      <x:c r="V1407" s="22" t="str">
        <x:f>"367.086.758-97"</x:f>
        <x:v>367.086.758-97</x:v>
      </x:c>
      <x:c r="W1407" s="22" t="str">
        <x:f>"36708675897"</x:f>
        <x:v>36708675897</x:v>
      </x:c>
      <x:c r="X1407" s="23" t="str">
        <x:v>gersoncesarjunior1812@gmail.com</x:v>
      </x:c>
      <x:c r="Y1407" s="22" t="str">
        <x:f>"16999614462"</x:f>
        <x:v>16999614462</x:v>
      </x:c>
      <x:c r="Z1407" s="30" t="n">
        <x:v>46550</x:v>
      </x:c>
    </x:row>
    <x:row r="1408" ht="18" customHeight="1">
      <x:c r="A1408" s="22" t="str">
        <x:f>"aed36552-c8f1-4992-a0a9-c4d4ea949e5c"</x:f>
        <x:v>aed36552-c8f1-4992-a0a9-c4d4ea949e5c</x:v>
      </x:c>
      <x:c r="B1408" s="23" t="str">
        <x:v>GERSON SANTOS DA SILVA JUNIOR</x:v>
      </x:c>
      <x:c r="C1408" s="23" t="str">
        <x:v>gerson santos da silva junior</x:v>
      </x:c>
      <x:c r="D1408" s="22" t="str">
        <x:f>"41.296.315/0001-05"</x:f>
        <x:v>41.296.315/0001-05</x:v>
      </x:c>
      <x:c r="E1408" s="22" t="str">
        <x:f>"41296315000105"</x:f>
        <x:v>41296315000105</x:v>
      </x:c>
      <x:c r="F1408" s="22" t="str">
        <x:f>"130.937.717-06"</x:f>
        <x:v>130.937.717-06</x:v>
      </x:c>
      <x:c r="G1408" s="22" t="str">
        <x:f>"13093771706"</x:f>
        <x:v>13093771706</x:v>
      </x:c>
      <x:c r="H1408" s="23" t="str">
        <x:v>gersonjr1990@gmail.com</x:v>
      </x:c>
      <x:c r="I1408" s="22" t="str">
        <x:f>"21971099368"</x:f>
        <x:v>21971099368</x:v>
      </x:c>
      <x:c r="J1408" s="23" t="str">
        <x:v>SPOT</x:v>
      </x:c>
      <x:c r="K1408" s="23" t="str">
        <x:v>favored_only</x:v>
      </x:c>
      <x:c r="L1408" s="24" t="b">
        <x:v>1</x:v>
      </x:c>
      <x:c r="M1408" s="23" t="n">
        <x:v>1</x:v>
      </x:c>
      <x:c r="N1408" s="28" t="n">
        <x:v>46203.921887453704</x:v>
      </x:c>
      <x:c r="O1408" s="28" t="n">
        <x:v>46219.812988715275</x:v>
      </x:c>
      <x:c r="P1408" s="23" t="str">
        <x:v>CORDOVIL</x:v>
      </x:c>
      <x:c r="Q1408" s="30" t="n">
        <x:v>32893</x:v>
      </x:c>
      <x:c r="R1408" s="22" t="str">
        <x:f>"561293"</x:f>
        <x:v>561293</x:v>
      </x:c>
      <x:c r="S1408" s="23" t="str">
        <x:v>masculino</x:v>
      </x:c>
      <x:c r="T1408" s="22" t="str">
        <x:f>"FNK7C33"</x:f>
        <x:v>FNK7C33</x:v>
      </x:c>
      <x:c r="U1408" s="23" t="str">
        <x:v>GERSON SANTOS DA SILVA JUNIOR</x:v>
      </x:c>
      <x:c r="V1408" s="22" t="str">
        <x:f>"130.937.717-06"</x:f>
        <x:v>130.937.717-06</x:v>
      </x:c>
      <x:c r="W1408" s="22" t="str">
        <x:f>"13093771706"</x:f>
        <x:v>13093771706</x:v>
      </x:c>
      <x:c r="X1408" s="23" t="str">
        <x:v>gersonjr1990@gmail.com</x:v>
      </x:c>
      <x:c r="Y1408" s="22" t="str">
        <x:f>"21971099368"</x:f>
        <x:v>21971099368</x:v>
      </x:c>
      <x:c r="Z1408" s="30" t="n">
        <x:v>46330</x:v>
      </x:c>
    </x:row>
    <x:row r="1409" ht="18" customHeight="1">
      <x:c r="A1409" s="22" t="str">
        <x:f>"1b57e02f-1004-4dec-96de-6dc124575821"</x:f>
        <x:v>1b57e02f-1004-4dec-96de-6dc124575821</x:v>
      </x:c>
      <x:c r="B1409" s="23" t="str">
        <x:v>GIAN LUIZ FERREIRA MENDES</x:v>
      </x:c>
      <x:c r="C1409" s="23" t="str">
        <x:v>gian luiz ferreira mendes</x:v>
      </x:c>
      <x:c r="D1409" s="22" t="str">
        <x:f>"58.547.763/0001-37"</x:f>
        <x:v>58.547.763/0001-37</x:v>
      </x:c>
      <x:c r="E1409" s="22" t="str">
        <x:f>"58547763000137"</x:f>
        <x:v>58547763000137</x:v>
      </x:c>
      <x:c r="F1409" s="22" t="str">
        <x:f>"150.312.347-25"</x:f>
        <x:v>150.312.347-25</x:v>
      </x:c>
      <x:c r="G1409" s="22" t="str">
        <x:f>"15031234725"</x:f>
        <x:v>15031234725</x:v>
      </x:c>
      <x:c r="H1409" s="23" t="str">
        <x:v>GIANLUIZMENDES@GMAIL.COM</x:v>
      </x:c>
      <x:c r="I1409" s="22" t="str">
        <x:f>"22 998287560"</x:f>
        <x:v>22 998287560</x:v>
      </x:c>
      <x:c r="J1409" s="23" t="str">
        <x:v>SPOT</x:v>
      </x:c>
      <x:c r="K1409" s="23" t="str">
        <x:v>favored_only</x:v>
      </x:c>
      <x:c r="L1409" s="24" t="b">
        <x:v>1</x:v>
      </x:c>
      <x:c r="M1409" s="23" t="n">
        <x:v>1</x:v>
      </x:c>
      <x:c r="N1409" s="28" t="n">
        <x:v>46203.92191240741</x:v>
      </x:c>
      <x:c r="O1409" s="28" t="n">
        <x:v>46220.50397818287</x:v>
      </x:c>
      <x:c r="P1409" s="23" t="str">
        <x:v>CAMPOS DOS GOYTACAZES</x:v>
      </x:c>
      <x:c r="Q1409" s="30" t="str"/>
      <x:c r="R1409" s="22" t="str"/>
      <x:c r="S1409" s="23" t="str"/>
      <x:c r="T1409" s="22" t="str"/>
      <x:c r="U1409" s="23" t="str">
        <x:v>GIAN LUIZ FERREIRA MENDES</x:v>
      </x:c>
      <x:c r="V1409" s="22" t="str">
        <x:f>"150.312.347-25"</x:f>
        <x:v>150.312.347-25</x:v>
      </x:c>
      <x:c r="W1409" s="22" t="str">
        <x:f>"15031234725"</x:f>
        <x:v>15031234725</x:v>
      </x:c>
      <x:c r="X1409" s="23" t="str">
        <x:v>GIANLUIZMENDES@GMAIL.COM</x:v>
      </x:c>
      <x:c r="Y1409" s="22" t="str">
        <x:f>"22 998287560"</x:f>
        <x:v>22 998287560</x:v>
      </x:c>
      <x:c r="Z1409" s="30" t="str"/>
    </x:row>
    <x:row r="1410" ht="18" customHeight="1">
      <x:c r="A1410" s="22" t="str">
        <x:f>"574badf3-5756-41a6-87d2-9e3bf0cb3ddf"</x:f>
        <x:v>574badf3-5756-41a6-87d2-9e3bf0cb3ddf</x:v>
      </x:c>
      <x:c r="B1410" s="23" t="str">
        <x:v>GILBERTO APARECIDO DE OLIVEIRA RODRIGUES</x:v>
      </x:c>
      <x:c r="C1410" s="23" t="str">
        <x:v>gilberto aparecido de oliveira rodrigues</x:v>
      </x:c>
      <x:c r="D1410" s="22" t="str">
        <x:f>"59.089.717/0001-02"</x:f>
        <x:v>59.089.717/0001-02</x:v>
      </x:c>
      <x:c r="E1410" s="22" t="str">
        <x:f>"59089717000102"</x:f>
        <x:v>59089717000102</x:v>
      </x:c>
      <x:c r="F1410" s="22" t="str">
        <x:f>"250.975.338-01"</x:f>
        <x:v>250.975.338-01</x:v>
      </x:c>
      <x:c r="G1410" s="22" t="str">
        <x:f>"25097533801"</x:f>
        <x:v>25097533801</x:v>
      </x:c>
      <x:c r="H1410" s="23" t="str">
        <x:v>rcellbtg@gmail.com</x:v>
      </x:c>
      <x:c r="I1410" s="22" t="str">
        <x:f>"67 9925-8960"</x:f>
        <x:v>67 9925-8960</x:v>
      </x:c>
      <x:c r="J1410" s="23" t="str">
        <x:v>SPOT</x:v>
      </x:c>
      <x:c r="K1410" s="23" t="str">
        <x:v>favored_only</x:v>
      </x:c>
      <x:c r="L1410" s="24" t="b">
        <x:v>1</x:v>
      </x:c>
      <x:c r="M1410" s="23" t="n">
        <x:v>1</x:v>
      </x:c>
      <x:c r="N1410" s="28" t="n">
        <x:v>46203.921852962965</x:v>
      </x:c>
      <x:c r="O1410" s="28" t="n">
        <x:v>46219.812988715275</x:v>
      </x:c>
      <x:c r="P1410" s="23" t="str">
        <x:v>PRESIDENTE PRUDENTE</x:v>
      </x:c>
      <x:c r="Q1410" s="30" t="n">
        <x:v>27154</x:v>
      </x:c>
      <x:c r="R1410" s="22" t="str">
        <x:f>"24856870x"</x:f>
        <x:v>24856870x</x:v>
      </x:c>
      <x:c r="S1410" s="23" t="str">
        <x:v>masculino</x:v>
      </x:c>
      <x:c r="T1410" s="22" t="str">
        <x:f>"PUB3E46"</x:f>
        <x:v>PUB3E46</x:v>
      </x:c>
      <x:c r="U1410" s="23" t="str">
        <x:v>GILBERTO APARECIDO DE OLIVEIRA RODRIGUES</x:v>
      </x:c>
      <x:c r="V1410" s="22" t="str">
        <x:f>"250.975.338-01"</x:f>
        <x:v>250.975.338-01</x:v>
      </x:c>
      <x:c r="W1410" s="22" t="str">
        <x:f>"25097533801"</x:f>
        <x:v>25097533801</x:v>
      </x:c>
      <x:c r="X1410" s="23" t="str">
        <x:v>rcellbtg@gmail.com</x:v>
      </x:c>
      <x:c r="Y1410" s="22" t="str">
        <x:f>"67 9925-8960"</x:f>
        <x:v>67 9925-8960</x:v>
      </x:c>
      <x:c r="Z1410" s="30" t="n">
        <x:v>46275</x:v>
      </x:c>
    </x:row>
    <x:row r="1411" ht="18" customHeight="1">
      <x:c r="A1411" s="22" t="str">
        <x:f>"caad1557-d4eb-4662-9fb5-7044e60c4a23"</x:f>
        <x:v>caad1557-d4eb-4662-9fb5-7044e60c4a23</x:v>
      </x:c>
      <x:c r="B1411" s="23" t="str">
        <x:v>GILBERTO HENRIQUE JUNIO MELO</x:v>
      </x:c>
      <x:c r="C1411" s="23" t="str">
        <x:v>gilberto henrique junio melo</x:v>
      </x:c>
      <x:c r="D1411" s="22" t="str">
        <x:f>"65.383.512/0001-20"</x:f>
        <x:v>65.383.512/0001-20</x:v>
      </x:c>
      <x:c r="E1411" s="22" t="str">
        <x:f>"65383512000120"</x:f>
        <x:v>65383512000120</x:v>
      </x:c>
      <x:c r="F1411" s="22" t="str">
        <x:f>"137.453.486-21"</x:f>
        <x:v>137.453.486-21</x:v>
      </x:c>
      <x:c r="G1411" s="22" t="str">
        <x:f>"13745348621"</x:f>
        <x:v>13745348621</x:v>
      </x:c>
      <x:c r="H1411" s="23" t="str">
        <x:v>Juniohmelo99@gmail.com</x:v>
      </x:c>
      <x:c r="I1411" s="22" t="str">
        <x:f>"31 98373-4049"</x:f>
        <x:v>31 98373-4049</x:v>
      </x:c>
      <x:c r="J1411" s="23" t="str">
        <x:v>RENTAL</x:v>
      </x:c>
      <x:c r="K1411" s="23" t="str">
        <x:v>rental_company</x:v>
      </x:c>
      <x:c r="L1411" s="24" t="b">
        <x:v>1</x:v>
      </x:c>
      <x:c r="M1411" s="23" t="n">
        <x:v>1</x:v>
      </x:c>
      <x:c r="N1411" s="28" t="n">
        <x:v>46219.812988715275</x:v>
      </x:c>
      <x:c r="O1411" s="28" t="n">
        <x:v>46219.812988715275</x:v>
      </x:c>
      <x:c r="P1411" s="23" t="str">
        <x:v>NOVA LIMA</x:v>
      </x:c>
      <x:c r="Q1411" s="30" t="n">
        <x:v>36168</x:v>
      </x:c>
      <x:c r="R1411" s="22" t="str">
        <x:f>"20282549"</x:f>
        <x:v>20282549</x:v>
      </x:c>
      <x:c r="S1411" s="23" t="str">
        <x:v>masculino</x:v>
      </x:c>
      <x:c r="T1411" s="22" t="str"/>
      <x:c r="U1411" s="23" t="str">
        <x:v>GILBERTO HENRIQUE JUNIO MELO</x:v>
      </x:c>
      <x:c r="V1411" s="22" t="str">
        <x:f>"137.453.486-21"</x:f>
        <x:v>137.453.486-21</x:v>
      </x:c>
      <x:c r="W1411" s="22" t="str">
        <x:f>"13745348621"</x:f>
        <x:v>13745348621</x:v>
      </x:c>
      <x:c r="X1411" s="23" t="str">
        <x:v>Juniohmelo99@gmail.com</x:v>
      </x:c>
      <x:c r="Y1411" s="22" t="str">
        <x:f>"31 98373-4049"</x:f>
        <x:v>31 98373-4049</x:v>
      </x:c>
      <x:c r="Z1411" s="30" t="n">
        <x:v>46446</x:v>
      </x:c>
    </x:row>
    <x:row r="1412" ht="18" customHeight="1">
      <x:c r="A1412" s="22" t="str">
        <x:f>"8157928a-589a-4992-8cea-74899d887381"</x:f>
        <x:v>8157928a-589a-4992-8cea-74899d887381</x:v>
      </x:c>
      <x:c r="B1412" s="23" t="str">
        <x:v>GILBERTO MARCIO ROLAD</x:v>
      </x:c>
      <x:c r="C1412" s="23" t="str">
        <x:v>gilberto marcio rolad</x:v>
      </x:c>
      <x:c r="D1412" s="22" t="str">
        <x:f>"61.527.117/0001-12"</x:f>
        <x:v>61.527.117/0001-12</x:v>
      </x:c>
      <x:c r="E1412" s="22" t="str">
        <x:f>"61527117000112"</x:f>
        <x:v>61527117000112</x:v>
      </x:c>
      <x:c r="F1412" s="22" t="str">
        <x:f>"475.559.126-00"</x:f>
        <x:v>475.559.126-00</x:v>
      </x:c>
      <x:c r="G1412" s="22" t="str">
        <x:f>"47555912600"</x:f>
        <x:v>47555912600</x:v>
      </x:c>
      <x:c r="H1412" s="23" t="str">
        <x:v>Rolandgilbh@gmail.com</x:v>
      </x:c>
      <x:c r="I1412" s="22" t="str">
        <x:f>"31 9165-0093"</x:f>
        <x:v>31 9165-0093</x:v>
      </x:c>
      <x:c r="J1412" s="23" t="str">
        <x:v>RENTAL</x:v>
      </x:c>
      <x:c r="K1412" s="23" t="str">
        <x:v>rental_company</x:v>
      </x:c>
      <x:c r="L1412" s="24" t="b">
        <x:v>1</x:v>
      </x:c>
      <x:c r="M1412" s="23" t="n">
        <x:v>1</x:v>
      </x:c>
      <x:c r="N1412" s="28" t="n">
        <x:v>46203.92183332176</x:v>
      </x:c>
      <x:c r="O1412" s="28" t="n">
        <x:v>46205.604710381944</x:v>
      </x:c>
      <x:c r="P1412" s="23" t="str">
        <x:v>CONTAGEM</x:v>
      </x:c>
      <x:c r="Q1412" s="30" t="n">
        <x:v>22913</x:v>
      </x:c>
      <x:c r="R1412" s="22" t="str">
        <x:f>"2986965"</x:f>
        <x:v>2986965</x:v>
      </x:c>
      <x:c r="S1412" s="23" t="str">
        <x:v>Masculino</x:v>
      </x:c>
      <x:c r="T1412" s="22" t="str"/>
      <x:c r="U1412" s="23" t="str">
        <x:v>GILBERTO MARCIO ROLAD</x:v>
      </x:c>
      <x:c r="V1412" s="22" t="str">
        <x:f>"47555912600"</x:f>
        <x:v>47555912600</x:v>
      </x:c>
      <x:c r="W1412" s="22" t="str">
        <x:f>"47555912600"</x:f>
        <x:v>47555912600</x:v>
      </x:c>
      <x:c r="X1412" s="23" t="str">
        <x:v>Rolandgilbh@gmail.com</x:v>
      </x:c>
      <x:c r="Y1412" s="22" t="str">
        <x:f>"31 9165-0093"</x:f>
        <x:v>31 9165-0093</x:v>
      </x:c>
      <x:c r="Z1412" s="30" t="n">
        <x:v>46208</x:v>
      </x:c>
    </x:row>
    <x:row r="1413" ht="18" customHeight="1">
      <x:c r="A1413" s="22" t="str">
        <x:f>"a8efdadd-709d-4085-a1e3-3130012259a8"</x:f>
        <x:v>a8efdadd-709d-4085-a1e3-3130012259a8</x:v>
      </x:c>
      <x:c r="B1413" s="23" t="str">
        <x:v>GILBERTO SCANDIUZZI MARTELI</x:v>
      </x:c>
      <x:c r="C1413" s="23" t="str">
        <x:v>gilberto scandiuzzi marteli</x:v>
      </x:c>
      <x:c r="D1413" s="22" t="str">
        <x:f>"52.651.435/0001-08"</x:f>
        <x:v>52.651.435/0001-08</x:v>
      </x:c>
      <x:c r="E1413" s="22" t="str">
        <x:f>"52651435000108"</x:f>
        <x:v>52651435000108</x:v>
      </x:c>
      <x:c r="F1413" s="22" t="str">
        <x:f>"181.447.198-75"</x:f>
        <x:v>181.447.198-75</x:v>
      </x:c>
      <x:c r="G1413" s="22" t="str">
        <x:f>"18144719875"</x:f>
        <x:v>18144719875</x:v>
      </x:c>
      <x:c r="H1413" s="23" t="str">
        <x:v>gilbertomarteli1977@gmail.com</x:v>
      </x:c>
      <x:c r="I1413" s="22" t="str">
        <x:f>"17 99778-3949"</x:f>
        <x:v>17 99778-3949</x:v>
      </x:c>
      <x:c r="J1413" s="23" t="str">
        <x:v>SPOT</x:v>
      </x:c>
      <x:c r="K1413" s="23" t="str">
        <x:v>favored_only</x:v>
      </x:c>
      <x:c r="L1413" s="24" t="b">
        <x:v>1</x:v>
      </x:c>
      <x:c r="M1413" s="23" t="n">
        <x:v>1</x:v>
      </x:c>
      <x:c r="N1413" s="28" t="n">
        <x:v>46219.812988715275</x:v>
      </x:c>
      <x:c r="O1413" s="28" t="n">
        <x:v>46219.812988715275</x:v>
      </x:c>
      <x:c r="P1413" s="23" t="str">
        <x:v>SÃO JOSE DO RIO PRETO</x:v>
      </x:c>
      <x:c r="Q1413" s="30" t="n">
        <x:v>28467</x:v>
      </x:c>
      <x:c r="R1413" s="22" t="str">
        <x:f>"27410322"</x:f>
        <x:v>27410322</x:v>
      </x:c>
      <x:c r="S1413" s="23" t="str">
        <x:v>masculino</x:v>
      </x:c>
      <x:c r="T1413" s="22" t="str">
        <x:f>"FFX4G79"</x:f>
        <x:v>FFX4G79</x:v>
      </x:c>
      <x:c r="U1413" s="23" t="str">
        <x:v>GILBERTO SCANDIUZZI MARTELI</x:v>
      </x:c>
      <x:c r="V1413" s="22" t="str">
        <x:f>"181.447.198-75"</x:f>
        <x:v>181.447.198-75</x:v>
      </x:c>
      <x:c r="W1413" s="22" t="str">
        <x:f>"18144719875"</x:f>
        <x:v>18144719875</x:v>
      </x:c>
      <x:c r="X1413" s="23" t="str">
        <x:v>gilbertomarteli1977@gmail.com</x:v>
      </x:c>
      <x:c r="Y1413" s="22" t="str">
        <x:f>"17 99778-3949"</x:f>
        <x:v>17 99778-3949</x:v>
      </x:c>
      <x:c r="Z1413" s="30" t="n">
        <x:v>46546</x:v>
      </x:c>
    </x:row>
    <x:row r="1414" ht="18" customHeight="1">
      <x:c r="A1414" s="22" t="str">
        <x:f>"48ae893b-17dd-421f-b122-01d6e821885d"</x:f>
        <x:v>48ae893b-17dd-421f-b122-01d6e821885d</x:v>
      </x:c>
      <x:c r="B1414" s="23" t="str">
        <x:v>GILCIANE MOREIRA DA SILVA</x:v>
      </x:c>
      <x:c r="C1414" s="23" t="str">
        <x:v>gilciane moreira da silva</x:v>
      </x:c>
      <x:c r="D1414" s="22" t="str">
        <x:f>"46.837.677/0001-80"</x:f>
        <x:v>46.837.677/0001-80</x:v>
      </x:c>
      <x:c r="E1414" s="22" t="str">
        <x:f>"46837677000180"</x:f>
        <x:v>46837677000180</x:v>
      </x:c>
      <x:c r="F1414" s="22" t="str">
        <x:f>"002.696.746-40"</x:f>
        <x:v>002.696.746-40</x:v>
      </x:c>
      <x:c r="G1414" s="22" t="str">
        <x:f>"00269674640"</x:f>
        <x:v>00269674640</x:v>
      </x:c>
      <x:c r="H1414" s="23" t="str">
        <x:v>tavinhopedro9@gmail.com</x:v>
      </x:c>
      <x:c r="I1414" s="22" t="str">
        <x:f>"(65)998065558"</x:f>
        <x:v>(65)998065558</x:v>
      </x:c>
      <x:c r="J1414" s="23" t="str">
        <x:v>SPOT</x:v>
      </x:c>
      <x:c r="K1414" s="23" t="str">
        <x:v>favored_only</x:v>
      </x:c>
      <x:c r="L1414" s="24" t="b">
        <x:v>1</x:v>
      </x:c>
      <x:c r="M1414" s="23" t="n">
        <x:v>1</x:v>
      </x:c>
      <x:c r="N1414" s="28" t="n">
        <x:v>46205.60620864583</x:v>
      </x:c>
      <x:c r="O1414" s="28" t="n">
        <x:v>46219.812988715275</x:v>
      </x:c>
      <x:c r="P1414" s="23" t="str">
        <x:v>PONTES E LACERDA</x:v>
      </x:c>
      <x:c r="Q1414" s="30" t="n">
        <x:v>28800</x:v>
      </x:c>
      <x:c r="R1414" s="22" t="str">
        <x:f>"M8363747"</x:f>
        <x:v>M8363747</x:v>
      </x:c>
      <x:c r="S1414" s="23" t="str">
        <x:v>feminino</x:v>
      </x:c>
      <x:c r="T1414" s="22" t="str">
        <x:f>"OAV9812"</x:f>
        <x:v>OAV9812</x:v>
      </x:c>
      <x:c r="U1414" s="23" t="str">
        <x:v>JOANA VANESSA SILVA OLIVEIRA</x:v>
      </x:c>
      <x:c r="V1414" s="22" t="str">
        <x:f>"054.051.703-80"</x:f>
        <x:v>054.051.703-80</x:v>
      </x:c>
      <x:c r="W1414" s="22" t="str">
        <x:f>"05405170380"</x:f>
        <x:v>05405170380</x:v>
      </x:c>
      <x:c r="X1414" s="23" t="str">
        <x:v>Joanavsoliveiraa@gmail.com</x:v>
      </x:c>
      <x:c r="Y1414" s="22" t="str">
        <x:f>"98985705576"</x:f>
        <x:v>98985705576</x:v>
      </x:c>
      <x:c r="Z1414" s="30" t="n">
        <x:v>46349</x:v>
      </x:c>
    </x:row>
    <x:row r="1415" ht="18" customHeight="1">
      <x:c r="A1415" s="22" t="str">
        <x:f>"d669f0cd-04e5-4ac1-9b91-dd7a7120c394"</x:f>
        <x:v>d669f0cd-04e5-4ac1-9b91-dd7a7120c394</x:v>
      </x:c>
      <x:c r="B1415" s="23" t="str">
        <x:v>GILDASIO RODRIGUES DA SILVA</x:v>
      </x:c>
      <x:c r="C1415" s="23" t="str">
        <x:v>gildasio rodrigues da silva</x:v>
      </x:c>
      <x:c r="D1415" s="22" t="str">
        <x:f>"64.161.992/0001-11"</x:f>
        <x:v>64.161.992/0001-11</x:v>
      </x:c>
      <x:c r="E1415" s="22" t="str">
        <x:f>"64161992000111"</x:f>
        <x:v>64161992000111</x:v>
      </x:c>
      <x:c r="F1415" s="22" t="str">
        <x:f>"561.368.206-25"</x:f>
        <x:v>561.368.206-25</x:v>
      </x:c>
      <x:c r="G1415" s="22" t="str">
        <x:f>"56136820625"</x:f>
        <x:v>56136820625</x:v>
      </x:c>
      <x:c r="H1415" s="23" t="str">
        <x:v>rodriguesgildasio608@gmail.com</x:v>
      </x:c>
      <x:c r="I1415" s="22" t="str">
        <x:f>"31 9 99538-0037"</x:f>
        <x:v>31 9 99538-0037</x:v>
      </x:c>
      <x:c r="J1415" s="23" t="str">
        <x:v>SPOT</x:v>
      </x:c>
      <x:c r="K1415" s="23" t="str">
        <x:v>favored_only</x:v>
      </x:c>
      <x:c r="L1415" s="24" t="b">
        <x:v>1</x:v>
      </x:c>
      <x:c r="M1415" s="23" t="n">
        <x:v>1</x:v>
      </x:c>
      <x:c r="N1415" s="28" t="n">
        <x:v>46219.812988715275</x:v>
      </x:c>
      <x:c r="O1415" s="28" t="n">
        <x:v>46219.812988715275</x:v>
      </x:c>
      <x:c r="P1415" s="23" t="str">
        <x:v>VESPASIANO</x:v>
      </x:c>
      <x:c r="Q1415" s="30" t="n">
        <x:v>23967</x:v>
      </x:c>
      <x:c r="R1415" s="22" t="str">
        <x:f>"mg 3 824 742"</x:f>
        <x:v>mg 3 824 742</x:v>
      </x:c>
      <x:c r="S1415" s="23" t="str">
        <x:v>masculino</x:v>
      </x:c>
      <x:c r="T1415" s="22" t="str">
        <x:f>"PXW1J18"</x:f>
        <x:v>PXW1J18</x:v>
      </x:c>
      <x:c r="U1415" s="23" t="str">
        <x:v>GILDASIO RODRIGUES DA SILVA</x:v>
      </x:c>
      <x:c r="V1415" s="22" t="str">
        <x:f>"561.368.206-25"</x:f>
        <x:v>561.368.206-25</x:v>
      </x:c>
      <x:c r="W1415" s="22" t="str">
        <x:f>"56136820625"</x:f>
        <x:v>56136820625</x:v>
      </x:c>
      <x:c r="X1415" s="23" t="str">
        <x:v>rodriguesgildasio608@gmail.com</x:v>
      </x:c>
      <x:c r="Y1415" s="22" t="str">
        <x:f>"31 9 99538-0037"</x:f>
        <x:v>31 9 99538-0037</x:v>
      </x:c>
      <x:c r="Z1415" s="30" t="n">
        <x:v>46428</x:v>
      </x:c>
    </x:row>
    <x:row r="1416" ht="18" customHeight="1">
      <x:c r="A1416" s="22" t="str">
        <x:f>"53ed5fea-5ba2-4826-b559-5c509ba313fb"</x:f>
        <x:v>53ed5fea-5ba2-4826-b559-5c509ba313fb</x:v>
      </x:c>
      <x:c r="B1416" s="23" t="str">
        <x:v>GILDEMAR PONCIANO FORTE</x:v>
      </x:c>
      <x:c r="C1416" s="23" t="str">
        <x:v>gildemar ponciano forte</x:v>
      </x:c>
      <x:c r="D1416" s="22" t="str">
        <x:f>"53.928.204/0001-53"</x:f>
        <x:v>53.928.204/0001-53</x:v>
      </x:c>
      <x:c r="E1416" s="22" t="str">
        <x:f>"53928204000153"</x:f>
        <x:v>53928204000153</x:v>
      </x:c>
      <x:c r="F1416" s="22" t="str">
        <x:f>"821.183.701-30"</x:f>
        <x:v>821.183.701-30</x:v>
      </x:c>
      <x:c r="G1416" s="22" t="str">
        <x:f>"82118370130"</x:f>
        <x:v>82118370130</x:v>
      </x:c>
      <x:c r="H1416" s="23" t="str">
        <x:v>gforte@hotmail.com.br</x:v>
      </x:c>
      <x:c r="I1416" s="22" t="str">
        <x:f>"6599621-8383"</x:f>
        <x:v>6599621-8383</x:v>
      </x:c>
      <x:c r="J1416" s="23" t="str">
        <x:v>SPOT</x:v>
      </x:c>
      <x:c r="K1416" s="23" t="str">
        <x:v>favored_only</x:v>
      </x:c>
      <x:c r="L1416" s="24" t="b">
        <x:v>1</x:v>
      </x:c>
      <x:c r="M1416" s="23" t="n">
        <x:v>1</x:v>
      </x:c>
      <x:c r="N1416" s="28" t="n">
        <x:v>46203.921852962965</x:v>
      </x:c>
      <x:c r="O1416" s="28" t="n">
        <x:v>46219.812988715275</x:v>
      </x:c>
      <x:c r="P1416" s="23" t="str">
        <x:v>CUIABA</x:v>
      </x:c>
      <x:c r="Q1416" s="30" t="n">
        <x:v>29377</x:v>
      </x:c>
      <x:c r="R1416" s="22" t="str">
        <x:f>"114787-05"</x:f>
        <x:v>114787-05</x:v>
      </x:c>
      <x:c r="S1416" s="23" t="str">
        <x:v>masculino</x:v>
      </x:c>
      <x:c r="T1416" s="22" t="str">
        <x:f>"PQV4D75"</x:f>
        <x:v>PQV4D75</x:v>
      </x:c>
      <x:c r="U1416" s="23" t="str">
        <x:v>GILDEMAR PONCIANO FORTE</x:v>
      </x:c>
      <x:c r="V1416" s="22" t="str">
        <x:f>"821.183.701-30"</x:f>
        <x:v>821.183.701-30</x:v>
      </x:c>
      <x:c r="W1416" s="22" t="str">
        <x:f>"82118370130"</x:f>
        <x:v>82118370130</x:v>
      </x:c>
      <x:c r="X1416" s="23" t="str">
        <x:v>gforte@hotmail.com.br</x:v>
      </x:c>
      <x:c r="Y1416" s="22" t="str">
        <x:f>"6599621-8383"</x:f>
        <x:v>6599621-8383</x:v>
      </x:c>
      <x:c r="Z1416" s="30" t="n">
        <x:v>46245</x:v>
      </x:c>
    </x:row>
    <x:row r="1417" ht="18" customHeight="1">
      <x:c r="A1417" s="22" t="str">
        <x:f>"c2af7ee5-a991-4328-9714-78045b834451"</x:f>
        <x:v>c2af7ee5-a991-4328-9714-78045b834451</x:v>
      </x:c>
      <x:c r="B1417" s="23" t="str">
        <x:v>GILDEON DE OLIVEIRA CARDOSO ROMANO</x:v>
      </x:c>
      <x:c r="C1417" s="23" t="str">
        <x:v>gildeon de oliveira cardoso romano</x:v>
      </x:c>
      <x:c r="D1417" s="22" t="str">
        <x:f>"67.881.818/0001-31"</x:f>
        <x:v>67.881.818/0001-31</x:v>
      </x:c>
      <x:c r="E1417" s="22" t="str">
        <x:f>"67881818000131"</x:f>
        <x:v>67881818000131</x:v>
      </x:c>
      <x:c r="F1417" s="22" t="str">
        <x:f>"845.494.911-91"</x:f>
        <x:v>845.494.911-91</x:v>
      </x:c>
      <x:c r="G1417" s="22" t="str">
        <x:f>"84549491191"</x:f>
        <x:v>84549491191</x:v>
      </x:c>
      <x:c r="H1417" s="23" t="str">
        <x:v>gildeonromano1976@mail.com</x:v>
      </x:c>
      <x:c r="I1417" s="22" t="str">
        <x:f>"62999610371"</x:f>
        <x:v>62999610371</x:v>
      </x:c>
      <x:c r="J1417" s="23" t="str">
        <x:v>RENTAL</x:v>
      </x:c>
      <x:c r="K1417" s="23" t="str">
        <x:v>rental_company</x:v>
      </x:c>
      <x:c r="L1417" s="24" t="b">
        <x:v>1</x:v>
      </x:c>
      <x:c r="M1417" s="23" t="n">
        <x:v>1</x:v>
      </x:c>
      <x:c r="N1417" s="28" t="n">
        <x:v>46219.812988715275</x:v>
      </x:c>
      <x:c r="O1417" s="28" t="n">
        <x:v>46219.812988715275</x:v>
      </x:c>
      <x:c r="P1417" s="23" t="str">
        <x:v>GOIANIA</x:v>
      </x:c>
      <x:c r="Q1417" s="30" t="n">
        <x:v>28858</x:v>
      </x:c>
      <x:c r="R1417" s="22" t="str">
        <x:f>"3540490"</x:f>
        <x:v>3540490</x:v>
      </x:c>
      <x:c r="S1417" s="23" t="str">
        <x:v>masculino</x:v>
      </x:c>
      <x:c r="T1417" s="22" t="str"/>
      <x:c r="U1417" s="23" t="str">
        <x:v>GILDEON DE OLIVEIRA CARDOSO ROMANO</x:v>
      </x:c>
      <x:c r="V1417" s="22" t="str">
        <x:f>"845.494.911-91"</x:f>
        <x:v>845.494.911-91</x:v>
      </x:c>
      <x:c r="W1417" s="22" t="str">
        <x:f>"84549491191"</x:f>
        <x:v>84549491191</x:v>
      </x:c>
      <x:c r="X1417" s="23" t="str">
        <x:v>gildeonromano1976@mail.com</x:v>
      </x:c>
      <x:c r="Y1417" s="22" t="str">
        <x:f>"62999610371"</x:f>
        <x:v>62999610371</x:v>
      </x:c>
      <x:c r="Z1417" s="30" t="n">
        <x:v>46576</x:v>
      </x:c>
    </x:row>
    <x:row r="1418" ht="18" customHeight="1">
      <x:c r="A1418" s="22" t="str">
        <x:f>"c3bd530d-8eb6-439d-9ef5-f53ef1d65e0f"</x:f>
        <x:v>c3bd530d-8eb6-439d-9ef5-f53ef1d65e0f</x:v>
      </x:c>
      <x:c r="B1418" s="23" t="str">
        <x:v>GILMAR RODRIGUES DE SOUZA FILHO</x:v>
      </x:c>
      <x:c r="C1418" s="23" t="str">
        <x:v>gilmar rodrigues de souza filho</x:v>
      </x:c>
      <x:c r="D1418" s="22" t="str">
        <x:f>"50.403.150/0001-14"</x:f>
        <x:v>50.403.150/0001-14</x:v>
      </x:c>
      <x:c r="E1418" s="22" t="str">
        <x:f>"50403150000114"</x:f>
        <x:v>50403150000114</x:v>
      </x:c>
      <x:c r="F1418" s="22" t="str">
        <x:f>"132.191.677-99"</x:f>
        <x:v>132.191.677-99</x:v>
      </x:c>
      <x:c r="G1418" s="22" t="str">
        <x:f>"13219167799"</x:f>
        <x:v>13219167799</x:v>
      </x:c>
      <x:c r="H1418" s="23" t="str">
        <x:v>gilmar201431@gmail.com</x:v>
      </x:c>
      <x:c r="I1418" s="22" t="str">
        <x:f>"22999952867"</x:f>
        <x:v>22999952867</x:v>
      </x:c>
      <x:c r="J1418" s="23" t="str">
        <x:v>SPOT</x:v>
      </x:c>
      <x:c r="K1418" s="23" t="str">
        <x:v>favored_only</x:v>
      </x:c>
      <x:c r="L1418" s="24" t="b">
        <x:v>1</x:v>
      </x:c>
      <x:c r="M1418" s="23" t="n">
        <x:v>1</x:v>
      </x:c>
      <x:c r="N1418" s="28" t="n">
        <x:v>46219.79396105324</x:v>
      </x:c>
      <x:c r="O1418" s="28" t="n">
        <x:v>46219.812988715275</x:v>
      </x:c>
      <x:c r="P1418" s="23" t="str">
        <x:v>CAMPOS DOS GOYTACAZES</x:v>
      </x:c>
      <x:c r="Q1418" s="30" t="n">
        <x:v>36168</x:v>
      </x:c>
      <x:c r="R1418" s="22" t="str">
        <x:f>"308772144"</x:f>
        <x:v>308772144</x:v>
      </x:c>
      <x:c r="S1418" s="23" t="str">
        <x:v>masculino</x:v>
      </x:c>
      <x:c r="T1418" s="22" t="str">
        <x:f>"FCM7D32"</x:f>
        <x:v>FCM7D32</x:v>
      </x:c>
      <x:c r="U1418" s="23" t="str">
        <x:v>GILMAR RODRIGUES DE SOUZA FILHO</x:v>
      </x:c>
      <x:c r="V1418" s="22" t="str">
        <x:f>"132.191.677-99"</x:f>
        <x:v>132.191.677-99</x:v>
      </x:c>
      <x:c r="W1418" s="22" t="str">
        <x:f>"13219167799"</x:f>
        <x:v>13219167799</x:v>
      </x:c>
      <x:c r="X1418" s="23" t="str">
        <x:v>gilmar201431@gmail.com</x:v>
      </x:c>
      <x:c r="Y1418" s="22" t="str">
        <x:f>"22999952867"</x:f>
        <x:v>22999952867</x:v>
      </x:c>
      <x:c r="Z1418" s="30" t="n">
        <x:v>46301</x:v>
      </x:c>
    </x:row>
    <x:row r="1419" ht="18" customHeight="1">
      <x:c r="A1419" s="22" t="str">
        <x:f>"336d23c8-70b4-46f1-abd3-e7e6f0b64621"</x:f>
        <x:v>336d23c8-70b4-46f1-abd3-e7e6f0b64621</x:v>
      </x:c>
      <x:c r="B1419" s="23" t="str">
        <x:v>GILMAR SOUZA NASCIMENTO</x:v>
      </x:c>
      <x:c r="C1419" s="23" t="str">
        <x:v>gilmar souza nascimento</x:v>
      </x:c>
      <x:c r="D1419" s="22" t="str">
        <x:f>"61.894.004/0001-55"</x:f>
        <x:v>61.894.004/0001-55</x:v>
      </x:c>
      <x:c r="E1419" s="22" t="str">
        <x:f>"61894004000155"</x:f>
        <x:v>61894004000155</x:v>
      </x:c>
      <x:c r="F1419" s="22" t="str">
        <x:f>"023.985.371-70"</x:f>
        <x:v>023.985.371-70</x:v>
      </x:c>
      <x:c r="G1419" s="22" t="str">
        <x:f>"02398537170"</x:f>
        <x:v>02398537170</x:v>
      </x:c>
      <x:c r="H1419" s="23" t="str">
        <x:v>Gilmarsouzanascimento4@gmail.com</x:v>
      </x:c>
      <x:c r="I1419" s="22" t="str">
        <x:f>"66999824681"</x:f>
        <x:v>66999824681</x:v>
      </x:c>
      <x:c r="J1419" s="23" t="str">
        <x:v>SPOT</x:v>
      </x:c>
      <x:c r="K1419" s="23" t="str">
        <x:v>favored_only</x:v>
      </x:c>
      <x:c r="L1419" s="24" t="b">
        <x:v>1</x:v>
      </x:c>
      <x:c r="M1419" s="23" t="n">
        <x:v>1</x:v>
      </x:c>
      <x:c r="N1419" s="28" t="n">
        <x:v>46203.92191240741</x:v>
      </x:c>
      <x:c r="O1419" s="28" t="n">
        <x:v>46219.812988715275</x:v>
      </x:c>
      <x:c r="P1419" s="23" t="str">
        <x:v>SINOP</x:v>
      </x:c>
      <x:c r="Q1419" s="30" t="n">
        <x:v>32373</x:v>
      </x:c>
      <x:c r="R1419" s="22" t="str">
        <x:f>"19478291"</x:f>
        <x:v>19478291</x:v>
      </x:c>
      <x:c r="S1419" s="23" t="str">
        <x:v>masculino</x:v>
      </x:c>
      <x:c r="T1419" s="22" t="str">
        <x:f>"OBM7H38"</x:f>
        <x:v>OBM7H38</x:v>
      </x:c>
      <x:c r="U1419" s="23" t="str">
        <x:v>GILMAR SOUZA NASCIMENTO</x:v>
      </x:c>
      <x:c r="V1419" s="22" t="str">
        <x:f>"023.985.371-70"</x:f>
        <x:v>023.985.371-70</x:v>
      </x:c>
      <x:c r="W1419" s="22" t="str">
        <x:f>"02398537170"</x:f>
        <x:v>02398537170</x:v>
      </x:c>
      <x:c r="X1419" s="23" t="str">
        <x:v>Gilmarsouzanascimento4@gmail.com</x:v>
      </x:c>
      <x:c r="Y1419" s="22" t="str">
        <x:f>"66999824681"</x:f>
        <x:v>66999824681</x:v>
      </x:c>
      <x:c r="Z1419" s="30" t="n">
        <x:v>46255</x:v>
      </x:c>
    </x:row>
    <x:row r="1420" ht="18" customHeight="1">
      <x:c r="A1420" s="22" t="str">
        <x:f>"21022660-b40b-415f-9d40-be47b6c271af"</x:f>
        <x:v>21022660-b40b-415f-9d40-be47b6c271af</x:v>
      </x:c>
      <x:c r="B1420" s="23" t="str">
        <x:v>GILMAR VIEIRA DAMASCENO</x:v>
      </x:c>
      <x:c r="C1420" s="23" t="str">
        <x:v>gilmar vieira damasceno</x:v>
      </x:c>
      <x:c r="D1420" s="22" t="str">
        <x:f>"66.938.863/0001-12"</x:f>
        <x:v>66.938.863/0001-12</x:v>
      </x:c>
      <x:c r="E1420" s="22" t="str">
        <x:f>"66938863000112"</x:f>
        <x:v>66938863000112</x:v>
      </x:c>
      <x:c r="F1420" s="22" t="str">
        <x:f>"035.195.071-02"</x:f>
        <x:v>035.195.071-02</x:v>
      </x:c>
      <x:c r="G1420" s="22" t="str">
        <x:f>"03519507102"</x:f>
        <x:v>03519507102</x:v>
      </x:c>
      <x:c r="H1420" s="23" t="str">
        <x:v>gilmarvieiradamasceno52@gmail.com</x:v>
      </x:c>
      <x:c r="I1420" s="22" t="str">
        <x:f>"65999541731"</x:f>
        <x:v>65999541731</x:v>
      </x:c>
      <x:c r="J1420" s="23" t="str">
        <x:v>SPOT</x:v>
      </x:c>
      <x:c r="K1420" s="23" t="str">
        <x:v>favored_only</x:v>
      </x:c>
      <x:c r="L1420" s="24" t="b">
        <x:v>1</x:v>
      </x:c>
      <x:c r="M1420" s="23" t="n">
        <x:v>1</x:v>
      </x:c>
      <x:c r="N1420" s="28" t="n">
        <x:v>46219.812988715275</x:v>
      </x:c>
      <x:c r="O1420" s="28" t="n">
        <x:v>46219.812988715275</x:v>
      </x:c>
      <x:c r="P1420" s="23" t="str">
        <x:v>ARAPUTANGA</x:v>
      </x:c>
      <x:c r="Q1420" s="30" t="n">
        <x:v>32757</x:v>
      </x:c>
      <x:c r="R1420" s="22" t="str">
        <x:f>"22647341 SSP MT"</x:f>
        <x:v>22647341 SSP MT</x:v>
      </x:c>
      <x:c r="S1420" s="23" t="str">
        <x:v>masculino</x:v>
      </x:c>
      <x:c r="T1420" s="22" t="str">
        <x:f>"NPF7J38"</x:f>
        <x:v>NPF7J38</x:v>
      </x:c>
      <x:c r="U1420" s="23" t="str">
        <x:v>IVANIR APARECIDA DE OLIVEIRA</x:v>
      </x:c>
      <x:c r="V1420" s="22" t="str">
        <x:f>"015.361.221-57"</x:f>
        <x:v>015.361.221-57</x:v>
      </x:c>
      <x:c r="W1420" s="22" t="str">
        <x:f>"01536122157"</x:f>
        <x:v>01536122157</x:v>
      </x:c>
      <x:c r="X1420" s="23" t="str">
        <x:v>ivanipreta@hotmail.com</x:v>
      </x:c>
      <x:c r="Y1420" s="22" t="str">
        <x:f>"65999541731"</x:f>
        <x:v>65999541731</x:v>
      </x:c>
      <x:c r="Z1420" s="30" t="n">
        <x:v>46533</x:v>
      </x:c>
    </x:row>
    <x:row r="1421" ht="18" customHeight="1">
      <x:c r="A1421" s="22" t="str">
        <x:f>"c4f09eef-ff77-4dc9-855b-3c873be3d08c"</x:f>
        <x:v>c4f09eef-ff77-4dc9-855b-3c873be3d08c</x:v>
      </x:c>
      <x:c r="B1421" s="23" t="str">
        <x:v>GILSON CYRIACO DELGADO</x:v>
      </x:c>
      <x:c r="C1421" s="23" t="str">
        <x:v>gilson cyriaco delgado</x:v>
      </x:c>
      <x:c r="D1421" s="22" t="str">
        <x:f>"61.608.078/0001-88"</x:f>
        <x:v>61.608.078/0001-88</x:v>
      </x:c>
      <x:c r="E1421" s="22" t="str">
        <x:f>"61608078000188"</x:f>
        <x:v>61608078000188</x:v>
      </x:c>
      <x:c r="F1421" s="22" t="str">
        <x:f>"077.329.128-88"</x:f>
        <x:v>077.329.128-88</x:v>
      </x:c>
      <x:c r="G1421" s="22" t="str">
        <x:f>"07732912888"</x:f>
        <x:v>07732912888</x:v>
      </x:c>
      <x:c r="H1421" s="23" t="str">
        <x:v>gcdelgaa@gmail.com</x:v>
      </x:c>
      <x:c r="I1421" s="22" t="str">
        <x:f>"16997207313"</x:f>
        <x:v>16997207313</x:v>
      </x:c>
      <x:c r="J1421" s="23" t="str">
        <x:v>SPOT</x:v>
      </x:c>
      <x:c r="K1421" s="23" t="str">
        <x:v>favored_only</x:v>
      </x:c>
      <x:c r="L1421" s="24" t="b">
        <x:v>1</x:v>
      </x:c>
      <x:c r="M1421" s="23" t="n">
        <x:v>1</x:v>
      </x:c>
      <x:c r="N1421" s="28" t="n">
        <x:v>46219.812988715275</x:v>
      </x:c>
      <x:c r="O1421" s="28" t="n">
        <x:v>46219.812988715275</x:v>
      </x:c>
      <x:c r="P1421" s="23" t="str">
        <x:v>SÃO CARLOS</x:v>
      </x:c>
      <x:c r="Q1421" s="30" t="n">
        <x:v>24007</x:v>
      </x:c>
      <x:c r="R1421" s="22" t="str">
        <x:f>"155990640"</x:f>
        <x:v>155990640</x:v>
      </x:c>
      <x:c r="S1421" s="23" t="str">
        <x:v>masculino</x:v>
      </x:c>
      <x:c r="T1421" s="22" t="str">
        <x:f>"EWQ8B85"</x:f>
        <x:v>EWQ8B85</x:v>
      </x:c>
      <x:c r="U1421" s="23" t="str">
        <x:v>GILSON CYRIACO DELGADO</x:v>
      </x:c>
      <x:c r="V1421" s="22" t="str">
        <x:f>"077.329.128-88"</x:f>
        <x:v>077.329.128-88</x:v>
      </x:c>
      <x:c r="W1421" s="22" t="str">
        <x:f>"07732912888"</x:f>
        <x:v>07732912888</x:v>
      </x:c>
      <x:c r="X1421" s="23" t="str">
        <x:v>gcdelgaa@gmail.com</x:v>
      </x:c>
      <x:c r="Y1421" s="22" t="str">
        <x:f>"16997207313"</x:f>
        <x:v>16997207313</x:v>
      </x:c>
      <x:c r="Z1421" s="30" t="n">
        <x:v>46574</x:v>
      </x:c>
    </x:row>
    <x:row r="1422" ht="18" customHeight="1">
      <x:c r="A1422" s="22" t="str">
        <x:f>"a30bb302-3b06-49be-89ca-aedb9aac6357"</x:f>
        <x:v>a30bb302-3b06-49be-89ca-aedb9aac6357</x:v>
      </x:c>
      <x:c r="B1422" s="23" t="str">
        <x:v>GILSON JUNIOR SOUZA OLIVEIRA</x:v>
      </x:c>
      <x:c r="C1422" s="23" t="str">
        <x:v>gilson junior souza oliveira</x:v>
      </x:c>
      <x:c r="D1422" s="22" t="str">
        <x:f>"36.380.316/0001-01"</x:f>
        <x:v>36.380.316/0001-01</x:v>
      </x:c>
      <x:c r="E1422" s="22" t="str">
        <x:f>"36380316000101"</x:f>
        <x:v>36380316000101</x:v>
      </x:c>
      <x:c r="F1422" s="22" t="str">
        <x:f>"065.309.896-09"</x:f>
        <x:v>065.309.896-09</x:v>
      </x:c>
      <x:c r="G1422" s="22" t="str">
        <x:f>"06530989609"</x:f>
        <x:v>06530989609</x:v>
      </x:c>
      <x:c r="H1422" s="23" t="str">
        <x:v>gilsonjuniorsousa63@gmail.com</x:v>
      </x:c>
      <x:c r="I1422" s="22" t="str">
        <x:f>"33 99772-1749"</x:f>
        <x:v>33 99772-1749</x:v>
      </x:c>
      <x:c r="J1422" s="23" t="str">
        <x:v>RENTAL</x:v>
      </x:c>
      <x:c r="K1422" s="23" t="str">
        <x:v>rental_company</x:v>
      </x:c>
      <x:c r="L1422" s="24" t="b">
        <x:v>1</x:v>
      </x:c>
      <x:c r="M1422" s="23" t="n">
        <x:v>1</x:v>
      </x:c>
      <x:c r="N1422" s="28" t="n">
        <x:v>46219.812988715275</x:v>
      </x:c>
      <x:c r="O1422" s="28" t="n">
        <x:v>46219.812988715275</x:v>
      </x:c>
      <x:c r="P1422" s="23" t="str">
        <x:v>TEOFILO OTONI</x:v>
      </x:c>
      <x:c r="Q1422" s="30" t="n">
        <x:v>27709</x:v>
      </x:c>
      <x:c r="R1422" s="22" t="str">
        <x:f>"12340376"</x:f>
        <x:v>12340376</x:v>
      </x:c>
      <x:c r="S1422" s="23" t="str">
        <x:v>masculino</x:v>
      </x:c>
      <x:c r="T1422" s="22" t="str"/>
      <x:c r="U1422" s="23" t="str">
        <x:v>GILSON JUNIOR SOUZA OLIVEIRA</x:v>
      </x:c>
      <x:c r="V1422" s="22" t="str">
        <x:f>"065.309.896-09"</x:f>
        <x:v>065.309.896-09</x:v>
      </x:c>
      <x:c r="W1422" s="22" t="str">
        <x:f>"06530989609"</x:f>
        <x:v>06530989609</x:v>
      </x:c>
      <x:c r="X1422" s="23" t="str">
        <x:v>gilsonjuniorsousa63@gmail.com</x:v>
      </x:c>
      <x:c r="Y1422" s="22" t="str">
        <x:f>"33 99772-1749"</x:f>
        <x:v>33 99772-1749</x:v>
      </x:c>
      <x:c r="Z1422" s="30" t="n">
        <x:v>46543</x:v>
      </x:c>
    </x:row>
    <x:row r="1423" ht="18" customHeight="1">
      <x:c r="A1423" s="22" t="str">
        <x:f>"02c25bbf-4298-4fc9-a897-d7a2760d47c8"</x:f>
        <x:v>02c25bbf-4298-4fc9-a897-d7a2760d47c8</x:v>
      </x:c>
      <x:c r="B1423" s="23" t="str">
        <x:v>GILVAN DE JESUS DA SILVA</x:v>
      </x:c>
      <x:c r="C1423" s="23" t="str">
        <x:v>gilvan de jesus da silva</x:v>
      </x:c>
      <x:c r="D1423" s="22" t="str">
        <x:f>"37.823.997/0001-90"</x:f>
        <x:v>37.823.997/0001-90</x:v>
      </x:c>
      <x:c r="E1423" s="22" t="str">
        <x:f>"37823997000190"</x:f>
        <x:v>37823997000190</x:v>
      </x:c>
      <x:c r="F1423" s="22" t="str">
        <x:f>"022.981.253-84"</x:f>
        <x:v>022.981.253-84</x:v>
      </x:c>
      <x:c r="G1423" s="22" t="str">
        <x:f>"02298125384"</x:f>
        <x:v>02298125384</x:v>
      </x:c>
      <x:c r="H1423" s="23" t="str">
        <x:v>gillvangiovanna@gmail.com</x:v>
      </x:c>
      <x:c r="I1423" s="22" t="str">
        <x:f>"659814-5260"</x:f>
        <x:v>659814-5260</x:v>
      </x:c>
      <x:c r="J1423" s="23" t="str">
        <x:v>SPOT</x:v>
      </x:c>
      <x:c r="K1423" s="23" t="str">
        <x:v>favored_only</x:v>
      </x:c>
      <x:c r="L1423" s="24" t="b">
        <x:v>1</x:v>
      </x:c>
      <x:c r="M1423" s="23" t="n">
        <x:v>1</x:v>
      </x:c>
      <x:c r="N1423" s="28" t="n">
        <x:v>46205.605178171296</x:v>
      </x:c>
      <x:c r="O1423" s="28" t="n">
        <x:v>46219.812988715275</x:v>
      </x:c>
      <x:c r="P1423" s="23" t="str">
        <x:v>CÁCERES</x:v>
      </x:c>
      <x:c r="Q1423" s="30" t="n">
        <x:v>31240</x:v>
      </x:c>
      <x:c r="R1423" s="22" t="str">
        <x:f>"231482020021"</x:f>
        <x:v>231482020021</x:v>
      </x:c>
      <x:c r="S1423" s="23" t="str">
        <x:v>masculino</x:v>
      </x:c>
      <x:c r="T1423" s="22" t="str">
        <x:f>"NUD9J95"</x:f>
        <x:v>NUD9J95</x:v>
      </x:c>
      <x:c r="U1423" s="23" t="str">
        <x:v>DANILLO BACIEL ALMEIDA</x:v>
      </x:c>
      <x:c r="V1423" s="22" t="str">
        <x:f>"962.005.291-91"</x:f>
        <x:v>962.005.291-91</x:v>
      </x:c>
      <x:c r="W1423" s="22" t="str">
        <x:f>"96200529191"</x:f>
        <x:v>96200529191</x:v>
      </x:c>
      <x:c r="X1423" s="23" t="str">
        <x:v>RPT.cargas@gmail.com</x:v>
      </x:c>
      <x:c r="Y1423" s="22" t="str">
        <x:f>"(62) 99661-0607"</x:f>
        <x:v>(62) 99661-0607</x:v>
      </x:c>
      <x:c r="Z1423" s="30" t="n">
        <x:v>46315</x:v>
      </x:c>
    </x:row>
    <x:row r="1424" ht="18" customHeight="1">
      <x:c r="A1424" s="22" t="str">
        <x:f>"16744aa6-5cd2-448d-9a0a-8570628c97f1"</x:f>
        <x:v>16744aa6-5cd2-448d-9a0a-8570628c97f1</x:v>
      </x:c>
      <x:c r="B1424" s="23" t="str">
        <x:v>GILVANI GUERREIRO DE ALBUQUERQUE</x:v>
      </x:c>
      <x:c r="C1424" s="23" t="str">
        <x:v>gilvani guerreiro de albuquerque</x:v>
      </x:c>
      <x:c r="D1424" s="22" t="str">
        <x:f>"55.156.937/0001-42"</x:f>
        <x:v>55.156.937/0001-42</x:v>
      </x:c>
      <x:c r="E1424" s="22" t="str">
        <x:f>"55156937000142"</x:f>
        <x:v>55156937000142</x:v>
      </x:c>
      <x:c r="F1424" s="22" t="str">
        <x:f>"04196067182"</x:f>
        <x:v>04196067182</x:v>
      </x:c>
      <x:c r="G1424" s="22" t="str">
        <x:f>"04196067182"</x:f>
        <x:v>04196067182</x:v>
      </x:c>
      <x:c r="H1424" s="23" t="str">
        <x:v>Geovanaguerreiro40@gmail.com</x:v>
      </x:c>
      <x:c r="I1424" s="22" t="str">
        <x:f>"67981555904"</x:f>
        <x:v>67981555904</x:v>
      </x:c>
      <x:c r="J1424" s="23" t="str">
        <x:v>SPOT</x:v>
      </x:c>
      <x:c r="K1424" s="23" t="str">
        <x:v>favored_only</x:v>
      </x:c>
      <x:c r="L1424" s="24" t="b">
        <x:v>1</x:v>
      </x:c>
      <x:c r="M1424" s="23" t="n">
        <x:v>1</x:v>
      </x:c>
      <x:c r="N1424" s="28" t="n">
        <x:v>46203.9219084375</x:v>
      </x:c>
      <x:c r="O1424" s="28" t="n">
        <x:v>46203.9219084375</x:v>
      </x:c>
      <x:c r="P1424" s="23" t="str"/>
      <x:c r="Q1424" s="30" t="str"/>
      <x:c r="R1424" s="22" t="str"/>
      <x:c r="S1424" s="23" t="str"/>
      <x:c r="T1424" s="22" t="str"/>
      <x:c r="U1424" s="23" t="str">
        <x:v>GILVANI GUERREIRO DE ALBUQUERQUE</x:v>
      </x:c>
      <x:c r="V1424" s="22" t="str">
        <x:f>"04196067182"</x:f>
        <x:v>04196067182</x:v>
      </x:c>
      <x:c r="W1424" s="22" t="str">
        <x:f>"04196067182"</x:f>
        <x:v>04196067182</x:v>
      </x:c>
      <x:c r="X1424" s="23" t="str">
        <x:v>Geovanaguerreiro40@gmail.com</x:v>
      </x:c>
      <x:c r="Y1424" s="22" t="str">
        <x:f>"67981555904"</x:f>
        <x:v>67981555904</x:v>
      </x:c>
      <x:c r="Z1424" s="30" t="str"/>
    </x:row>
    <x:row r="1425" ht="18" customHeight="1">
      <x:c r="A1425" s="22" t="str">
        <x:f>"9001981d-89e6-4069-b022-398cc8a4e71e"</x:f>
        <x:v>9001981d-89e6-4069-b022-398cc8a4e71e</x:v>
      </x:c>
      <x:c r="B1425" s="23" t="str">
        <x:v>GILVANILDO DOS SANTOS SILVA</x:v>
      </x:c>
      <x:c r="C1425" s="23" t="str">
        <x:v>gilvanildo dos santos silva</x:v>
      </x:c>
      <x:c r="D1425" s="22" t="str">
        <x:f>"53.956.424/0001-90"</x:f>
        <x:v>53.956.424/0001-90</x:v>
      </x:c>
      <x:c r="E1425" s="22" t="str">
        <x:f>"53956424000190"</x:f>
        <x:v>53956424000190</x:v>
      </x:c>
      <x:c r="F1425" s="22" t="str">
        <x:f>"021.390.924-30"</x:f>
        <x:v>021.390.924-30</x:v>
      </x:c>
      <x:c r="G1425" s="22" t="str">
        <x:f>"02139092430"</x:f>
        <x:v>02139092430</x:v>
      </x:c>
      <x:c r="H1425" s="23" t="str">
        <x:v>Gilvanildoss15@gmail.com</x:v>
      </x:c>
      <x:c r="I1425" s="22" t="str">
        <x:f>"11982546853"</x:f>
        <x:v>11982546853</x:v>
      </x:c>
      <x:c r="J1425" s="23" t="str">
        <x:v>SPOT</x:v>
      </x:c>
      <x:c r="K1425" s="23" t="str">
        <x:v>favored_only</x:v>
      </x:c>
      <x:c r="L1425" s="24" t="b">
        <x:v>1</x:v>
      </x:c>
      <x:c r="M1425" s="23" t="n">
        <x:v>1</x:v>
      </x:c>
      <x:c r="N1425" s="28" t="n">
        <x:v>46219.79396105324</x:v>
      </x:c>
      <x:c r="O1425" s="28" t="n">
        <x:v>46219.812988715275</x:v>
      </x:c>
      <x:c r="P1425" s="23" t="str">
        <x:v>BARUERI</x:v>
      </x:c>
      <x:c r="Q1425" s="30" t="n">
        <x:v>27799</x:v>
      </x:c>
      <x:c r="R1425" s="22" t="str">
        <x:f>"26777980"</x:f>
        <x:v>26777980</x:v>
      </x:c>
      <x:c r="S1425" s="23" t="str">
        <x:v>masculino</x:v>
      </x:c>
      <x:c r="T1425" s="22" t="str">
        <x:f>"SIB4E03"</x:f>
        <x:v>SIB4E03</x:v>
      </x:c>
      <x:c r="U1425" s="23" t="str">
        <x:v>GILVANILDO DOS SANTOS SILVA JUNIOR</x:v>
      </x:c>
      <x:c r="V1425" s="22" t="str">
        <x:f>"483.179.988-27"</x:f>
        <x:v>483.179.988-27</x:v>
      </x:c>
      <x:c r="W1425" s="22" t="str">
        <x:f>"48317998827"</x:f>
        <x:v>48317998827</x:v>
      </x:c>
      <x:c r="X1425" s="23" t="str">
        <x:v>trgil5825@gmail.com</x:v>
      </x:c>
      <x:c r="Y1425" s="22" t="str">
        <x:f>"11965950262"</x:f>
        <x:v>11965950262</x:v>
      </x:c>
      <x:c r="Z1425" s="30" t="n">
        <x:v>46298</x:v>
      </x:c>
    </x:row>
    <x:row r="1426" ht="18" customHeight="1">
      <x:c r="A1426" s="22" t="str">
        <x:f>"0a9d1054-9ada-401a-9fb7-0009d1cdf656"</x:f>
        <x:v>0a9d1054-9ada-401a-9fb7-0009d1cdf656</x:v>
      </x:c>
      <x:c r="B1426" s="23" t="str">
        <x:v>Gilvanildo Dos Santos Silva Junior</x:v>
      </x:c>
      <x:c r="C1426" s="23" t="str">
        <x:v>gilvanildo dos santos silva junior</x:v>
      </x:c>
      <x:c r="D1426" s="22" t="str">
        <x:f>"53.956.424/0001-90"</x:f>
        <x:v>53.956.424/0001-90</x:v>
      </x:c>
      <x:c r="E1426" s="22" t="str">
        <x:f>"53956424000190"</x:f>
        <x:v>53956424000190</x:v>
      </x:c>
      <x:c r="F1426" s="22" t="str">
        <x:f>"483.179.988-27"</x:f>
        <x:v>483.179.988-27</x:v>
      </x:c>
      <x:c r="G1426" s="22" t="str">
        <x:f>"48317998827"</x:f>
        <x:v>48317998827</x:v>
      </x:c>
      <x:c r="H1426" s="23" t="str">
        <x:v>trgil5825@gmail.com</x:v>
      </x:c>
      <x:c r="I1426" s="22" t="str">
        <x:f>"11965950262"</x:f>
        <x:v>11965950262</x:v>
      </x:c>
      <x:c r="J1426" s="23" t="str">
        <x:v>SPOT</x:v>
      </x:c>
      <x:c r="K1426" s="23" t="str">
        <x:v>favored_only</x:v>
      </x:c>
      <x:c r="L1426" s="24" t="b">
        <x:v>1</x:v>
      </x:c>
      <x:c r="M1426" s="23" t="n">
        <x:v>1</x:v>
      </x:c>
      <x:c r="N1426" s="28" t="n">
        <x:v>46203.92186888889</x:v>
      </x:c>
      <x:c r="O1426" s="28" t="n">
        <x:v>46203.92186888889</x:v>
      </x:c>
      <x:c r="P1426" s="23" t="str"/>
      <x:c r="Q1426" s="30" t="str"/>
      <x:c r="R1426" s="22" t="str"/>
      <x:c r="S1426" s="23" t="str"/>
      <x:c r="T1426" s="22" t="str"/>
      <x:c r="U1426" s="23" t="str">
        <x:v>Gilvanildo Dos Santos Silva Junior</x:v>
      </x:c>
      <x:c r="V1426" s="22" t="str">
        <x:f>"483.179.988-27"</x:f>
        <x:v>483.179.988-27</x:v>
      </x:c>
      <x:c r="W1426" s="22" t="str">
        <x:f>"48317998827"</x:f>
        <x:v>48317998827</x:v>
      </x:c>
      <x:c r="X1426" s="23" t="str">
        <x:v>trgil5825@gmail.com</x:v>
      </x:c>
      <x:c r="Y1426" s="22" t="str">
        <x:f>"11965950262"</x:f>
        <x:v>11965950262</x:v>
      </x:c>
      <x:c r="Z1426" s="30" t="str"/>
    </x:row>
    <x:row r="1427" ht="18" customHeight="1">
      <x:c r="A1427" s="22" t="str">
        <x:f>"305bd08c-ba70-4246-9e4e-68132390b157"</x:f>
        <x:v>305bd08c-ba70-4246-9e4e-68132390b157</x:v>
      </x:c>
      <x:c r="B1427" s="23" t="str">
        <x:v>GILZELY APARECIDA ROCHA PEREIRA</x:v>
      </x:c>
      <x:c r="C1427" s="23" t="str">
        <x:v>gilzely aparecida rocha pereira</x:v>
      </x:c>
      <x:c r="D1427" s="22" t="str">
        <x:f>"50.758.693/0001-54"</x:f>
        <x:v>50.758.693/0001-54</x:v>
      </x:c>
      <x:c r="E1427" s="22" t="str">
        <x:f>"50758693000154"</x:f>
        <x:v>50758693000154</x:v>
      </x:c>
      <x:c r="F1427" s="22" t="str">
        <x:f>"069.705.956-17"</x:f>
        <x:v>069.705.956-17</x:v>
      </x:c>
      <x:c r="G1427" s="22" t="str">
        <x:f>"06970595617"</x:f>
        <x:v>06970595617</x:v>
      </x:c>
      <x:c r="H1427" s="23" t="str">
        <x:v>giselebsg02@gmail.com</x:v>
      </x:c>
      <x:c r="I1427" s="22" t="str">
        <x:f>"33 99857-1633"</x:f>
        <x:v>33 99857-1633</x:v>
      </x:c>
      <x:c r="J1427" s="23" t="str">
        <x:v>SPOT</x:v>
      </x:c>
      <x:c r="K1427" s="23" t="str">
        <x:v>favored_only</x:v>
      </x:c>
      <x:c r="L1427" s="24" t="b">
        <x:v>1</x:v>
      </x:c>
      <x:c r="M1427" s="23" t="n">
        <x:v>2</x:v>
      </x:c>
      <x:c r="N1427" s="28" t="n">
        <x:v>46203.921858726855</x:v>
      </x:c>
      <x:c r="O1427" s="28" t="n">
        <x:v>46219.812988715275</x:v>
      </x:c>
      <x:c r="P1427" s="23" t="str">
        <x:v>GUANHAES</x:v>
      </x:c>
      <x:c r="Q1427" s="30" t="n">
        <x:v>30693</x:v>
      </x:c>
      <x:c r="R1427" s="22" t="str">
        <x:f>"12599161"</x:f>
        <x:v>12599161</x:v>
      </x:c>
      <x:c r="S1427" s="23" t="str">
        <x:v>feminino</x:v>
      </x:c>
      <x:c r="T1427" s="22" t="str">
        <x:f>"TEV0D15"</x:f>
        <x:v>TEV0D15</x:v>
      </x:c>
      <x:c r="U1427" s="23" t="str">
        <x:v>GILZELY APARECIDA ROCHA PEREIRA</x:v>
      </x:c>
      <x:c r="V1427" s="22" t="str">
        <x:f>"069.705.956-17"</x:f>
        <x:v>069.705.956-17</x:v>
      </x:c>
      <x:c r="W1427" s="22" t="str">
        <x:f>"06970595617"</x:f>
        <x:v>06970595617</x:v>
      </x:c>
      <x:c r="X1427" s="23" t="str">
        <x:v>giselebsg02@gmail.com</x:v>
      </x:c>
      <x:c r="Y1427" s="22" t="str">
        <x:f>"33 99857-1633"</x:f>
        <x:v>33 99857-1633</x:v>
      </x:c>
      <x:c r="Z1427" s="30" t="n">
        <x:v>46428</x:v>
      </x:c>
    </x:row>
    <x:row r="1428" ht="18" customHeight="1">
      <x:c r="A1428" s="22" t="str">
        <x:f>"60b74e38-f8c8-48ed-881c-d81a17327bd5"</x:f>
        <x:v>60b74e38-f8c8-48ed-881c-d81a17327bd5</x:v>
      </x:c>
      <x:c r="B1428" s="23" t="str">
        <x:v>GIOVANA RAFAELA ALMEIDA</x:v>
      </x:c>
      <x:c r="C1428" s="23" t="str">
        <x:v>giovana rafaela almeida</x:v>
      </x:c>
      <x:c r="D1428" s="22" t="str">
        <x:f>"67.845.893/0001-47"</x:f>
        <x:v>67.845.893/0001-47</x:v>
      </x:c>
      <x:c r="E1428" s="22" t="str">
        <x:f>"67845893000147"</x:f>
        <x:v>67845893000147</x:v>
      </x:c>
      <x:c r="F1428" s="22" t="str">
        <x:f>"439.381.978-03"</x:f>
        <x:v>439.381.978-03</x:v>
      </x:c>
      <x:c r="G1428" s="22" t="str">
        <x:f>"43938197803"</x:f>
        <x:v>43938197803</x:v>
      </x:c>
      <x:c r="H1428" s="23" t="str">
        <x:v>almeidarafaela007@gmail.com</x:v>
      </x:c>
      <x:c r="I1428" s="22" t="str">
        <x:f>"14998362627"</x:f>
        <x:v>14998362627</x:v>
      </x:c>
      <x:c r="J1428" s="23" t="str">
        <x:v>RENTAL</x:v>
      </x:c>
      <x:c r="K1428" s="23" t="str">
        <x:v>rental_company</x:v>
      </x:c>
      <x:c r="L1428" s="24" t="b">
        <x:v>1</x:v>
      </x:c>
      <x:c r="M1428" s="23" t="n">
        <x:v>1</x:v>
      </x:c>
      <x:c r="N1428" s="28" t="n">
        <x:v>46219.812988715275</x:v>
      </x:c>
      <x:c r="O1428" s="28" t="n">
        <x:v>46219.812988715275</x:v>
      </x:c>
      <x:c r="P1428" s="23" t="str">
        <x:v>BAURU</x:v>
      </x:c>
      <x:c r="Q1428" s="30" t="n">
        <x:v>37441</x:v>
      </x:c>
      <x:c r="R1428" s="22" t="str">
        <x:f>"50756998-2"</x:f>
        <x:v>50756998-2</x:v>
      </x:c>
      <x:c r="S1428" s="23" t="str">
        <x:v>feminino</x:v>
      </x:c>
      <x:c r="T1428" s="22" t="str"/>
      <x:c r="U1428" s="23" t="str">
        <x:v>GIOVANA RAFAELA ALMEIDA</x:v>
      </x:c>
      <x:c r="V1428" s="22" t="str">
        <x:f>"439.381.978-03"</x:f>
        <x:v>439.381.978-03</x:v>
      </x:c>
      <x:c r="W1428" s="22" t="str">
        <x:f>"43938197803"</x:f>
        <x:v>43938197803</x:v>
      </x:c>
      <x:c r="X1428" s="23" t="str">
        <x:v>almeidarafaela007@gmail.com</x:v>
      </x:c>
      <x:c r="Y1428" s="22" t="str">
        <x:f>"14998362627"</x:f>
        <x:v>14998362627</x:v>
      </x:c>
      <x:c r="Z1428" s="30" t="n">
        <x:v>46574</x:v>
      </x:c>
    </x:row>
    <x:row r="1429" ht="18" customHeight="1">
      <x:c r="A1429" s="22" t="str">
        <x:f>"1c5f70ad-7ddb-4aba-89f4-78b41c1a9f32"</x:f>
        <x:v>1c5f70ad-7ddb-4aba-89f4-78b41c1a9f32</x:v>
      </x:c>
      <x:c r="B1429" s="23" t="str">
        <x:v>GIOVANE LOPES MARCOLINO</x:v>
      </x:c>
      <x:c r="C1429" s="23" t="str">
        <x:v>giovane lopes marcolino</x:v>
      </x:c>
      <x:c r="D1429" s="22" t="str">
        <x:f>"36.827.317/0001-43"</x:f>
        <x:v>36.827.317/0001-43</x:v>
      </x:c>
      <x:c r="E1429" s="22" t="str">
        <x:f>"36827317000143"</x:f>
        <x:v>36827317000143</x:v>
      </x:c>
      <x:c r="F1429" s="22" t="str">
        <x:f>"094.572.286-93"</x:f>
        <x:v>094.572.286-93</x:v>
      </x:c>
      <x:c r="G1429" s="22" t="str">
        <x:f>"09457228693"</x:f>
        <x:v>09457228693</x:v>
      </x:c>
      <x:c r="H1429" s="23" t="str">
        <x:v>giovanerota@yahoo.com.br</x:v>
      </x:c>
      <x:c r="I1429" s="22" t="str">
        <x:f>"31.98469-9681"</x:f>
        <x:v>31.98469-9681</x:v>
      </x:c>
      <x:c r="J1429" s="23" t="str">
        <x:v>RENTAL</x:v>
      </x:c>
      <x:c r="K1429" s="23" t="str">
        <x:v>rental_company</x:v>
      </x:c>
      <x:c r="L1429" s="24" t="b">
        <x:v>1</x:v>
      </x:c>
      <x:c r="M1429" s="23" t="n">
        <x:v>1</x:v>
      </x:c>
      <x:c r="N1429" s="28" t="n">
        <x:v>46203.921852962965</x:v>
      </x:c>
      <x:c r="O1429" s="28" t="n">
        <x:v>46219.812988715275</x:v>
      </x:c>
      <x:c r="P1429" s="23" t="str">
        <x:v>CONTAGEM</x:v>
      </x:c>
      <x:c r="Q1429" s="30" t="n">
        <x:v>32687</x:v>
      </x:c>
      <x:c r="R1429" s="22" t="str">
        <x:f>"14576401"</x:f>
        <x:v>14576401</x:v>
      </x:c>
      <x:c r="S1429" s="23" t="str">
        <x:v>masculino</x:v>
      </x:c>
      <x:c r="T1429" s="22" t="str"/>
      <x:c r="U1429" s="23" t="str">
        <x:v>GIOVANE LOPES MARCOLINO</x:v>
      </x:c>
      <x:c r="V1429" s="22" t="str">
        <x:f>"094.572.286-93"</x:f>
        <x:v>094.572.286-93</x:v>
      </x:c>
      <x:c r="W1429" s="22" t="str">
        <x:f>"09457228693"</x:f>
        <x:v>09457228693</x:v>
      </x:c>
      <x:c r="X1429" s="23" t="str">
        <x:v>giovanerota@yahoo.com.br</x:v>
      </x:c>
      <x:c r="Y1429" s="22" t="str">
        <x:f>"31.98469-9681"</x:f>
        <x:v>31.98469-9681</x:v>
      </x:c>
      <x:c r="Z1429" s="30" t="n">
        <x:v>46250</x:v>
      </x:c>
    </x:row>
    <x:row r="1430" ht="18" customHeight="1">
      <x:c r="A1430" s="22" t="str">
        <x:f>"2a403b90-18ec-4f5c-9f82-de40c21ef50a"</x:f>
        <x:v>2a403b90-18ec-4f5c-9f82-de40c21ef50a</x:v>
      </x:c>
      <x:c r="B1430" s="23" t="str">
        <x:v>GIOVANI GALATTI</x:v>
      </x:c>
      <x:c r="C1430" s="23" t="str">
        <x:v>giovani galatti</x:v>
      </x:c>
      <x:c r="D1430" s="22" t="str">
        <x:f>"66.847.402/0001-34"</x:f>
        <x:v>66.847.402/0001-34</x:v>
      </x:c>
      <x:c r="E1430" s="22" t="str">
        <x:f>"66847402000134"</x:f>
        <x:v>66847402000134</x:v>
      </x:c>
      <x:c r="F1430" s="22" t="str">
        <x:f>"460.169.118-44"</x:f>
        <x:v>460.169.118-44</x:v>
      </x:c>
      <x:c r="G1430" s="22" t="str">
        <x:f>"46016911844"</x:f>
        <x:v>46016911844</x:v>
      </x:c>
      <x:c r="H1430" s="23" t="str">
        <x:v>giovanigalatti10@gmail.com</x:v>
      </x:c>
      <x:c r="I1430" s="22" t="str">
        <x:f>"(14)99634-7682"</x:f>
        <x:v>(14)99634-7682</x:v>
      </x:c>
      <x:c r="J1430" s="23" t="str">
        <x:v>RENTAL</x:v>
      </x:c>
      <x:c r="K1430" s="23" t="str">
        <x:v>rental_company</x:v>
      </x:c>
      <x:c r="L1430" s="24" t="b">
        <x:v>1</x:v>
      </x:c>
      <x:c r="M1430" s="23" t="n">
        <x:v>1</x:v>
      </x:c>
      <x:c r="N1430" s="28" t="n">
        <x:v>46219.812988715275</x:v>
      </x:c>
      <x:c r="O1430" s="28" t="n">
        <x:v>46219.812988715275</x:v>
      </x:c>
      <x:c r="P1430" s="23" t="str">
        <x:v>SÃO CARLOS</x:v>
      </x:c>
      <x:c r="Q1430" s="30" t="n">
        <x:v>35100</x:v>
      </x:c>
      <x:c r="R1430" s="22" t="str">
        <x:f>"40260779"</x:f>
        <x:v>40260779</x:v>
      </x:c>
      <x:c r="S1430" s="23" t="str">
        <x:v>masculino</x:v>
      </x:c>
      <x:c r="T1430" s="22" t="str"/>
      <x:c r="U1430" s="23" t="str">
        <x:v>GIOVANI GALATTI</x:v>
      </x:c>
      <x:c r="V1430" s="22" t="str">
        <x:f>"460.169.118-44"</x:f>
        <x:v>460.169.118-44</x:v>
      </x:c>
      <x:c r="W1430" s="22" t="str">
        <x:f>"46016911844"</x:f>
        <x:v>46016911844</x:v>
      </x:c>
      <x:c r="X1430" s="23" t="str">
        <x:v>giovanigalatti10@gmail.com</x:v>
      </x:c>
      <x:c r="Y1430" s="22" t="str">
        <x:f>"(14)99634-7682"</x:f>
        <x:v>(14)99634-7682</x:v>
      </x:c>
      <x:c r="Z1430" s="30" t="n">
        <x:v>46525</x:v>
      </x:c>
    </x:row>
    <x:row r="1431" ht="18" customHeight="1">
      <x:c r="A1431" s="22" t="str">
        <x:f>"ac4e84c3-d479-440b-a263-07f54b113d1e"</x:f>
        <x:v>ac4e84c3-d479-440b-a263-07f54b113d1e</x:v>
      </x:c>
      <x:c r="B1431" s="23" t="str">
        <x:v>GIOVANI OLIVEIRA ALFREDO</x:v>
      </x:c>
      <x:c r="C1431" s="23" t="str">
        <x:v>giovani oliveira alfredo</x:v>
      </x:c>
      <x:c r="D1431" s="22" t="str">
        <x:f>"65.657.779/0001-68"</x:f>
        <x:v>65.657.779/0001-68</x:v>
      </x:c>
      <x:c r="E1431" s="22" t="str">
        <x:f>"65657779000168"</x:f>
        <x:v>65657779000168</x:v>
      </x:c>
      <x:c r="F1431" s="22" t="str">
        <x:f>"062.151.376-85"</x:f>
        <x:v>062.151.376-85</x:v>
      </x:c>
      <x:c r="G1431" s="22" t="str">
        <x:f>"06215137685"</x:f>
        <x:v>06215137685</x:v>
      </x:c>
      <x:c r="H1431" s="23" t="str">
        <x:v>giovanioliveiraalfredo@gmail.com</x:v>
      </x:c>
      <x:c r="I1431" s="22" t="str">
        <x:f>"31996950475"</x:f>
        <x:v>31996950475</x:v>
      </x:c>
      <x:c r="J1431" s="23" t="str">
        <x:v>SPOT</x:v>
      </x:c>
      <x:c r="K1431" s="23" t="str">
        <x:v>favored_only</x:v>
      </x:c>
      <x:c r="L1431" s="24" t="b">
        <x:v>1</x:v>
      </x:c>
      <x:c r="M1431" s="23" t="n">
        <x:v>2</x:v>
      </x:c>
      <x:c r="N1431" s="28" t="n">
        <x:v>46219.812988715275</x:v>
      </x:c>
      <x:c r="O1431" s="28" t="n">
        <x:v>46219.812988715275</x:v>
      </x:c>
      <x:c r="P1431" s="23" t="str">
        <x:v>NOVA LIMA</x:v>
      </x:c>
      <x:c r="Q1431" s="30" t="n">
        <x:v>30232</x:v>
      </x:c>
      <x:c r="R1431" s="22" t="str">
        <x:f>"13096797"</x:f>
        <x:v>13096797</x:v>
      </x:c>
      <x:c r="S1431" s="23" t="str">
        <x:v>masculino</x:v>
      </x:c>
      <x:c r="T1431" s="22" t="str">
        <x:f>"HNT1660"</x:f>
        <x:v>HNT1660</x:v>
      </x:c>
      <x:c r="U1431" s="23" t="str">
        <x:v>LORRANY SABRINA GABRIEL</x:v>
      </x:c>
      <x:c r="V1431" s="22" t="str">
        <x:f>"124.043.206-29"</x:f>
        <x:v>124.043.206-29</x:v>
      </x:c>
      <x:c r="W1431" s="22" t="str">
        <x:f>"12404320629"</x:f>
        <x:v>12404320629</x:v>
      </x:c>
      <x:c r="X1431" s="23" t="str">
        <x:v>giovanioliveiraalfredo@gmail.com</x:v>
      </x:c>
      <x:c r="Y1431" s="22" t="str">
        <x:f>"31987844709"</x:f>
        <x:v>31987844709</x:v>
      </x:c>
      <x:c r="Z1431" s="30" t="n">
        <x:v>46462</x:v>
      </x:c>
    </x:row>
    <x:row r="1432" ht="18" customHeight="1">
      <x:c r="A1432" s="22" t="str">
        <x:f>"b1327fb3-37e6-45e1-a976-bc76cca64819"</x:f>
        <x:v>b1327fb3-37e6-45e1-a976-bc76cca64819</x:v>
      </x:c>
      <x:c r="B1432" s="23" t="str">
        <x:v>Giovanne Gonçalves Aguiar</x:v>
      </x:c>
      <x:c r="C1432" s="23" t="str">
        <x:v>giovanne goncalves aguiar</x:v>
      </x:c>
      <x:c r="D1432" s="22" t="str">
        <x:f>"61.612.591/0001-42"</x:f>
        <x:v>61.612.591/0001-42</x:v>
      </x:c>
      <x:c r="E1432" s="22" t="str">
        <x:f>"61612591000142"</x:f>
        <x:v>61612591000142</x:v>
      </x:c>
      <x:c r="F1432" s="22" t="str">
        <x:f>"117.806.256-26"</x:f>
        <x:v>117.806.256-26</x:v>
      </x:c>
      <x:c r="G1432" s="22" t="str">
        <x:f>"11780625626"</x:f>
        <x:v>11780625626</x:v>
      </x:c>
      <x:c r="H1432" s="23" t="str">
        <x:v>giovanneaguiar@gmail.com</x:v>
      </x:c>
      <x:c r="I1432" s="22" t="str">
        <x:f>"31 998304376"</x:f>
        <x:v>31 998304376</x:v>
      </x:c>
      <x:c r="J1432" s="23" t="str">
        <x:v>RENTAL</x:v>
      </x:c>
      <x:c r="K1432" s="23" t="str">
        <x:v>rental_company</x:v>
      </x:c>
      <x:c r="L1432" s="24" t="b">
        <x:v>1</x:v>
      </x:c>
      <x:c r="M1432" s="23" t="n">
        <x:v>1</x:v>
      </x:c>
      <x:c r="N1432" s="28" t="n">
        <x:v>46203.921840393516</x:v>
      </x:c>
      <x:c r="O1432" s="28" t="n">
        <x:v>46205.604841608794</x:v>
      </x:c>
      <x:c r="P1432" s="23" t="str">
        <x:v>CONTAGEM</x:v>
      </x:c>
      <x:c r="Q1432" s="30" t="n">
        <x:v>34385</x:v>
      </x:c>
      <x:c r="R1432" s="22" t="str">
        <x:f>"18171686"</x:f>
        <x:v>18171686</x:v>
      </x:c>
      <x:c r="S1432" s="23" t="str">
        <x:v>Masculino</x:v>
      </x:c>
      <x:c r="T1432" s="22" t="str"/>
      <x:c r="U1432" s="23" t="str">
        <x:v>Giovanne Gonçalves Aguiar</x:v>
      </x:c>
      <x:c r="V1432" s="22" t="str">
        <x:f>"117.806.256-26"</x:f>
        <x:v>117.806.256-26</x:v>
      </x:c>
      <x:c r="W1432" s="22" t="str">
        <x:f>"11780625626"</x:f>
        <x:v>11780625626</x:v>
      </x:c>
      <x:c r="X1432" s="23" t="str">
        <x:v>giovanneaguiar@gmail.com</x:v>
      </x:c>
      <x:c r="Y1432" s="22" t="str">
        <x:f>"31 998304376"</x:f>
        <x:v>31 998304376</x:v>
      </x:c>
      <x:c r="Z1432" s="30" t="n">
        <x:v>46214</x:v>
      </x:c>
    </x:row>
    <x:row r="1433" ht="18" customHeight="1">
      <x:c r="A1433" s="22" t="str">
        <x:f>"b560458c-0dc5-4479-a89c-4cceeff3d29c"</x:f>
        <x:v>b560458c-0dc5-4479-a89c-4cceeff3d29c</x:v>
      </x:c>
      <x:c r="B1433" s="23" t="str">
        <x:v>GIOVANNI SANTOS NOVAIS</x:v>
      </x:c>
      <x:c r="C1433" s="23" t="str">
        <x:v>giovanni santos novais</x:v>
      </x:c>
      <x:c r="D1433" s="22" t="str">
        <x:f>"55.677.725/0001-00"</x:f>
        <x:v>55.677.725/0001-00</x:v>
      </x:c>
      <x:c r="E1433" s="22" t="str">
        <x:f>"55677725000100"</x:f>
        <x:v>55677725000100</x:v>
      </x:c>
      <x:c r="F1433" s="22" t="str">
        <x:f>"132.245.756-54"</x:f>
        <x:v>132.245.756-54</x:v>
      </x:c>
      <x:c r="G1433" s="22" t="str">
        <x:f>"13224575654"</x:f>
        <x:v>13224575654</x:v>
      </x:c>
      <x:c r="H1433" s="23" t="str">
        <x:v>Giovannisid13@gmail.com</x:v>
      </x:c>
      <x:c r="I1433" s="22" t="str">
        <x:f>"34992597762"</x:f>
        <x:v>34992597762</x:v>
      </x:c>
      <x:c r="J1433" s="23" t="str">
        <x:v>RENTAL</x:v>
      </x:c>
      <x:c r="K1433" s="23" t="str">
        <x:v>rental_company</x:v>
      </x:c>
      <x:c r="L1433" s="24" t="b">
        <x:v>1</x:v>
      </x:c>
      <x:c r="M1433" s="23" t="n">
        <x:v>1</x:v>
      </x:c>
      <x:c r="N1433" s="28" t="n">
        <x:v>46219.812988715275</x:v>
      </x:c>
      <x:c r="O1433" s="28" t="n">
        <x:v>46219.812988715275</x:v>
      </x:c>
      <x:c r="P1433" s="23" t="str">
        <x:v>UBERABA</x:v>
      </x:c>
      <x:c r="Q1433" s="30" t="n">
        <x:v>35156</x:v>
      </x:c>
      <x:c r="R1433" s="22" t="str">
        <x:f>"19514612"</x:f>
        <x:v>19514612</x:v>
      </x:c>
      <x:c r="S1433" s="23" t="str">
        <x:v>masculino</x:v>
      </x:c>
      <x:c r="T1433" s="22" t="str"/>
      <x:c r="U1433" s="23" t="str">
        <x:v>GIOVANNI SANTOS NOVAIS</x:v>
      </x:c>
      <x:c r="V1433" s="22" t="str">
        <x:f>"132245758654"</x:f>
        <x:v>132245758654</x:v>
      </x:c>
      <x:c r="W1433" s="22" t="str">
        <x:f>"132245758654"</x:f>
        <x:v>132245758654</x:v>
      </x:c>
      <x:c r="X1433" s="23" t="str">
        <x:v>Giovannisid13@gmail.com</x:v>
      </x:c>
      <x:c r="Y1433" s="22" t="str">
        <x:f>"34992597762"</x:f>
        <x:v>34992597762</x:v>
      </x:c>
      <x:c r="Z1433" s="30" t="n">
        <x:v>46521</x:v>
      </x:c>
    </x:row>
    <x:row r="1434" ht="18" customHeight="1">
      <x:c r="A1434" s="22" t="str">
        <x:f>"6510b66b-fb2e-4e9f-8628-6e30af9d0046"</x:f>
        <x:v>6510b66b-fb2e-4e9f-8628-6e30af9d0046</x:v>
      </x:c>
      <x:c r="B1434" s="23" t="str">
        <x:v>GIOVANNI SILVA DE PAULA</x:v>
      </x:c>
      <x:c r="C1434" s="23" t="str">
        <x:v>giovanni silva de paula</x:v>
      </x:c>
      <x:c r="D1434" s="22" t="str">
        <x:f>"60.935.580/0001-30"</x:f>
        <x:v>60.935.580/0001-30</x:v>
      </x:c>
      <x:c r="E1434" s="22" t="str">
        <x:f>"60935580000130"</x:f>
        <x:v>60935580000130</x:v>
      </x:c>
      <x:c r="F1434" s="22" t="str">
        <x:f>"109.197.736-48"</x:f>
        <x:v>109.197.736-48</x:v>
      </x:c>
      <x:c r="G1434" s="22" t="str">
        <x:f>"10919773648"</x:f>
        <x:v>10919773648</x:v>
      </x:c>
      <x:c r="H1434" s="23" t="str">
        <x:v>giovannimercadolivre613@gmail.com</x:v>
      </x:c>
      <x:c r="I1434" s="22" t="str">
        <x:f>"3499681-6391"</x:f>
        <x:v>3499681-6391</x:v>
      </x:c>
      <x:c r="J1434" s="23" t="str">
        <x:v>DESCONHECIDO</x:v>
      </x:c>
      <x:c r="K1434" s="23" t="str">
        <x:v>favored_only</x:v>
      </x:c>
      <x:c r="L1434" s="24" t="b">
        <x:v>1</x:v>
      </x:c>
      <x:c r="M1434" s="23" t="n">
        <x:v>1</x:v>
      </x:c>
      <x:c r="N1434" s="28" t="n">
        <x:v>46219.812988715275</x:v>
      </x:c>
      <x:c r="O1434" s="28" t="n">
        <x:v>46219.812988715275</x:v>
      </x:c>
      <x:c r="P1434" s="23" t="str">
        <x:v>ARAXÁ</x:v>
      </x:c>
      <x:c r="Q1434" s="30" t="n">
        <x:v>36381</x:v>
      </x:c>
      <x:c r="R1434" s="22" t="str">
        <x:f>"MG21561464"</x:f>
        <x:v>MG21561464</x:v>
      </x:c>
      <x:c r="S1434" s="23" t="str">
        <x:v>masculino</x:v>
      </x:c>
      <x:c r="T1434" s="22" t="str">
        <x:f>"HHI5A5"</x:f>
        <x:v>HHI5A5</x:v>
      </x:c>
      <x:c r="U1434" s="23" t="str">
        <x:v>KADU FONTES GALINDO</x:v>
      </x:c>
      <x:c r="V1434" s="22" t="str">
        <x:f>"154.715.556-60"</x:f>
        <x:v>154.715.556-60</x:v>
      </x:c>
      <x:c r="W1434" s="22" t="str">
        <x:f>"15471555660"</x:f>
        <x:v>15471555660</x:v>
      </x:c>
      <x:c r="X1434" s="23" t="str">
        <x:v>giovannimercadolivre613@gmail.com</x:v>
      </x:c>
      <x:c r="Y1434" s="22" t="str">
        <x:f>"(34) 98878-0010"</x:f>
        <x:v>(34) 98878-0010</x:v>
      </x:c>
      <x:c r="Z1434" s="30" t="n">
        <x:v>46415</x:v>
      </x:c>
    </x:row>
    <x:row r="1435" ht="18" customHeight="1">
      <x:c r="A1435" s="22" t="str">
        <x:f>"dd4bae1b-5a14-478e-b6b7-eba83c9f95e6"</x:f>
        <x:v>dd4bae1b-5a14-478e-b6b7-eba83c9f95e6</x:v>
      </x:c>
      <x:c r="B1435" s="23" t="str">
        <x:v>GISELLE AGATHA DE SOUZA SANTOS</x:v>
      </x:c>
      <x:c r="C1435" s="23" t="str">
        <x:v>giselle agatha de souza santos</x:v>
      </x:c>
      <x:c r="D1435" s="22" t="str">
        <x:f>"64.894.862/0001-98"</x:f>
        <x:v>64.894.862/0001-98</x:v>
      </x:c>
      <x:c r="E1435" s="22" t="str">
        <x:f>"64894862000198"</x:f>
        <x:v>64894862000198</x:v>
      </x:c>
      <x:c r="F1435" s="22" t="str">
        <x:f>"186.535.007-90"</x:f>
        <x:v>186.535.007-90</x:v>
      </x:c>
      <x:c r="G1435" s="22" t="str">
        <x:f>"18653500790"</x:f>
        <x:v>18653500790</x:v>
      </x:c>
      <x:c r="H1435" s="23" t="str">
        <x:v>giselle.agatha.9@gmail.com</x:v>
      </x:c>
      <x:c r="I1435" s="22" t="str">
        <x:f>"21971702361"</x:f>
        <x:v>21971702361</x:v>
      </x:c>
      <x:c r="J1435" s="23" t="str">
        <x:v>SPOT</x:v>
      </x:c>
      <x:c r="K1435" s="23" t="str">
        <x:v>favored_only</x:v>
      </x:c>
      <x:c r="L1435" s="24" t="b">
        <x:v>1</x:v>
      </x:c>
      <x:c r="M1435" s="23" t="n">
        <x:v>1</x:v>
      </x:c>
      <x:c r="N1435" s="28" t="n">
        <x:v>46219.812988715275</x:v>
      </x:c>
      <x:c r="O1435" s="28" t="n">
        <x:v>46219.812988715275</x:v>
      </x:c>
      <x:c r="P1435" s="23" t="str">
        <x:v>QUEIMADOS</x:v>
      </x:c>
      <x:c r="Q1435" s="30" t="n">
        <x:v>36320</x:v>
      </x:c>
      <x:c r="R1435" s="22" t="str">
        <x:f>"320758881"</x:f>
        <x:v>320758881</x:v>
      </x:c>
      <x:c r="S1435" s="23" t="str">
        <x:v>feminino</x:v>
      </x:c>
      <x:c r="T1435" s="22" t="str">
        <x:f>"KZA9973"</x:f>
        <x:v>KZA9973</x:v>
      </x:c>
      <x:c r="U1435" s="23" t="str">
        <x:v>GISELLE AGATHA DE SOUZA SANTOS</x:v>
      </x:c>
      <x:c r="V1435" s="22" t="str">
        <x:f>"186.535.007-90"</x:f>
        <x:v>186.535.007-90</x:v>
      </x:c>
      <x:c r="W1435" s="22" t="str">
        <x:f>"18653500790"</x:f>
        <x:v>18653500790</x:v>
      </x:c>
      <x:c r="X1435" s="23" t="str">
        <x:v>giselle.agatha.9@gmail.com</x:v>
      </x:c>
      <x:c r="Y1435" s="22" t="str">
        <x:f>"21971702361"</x:f>
        <x:v>21971702361</x:v>
      </x:c>
      <x:c r="Z1435" s="30" t="n">
        <x:v>46456</x:v>
      </x:c>
    </x:row>
    <x:row r="1436" ht="18" customHeight="1">
      <x:c r="A1436" s="22" t="str">
        <x:f>"59a38107-d6de-4425-8b20-adbb414f0be2"</x:f>
        <x:v>59a38107-d6de-4425-8b20-adbb414f0be2</x:v>
      </x:c>
      <x:c r="B1436" s="23" t="str">
        <x:v>GISELLE LINO DA SILVA</x:v>
      </x:c>
      <x:c r="C1436" s="23" t="str">
        <x:v>giselle lino da silva</x:v>
      </x:c>
      <x:c r="D1436" s="22" t="str">
        <x:f>"67.747.483/0001-63"</x:f>
        <x:v>67.747.483/0001-63</x:v>
      </x:c>
      <x:c r="E1436" s="22" t="str">
        <x:f>"67747483000163"</x:f>
        <x:v>67747483000163</x:v>
      </x:c>
      <x:c r="F1436" s="22" t="str">
        <x:f>"097.243.716-97"</x:f>
        <x:v>097.243.716-97</x:v>
      </x:c>
      <x:c r="G1436" s="22" t="str">
        <x:f>"09724371697"</x:f>
        <x:v>09724371697</x:v>
      </x:c>
      <x:c r="H1436" s="23" t="str">
        <x:v>Gii.lino88@icloud.com</x:v>
      </x:c>
      <x:c r="I1436" s="22" t="str">
        <x:f>"(19) 99957-7457"</x:f>
        <x:v>(19) 99957-7457</x:v>
      </x:c>
      <x:c r="J1436" s="23" t="str">
        <x:v>RENTAL</x:v>
      </x:c>
      <x:c r="K1436" s="23" t="str">
        <x:v>rental_company</x:v>
      </x:c>
      <x:c r="L1436" s="24" t="b">
        <x:v>1</x:v>
      </x:c>
      <x:c r="M1436" s="23" t="n">
        <x:v>1</x:v>
      </x:c>
      <x:c r="N1436" s="28" t="n">
        <x:v>46219.812988715275</x:v>
      </x:c>
      <x:c r="O1436" s="28" t="n">
        <x:v>46219.812988715275</x:v>
      </x:c>
      <x:c r="P1436" s="23" t="str">
        <x:v>POUSO ALEGRE</x:v>
      </x:c>
      <x:c r="Q1436" s="30" t="n">
        <x:v>32326</x:v>
      </x:c>
      <x:c r="R1436" s="22" t="str">
        <x:f>"404461931 SSP SP"</x:f>
        <x:v>404461931 SSP SP</x:v>
      </x:c>
      <x:c r="S1436" s="23" t="str">
        <x:v>feminino</x:v>
      </x:c>
      <x:c r="T1436" s="22" t="str"/>
      <x:c r="U1436" s="23" t="str">
        <x:v>GISELLE LINO DA SILVA</x:v>
      </x:c>
      <x:c r="V1436" s="22" t="str">
        <x:f>"097.243.716-97"</x:f>
        <x:v>097.243.716-97</x:v>
      </x:c>
      <x:c r="W1436" s="22" t="str">
        <x:f>"09724371697"</x:f>
        <x:v>09724371697</x:v>
      </x:c>
      <x:c r="X1436" s="23" t="str">
        <x:v>Gii.lino88@icloud.com</x:v>
      </x:c>
      <x:c r="Y1436" s="22" t="str">
        <x:f>"(19) 99957-7457"</x:f>
        <x:v>(19) 99957-7457</x:v>
      </x:c>
      <x:c r="Z1436" s="30" t="n">
        <x:v>46568</x:v>
      </x:c>
    </x:row>
    <x:row r="1437" ht="18" customHeight="1">
      <x:c r="A1437" s="22" t="str">
        <x:f>"33ae4158-c304-4bb8-9d46-31187149a7f6"</x:f>
        <x:v>33ae4158-c304-4bb8-9d46-31187149a7f6</x:v>
      </x:c>
      <x:c r="B1437" s="23" t="str">
        <x:v>GLADYSON JEFFERSON DA FONSECA SILVA</x:v>
      </x:c>
      <x:c r="C1437" s="23" t="str">
        <x:v>gladyson jefferson da fonseca silva</x:v>
      </x:c>
      <x:c r="D1437" s="22" t="str">
        <x:f>"47.796.209/0001-77"</x:f>
        <x:v>47.796.209/0001-77</x:v>
      </x:c>
      <x:c r="E1437" s="22" t="str">
        <x:f>"47796209000177"</x:f>
        <x:v>47796209000177</x:v>
      </x:c>
      <x:c r="F1437" s="22" t="str">
        <x:f>"016.609.606-73"</x:f>
        <x:v>016.609.606-73</x:v>
      </x:c>
      <x:c r="G1437" s="22" t="str">
        <x:f>"01660960673"</x:f>
        <x:v>01660960673</x:v>
      </x:c>
      <x:c r="H1437" s="23" t="str">
        <x:v>Gladysonthaysla2016@gmail.com</x:v>
      </x:c>
      <x:c r="I1437" s="22" t="str">
        <x:f>"3199183-5948"</x:f>
        <x:v>3199183-5948</x:v>
      </x:c>
      <x:c r="J1437" s="23" t="str">
        <x:v>RENTAL</x:v>
      </x:c>
      <x:c r="K1437" s="23" t="str">
        <x:v>rental_company</x:v>
      </x:c>
      <x:c r="L1437" s="24" t="b">
        <x:v>1</x:v>
      </x:c>
      <x:c r="M1437" s="23" t="n">
        <x:v>1</x:v>
      </x:c>
      <x:c r="N1437" s="28" t="n">
        <x:v>46219.812988715275</x:v>
      </x:c>
      <x:c r="O1437" s="28" t="n">
        <x:v>46219.812988715275</x:v>
      </x:c>
      <x:c r="P1437" s="23" t="str">
        <x:v>CONTAGEM</x:v>
      </x:c>
      <x:c r="Q1437" s="30" t="n">
        <x:v>32239</x:v>
      </x:c>
      <x:c r="R1437" s="22" t="str">
        <x:f>"mg14777522"</x:f>
        <x:v>mg14777522</x:v>
      </x:c>
      <x:c r="S1437" s="23" t="str">
        <x:v>masculino</x:v>
      </x:c>
      <x:c r="T1437" s="22" t="str"/>
      <x:c r="U1437" s="23" t="str">
        <x:v>GLADYSON JEFFERSON DA FONSECA SILVA</x:v>
      </x:c>
      <x:c r="V1437" s="22" t="str">
        <x:f>"016.609.606-73"</x:f>
        <x:v>016.609.606-73</x:v>
      </x:c>
      <x:c r="W1437" s="22" t="str">
        <x:f>"01660960673"</x:f>
        <x:v>01660960673</x:v>
      </x:c>
      <x:c r="X1437" s="23" t="str">
        <x:v>Gladysonthaysla2016@gmail.com</x:v>
      </x:c>
      <x:c r="Y1437" s="22" t="str">
        <x:f>"3199183-5948"</x:f>
        <x:v>3199183-5948</x:v>
      </x:c>
      <x:c r="Z1437" s="30" t="n">
        <x:v>46491</x:v>
      </x:c>
    </x:row>
    <x:row r="1438" ht="18" customHeight="1">
      <x:c r="A1438" s="22" t="str">
        <x:f>"999c0812-8656-4d9a-915b-61671a11121b"</x:f>
        <x:v>999c0812-8656-4d9a-915b-61671a11121b</x:v>
      </x:c>
      <x:c r="B1438" s="23" t="str">
        <x:v>GLADYSTON GONCALVES DE AZEVEDO</x:v>
      </x:c>
      <x:c r="C1438" s="23" t="str">
        <x:v>gladyston goncalves de azevedo</x:v>
      </x:c>
      <x:c r="D1438" s="22" t="str">
        <x:f>"62.965.202/0001-25"</x:f>
        <x:v>62.965.202/0001-25</x:v>
      </x:c>
      <x:c r="E1438" s="22" t="str">
        <x:f>"62965202000125"</x:f>
        <x:v>62965202000125</x:v>
      </x:c>
      <x:c r="F1438" s="22" t="str">
        <x:f>"120.105.117-78"</x:f>
        <x:v>120.105.117-78</x:v>
      </x:c>
      <x:c r="G1438" s="22" t="str">
        <x:f>"12010511778"</x:f>
        <x:v>12010511778</x:v>
      </x:c>
      <x:c r="H1438" s="23" t="str">
        <x:v>movlarrealengo@gmail.com</x:v>
      </x:c>
      <x:c r="I1438" s="22" t="str">
        <x:f>"2197565-2330"</x:f>
        <x:v>2197565-2330</x:v>
      </x:c>
      <x:c r="J1438" s="23" t="str">
        <x:v>SPOT</x:v>
      </x:c>
      <x:c r="K1438" s="23" t="str">
        <x:v>favored_only</x:v>
      </x:c>
      <x:c r="L1438" s="24" t="b">
        <x:v>1</x:v>
      </x:c>
      <x:c r="M1438" s="23" t="n">
        <x:v>1</x:v>
      </x:c>
      <x:c r="N1438" s="28" t="n">
        <x:v>46219.812988715275</x:v>
      </x:c>
      <x:c r="O1438" s="28" t="n">
        <x:v>46219.812988715275</x:v>
      </x:c>
      <x:c r="P1438" s="23" t="str">
        <x:v>CAMPO GRANDE</x:v>
      </x:c>
      <x:c r="Q1438" s="30" t="n">
        <x:v>32952</x:v>
      </x:c>
      <x:c r="R1438" s="22" t="str">
        <x:f>"42213S153"</x:f>
        <x:v>42213S153</x:v>
      </x:c>
      <x:c r="S1438" s="23" t="str">
        <x:v>masculino</x:v>
      </x:c>
      <x:c r="T1438" s="22" t="str">
        <x:f>"KWI5H72"</x:f>
        <x:v>KWI5H72</x:v>
      </x:c>
      <x:c r="U1438" s="23" t="str">
        <x:v>GLADYSTON GONCALVES DE AZEVEDO</x:v>
      </x:c>
      <x:c r="V1438" s="22" t="str">
        <x:f>"120.105.117-78"</x:f>
        <x:v>120.105.117-78</x:v>
      </x:c>
      <x:c r="W1438" s="22" t="str">
        <x:f>"12010511778"</x:f>
        <x:v>12010511778</x:v>
      </x:c>
      <x:c r="X1438" s="23" t="str">
        <x:v>movlarrealengo@gmail.com</x:v>
      </x:c>
      <x:c r="Y1438" s="22" t="str">
        <x:f>"2197565-2330"</x:f>
        <x:v>2197565-2330</x:v>
      </x:c>
      <x:c r="Z1438" s="30" t="n">
        <x:v>46535</x:v>
      </x:c>
    </x:row>
    <x:row r="1439" ht="18" customHeight="1">
      <x:c r="A1439" s="22" t="str">
        <x:f>"db175109-b209-4b61-a135-e10f71ed9c45"</x:f>
        <x:v>db175109-b209-4b61-a135-e10f71ed9c45</x:v>
      </x:c>
      <x:c r="B1439" s="23" t="str">
        <x:v>GLAUBER DE CARVALHO GERONIMO</x:v>
      </x:c>
      <x:c r="C1439" s="23" t="str">
        <x:v>glauber de carvalho geronimo</x:v>
      </x:c>
      <x:c r="D1439" s="22" t="str">
        <x:f>"49.642.917/0001-89"</x:f>
        <x:v>49.642.917/0001-89</x:v>
      </x:c>
      <x:c r="E1439" s="22" t="str">
        <x:f>"49642917000189"</x:f>
        <x:v>49642917000189</x:v>
      </x:c>
      <x:c r="F1439" s="22" t="str">
        <x:f>"023.874.221-04"</x:f>
        <x:v>023.874.221-04</x:v>
      </x:c>
      <x:c r="G1439" s="22" t="str">
        <x:f>"02387422104"</x:f>
        <x:v>02387422104</x:v>
      </x:c>
      <x:c r="H1439" s="23" t="str">
        <x:v>glaubercgeronimo@gmail.com</x:v>
      </x:c>
      <x:c r="I1439" s="22" t="str">
        <x:f>"62992668451"</x:f>
        <x:v>62992668451</x:v>
      </x:c>
      <x:c r="J1439" s="23" t="str">
        <x:v>SPOT</x:v>
      </x:c>
      <x:c r="K1439" s="23" t="str">
        <x:v>favored_only</x:v>
      </x:c>
      <x:c r="L1439" s="24" t="b">
        <x:v>1</x:v>
      </x:c>
      <x:c r="M1439" s="23" t="n">
        <x:v>1</x:v>
      </x:c>
      <x:c r="N1439" s="28" t="n">
        <x:v>46203.92186462963</x:v>
      </x:c>
      <x:c r="O1439" s="28" t="n">
        <x:v>46219.812988715275</x:v>
      </x:c>
      <x:c r="P1439" s="23" t="str">
        <x:v>GOIANIA</x:v>
      </x:c>
      <x:c r="Q1439" s="30" t="n">
        <x:v>33085</x:v>
      </x:c>
      <x:c r="R1439" s="22" t="str">
        <x:f>"5689856"</x:f>
        <x:v>5689856</x:v>
      </x:c>
      <x:c r="S1439" s="23" t="str">
        <x:v>masculino</x:v>
      </x:c>
      <x:c r="T1439" s="22" t="str">
        <x:f>"PRD3H03"</x:f>
        <x:v>PRD3H03</x:v>
      </x:c>
      <x:c r="U1439" s="23" t="str">
        <x:v>GLAUBER DE CARVALHO GERONIMO</x:v>
      </x:c>
      <x:c r="V1439" s="22" t="str">
        <x:f>"023.874.221-04"</x:f>
        <x:v>023.874.221-04</x:v>
      </x:c>
      <x:c r="W1439" s="22" t="str">
        <x:f>"02387422104"</x:f>
        <x:v>02387422104</x:v>
      </x:c>
      <x:c r="X1439" s="23" t="str">
        <x:v>glaubercgeronimo@gmail.com</x:v>
      </x:c>
      <x:c r="Y1439" s="22" t="str">
        <x:f>"62992668451"</x:f>
        <x:v>62992668451</x:v>
      </x:c>
      <x:c r="Z1439" s="30" t="n">
        <x:v>46271</x:v>
      </x:c>
    </x:row>
    <x:row r="1440" ht="18" customHeight="1">
      <x:c r="A1440" s="22" t="str">
        <x:f>"dcce8ae0-0fa3-451a-b648-b0962d0303ef"</x:f>
        <x:v>dcce8ae0-0fa3-451a-b648-b0962d0303ef</x:v>
      </x:c>
      <x:c r="B1440" s="23" t="str">
        <x:v>GLEICIMARA SILVA LIMA AMORIM.</x:v>
      </x:c>
      <x:c r="C1440" s="23" t="str">
        <x:v>gleicimara silva lima amorim</x:v>
      </x:c>
      <x:c r="D1440" s="22" t="str">
        <x:f>"66.437.588/0001-53"</x:f>
        <x:v>66.437.588/0001-53</x:v>
      </x:c>
      <x:c r="E1440" s="22" t="str">
        <x:f>"66437588000153"</x:f>
        <x:v>66437588000153</x:v>
      </x:c>
      <x:c r="F1440" s="22" t="str">
        <x:f>"056.189.201-66"</x:f>
        <x:v>056.189.201-66</x:v>
      </x:c>
      <x:c r="G1440" s="22" t="str">
        <x:f>"05618920166"</x:f>
        <x:v>05618920166</x:v>
      </x:c>
      <x:c r="H1440" s="23" t="str">
        <x:v>gleicimaraamorim50@gmail.com</x:v>
      </x:c>
      <x:c r="I1440" s="22" t="str">
        <x:f>"+55 65 9926-9794"</x:f>
        <x:v>+55 65 9926-9794</x:v>
      </x:c>
      <x:c r="J1440" s="23" t="str">
        <x:v>SPOT</x:v>
      </x:c>
      <x:c r="K1440" s="23" t="str">
        <x:v>favored_only</x:v>
      </x:c>
      <x:c r="L1440" s="24" t="b">
        <x:v>1</x:v>
      </x:c>
      <x:c r="M1440" s="23" t="n">
        <x:v>1</x:v>
      </x:c>
      <x:c r="N1440" s="28" t="n">
        <x:v>46219.812988715275</x:v>
      </x:c>
      <x:c r="O1440" s="28" t="n">
        <x:v>46219.812988715275</x:v>
      </x:c>
      <x:c r="P1440" s="23" t="str">
        <x:v>CÁCERES</x:v>
      </x:c>
      <x:c r="Q1440" s="30" t="n">
        <x:v>35201</x:v>
      </x:c>
      <x:c r="R1440" s="22" t="str">
        <x:f>"26296071"</x:f>
        <x:v>26296071</x:v>
      </x:c>
      <x:c r="S1440" s="23" t="str">
        <x:v>feminino</x:v>
      </x:c>
      <x:c r="T1440" s="22" t="str">
        <x:f>"obg3g03"</x:f>
        <x:v>obg3g03</x:v>
      </x:c>
      <x:c r="U1440" s="23" t="str">
        <x:v>GLEICIMARA SILVA LIMA AMORIM.</x:v>
      </x:c>
      <x:c r="V1440" s="22" t="str">
        <x:f>"056.189.201-66"</x:f>
        <x:v>056.189.201-66</x:v>
      </x:c>
      <x:c r="W1440" s="22" t="str">
        <x:f>"05618920166"</x:f>
        <x:v>05618920166</x:v>
      </x:c>
      <x:c r="X1440" s="23" t="str">
        <x:v>gleicimaraamorim50@gmail.com</x:v>
      </x:c>
      <x:c r="Y1440" s="22" t="str">
        <x:f>"+55 65 9926-9794"</x:f>
        <x:v>+55 65 9926-9794</x:v>
      </x:c>
      <x:c r="Z1440" s="30" t="n">
        <x:v>46501</x:v>
      </x:c>
    </x:row>
    <x:row r="1441" ht="18" customHeight="1">
      <x:c r="A1441" s="22" t="str">
        <x:f>"4b45af4a-6b16-47b0-8cc9-aa360906ce36"</x:f>
        <x:v>4b45af4a-6b16-47b0-8cc9-aa360906ce36</x:v>
      </x:c>
      <x:c r="B1441" s="23" t="str">
        <x:v>GLEIDERSON RICARDO RIBEIRO</x:v>
      </x:c>
      <x:c r="C1441" s="23" t="str">
        <x:v>gleiderson ricardo ribeiro</x:v>
      </x:c>
      <x:c r="D1441" s="22" t="str">
        <x:f>"19.783.578/0001-90"</x:f>
        <x:v>19.783.578/0001-90</x:v>
      </x:c>
      <x:c r="E1441" s="22" t="str">
        <x:f>"19783578000190"</x:f>
        <x:v>19783578000190</x:v>
      </x:c>
      <x:c r="F1441" s="22" t="str">
        <x:f>"067.017.006-24"</x:f>
        <x:v>067.017.006-24</x:v>
      </x:c>
      <x:c r="G1441" s="22" t="str">
        <x:f>"06701700624"</x:f>
        <x:v>06701700624</x:v>
      </x:c>
      <x:c r="H1441" s="23" t="str">
        <x:v>Gleidersonricardo94@gmail.com</x:v>
      </x:c>
      <x:c r="I1441" s="22" t="str">
        <x:f>"34 9820-1230"</x:f>
        <x:v>34 9820-1230</x:v>
      </x:c>
      <x:c r="J1441" s="23" t="str">
        <x:v>SPOT</x:v>
      </x:c>
      <x:c r="K1441" s="23" t="str">
        <x:v>favored_only</x:v>
      </x:c>
      <x:c r="L1441" s="24" t="b">
        <x:v>1</x:v>
      </x:c>
      <x:c r="M1441" s="23" t="n">
        <x:v>1</x:v>
      </x:c>
      <x:c r="N1441" s="28" t="n">
        <x:v>46205.60668943287</x:v>
      </x:c>
      <x:c r="O1441" s="28" t="n">
        <x:v>46219.812988715275</x:v>
      </x:c>
      <x:c r="P1441" s="23" t="str">
        <x:v>PATOS DE MINAS</x:v>
      </x:c>
      <x:c r="Q1441" s="30" t="n">
        <x:v>30354</x:v>
      </x:c>
      <x:c r="R1441" s="22" t="str">
        <x:f>"MG 12419592"</x:f>
        <x:v>MG 12419592</x:v>
      </x:c>
      <x:c r="S1441" s="23" t="str">
        <x:v>masculino</x:v>
      </x:c>
      <x:c r="T1441" s="22" t="str">
        <x:f>"QXN4H73"</x:f>
        <x:v>QXN4H73</x:v>
      </x:c>
      <x:c r="U1441" s="23" t="str">
        <x:v>JESSICA CAIXETA RIBEIRO</x:v>
      </x:c>
      <x:c r="V1441" s="22" t="str">
        <x:f>"107.576.756-38"</x:f>
        <x:v>107.576.756-38</x:v>
      </x:c>
      <x:c r="W1441" s="22" t="str">
        <x:f>"10757675638"</x:f>
        <x:v>10757675638</x:v>
      </x:c>
      <x:c r="X1441" s="23" t="str">
        <x:v>jeccykaribeiro@gmail.com</x:v>
      </x:c>
      <x:c r="Y1441" s="22" t="str">
        <x:f>"34999970363"</x:f>
        <x:v>34999970363</x:v>
      </x:c>
      <x:c r="Z1441" s="30" t="n">
        <x:v>46371</x:v>
      </x:c>
    </x:row>
    <x:row r="1442" ht="18" customHeight="1">
      <x:c r="A1442" s="22" t="str">
        <x:f>"82bffa60-07e2-4f50-9078-1c235ca621d0"</x:f>
        <x:v>82bffa60-07e2-4f50-9078-1c235ca621d0</x:v>
      </x:c>
      <x:c r="B1442" s="23" t="str">
        <x:v>GLEIMISON RALF SILVA BARBOSA MOREIRA</x:v>
      </x:c>
      <x:c r="C1442" s="23" t="str">
        <x:v>gleimison ralf silva barbosa moreira</x:v>
      </x:c>
      <x:c r="D1442" s="22" t="str">
        <x:f>"62.976.686/0001-08"</x:f>
        <x:v>62.976.686/0001-08</x:v>
      </x:c>
      <x:c r="E1442" s="22" t="str">
        <x:f>"62976686000108"</x:f>
        <x:v>62976686000108</x:v>
      </x:c>
      <x:c r="F1442" s="22" t="str">
        <x:f>"050.712.151-10"</x:f>
        <x:v>050.712.151-10</x:v>
      </x:c>
      <x:c r="G1442" s="22" t="str">
        <x:f>"05071215110"</x:f>
        <x:v>05071215110</x:v>
      </x:c>
      <x:c r="H1442" s="23" t="str">
        <x:v>gleimisonmoreira@gmail.com</x:v>
      </x:c>
      <x:c r="I1442" s="22" t="str">
        <x:f>"62981098968"</x:f>
        <x:v>62981098968</x:v>
      </x:c>
      <x:c r="J1442" s="23" t="str">
        <x:v>SPOT</x:v>
      </x:c>
      <x:c r="K1442" s="23" t="str">
        <x:v>favored_only</x:v>
      </x:c>
      <x:c r="L1442" s="24" t="b">
        <x:v>1</x:v>
      </x:c>
      <x:c r="M1442" s="23" t="n">
        <x:v>1</x:v>
      </x:c>
      <x:c r="N1442" s="28" t="n">
        <x:v>46205.605847349536</x:v>
      </x:c>
      <x:c r="O1442" s="28" t="n">
        <x:v>46205.60741065972</x:v>
      </x:c>
      <x:c r="P1442" s="23" t="str">
        <x:v>MINAÇU</x:v>
      </x:c>
      <x:c r="Q1442" s="30" t="n">
        <x:v>35779</x:v>
      </x:c>
      <x:c r="R1442" s="22" t="str">
        <x:f>"1202443"</x:f>
        <x:v>1202443</x:v>
      </x:c>
      <x:c r="S1442" s="23" t="str">
        <x:v>Masculino</x:v>
      </x:c>
      <x:c r="T1442" s="22" t="str">
        <x:f>"AZQ2G94"</x:f>
        <x:v>AZQ2G94</x:v>
      </x:c>
      <x:c r="U1442" s="23" t="str">
        <x:v>Angelo Batista Moreira</x:v>
      </x:c>
      <x:c r="V1442" s="22" t="str">
        <x:f>"933.824.561-68"</x:f>
        <x:v>933.824.561-68</x:v>
      </x:c>
      <x:c r="W1442" s="22" t="str">
        <x:f>"93382456168"</x:f>
        <x:v>93382456168</x:v>
      </x:c>
      <x:c r="X1442" s="23" t="str">
        <x:v>batistaangelo18@gmail.com</x:v>
      </x:c>
      <x:c r="Y1442" s="22" t="str">
        <x:f>"62985311139"</x:f>
        <x:v>62985311139</x:v>
      </x:c>
      <x:c r="Z1442" s="30" t="n">
        <x:v>46226</x:v>
      </x:c>
    </x:row>
    <x:row r="1443" ht="18" customHeight="1">
      <x:c r="A1443" s="22" t="str">
        <x:f>"f9968285-b1d4-4f4a-84cd-985635ab56cc"</x:f>
        <x:v>f9968285-b1d4-4f4a-84cd-985635ab56cc</x:v>
      </x:c>
      <x:c r="B1443" s="23" t="str">
        <x:v>GLEIMISON RALF SILVA BARBOSA MOREIRA</x:v>
      </x:c>
      <x:c r="C1443" s="23" t="str">
        <x:v>gleimison ralf silva barbosa moreira</x:v>
      </x:c>
      <x:c r="D1443" s="22" t="str">
        <x:f>"55.642.559/0001-07"</x:f>
        <x:v>55.642.559/0001-07</x:v>
      </x:c>
      <x:c r="E1443" s="22" t="str">
        <x:f>"55642559000107"</x:f>
        <x:v>55642559000107</x:v>
      </x:c>
      <x:c r="F1443" s="22" t="str">
        <x:f>"050.712.151-10"</x:f>
        <x:v>050.712.151-10</x:v>
      </x:c>
      <x:c r="G1443" s="22" t="str">
        <x:f>"05071215110"</x:f>
        <x:v>05071215110</x:v>
      </x:c>
      <x:c r="H1443" s="23" t="str">
        <x:v>gleimisonmoreira@gmail.com</x:v>
      </x:c>
      <x:c r="I1443" s="22" t="str">
        <x:f>"(62) 981098967"</x:f>
        <x:v>(62) 981098967</x:v>
      </x:c>
      <x:c r="J1443" s="23" t="str">
        <x:v>SPOT</x:v>
      </x:c>
      <x:c r="K1443" s="23" t="str">
        <x:v>favored_only</x:v>
      </x:c>
      <x:c r="L1443" s="24" t="b">
        <x:v>1</x:v>
      </x:c>
      <x:c r="M1443" s="23" t="n">
        <x:v>1</x:v>
      </x:c>
      <x:c r="N1443" s="28" t="n">
        <x:v>46205.60298087963</x:v>
      </x:c>
      <x:c r="O1443" s="28" t="n">
        <x:v>46219.812988715275</x:v>
      </x:c>
      <x:c r="P1443" s="23" t="str">
        <x:v>MINAÇU</x:v>
      </x:c>
      <x:c r="Q1443" s="30" t="n">
        <x:v>35780</x:v>
      </x:c>
      <x:c r="R1443" s="22" t="str">
        <x:f>"1202443"</x:f>
        <x:v>1202443</x:v>
      </x:c>
      <x:c r="S1443" s="23" t="str">
        <x:v>masculino</x:v>
      </x:c>
      <x:c r="T1443" s="22" t="str">
        <x:f>"AZQ2G94"</x:f>
        <x:v>AZQ2G94</x:v>
      </x:c>
      <x:c r="U1443" s="23" t="str">
        <x:v>WHERYCA CRISTINA PEREIRA MARTINS</x:v>
      </x:c>
      <x:c r="V1443" s="22" t="str">
        <x:f>"073.156.121-06"</x:f>
        <x:v>073.156.121-06</x:v>
      </x:c>
      <x:c r="W1443" s="22" t="str">
        <x:f>"07315612106"</x:f>
        <x:v>07315612106</x:v>
      </x:c>
      <x:c r="X1443" s="23" t="str">
        <x:v>wheryca2020@gmail.com</x:v>
      </x:c>
      <x:c r="Y1443" s="22" t="str">
        <x:f>"(62) 98570-4104"</x:f>
        <x:v>(62) 98570-4104</x:v>
      </x:c>
      <x:c r="Z1443" s="30" t="n">
        <x:v>46532</x:v>
      </x:c>
    </x:row>
    <x:row r="1444" ht="18" customHeight="1">
      <x:c r="A1444" s="22" t="str">
        <x:f>"26995dac-d9cc-4898-9435-87c796bf0de8"</x:f>
        <x:v>26995dac-d9cc-4898-9435-87c796bf0de8</x:v>
      </x:c>
      <x:c r="B1444" s="23" t="str">
        <x:v>GLEISSON FALQUETO DA SILVA</x:v>
      </x:c>
      <x:c r="C1444" s="23" t="str">
        <x:v>gleisson falqueto da silva</x:v>
      </x:c>
      <x:c r="D1444" s="22" t="str">
        <x:f>"67.275.861/0001-53"</x:f>
        <x:v>67.275.861/0001-53</x:v>
      </x:c>
      <x:c r="E1444" s="22" t="str">
        <x:f>"67275861000153"</x:f>
        <x:v>67275861000153</x:v>
      </x:c>
      <x:c r="F1444" s="22" t="str">
        <x:f>"458.245.978-12"</x:f>
        <x:v>458.245.978-12</x:v>
      </x:c>
      <x:c r="G1444" s="22" t="str">
        <x:f>"45824597812"</x:f>
        <x:v>45824597812</x:v>
      </x:c>
      <x:c r="H1444" s="23" t="str">
        <x:v>Glei.falqueto13@gmail.com</x:v>
      </x:c>
      <x:c r="I1444" s="22" t="str">
        <x:f>"(012)92000-5560"</x:f>
        <x:v>(012)92000-5560</x:v>
      </x:c>
      <x:c r="J1444" s="23" t="str">
        <x:v>RENTAL</x:v>
      </x:c>
      <x:c r="K1444" s="23" t="str">
        <x:v>rental_company</x:v>
      </x:c>
      <x:c r="L1444" s="24" t="b">
        <x:v>1</x:v>
      </x:c>
      <x:c r="M1444" s="23" t="n">
        <x:v>1</x:v>
      </x:c>
      <x:c r="N1444" s="28" t="n">
        <x:v>46219.812988715275</x:v>
      </x:c>
      <x:c r="O1444" s="28" t="n">
        <x:v>46219.812988715275</x:v>
      </x:c>
      <x:c r="P1444" s="23" t="str">
        <x:v>POUSO ALEGRE</x:v>
      </x:c>
      <x:c r="Q1444" s="30" t="n">
        <x:v>35718</x:v>
      </x:c>
      <x:c r="R1444" s="22" t="str">
        <x:f>"564935013 SSP SP"</x:f>
        <x:v>564935013 SSP SP</x:v>
      </x:c>
      <x:c r="S1444" s="23" t="str">
        <x:v>masculino</x:v>
      </x:c>
      <x:c r="T1444" s="22" t="str"/>
      <x:c r="U1444" s="23" t="str">
        <x:v>GLEISSON FALQUETO DA SILVA</x:v>
      </x:c>
      <x:c r="V1444" s="22" t="str">
        <x:f>"458.245.978-12"</x:f>
        <x:v>458.245.978-12</x:v>
      </x:c>
      <x:c r="W1444" s="22" t="str">
        <x:f>"45824597812"</x:f>
        <x:v>45824597812</x:v>
      </x:c>
      <x:c r="X1444" s="23" t="str">
        <x:v>Glei.falqueto13@gmail.com</x:v>
      </x:c>
      <x:c r="Y1444" s="22" t="str">
        <x:f>"(012)92000-5560"</x:f>
        <x:v>(012)92000-5560</x:v>
      </x:c>
      <x:c r="Z1444" s="30" t="n">
        <x:v>46549</x:v>
      </x:c>
    </x:row>
    <x:row r="1445" ht="18" customHeight="1">
      <x:c r="A1445" s="22" t="str">
        <x:f>"3f762b1a-bd33-4fb7-b9be-bfdeeb4ebcec"</x:f>
        <x:v>3f762b1a-bd33-4fb7-b9be-bfdeeb4ebcec</x:v>
      </x:c>
      <x:c r="B1445" s="23" t="str">
        <x:v>GLEYSER VINICIUS FERREIRA GOMES</x:v>
      </x:c>
      <x:c r="C1445" s="23" t="str">
        <x:v>gleyser vinicius ferreira gomes</x:v>
      </x:c>
      <x:c r="D1445" s="22" t="str">
        <x:f>"54.146.911/0001-50"</x:f>
        <x:v>54.146.911/0001-50</x:v>
      </x:c>
      <x:c r="E1445" s="22" t="str">
        <x:f>"54146911000150"</x:f>
        <x:v>54146911000150</x:v>
      </x:c>
      <x:c r="F1445" s="22" t="str">
        <x:f>"023.308.591-20"</x:f>
        <x:v>023.308.591-20</x:v>
      </x:c>
      <x:c r="G1445" s="22" t="str">
        <x:f>"02330859120"</x:f>
        <x:v>02330859120</x:v>
      </x:c>
      <x:c r="H1445" s="23" t="str">
        <x:v>gleyservinicius@gmail.com</x:v>
      </x:c>
      <x:c r="I1445" s="22" t="str">
        <x:f>"62981621598"</x:f>
        <x:v>62981621598</x:v>
      </x:c>
      <x:c r="J1445" s="23" t="str">
        <x:v>SPOT</x:v>
      </x:c>
      <x:c r="K1445" s="23" t="str">
        <x:v>favored_only</x:v>
      </x:c>
      <x:c r="L1445" s="24" t="b">
        <x:v>1</x:v>
      </x:c>
      <x:c r="M1445" s="23" t="n">
        <x:v>1</x:v>
      </x:c>
      <x:c r="N1445" s="28" t="n">
        <x:v>46203.9218771875</x:v>
      </x:c>
      <x:c r="O1445" s="28" t="n">
        <x:v>46219.812988715275</x:v>
      </x:c>
      <x:c r="P1445" s="23" t="str">
        <x:v>GOIANIA</x:v>
      </x:c>
      <x:c r="Q1445" s="30" t="n">
        <x:v>32151</x:v>
      </x:c>
      <x:c r="R1445" s="22" t="str">
        <x:f>"4421335"</x:f>
        <x:v>4421335</x:v>
      </x:c>
      <x:c r="S1445" s="23" t="str">
        <x:v>masculino</x:v>
      </x:c>
      <x:c r="T1445" s="22" t="str">
        <x:f>"PIP6J76"</x:f>
        <x:v>PIP6J76</x:v>
      </x:c>
      <x:c r="U1445" s="23" t="str">
        <x:v>GLEYSER VINICIUS FERREIRA GOMES</x:v>
      </x:c>
      <x:c r="V1445" s="22" t="str">
        <x:f>"023.308.591-20"</x:f>
        <x:v>023.308.591-20</x:v>
      </x:c>
      <x:c r="W1445" s="22" t="str">
        <x:f>"02330859120"</x:f>
        <x:v>02330859120</x:v>
      </x:c>
      <x:c r="X1445" s="23" t="str">
        <x:v>gleyservinicius@gmail.com</x:v>
      </x:c>
      <x:c r="Y1445" s="22" t="str">
        <x:f>"62981621598"</x:f>
        <x:v>62981621598</x:v>
      </x:c>
      <x:c r="Z1445" s="30" t="n">
        <x:v>46311</x:v>
      </x:c>
    </x:row>
    <x:row r="1446" ht="18" customHeight="1">
      <x:c r="A1446" s="22" t="str">
        <x:f>"152be25f-4c25-4463-9ff1-0748c1147506"</x:f>
        <x:v>152be25f-4c25-4463-9ff1-0748c1147506</x:v>
      </x:c>
      <x:c r="B1446" s="23" t="str">
        <x:v>GRAZIELE DAIANE DA SILVA</x:v>
      </x:c>
      <x:c r="C1446" s="23" t="str">
        <x:v>graziele daiane da silva</x:v>
      </x:c>
      <x:c r="D1446" s="22" t="str">
        <x:f>"62.539.519/0001-08"</x:f>
        <x:v>62.539.519/0001-08</x:v>
      </x:c>
      <x:c r="E1446" s="22" t="str">
        <x:f>"62539519000108"</x:f>
        <x:v>62539519000108</x:v>
      </x:c>
      <x:c r="F1446" s="22" t="str">
        <x:f>"414.865.088-47"</x:f>
        <x:v>414.865.088-47</x:v>
      </x:c>
      <x:c r="G1446" s="22" t="str">
        <x:f>"41486508847"</x:f>
        <x:v>41486508847</x:v>
      </x:c>
      <x:c r="H1446" s="23" t="str">
        <x:v>grazielesilvausa@gmail.com</x:v>
      </x:c>
      <x:c r="I1446" s="22" t="str">
        <x:f>"16991809217"</x:f>
        <x:v>16991809217</x:v>
      </x:c>
      <x:c r="J1446" s="23" t="str">
        <x:v>RENTAL</x:v>
      </x:c>
      <x:c r="K1446" s="23" t="str">
        <x:v>rental_company</x:v>
      </x:c>
      <x:c r="L1446" s="24" t="b">
        <x:v>1</x:v>
      </x:c>
      <x:c r="M1446" s="23" t="n">
        <x:v>1</x:v>
      </x:c>
      <x:c r="N1446" s="28" t="n">
        <x:v>46219.812988715275</x:v>
      </x:c>
      <x:c r="O1446" s="28" t="n">
        <x:v>46219.812988715275</x:v>
      </x:c>
      <x:c r="P1446" s="23" t="str">
        <x:v>SÃO CARLOS</x:v>
      </x:c>
      <x:c r="Q1446" s="30" t="n">
        <x:v>34513</x:v>
      </x:c>
      <x:c r="R1446" s="22" t="str">
        <x:f>"40.622-516-3"</x:f>
        <x:v>40.622-516-3</x:v>
      </x:c>
      <x:c r="S1446" s="23" t="str">
        <x:v>feminino</x:v>
      </x:c>
      <x:c r="T1446" s="22" t="str"/>
      <x:c r="U1446" s="23" t="str">
        <x:v>GRAZIELE DAIANE DA SILVA</x:v>
      </x:c>
      <x:c r="V1446" s="22" t="str">
        <x:f>"414.865.088-47"</x:f>
        <x:v>414.865.088-47</x:v>
      </x:c>
      <x:c r="W1446" s="22" t="str">
        <x:f>"41486508847"</x:f>
        <x:v>41486508847</x:v>
      </x:c>
      <x:c r="X1446" s="23" t="str">
        <x:v>grazielesilvausa@gmail.com</x:v>
      </x:c>
      <x:c r="Y1446" s="22" t="str">
        <x:f>"16991809217"</x:f>
        <x:v>16991809217</x:v>
      </x:c>
      <x:c r="Z1446" s="30" t="n">
        <x:v>46576</x:v>
      </x:c>
    </x:row>
    <x:row r="1447" ht="18" customHeight="1">
      <x:c r="A1447" s="22" t="str">
        <x:f>"ebbca1e8-d84c-4290-bc0a-86552b274b22"</x:f>
        <x:v>ebbca1e8-d84c-4290-bc0a-86552b274b22</x:v>
      </x:c>
      <x:c r="B1447" s="23" t="str">
        <x:v>GRAZIELE SIMONE DE SOUZA</x:v>
      </x:c>
      <x:c r="C1447" s="23" t="str">
        <x:v>graziele simone de souza</x:v>
      </x:c>
      <x:c r="D1447" s="22" t="str">
        <x:f>"64.956.662/0001-12"</x:f>
        <x:v>64.956.662/0001-12</x:v>
      </x:c>
      <x:c r="E1447" s="22" t="str">
        <x:f>"64956662000112"</x:f>
        <x:v>64956662000112</x:v>
      </x:c>
      <x:c r="F1447" s="22" t="str">
        <x:f>"078.882.746-41"</x:f>
        <x:v>078.882.746-41</x:v>
      </x:c>
      <x:c r="G1447" s="22" t="str">
        <x:f>"07888274641"</x:f>
        <x:v>07888274641</x:v>
      </x:c>
      <x:c r="H1447" s="23" t="str">
        <x:v>Mail.grazisouza4m@mal.co</x:v>
      </x:c>
      <x:c r="I1447" s="22" t="str">
        <x:f>"31982882317"</x:f>
        <x:v>31982882317</x:v>
      </x:c>
      <x:c r="J1447" s="23" t="str">
        <x:v>SPOT</x:v>
      </x:c>
      <x:c r="K1447" s="23" t="str">
        <x:v>favored_only</x:v>
      </x:c>
      <x:c r="L1447" s="24" t="b">
        <x:v>1</x:v>
      </x:c>
      <x:c r="M1447" s="23" t="n">
        <x:v>1</x:v>
      </x:c>
      <x:c r="N1447" s="28" t="n">
        <x:v>46219.812988715275</x:v>
      </x:c>
      <x:c r="O1447" s="28" t="n">
        <x:v>46219.812988715275</x:v>
      </x:c>
      <x:c r="P1447" s="23" t="str">
        <x:v>CONCEIÇÃO DO MATO DENTRO</x:v>
      </x:c>
      <x:c r="Q1447" s="30" t="n">
        <x:v>30829</x:v>
      </x:c>
      <x:c r="R1447" s="22" t="str">
        <x:f>"14485043"</x:f>
        <x:v>14485043</x:v>
      </x:c>
      <x:c r="S1447" s="23" t="str">
        <x:v>feminino</x:v>
      </x:c>
      <x:c r="T1447" s="22" t="str">
        <x:f>"qny6e93"</x:f>
        <x:v>qny6e93</x:v>
      </x:c>
      <x:c r="U1447" s="23" t="str">
        <x:v>64.956.662 PAOLA CAROLINA GUIMARAES REIS</x:v>
      </x:c>
      <x:c r="V1447" s="22" t="str">
        <x:f>"020.731.836-03"</x:f>
        <x:v>020.731.836-03</x:v>
      </x:c>
      <x:c r="W1447" s="22" t="str">
        <x:f>"02073183603"</x:f>
        <x:v>02073183603</x:v>
      </x:c>
      <x:c r="X1447" s="23" t="str">
        <x:v>Paolask22@gmail.com</x:v>
      </x:c>
      <x:c r="Y1447" s="22" t="str">
        <x:f>"31986725271"</x:f>
        <x:v>31986725271</x:v>
      </x:c>
      <x:c r="Z1447" s="30" t="n">
        <x:v>46578</x:v>
      </x:c>
    </x:row>
    <x:row r="1448" ht="18" customHeight="1">
      <x:c r="A1448" s="22" t="str">
        <x:f>"2f19c1ef-8a9d-4d8f-ad2c-1b67183358d4"</x:f>
        <x:v>2f19c1ef-8a9d-4d8f-ad2c-1b67183358d4</x:v>
      </x:c>
      <x:c r="B1448" s="23" t="str">
        <x:v>GRAZIELLE ALVES DOS ANJOS FERREIRA</x:v>
      </x:c>
      <x:c r="C1448" s="23" t="str">
        <x:v>grazielle alves dos anjos ferreira</x:v>
      </x:c>
      <x:c r="D1448" s="22" t="str">
        <x:f>"61.954.868/0001-15"</x:f>
        <x:v>61.954.868/0001-15</x:v>
      </x:c>
      <x:c r="E1448" s="22" t="str">
        <x:f>"61954868000115"</x:f>
        <x:v>61954868000115</x:v>
      </x:c>
      <x:c r="F1448" s="22" t="str">
        <x:f>"128.934.217-25"</x:f>
        <x:v>128.934.217-25</x:v>
      </x:c>
      <x:c r="G1448" s="22" t="str">
        <x:f>"12893421725"</x:f>
        <x:v>12893421725</x:v>
      </x:c>
      <x:c r="H1448" s="23" t="str">
        <x:v>graziellealvesdosanjos@gmail.com</x:v>
      </x:c>
      <x:c r="I1448" s="22" t="str">
        <x:f>"21981855046"</x:f>
        <x:v>21981855046</x:v>
      </x:c>
      <x:c r="J1448" s="23" t="str">
        <x:v>SPOT</x:v>
      </x:c>
      <x:c r="K1448" s="23" t="str">
        <x:v>favored_only</x:v>
      </x:c>
      <x:c r="L1448" s="24" t="b">
        <x:v>1</x:v>
      </x:c>
      <x:c r="M1448" s="23" t="n">
        <x:v>1</x:v>
      </x:c>
      <x:c r="N1448" s="28" t="n">
        <x:v>46219.812988715275</x:v>
      </x:c>
      <x:c r="O1448" s="28" t="n">
        <x:v>46219.812988715275</x:v>
      </x:c>
      <x:c r="P1448" s="23" t="str">
        <x:v>CAMPO GRANDE</x:v>
      </x:c>
      <x:c r="Q1448" s="30" t="n">
        <x:v>33006</x:v>
      </x:c>
      <x:c r="R1448" s="22" t="str">
        <x:f>"57452S157"</x:f>
        <x:v>57452S157</x:v>
      </x:c>
      <x:c r="S1448" s="23" t="str">
        <x:v>masculino</x:v>
      </x:c>
      <x:c r="T1448" s="22" t="str">
        <x:f>"KNT6I36"</x:f>
        <x:v>KNT6I36</x:v>
      </x:c>
      <x:c r="U1448" s="23" t="str">
        <x:v>GRAZIELLE ALVES DOS ANJOS FERREIRA</x:v>
      </x:c>
      <x:c r="V1448" s="22" t="str">
        <x:f>"128.934.217-25"</x:f>
        <x:v>128.934.217-25</x:v>
      </x:c>
      <x:c r="W1448" s="22" t="str">
        <x:f>"12893421725"</x:f>
        <x:v>12893421725</x:v>
      </x:c>
      <x:c r="X1448" s="23" t="str">
        <x:v>graziellealvesdosanjos@gmail.com</x:v>
      </x:c>
      <x:c r="Y1448" s="22" t="str">
        <x:f>"21981855046"</x:f>
        <x:v>21981855046</x:v>
      </x:c>
      <x:c r="Z1448" s="30" t="n">
        <x:v>46498</x:v>
      </x:c>
    </x:row>
    <x:row r="1449" ht="18" customHeight="1">
      <x:c r="A1449" s="22" t="str">
        <x:f>"85cb3569-1bb7-4420-ac1c-e12bbc73b7b7"</x:f>
        <x:v>85cb3569-1bb7-4420-ac1c-e12bbc73b7b7</x:v>
      </x:c>
      <x:c r="B1449" s="23" t="str">
        <x:v>GUILHERME ADRIANO LOPES FORNAZARI</x:v>
      </x:c>
      <x:c r="C1449" s="23" t="str">
        <x:v>guilherme adriano lopes fornazari</x:v>
      </x:c>
      <x:c r="D1449" s="22" t="str">
        <x:f>"66.574.598/0001-30"</x:f>
        <x:v>66.574.598/0001-30</x:v>
      </x:c>
      <x:c r="E1449" s="22" t="str">
        <x:f>"66574598000130"</x:f>
        <x:v>66574598000130</x:v>
      </x:c>
      <x:c r="F1449" s="22" t="str">
        <x:f>"513.114.488-45"</x:f>
        <x:v>513.114.488-45</x:v>
      </x:c>
      <x:c r="G1449" s="22" t="str">
        <x:f>"51311448845"</x:f>
        <x:v>51311448845</x:v>
      </x:c>
      <x:c r="H1449" s="23" t="str">
        <x:v>guilhermeadriano316@gmail.com</x:v>
      </x:c>
      <x:c r="I1449" s="22" t="str">
        <x:f>"14998766546"</x:f>
        <x:v>14998766546</x:v>
      </x:c>
      <x:c r="J1449" s="23" t="str">
        <x:v>RENTALS</x:v>
      </x:c>
      <x:c r="K1449" s="23" t="str">
        <x:v>rental_company</x:v>
      </x:c>
      <x:c r="L1449" s="24" t="b">
        <x:v>1</x:v>
      </x:c>
      <x:c r="M1449" s="23" t="n">
        <x:v>1</x:v>
      </x:c>
      <x:c r="N1449" s="28" t="n">
        <x:v>46219.812988715275</x:v>
      </x:c>
      <x:c r="O1449" s="28" t="n">
        <x:v>46219.812988715275</x:v>
      </x:c>
      <x:c r="P1449" s="23" t="str">
        <x:v>MARILIA</x:v>
      </x:c>
      <x:c r="Q1449" s="30" t="n">
        <x:v>38617</x:v>
      </x:c>
      <x:c r="R1449" s="22" t="str">
        <x:f>"62250738"</x:f>
        <x:v>62250738</x:v>
      </x:c>
      <x:c r="S1449" s="23" t="str">
        <x:v>masculino</x:v>
      </x:c>
      <x:c r="T1449" s="22" t="str"/>
      <x:c r="U1449" s="23" t="str">
        <x:v>GUILHERME ADRIANO LOPES FORNAZARI</x:v>
      </x:c>
      <x:c r="V1449" s="22" t="str">
        <x:f>"513.114.488-45"</x:f>
        <x:v>513.114.488-45</x:v>
      </x:c>
      <x:c r="W1449" s="22" t="str">
        <x:f>"51311448845"</x:f>
        <x:v>51311448845</x:v>
      </x:c>
      <x:c r="X1449" s="23" t="str">
        <x:v>guilhermeadriano316@gmail.com</x:v>
      </x:c>
      <x:c r="Y1449" s="22" t="str">
        <x:f>"14998766546"</x:f>
        <x:v>14998766546</x:v>
      </x:c>
      <x:c r="Z1449" s="30" t="n">
        <x:v>46511</x:v>
      </x:c>
    </x:row>
    <x:row r="1450" ht="18" customHeight="1">
      <x:c r="A1450" s="22" t="str">
        <x:f>"79e69fe0-218f-463a-b574-cb4d1d2e37a0"</x:f>
        <x:v>79e69fe0-218f-463a-b574-cb4d1d2e37a0</x:v>
      </x:c>
      <x:c r="B1450" s="23" t="str">
        <x:v>GUILHERME ALVES DE PAULA</x:v>
      </x:c>
      <x:c r="C1450" s="23" t="str">
        <x:v>guilherme alves de paula</x:v>
      </x:c>
      <x:c r="D1450" s="22" t="str">
        <x:f>"53.543.035/0001-33"</x:f>
        <x:v>53.543.035/0001-33</x:v>
      </x:c>
      <x:c r="E1450" s="22" t="str">
        <x:f>"53543035000133"</x:f>
        <x:v>53543035000133</x:v>
      </x:c>
      <x:c r="F1450" s="22" t="str">
        <x:f>"444.811.498-84"</x:f>
        <x:v>444.811.498-84</x:v>
      </x:c>
      <x:c r="G1450" s="22" t="str">
        <x:f>"44481149884"</x:f>
        <x:v>44481149884</x:v>
      </x:c>
      <x:c r="H1450" s="23" t="str">
        <x:v>guilhermedepaula.97@gmail.com</x:v>
      </x:c>
      <x:c r="I1450" s="22" t="str">
        <x:f>"11993634152"</x:f>
        <x:v>11993634152</x:v>
      </x:c>
      <x:c r="J1450" s="23" t="str">
        <x:v>RENTAL</x:v>
      </x:c>
      <x:c r="K1450" s="23" t="str">
        <x:v>rental_company</x:v>
      </x:c>
      <x:c r="L1450" s="24" t="b">
        <x:v>1</x:v>
      </x:c>
      <x:c r="M1450" s="23" t="n">
        <x:v>1</x:v>
      </x:c>
      <x:c r="N1450" s="28" t="n">
        <x:v>46219.812988715275</x:v>
      </x:c>
      <x:c r="O1450" s="28" t="n">
        <x:v>46219.812988715275</x:v>
      </x:c>
      <x:c r="P1450" s="23" t="str">
        <x:v>BARUERI</x:v>
      </x:c>
      <x:c r="Q1450" s="30" t="n">
        <x:v>35715</x:v>
      </x:c>
      <x:c r="R1450" s="22" t="str">
        <x:f>"550145679"</x:f>
        <x:v>550145679</x:v>
      </x:c>
      <x:c r="S1450" s="23" t="str">
        <x:v>masculino</x:v>
      </x:c>
      <x:c r="T1450" s="22" t="str"/>
      <x:c r="U1450" s="23" t="str">
        <x:v>GUILHERME ALVES DE PAULA</x:v>
      </x:c>
      <x:c r="V1450" s="22" t="str">
        <x:f>"444.811.498-84"</x:f>
        <x:v>444.811.498-84</x:v>
      </x:c>
      <x:c r="W1450" s="22" t="str">
        <x:f>"44481149884"</x:f>
        <x:v>44481149884</x:v>
      </x:c>
      <x:c r="X1450" s="23" t="str">
        <x:v>guilhermedepaula.97@gmail.com</x:v>
      </x:c>
      <x:c r="Y1450" s="22" t="str">
        <x:f>"11993634152"</x:f>
        <x:v>11993634152</x:v>
      </x:c>
      <x:c r="Z1450" s="30" t="n">
        <x:v>46469</x:v>
      </x:c>
    </x:row>
    <x:row r="1451" ht="18" customHeight="1">
      <x:c r="A1451" s="22" t="str">
        <x:f>"83a4fc20-69aa-4a69-825c-1c7e48f77f7e"</x:f>
        <x:v>83a4fc20-69aa-4a69-825c-1c7e48f77f7e</x:v>
      </x:c>
      <x:c r="B1451" s="23" t="str">
        <x:v>GUILHERME ANTONIO DA SILVA BELLEZI</x:v>
      </x:c>
      <x:c r="C1451" s="23" t="str">
        <x:v>guilherme antonio da silva bellezi</x:v>
      </x:c>
      <x:c r="D1451" s="22" t="str">
        <x:f>"62.485.435/0001-20"</x:f>
        <x:v>62.485.435/0001-20</x:v>
      </x:c>
      <x:c r="E1451" s="22" t="str">
        <x:f>"62485435000120"</x:f>
        <x:v>62485435000120</x:v>
      </x:c>
      <x:c r="F1451" s="22" t="str">
        <x:f>"401.158.118-69"</x:f>
        <x:v>401.158.118-69</x:v>
      </x:c>
      <x:c r="G1451" s="22" t="str">
        <x:f>"40115811869"</x:f>
        <x:v>40115811869</x:v>
      </x:c>
      <x:c r="H1451" s="23" t="str">
        <x:v>guibellezi@gmail.com</x:v>
      </x:c>
      <x:c r="I1451" s="22" t="str">
        <x:f>"18 99107-5685"</x:f>
        <x:v>18 99107-5685</x:v>
      </x:c>
      <x:c r="J1451" s="23" t="str">
        <x:v>RENTAL</x:v>
      </x:c>
      <x:c r="K1451" s="23" t="str">
        <x:v>rental_company</x:v>
      </x:c>
      <x:c r="L1451" s="24" t="b">
        <x:v>1</x:v>
      </x:c>
      <x:c r="M1451" s="23" t="n">
        <x:v>1</x:v>
      </x:c>
      <x:c r="N1451" s="28" t="n">
        <x:v>46203.92186462963</x:v>
      </x:c>
      <x:c r="O1451" s="28" t="n">
        <x:v>46219.812988715275</x:v>
      </x:c>
      <x:c r="P1451" s="23" t="str">
        <x:v>ARAÇATUBA</x:v>
      </x:c>
      <x:c r="Q1451" s="30" t="n">
        <x:v>33543</x:v>
      </x:c>
      <x:c r="R1451" s="22" t="str">
        <x:f>"47923154"</x:f>
        <x:v>47923154</x:v>
      </x:c>
      <x:c r="S1451" s="23" t="str">
        <x:v>masculino</x:v>
      </x:c>
      <x:c r="T1451" s="22" t="str"/>
      <x:c r="U1451" s="23" t="str">
        <x:v>GUILHERME ANTONIO DA SILVA BELLEZI</x:v>
      </x:c>
      <x:c r="V1451" s="22" t="str">
        <x:f>"401.158.118-69"</x:f>
        <x:v>401.158.118-69</x:v>
      </x:c>
      <x:c r="W1451" s="22" t="str">
        <x:f>"40115811869"</x:f>
        <x:v>40115811869</x:v>
      </x:c>
      <x:c r="X1451" s="23" t="str">
        <x:v>guibellezi@gmail.com</x:v>
      </x:c>
      <x:c r="Y1451" s="22" t="str">
        <x:f>"18 99107-5685"</x:f>
        <x:v>18 99107-5685</x:v>
      </x:c>
      <x:c r="Z1451" s="30" t="n">
        <x:v>46275</x:v>
      </x:c>
    </x:row>
    <x:row r="1452" ht="18" customHeight="1">
      <x:c r="A1452" s="22" t="str">
        <x:f>"16263e32-0a75-4c45-8de1-cd8205ba1ec0"</x:f>
        <x:v>16263e32-0a75-4c45-8de1-cd8205ba1ec0</x:v>
      </x:c>
      <x:c r="B1452" s="23" t="str">
        <x:v>GUILHERME ANTONIO DOS SANTOS</x:v>
      </x:c>
      <x:c r="C1452" s="23" t="str">
        <x:v>guilherme antonio dos santos</x:v>
      </x:c>
      <x:c r="D1452" s="22" t="str">
        <x:f>"44.253.215/0001-90"</x:f>
        <x:v>44.253.215/0001-90</x:v>
      </x:c>
      <x:c r="E1452" s="22" t="str">
        <x:f>"44253215000190"</x:f>
        <x:v>44253215000190</x:v>
      </x:c>
      <x:c r="F1452" s="22" t="str">
        <x:f>"120.350.906-52"</x:f>
        <x:v>120.350.906-52</x:v>
      </x:c>
      <x:c r="G1452" s="22" t="str">
        <x:f>"12035090652"</x:f>
        <x:v>12035090652</x:v>
      </x:c>
      <x:c r="H1452" s="23" t="str">
        <x:v>guilherme-sintonialoka@hotmail.com</x:v>
      </x:c>
      <x:c r="I1452" s="22" t="str">
        <x:f>"(34) 98400-1767"</x:f>
        <x:v>(34) 98400-1767</x:v>
      </x:c>
      <x:c r="J1452" s="23" t="str">
        <x:v>RENTAL</x:v>
      </x:c>
      <x:c r="K1452" s="23" t="str">
        <x:v>rental_company</x:v>
      </x:c>
      <x:c r="L1452" s="24" t="b">
        <x:v>1</x:v>
      </x:c>
      <x:c r="M1452" s="23" t="n">
        <x:v>1</x:v>
      </x:c>
      <x:c r="N1452" s="28" t="n">
        <x:v>46203.921824756944</x:v>
      </x:c>
      <x:c r="O1452" s="28" t="n">
        <x:v>46219.812988715275</x:v>
      </x:c>
      <x:c r="P1452" s="23" t="str">
        <x:v>UBERABA</x:v>
      </x:c>
      <x:c r="Q1452" s="30" t="n">
        <x:v>33767</x:v>
      </x:c>
      <x:c r="R1452" s="22" t="str">
        <x:f>"17710007"</x:f>
        <x:v>17710007</x:v>
      </x:c>
      <x:c r="S1452" s="23" t="str">
        <x:v>masculino</x:v>
      </x:c>
      <x:c r="T1452" s="22" t="str"/>
      <x:c r="U1452" s="23" t="str">
        <x:v>GUILHERME ANTONIO DOS SANTOS</x:v>
      </x:c>
      <x:c r="V1452" s="22" t="str">
        <x:f>"120.350.906-52"</x:f>
        <x:v>120.350.906-52</x:v>
      </x:c>
      <x:c r="W1452" s="22" t="str">
        <x:f>"12035090652"</x:f>
        <x:v>12035090652</x:v>
      </x:c>
      <x:c r="X1452" s="23" t="str">
        <x:v>guilherme-sintonialoka@hotmail.com</x:v>
      </x:c>
      <x:c r="Y1452" s="22" t="str">
        <x:f>"(34) 98400-1767"</x:f>
        <x:v>(34) 98400-1767</x:v>
      </x:c>
      <x:c r="Z1452" s="30" t="n">
        <x:v>46274</x:v>
      </x:c>
    </x:row>
    <x:row r="1453" ht="18" customHeight="1">
      <x:c r="A1453" s="22" t="str">
        <x:f>"064ff01e-7d06-4147-8432-a0ee39b9d60f"</x:f>
        <x:v>064ff01e-7d06-4147-8432-a0ee39b9d60f</x:v>
      </x:c>
      <x:c r="B1453" s="23" t="str">
        <x:v>GUILHERME ANTONIO RABELO NUNES</x:v>
      </x:c>
      <x:c r="C1453" s="23" t="str">
        <x:v>guilherme antonio rabelo nunes</x:v>
      </x:c>
      <x:c r="D1453" s="22" t="str">
        <x:f>"65.875.144/0001-37"</x:f>
        <x:v>65.875.144/0001-37</x:v>
      </x:c>
      <x:c r="E1453" s="22" t="str">
        <x:f>"65875144000137"</x:f>
        <x:v>65875144000137</x:v>
      </x:c>
      <x:c r="F1453" s="22" t="str">
        <x:f>"116.586.346-40"</x:f>
        <x:v>116.586.346-40</x:v>
      </x:c>
      <x:c r="G1453" s="22" t="str">
        <x:f>"11658634640"</x:f>
        <x:v>11658634640</x:v>
      </x:c>
      <x:c r="H1453" s="23" t="str">
        <x:v>guilhermerabelo1202@gmail.com</x:v>
      </x:c>
      <x:c r="I1453" s="22" t="str">
        <x:f>"31 97260-5454"</x:f>
        <x:v>31 97260-5454</x:v>
      </x:c>
      <x:c r="J1453" s="23" t="str">
        <x:v>RENTAL</x:v>
      </x:c>
      <x:c r="K1453" s="23" t="str">
        <x:v>rental_company</x:v>
      </x:c>
      <x:c r="L1453" s="24" t="b">
        <x:v>1</x:v>
      </x:c>
      <x:c r="M1453" s="23" t="n">
        <x:v>1</x:v>
      </x:c>
      <x:c r="N1453" s="28" t="n">
        <x:v>46219.812988715275</x:v>
      </x:c>
      <x:c r="O1453" s="28" t="n">
        <x:v>46219.812988715275</x:v>
      </x:c>
      <x:c r="P1453" s="23" t="str">
        <x:v>NOVA LIMA</x:v>
      </x:c>
      <x:c r="Q1453" s="30" t="n">
        <x:v>37958</x:v>
      </x:c>
      <x:c r="R1453" s="22" t="str">
        <x:f>"18390036"</x:f>
        <x:v>18390036</x:v>
      </x:c>
      <x:c r="S1453" s="23" t="str">
        <x:v>masculino</x:v>
      </x:c>
      <x:c r="T1453" s="22" t="str"/>
      <x:c r="U1453" s="23" t="str">
        <x:v>GUILHERME ANTONIO RABELO NUNES</x:v>
      </x:c>
      <x:c r="V1453" s="22" t="str">
        <x:f>"116.586.346-40"</x:f>
        <x:v>116.586.346-40</x:v>
      </x:c>
      <x:c r="W1453" s="22" t="str">
        <x:f>"11658634640"</x:f>
        <x:v>11658634640</x:v>
      </x:c>
      <x:c r="X1453" s="23" t="str">
        <x:v>guilhermerabelo1202@gmail.com</x:v>
      </x:c>
      <x:c r="Y1453" s="22" t="str">
        <x:f>"31 97260-5454"</x:f>
        <x:v>31 97260-5454</x:v>
      </x:c>
      <x:c r="Z1453" s="30" t="n">
        <x:v>46473</x:v>
      </x:c>
    </x:row>
    <x:row r="1454" ht="18" customHeight="1">
      <x:c r="A1454" s="22" t="str">
        <x:f>"3d4fbd52-599a-4a8d-b5ee-bcad0b30dbe5"</x:f>
        <x:v>3d4fbd52-599a-4a8d-b5ee-bcad0b30dbe5</x:v>
      </x:c>
      <x:c r="B1454" s="23" t="str">
        <x:v>GUILHERME AQUILA LEAL</x:v>
      </x:c>
      <x:c r="C1454" s="23" t="str">
        <x:v>guilherme aquila leal</x:v>
      </x:c>
      <x:c r="D1454" s="22" t="str">
        <x:f>"51.335.482/0001-71"</x:f>
        <x:v>51.335.482/0001-71</x:v>
      </x:c>
      <x:c r="E1454" s="22" t="str">
        <x:f>"51335482000171"</x:f>
        <x:v>51335482000171</x:v>
      </x:c>
      <x:c r="F1454" s="22" t="str">
        <x:f>"137.793.136-69"</x:f>
        <x:v>137.793.136-69</x:v>
      </x:c>
      <x:c r="G1454" s="22" t="str">
        <x:f>"13779313669"</x:f>
        <x:v>13779313669</x:v>
      </x:c>
      <x:c r="H1454" s="23" t="str">
        <x:v>guilhermeaquilak10@gmail.com</x:v>
      </x:c>
      <x:c r="I1454" s="22" t="str">
        <x:f>"31991472085"</x:f>
        <x:v>31991472085</x:v>
      </x:c>
      <x:c r="J1454" s="23" t="str">
        <x:v>SPOT</x:v>
      </x:c>
      <x:c r="K1454" s="23" t="str">
        <x:v>favored_only</x:v>
      </x:c>
      <x:c r="L1454" s="24" t="b">
        <x:v>1</x:v>
      </x:c>
      <x:c r="M1454" s="23" t="n">
        <x:v>1</x:v>
      </x:c>
      <x:c r="N1454" s="28" t="n">
        <x:v>46219.812988715275</x:v>
      </x:c>
      <x:c r="O1454" s="28" t="n">
        <x:v>46219.812988715275</x:v>
      </x:c>
      <x:c r="P1454" s="23" t="str">
        <x:v>VESPASIANO</x:v>
      </x:c>
      <x:c r="Q1454" s="30" t="n">
        <x:v>34756</x:v>
      </x:c>
      <x:c r="R1454" s="22" t="str">
        <x:f>"RG: MG 16047655"</x:f>
        <x:v>RG: MG 16047655</x:v>
      </x:c>
      <x:c r="S1454" s="23" t="str">
        <x:v>masculino</x:v>
      </x:c>
      <x:c r="T1454" s="22" t="str">
        <x:f>"HBY7J85"</x:f>
        <x:v>HBY7J85</x:v>
      </x:c>
      <x:c r="U1454" s="23" t="str">
        <x:v>GUILHERME AQUILA LEAL</x:v>
      </x:c>
      <x:c r="V1454" s="22" t="str">
        <x:f>"137.793.136-69"</x:f>
        <x:v>137.793.136-69</x:v>
      </x:c>
      <x:c r="W1454" s="22" t="str">
        <x:f>"13779313669"</x:f>
        <x:v>13779313669</x:v>
      </x:c>
      <x:c r="X1454" s="23" t="str">
        <x:v>guilhermeaquilak10@gmail.com</x:v>
      </x:c>
      <x:c r="Y1454" s="22" t="str">
        <x:f>"31991472085"</x:f>
        <x:v>31991472085</x:v>
      </x:c>
      <x:c r="Z1454" s="30" t="n">
        <x:v>46415</x:v>
      </x:c>
    </x:row>
    <x:row r="1455" ht="18" customHeight="1">
      <x:c r="A1455" s="22" t="str">
        <x:f>"36381453-f913-424f-9592-155719ef280c"</x:f>
        <x:v>36381453-f913-424f-9592-155719ef280c</x:v>
      </x:c>
      <x:c r="B1455" s="23" t="str">
        <x:v>GUILHERME AUGUSTO ALVES DA SILVA</x:v>
      </x:c>
      <x:c r="C1455" s="23" t="str">
        <x:v>guilherme augusto alves da silva</x:v>
      </x:c>
      <x:c r="D1455" s="22" t="str">
        <x:f>"63.764.996/0001-21"</x:f>
        <x:v>63.764.996/0001-21</x:v>
      </x:c>
      <x:c r="E1455" s="22" t="str">
        <x:f>"63764996000121"</x:f>
        <x:v>63764996000121</x:v>
      </x:c>
      <x:c r="F1455" s="22" t="str">
        <x:f>"175.856.667-13"</x:f>
        <x:v>175.856.667-13</x:v>
      </x:c>
      <x:c r="G1455" s="22" t="str">
        <x:f>"17585666713"</x:f>
        <x:v>17585666713</x:v>
      </x:c>
      <x:c r="H1455" s="23" t="str">
        <x:v>guilhermeaalvesdasilva@gmail.com</x:v>
      </x:c>
      <x:c r="I1455" s="22" t="str">
        <x:f>"21987625255"</x:f>
        <x:v>21987625255</x:v>
      </x:c>
      <x:c r="J1455" s="23" t="str">
        <x:v>SPOT</x:v>
      </x:c>
      <x:c r="K1455" s="23" t="str">
        <x:v>favored_only</x:v>
      </x:c>
      <x:c r="L1455" s="24" t="b">
        <x:v>1</x:v>
      </x:c>
      <x:c r="M1455" s="23" t="n">
        <x:v>1</x:v>
      </x:c>
      <x:c r="N1455" s="28" t="n">
        <x:v>46203.92189965278</x:v>
      </x:c>
      <x:c r="O1455" s="28" t="n">
        <x:v>46219.812988715275</x:v>
      </x:c>
      <x:c r="P1455" s="23" t="str">
        <x:v>QUEIMADOS</x:v>
      </x:c>
      <x:c r="Q1455" s="30" t="n">
        <x:v>35971</x:v>
      </x:c>
      <x:c r="R1455" s="22" t="str">
        <x:f>"306743725"</x:f>
        <x:v>306743725</x:v>
      </x:c>
      <x:c r="S1455" s="23" t="str">
        <x:v>masculino</x:v>
      </x:c>
      <x:c r="T1455" s="22" t="str">
        <x:f>"KXT8C10"</x:f>
        <x:v>KXT8C10</x:v>
      </x:c>
      <x:c r="U1455" s="23" t="str">
        <x:v>GUILHERME AUGUSTO ALVES DA SILVA</x:v>
      </x:c>
      <x:c r="V1455" s="22" t="str">
        <x:f>"175.856.667-13"</x:f>
        <x:v>175.856.667-13</x:v>
      </x:c>
      <x:c r="W1455" s="22" t="str">
        <x:f>"17585666713"</x:f>
        <x:v>17585666713</x:v>
      </x:c>
      <x:c r="X1455" s="23" t="str">
        <x:v>guilhermeaalvesdasilva@gmail.com</x:v>
      </x:c>
      <x:c r="Y1455" s="22" t="str">
        <x:f>"21987625255"</x:f>
        <x:v>21987625255</x:v>
      </x:c>
      <x:c r="Z1455" s="30" t="n">
        <x:v>46473</x:v>
      </x:c>
    </x:row>
    <x:row r="1456" ht="18" customHeight="1">
      <x:c r="A1456" s="22" t="str">
        <x:f>"c821b823-8308-4ecb-9608-74a0241f9fda"</x:f>
        <x:v>c821b823-8308-4ecb-9608-74a0241f9fda</x:v>
      </x:c>
      <x:c r="B1456" s="23" t="str">
        <x:v>GUILHERME AUGUSTO BASTOS VICENTIN</x:v>
      </x:c>
      <x:c r="C1456" s="23" t="str">
        <x:v>guilherme augusto bastos vicentin</x:v>
      </x:c>
      <x:c r="D1456" s="22" t="str">
        <x:f>"56.435.691/0001-00"</x:f>
        <x:v>56.435.691/0001-00</x:v>
      </x:c>
      <x:c r="E1456" s="22" t="str">
        <x:f>"56435691000100"</x:f>
        <x:v>56435691000100</x:v>
      </x:c>
      <x:c r="F1456" s="22" t="str">
        <x:f>"509.896.688-43"</x:f>
        <x:v>509.896.688-43</x:v>
      </x:c>
      <x:c r="G1456" s="22" t="str">
        <x:f>"50989668843"</x:f>
        <x:v>50989668843</x:v>
      </x:c>
      <x:c r="H1456" s="23" t="str">
        <x:v>guilhermevicentin2001@gmail.com</x:v>
      </x:c>
      <x:c r="I1456" s="22" t="str">
        <x:f>"19 997778473"</x:f>
        <x:v>19 997778473</x:v>
      </x:c>
      <x:c r="J1456" s="23" t="str">
        <x:v>RENTAL</x:v>
      </x:c>
      <x:c r="K1456" s="23" t="str">
        <x:v>rental_company</x:v>
      </x:c>
      <x:c r="L1456" s="24" t="b">
        <x:v>1</x:v>
      </x:c>
      <x:c r="M1456" s="23" t="n">
        <x:v>1</x:v>
      </x:c>
      <x:c r="N1456" s="28" t="n">
        <x:v>46203.92183017361</x:v>
      </x:c>
      <x:c r="O1456" s="28" t="n">
        <x:v>46219.812988715275</x:v>
      </x:c>
      <x:c r="P1456" s="23" t="str">
        <x:v>SÃO CARLOS</x:v>
      </x:c>
      <x:c r="Q1456" s="30" t="n">
        <x:v>37183</x:v>
      </x:c>
      <x:c r="R1456" s="22" t="str">
        <x:f>"56199581"</x:f>
        <x:v>56199581</x:v>
      </x:c>
      <x:c r="S1456" s="23" t="str">
        <x:v>masculino</x:v>
      </x:c>
      <x:c r="T1456" s="22" t="str"/>
      <x:c r="U1456" s="23" t="str">
        <x:v>GUILHERME AUGUSTO BASTOS VICENTIN</x:v>
      </x:c>
      <x:c r="V1456" s="22" t="str">
        <x:f>"509.896.688-43"</x:f>
        <x:v>509.896.688-43</x:v>
      </x:c>
      <x:c r="W1456" s="22" t="str">
        <x:f>"50989668843"</x:f>
        <x:v>50989668843</x:v>
      </x:c>
      <x:c r="X1456" s="23" t="str">
        <x:v>guilhermevicentin2001@gmail.com</x:v>
      </x:c>
      <x:c r="Y1456" s="22" t="str">
        <x:f>"19 997778473"</x:f>
        <x:v>19 997778473</x:v>
      </x:c>
      <x:c r="Z1456" s="30" t="n">
        <x:v>46344</x:v>
      </x:c>
    </x:row>
    <x:row r="1457" ht="18" customHeight="1">
      <x:c r="A1457" s="22" t="str">
        <x:f>"c9cef3db-5603-4d54-bd39-fe47ade2a4da"</x:f>
        <x:v>c9cef3db-5603-4d54-bd39-fe47ade2a4da</x:v>
      </x:c>
      <x:c r="B1457" s="23" t="str">
        <x:v>GUILHERME AUGUSTO FACCHIN</x:v>
      </x:c>
      <x:c r="C1457" s="23" t="str">
        <x:v>guilherme augusto facchin</x:v>
      </x:c>
      <x:c r="D1457" s="22" t="str">
        <x:f>"62.631.413/0001-21"</x:f>
        <x:v>62.631.413/0001-21</x:v>
      </x:c>
      <x:c r="E1457" s="22" t="str">
        <x:f>"62631413000121"</x:f>
        <x:v>62631413000121</x:v>
      </x:c>
      <x:c r="F1457" s="22" t="str">
        <x:f>"472.150.868-95"</x:f>
        <x:v>472.150.868-95</x:v>
      </x:c>
      <x:c r="G1457" s="22" t="str">
        <x:f>"47215086895"</x:f>
        <x:v>47215086895</x:v>
      </x:c>
      <x:c r="H1457" s="23" t="str">
        <x:v>guifacchin169@gmail.com</x:v>
      </x:c>
      <x:c r="I1457" s="22" t="str">
        <x:f>"17991980058"</x:f>
        <x:v>17991980058</x:v>
      </x:c>
      <x:c r="J1457" s="23" t="str">
        <x:v>RENTAL</x:v>
      </x:c>
      <x:c r="K1457" s="23" t="str">
        <x:v>rental_company</x:v>
      </x:c>
      <x:c r="L1457" s="24" t="b">
        <x:v>1</x:v>
      </x:c>
      <x:c r="M1457" s="23" t="n">
        <x:v>1</x:v>
      </x:c>
      <x:c r="N1457" s="28" t="n">
        <x:v>46203.92186462963</x:v>
      </x:c>
      <x:c r="O1457" s="28" t="n">
        <x:v>46219.812988715275</x:v>
      </x:c>
      <x:c r="P1457" s="23" t="str">
        <x:v>SÃO JOSE DO RIO PRETO</x:v>
      </x:c>
      <x:c r="Q1457" s="30" t="n">
        <x:v>37789</x:v>
      </x:c>
      <x:c r="R1457" s="22" t="str">
        <x:f>"587480324"</x:f>
        <x:v>587480324</x:v>
      </x:c>
      <x:c r="S1457" s="23" t="str">
        <x:v>masculino</x:v>
      </x:c>
      <x:c r="T1457" s="22" t="str"/>
      <x:c r="U1457" s="23" t="str">
        <x:v>GUILHERME AUGUSTO FACCHIN</x:v>
      </x:c>
      <x:c r="V1457" s="22" t="str">
        <x:f>"472.150.868-95"</x:f>
        <x:v>472.150.868-95</x:v>
      </x:c>
      <x:c r="W1457" s="22" t="str">
        <x:f>"47215086895"</x:f>
        <x:v>47215086895</x:v>
      </x:c>
      <x:c r="X1457" s="23" t="str">
        <x:v>guifacchin169@gmail.com</x:v>
      </x:c>
      <x:c r="Y1457" s="22" t="str">
        <x:f>"17991980058"</x:f>
        <x:v>17991980058</x:v>
      </x:c>
      <x:c r="Z1457" s="30" t="n">
        <x:v>46274</x:v>
      </x:c>
    </x:row>
    <x:row r="1458" ht="18" customHeight="1">
      <x:c r="A1458" s="22" t="str">
        <x:f>"2444f7be-6e16-4430-bbdd-1cf7a49b74b3"</x:f>
        <x:v>2444f7be-6e16-4430-bbdd-1cf7a49b74b3</x:v>
      </x:c>
      <x:c r="B1458" s="23" t="str">
        <x:v>GUILHERME AUGUSTO RAMOS TORRES</x:v>
      </x:c>
      <x:c r="C1458" s="23" t="str">
        <x:v>guilherme augusto ramos torres</x:v>
      </x:c>
      <x:c r="D1458" s="22" t="str">
        <x:f>"55.252.216/0001-36"</x:f>
        <x:v>55.252.216/0001-36</x:v>
      </x:c>
      <x:c r="E1458" s="22" t="str">
        <x:f>"55252216000136"</x:f>
        <x:v>55252216000136</x:v>
      </x:c>
      <x:c r="F1458" s="22" t="str">
        <x:f>"147.339.376-01"</x:f>
        <x:v>147.339.376-01</x:v>
      </x:c>
      <x:c r="G1458" s="22" t="str">
        <x:f>"14733937601"</x:f>
        <x:v>14733937601</x:v>
      </x:c>
      <x:c r="H1458" s="23" t="str">
        <x:v>GUIRAMOSDESOUZA@GMAIL.COM</x:v>
      </x:c>
      <x:c r="I1458" s="22" t="str">
        <x:f>"35 9988677126"</x:f>
        <x:v>35 9988677126</x:v>
      </x:c>
      <x:c r="J1458" s="23" t="str">
        <x:v>SPOT</x:v>
      </x:c>
      <x:c r="K1458" s="23" t="str">
        <x:v>favored_only</x:v>
      </x:c>
      <x:c r="L1458" s="24" t="b">
        <x:v>1</x:v>
      </x:c>
      <x:c r="M1458" s="23" t="n">
        <x:v>1</x:v>
      </x:c>
      <x:c r="N1458" s="28" t="n">
        <x:v>46203.921824756944</x:v>
      </x:c>
      <x:c r="O1458" s="28" t="n">
        <x:v>46219.812988715275</x:v>
      </x:c>
      <x:c r="P1458" s="23" t="str">
        <x:v>GUAXUPE</x:v>
      </x:c>
      <x:c r="Q1458" s="30" t="n">
        <x:v>38040</x:v>
      </x:c>
      <x:c r="R1458" s="22" t="str">
        <x:f>"23313613"</x:f>
        <x:v>23313613</x:v>
      </x:c>
      <x:c r="S1458" s="23" t="str">
        <x:v>masculino</x:v>
      </x:c>
      <x:c r="T1458" s="22" t="str">
        <x:f>"PUK5I47"</x:f>
        <x:v>PUK5I47</x:v>
      </x:c>
      <x:c r="U1458" s="23" t="str">
        <x:v>GUILHERME AUGUSTO RAMOS TORRES</x:v>
      </x:c>
      <x:c r="V1458" s="22" t="str">
        <x:f>"147.339.376-01"</x:f>
        <x:v>147.339.376-01</x:v>
      </x:c>
      <x:c r="W1458" s="22" t="str">
        <x:f>"14733937601"</x:f>
        <x:v>14733937601</x:v>
      </x:c>
      <x:c r="X1458" s="23" t="str">
        <x:v>GUIRAMOSDESOUZA@GMAIL.COM</x:v>
      </x:c>
      <x:c r="Y1458" s="22" t="str">
        <x:f>"35 9988677126"</x:f>
        <x:v>35 9988677126</x:v>
      </x:c>
      <x:c r="Z1458" s="30" t="n">
        <x:v>46318</x:v>
      </x:c>
    </x:row>
    <x:row r="1459" ht="18" customHeight="1">
      <x:c r="A1459" s="22" t="str">
        <x:f>"8a746643-b092-477e-9cc4-5635272d83f7"</x:f>
        <x:v>8a746643-b092-477e-9cc4-5635272d83f7</x:v>
      </x:c>
      <x:c r="B1459" s="23" t="str">
        <x:v>GUILHERME BORGES SULIANO</x:v>
      </x:c>
      <x:c r="C1459" s="23" t="str">
        <x:v>guilherme borges suliano</x:v>
      </x:c>
      <x:c r="D1459" s="22" t="str">
        <x:f>"65.008.267/0001-70"</x:f>
        <x:v>65.008.267/0001-70</x:v>
      </x:c>
      <x:c r="E1459" s="22" t="str">
        <x:f>"65008267000170"</x:f>
        <x:v>65008267000170</x:v>
      </x:c>
      <x:c r="F1459" s="22" t="str">
        <x:f>"563.645.708-10"</x:f>
        <x:v>563.645.708-10</x:v>
      </x:c>
      <x:c r="G1459" s="22" t="str">
        <x:f>"56364570810"</x:f>
        <x:v>56364570810</x:v>
      </x:c>
      <x:c r="H1459" s="23" t="str">
        <x:v>Sulianoguilhermeborges016@gmail.com</x:v>
      </x:c>
      <x:c r="I1459" s="22" t="str">
        <x:f>"18988156878"</x:f>
        <x:v>18988156878</x:v>
      </x:c>
      <x:c r="J1459" s="23" t="str">
        <x:v>RENTAL</x:v>
      </x:c>
      <x:c r="K1459" s="23" t="str">
        <x:v>rental_company</x:v>
      </x:c>
      <x:c r="L1459" s="24" t="b">
        <x:v>1</x:v>
      </x:c>
      <x:c r="M1459" s="23" t="n">
        <x:v>1</x:v>
      </x:c>
      <x:c r="N1459" s="28" t="n">
        <x:v>46219.812988715275</x:v>
      </x:c>
      <x:c r="O1459" s="28" t="n">
        <x:v>46219.812988715275</x:v>
      </x:c>
      <x:c r="P1459" s="23" t="str">
        <x:v>PRESIDENTE PRUDENTE</x:v>
      </x:c>
      <x:c r="Q1459" s="30" t="n">
        <x:v>36965</x:v>
      </x:c>
      <x:c r="R1459" s="22" t="str">
        <x:f>"58209821x"</x:f>
        <x:v>58209821x</x:v>
      </x:c>
      <x:c r="S1459" s="23" t="str">
        <x:v>masculino</x:v>
      </x:c>
      <x:c r="T1459" s="22" t="str"/>
      <x:c r="U1459" s="23" t="str">
        <x:v>GUILHERME BORGES SULIANO</x:v>
      </x:c>
      <x:c r="V1459" s="22" t="str">
        <x:f>"563.645.708-10"</x:f>
        <x:v>563.645.708-10</x:v>
      </x:c>
      <x:c r="W1459" s="22" t="str">
        <x:f>"56364570810"</x:f>
        <x:v>56364570810</x:v>
      </x:c>
      <x:c r="X1459" s="23" t="str">
        <x:v>Sulianoguilhermeborges016@gmail.com</x:v>
      </x:c>
      <x:c r="Y1459" s="22" t="str">
        <x:f>"18988156878"</x:f>
        <x:v>18988156878</x:v>
      </x:c>
      <x:c r="Z1459" s="30" t="n">
        <x:v>46428</x:v>
      </x:c>
    </x:row>
    <x:row r="1460" ht="18" customHeight="1">
      <x:c r="A1460" s="22" t="str">
        <x:f>"6e41d181-c727-4209-8ddb-ba6aefa42b00"</x:f>
        <x:v>6e41d181-c727-4209-8ddb-ba6aefa42b00</x:v>
      </x:c>
      <x:c r="B1460" s="23" t="str">
        <x:v>GUILHERME CIRILO SANT ANA DE LIMA</x:v>
      </x:c>
      <x:c r="C1460" s="23" t="str">
        <x:v>guilherme cirilo sant ana de lima</x:v>
      </x:c>
      <x:c r="D1460" s="22" t="str">
        <x:f>"64.147.045/0001-76"</x:f>
        <x:v>64.147.045/0001-76</x:v>
      </x:c>
      <x:c r="E1460" s="22" t="str">
        <x:f>"64147045000176"</x:f>
        <x:v>64147045000176</x:v>
      </x:c>
      <x:c r="F1460" s="22" t="str">
        <x:f>"517.839.828-96"</x:f>
        <x:v>517.839.828-96</x:v>
      </x:c>
      <x:c r="G1460" s="22" t="str">
        <x:f>"51783982896"</x:f>
        <x:v>51783982896</x:v>
      </x:c>
      <x:c r="H1460" s="23" t="str">
        <x:v>guilhermecirilo03@gmail.com</x:v>
      </x:c>
      <x:c r="I1460" s="22" t="str">
        <x:f>"17 99616-0295"</x:f>
        <x:v>17 99616-0295</x:v>
      </x:c>
      <x:c r="J1460" s="23" t="str">
        <x:v>SPOT</x:v>
      </x:c>
      <x:c r="K1460" s="23" t="str">
        <x:v>favored_only</x:v>
      </x:c>
      <x:c r="L1460" s="24" t="b">
        <x:v>1</x:v>
      </x:c>
      <x:c r="M1460" s="23" t="n">
        <x:v>1</x:v>
      </x:c>
      <x:c r="N1460" s="28" t="n">
        <x:v>46219.812988715275</x:v>
      </x:c>
      <x:c r="O1460" s="28" t="n">
        <x:v>46219.812988715275</x:v>
      </x:c>
      <x:c r="P1460" s="23" t="str">
        <x:v>SÃO JOSE DO RIO PRETO</x:v>
      </x:c>
      <x:c r="Q1460" s="30" t="n">
        <x:v>37303</x:v>
      </x:c>
      <x:c r="R1460" s="22" t="str">
        <x:f>"62670240"</x:f>
        <x:v>62670240</x:v>
      </x:c>
      <x:c r="S1460" s="23" t="str">
        <x:v>masculino</x:v>
      </x:c>
      <x:c r="T1460" s="22" t="str">
        <x:f>"SCE2A57"</x:f>
        <x:v>SCE2A57</x:v>
      </x:c>
      <x:c r="U1460" s="23" t="str">
        <x:v>GUILHERME CIRILO SANT ANA DE LIMA</x:v>
      </x:c>
      <x:c r="V1460" s="22" t="str">
        <x:f>"517.839.828-96"</x:f>
        <x:v>517.839.828-96</x:v>
      </x:c>
      <x:c r="W1460" s="22" t="str">
        <x:f>"51783982896"</x:f>
        <x:v>51783982896</x:v>
      </x:c>
      <x:c r="X1460" s="23" t="str">
        <x:v>guilhermecirilo03@gmail.com</x:v>
      </x:c>
      <x:c r="Y1460" s="22" t="str">
        <x:f>"17 99616-0295"</x:f>
        <x:v>17 99616-0295</x:v>
      </x:c>
      <x:c r="Z1460" s="30" t="n">
        <x:v>46499</x:v>
      </x:c>
    </x:row>
    <x:row r="1461" ht="18" customHeight="1">
      <x:c r="A1461" s="22" t="str">
        <x:f>"10dd66c9-8de8-4907-bd90-d1456d37e87c"</x:f>
        <x:v>10dd66c9-8de8-4907-bd90-d1456d37e87c</x:v>
      </x:c>
      <x:c r="B1461" s="23" t="str">
        <x:v>GUILHERME DIAS DE ARAUJO BARROS</x:v>
      </x:c>
      <x:c r="C1461" s="23" t="str">
        <x:v>guilherme dias de araujo barros</x:v>
      </x:c>
      <x:c r="D1461" s="22" t="str">
        <x:f>"32.238.071/0001-13"</x:f>
        <x:v>32.238.071/0001-13</x:v>
      </x:c>
      <x:c r="E1461" s="22" t="str">
        <x:f>"32238071000113"</x:f>
        <x:v>32238071000113</x:v>
      </x:c>
      <x:c r="F1461" s="22" t="str">
        <x:f>"403.285.298-77"</x:f>
        <x:v>403.285.298-77</x:v>
      </x:c>
      <x:c r="G1461" s="22" t="str">
        <x:f>"40328529877"</x:f>
        <x:v>40328529877</x:v>
      </x:c>
      <x:c r="H1461" s="23" t="str">
        <x:v>guilherme01pass@gmail.com</x:v>
      </x:c>
      <x:c r="I1461" s="22" t="str">
        <x:f>"11 96577-6983"</x:f>
        <x:v>11 96577-6983</x:v>
      </x:c>
      <x:c r="J1461" s="23" t="str">
        <x:v>RENTAL</x:v>
      </x:c>
      <x:c r="K1461" s="23" t="str">
        <x:v>rental_company</x:v>
      </x:c>
      <x:c r="L1461" s="24" t="b">
        <x:v>1</x:v>
      </x:c>
      <x:c r="M1461" s="23" t="n">
        <x:v>1</x:v>
      </x:c>
      <x:c r="N1461" s="28" t="n">
        <x:v>46219.812988715275</x:v>
      </x:c>
      <x:c r="O1461" s="28" t="n">
        <x:v>46219.812988715275</x:v>
      </x:c>
      <x:c r="P1461" s="23" t="str">
        <x:v>BARUERI</x:v>
      </x:c>
      <x:c r="Q1461" s="30" t="n">
        <x:v>35935</x:v>
      </x:c>
      <x:c r="R1461" s="22" t="str">
        <x:f>"373961765"</x:f>
        <x:v>373961765</x:v>
      </x:c>
      <x:c r="S1461" s="23" t="str">
        <x:v>masculino</x:v>
      </x:c>
      <x:c r="T1461" s="22" t="str"/>
      <x:c r="U1461" s="23" t="str">
        <x:v>GUILHERME DIAS DE ARAUJO BARROS</x:v>
      </x:c>
      <x:c r="V1461" s="22" t="str">
        <x:f>"403.285.298-77"</x:f>
        <x:v>403.285.298-77</x:v>
      </x:c>
      <x:c r="W1461" s="22" t="str">
        <x:f>"40328529877"</x:f>
        <x:v>40328529877</x:v>
      </x:c>
      <x:c r="X1461" s="23" t="str">
        <x:v>guilherme01pass@gmail.com</x:v>
      </x:c>
      <x:c r="Y1461" s="22" t="str">
        <x:f>"11 96577-6983"</x:f>
        <x:v>11 96577-6983</x:v>
      </x:c>
      <x:c r="Z1461" s="30" t="n">
        <x:v>46575</x:v>
      </x:c>
    </x:row>
    <x:row r="1462" ht="18" customHeight="1">
      <x:c r="A1462" s="22" t="str">
        <x:f>"f5720e32-067d-4430-b874-241f4f6d5edb"</x:f>
        <x:v>f5720e32-067d-4430-b874-241f4f6d5edb</x:v>
      </x:c>
      <x:c r="B1462" s="23" t="str">
        <x:v>GUILHERME FERNANDES DE ALMEIDA CARVALHO</x:v>
      </x:c>
      <x:c r="C1462" s="23" t="str">
        <x:v>guilherme fernandes de almeida carvalho</x:v>
      </x:c>
      <x:c r="D1462" s="22" t="str">
        <x:f>"49.572.417/0001-49"</x:f>
        <x:v>49.572.417/0001-49</x:v>
      </x:c>
      <x:c r="E1462" s="22" t="str">
        <x:f>"49572417000149"</x:f>
        <x:v>49572417000149</x:v>
      </x:c>
      <x:c r="F1462" s="22" t="str">
        <x:f>"110.811.176-99"</x:f>
        <x:v>110.811.176-99</x:v>
      </x:c>
      <x:c r="G1462" s="22" t="str">
        <x:f>"11081117699"</x:f>
        <x:v>11081117699</x:v>
      </x:c>
      <x:c r="H1462" s="23" t="str">
        <x:v>guifac21@gmail.com</x:v>
      </x:c>
      <x:c r="I1462" s="22" t="str">
        <x:f>"31985325020"</x:f>
        <x:v>31985325020</x:v>
      </x:c>
      <x:c r="J1462" s="23" t="str">
        <x:v>SPOT</x:v>
      </x:c>
      <x:c r="K1462" s="23" t="str">
        <x:v>favored_only</x:v>
      </x:c>
      <x:c r="L1462" s="24" t="b">
        <x:v>1</x:v>
      </x:c>
      <x:c r="M1462" s="23" t="n">
        <x:v>1</x:v>
      </x:c>
      <x:c r="N1462" s="28" t="n">
        <x:v>46219.812988715275</x:v>
      </x:c>
      <x:c r="O1462" s="28" t="n">
        <x:v>46219.812988715275</x:v>
      </x:c>
      <x:c r="P1462" s="23" t="str">
        <x:v>CONTAGEM</x:v>
      </x:c>
      <x:c r="Q1462" s="30" t="n">
        <x:v>33593</x:v>
      </x:c>
      <x:c r="R1462" s="22" t="str">
        <x:f>"MG17602628"</x:f>
        <x:v>MG17602628</x:v>
      </x:c>
      <x:c r="S1462" s="23" t="str">
        <x:v>masculino</x:v>
      </x:c>
      <x:c r="T1462" s="22" t="str">
        <x:f>"HOI1H72"</x:f>
        <x:v>HOI1H72</x:v>
      </x:c>
      <x:c r="U1462" s="23" t="str">
        <x:v>GUILHERME FERNANDES DE ALMEIDA CARVALHO</x:v>
      </x:c>
      <x:c r="V1462" s="22" t="str">
        <x:f>"110.811.176-99"</x:f>
        <x:v>110.811.176-99</x:v>
      </x:c>
      <x:c r="W1462" s="22" t="str">
        <x:f>"11081117699"</x:f>
        <x:v>11081117699</x:v>
      </x:c>
      <x:c r="X1462" s="23" t="str">
        <x:v>guifac21@gmail.com</x:v>
      </x:c>
      <x:c r="Y1462" s="22" t="str">
        <x:f>"31985325020"</x:f>
        <x:v>31985325020</x:v>
      </x:c>
      <x:c r="Z1462" s="30" t="n">
        <x:v>46448</x:v>
      </x:c>
    </x:row>
    <x:row r="1463" ht="18" customHeight="1">
      <x:c r="A1463" s="22" t="str">
        <x:f>"f25907e3-104a-438e-b80c-b13d92fbbcfb"</x:f>
        <x:v>f25907e3-104a-438e-b80c-b13d92fbbcfb</x:v>
      </x:c>
      <x:c r="B1463" s="23" t="str">
        <x:v>GUILHERME FERREIRA COSTA</x:v>
      </x:c>
      <x:c r="C1463" s="23" t="str">
        <x:v>guilherme ferreira costa</x:v>
      </x:c>
      <x:c r="D1463" s="22" t="str">
        <x:f>"63.311.226/0001-23"</x:f>
        <x:v>63.311.226/0001-23</x:v>
      </x:c>
      <x:c r="E1463" s="22" t="str">
        <x:f>"63311226000123"</x:f>
        <x:v>63311226000123</x:v>
      </x:c>
      <x:c r="F1463" s="22" t="str">
        <x:f>"071.963.196-30"</x:f>
        <x:v>071.963.196-30</x:v>
      </x:c>
      <x:c r="G1463" s="22" t="str">
        <x:f>"07196319630"</x:f>
        <x:v>07196319630</x:v>
      </x:c>
      <x:c r="H1463" s="23" t="str">
        <x:v>guilhermefcosta@hotmail.com</x:v>
      </x:c>
      <x:c r="I1463" s="22" t="str">
        <x:f>"3199242-2154"</x:f>
        <x:v>3199242-2154</x:v>
      </x:c>
      <x:c r="J1463" s="23" t="str">
        <x:v>SPOT</x:v>
      </x:c>
      <x:c r="K1463" s="23" t="str">
        <x:v>favored_only</x:v>
      </x:c>
      <x:c r="L1463" s="24" t="b">
        <x:v>1</x:v>
      </x:c>
      <x:c r="M1463" s="23" t="n">
        <x:v>1</x:v>
      </x:c>
      <x:c r="N1463" s="28" t="n">
        <x:v>46219.812988715275</x:v>
      </x:c>
      <x:c r="O1463" s="28" t="n">
        <x:v>46219.812988715275</x:v>
      </x:c>
      <x:c r="P1463" s="23" t="str">
        <x:v>IPATINGA</x:v>
      </x:c>
      <x:c r="Q1463" s="30" t="n">
        <x:v>31704</x:v>
      </x:c>
      <x:c r="R1463" s="22" t="str">
        <x:f>"MG14450164 SSPMG"</x:f>
        <x:v>MG14450164 SSPMG</x:v>
      </x:c>
      <x:c r="S1463" s="23" t="str">
        <x:v>masculino</x:v>
      </x:c>
      <x:c r="T1463" s="22" t="str">
        <x:f>"RND5I95"</x:f>
        <x:v>RND5I95</x:v>
      </x:c>
      <x:c r="U1463" s="23" t="str">
        <x:v>DIVINO ANTONIO FERREIRA</x:v>
      </x:c>
      <x:c r="V1463" s="22" t="str">
        <x:f>"305.250.986-15"</x:f>
        <x:v>305.250.986-15</x:v>
      </x:c>
      <x:c r="W1463" s="22" t="str">
        <x:f>"30525098615"</x:f>
        <x:v>30525098615</x:v>
      </x:c>
      <x:c r="X1463" s="23" t="str">
        <x:v>divinoantonioferreira256@gmail.com</x:v>
      </x:c>
      <x:c r="Y1463" s="22" t="str">
        <x:f>"31 99392-1740"</x:f>
        <x:v>31 99392-1740</x:v>
      </x:c>
      <x:c r="Z1463" s="30" t="n">
        <x:v>46448</x:v>
      </x:c>
    </x:row>
    <x:row r="1464" ht="18" customHeight="1">
      <x:c r="A1464" s="22" t="str">
        <x:f>"523fe5ad-217c-4e09-b040-af5110ec04c2"</x:f>
        <x:v>523fe5ad-217c-4e09-b040-af5110ec04c2</x:v>
      </x:c>
      <x:c r="B1464" s="23" t="str">
        <x:v>GUILHERME FRANCISCO MARQUES DE OLIVEIRA</x:v>
      </x:c>
      <x:c r="C1464" s="23" t="str">
        <x:v>guilherme francisco marques de oliveira</x:v>
      </x:c>
      <x:c r="D1464" s="22" t="str">
        <x:f>"67.628.697/0001-10"</x:f>
        <x:v>67.628.697/0001-10</x:v>
      </x:c>
      <x:c r="E1464" s="22" t="str">
        <x:f>"67628697000110"</x:f>
        <x:v>67628697000110</x:v>
      </x:c>
      <x:c r="F1464" s="22" t="str">
        <x:f>"390.634.988-88"</x:f>
        <x:v>390.634.988-88</x:v>
      </x:c>
      <x:c r="G1464" s="22" t="str">
        <x:f>"39063498888"</x:f>
        <x:v>39063498888</x:v>
      </x:c>
      <x:c r="H1464" s="23" t="str">
        <x:v>gui_marques_17@hotmail.com</x:v>
      </x:c>
      <x:c r="I1464" s="22" t="str">
        <x:f>"17 996608137"</x:f>
        <x:v>17 996608137</x:v>
      </x:c>
      <x:c r="J1464" s="23" t="str">
        <x:v>RENTAL</x:v>
      </x:c>
      <x:c r="K1464" s="23" t="str">
        <x:v>rental_company</x:v>
      </x:c>
      <x:c r="L1464" s="24" t="b">
        <x:v>1</x:v>
      </x:c>
      <x:c r="M1464" s="23" t="n">
        <x:v>1</x:v>
      </x:c>
      <x:c r="N1464" s="28" t="n">
        <x:v>46219.812988715275</x:v>
      </x:c>
      <x:c r="O1464" s="28" t="n">
        <x:v>46219.812988715275</x:v>
      </x:c>
      <x:c r="P1464" s="23" t="str">
        <x:v>BARRETOS</x:v>
      </x:c>
      <x:c r="Q1464" s="30" t="n">
        <x:v>34066</x:v>
      </x:c>
      <x:c r="R1464" s="22" t="str">
        <x:f>"48638340"</x:f>
        <x:v>48638340</x:v>
      </x:c>
      <x:c r="S1464" s="23" t="str">
        <x:v>masculino</x:v>
      </x:c>
      <x:c r="T1464" s="22" t="str"/>
      <x:c r="U1464" s="23" t="str">
        <x:v>GUILHERME FRANCISCO MARQUES DE OLIVEIRA</x:v>
      </x:c>
      <x:c r="V1464" s="22" t="str">
        <x:f>"390.634.988-88"</x:f>
        <x:v>390.634.988-88</x:v>
      </x:c>
      <x:c r="W1464" s="22" t="str">
        <x:f>"39063498888"</x:f>
        <x:v>39063498888</x:v>
      </x:c>
      <x:c r="X1464" s="23" t="str">
        <x:v>gui_marques_17@hotmail.com</x:v>
      </x:c>
      <x:c r="Y1464" s="22" t="str">
        <x:f>"17 996608137"</x:f>
        <x:v>17 996608137</x:v>
      </x:c>
      <x:c r="Z1464" s="30" t="n">
        <x:v>46565</x:v>
      </x:c>
    </x:row>
    <x:row r="1465" ht="18" customHeight="1">
      <x:c r="A1465" s="22" t="str">
        <x:f>"0643e73c-6130-4c8d-9c76-935ebfd6a7e0"</x:f>
        <x:v>0643e73c-6130-4c8d-9c76-935ebfd6a7e0</x:v>
      </x:c>
      <x:c r="B1465" s="23" t="str">
        <x:v>GUILHERME HENRIQUE BETTIM GONZAGA</x:v>
      </x:c>
      <x:c r="C1465" s="23" t="str">
        <x:v>guilherme henrique bettim gonzaga</x:v>
      </x:c>
      <x:c r="D1465" s="22" t="str">
        <x:f>"41.872.638/0001-08"</x:f>
        <x:v>41.872.638/0001-08</x:v>
      </x:c>
      <x:c r="E1465" s="22" t="str">
        <x:f>"41872638000108"</x:f>
        <x:v>41872638000108</x:v>
      </x:c>
      <x:c r="F1465" s="22" t="str">
        <x:f>"093.508.126-73"</x:f>
        <x:v>093.508.126-73</x:v>
      </x:c>
      <x:c r="G1465" s="22" t="str">
        <x:f>"09350812673"</x:f>
        <x:v>09350812673</x:v>
      </x:c>
      <x:c r="H1465" s="23" t="str">
        <x:v>entregasbettim@gmail.com</x:v>
      </x:c>
      <x:c r="I1465" s="22" t="str">
        <x:f>"(34) 9 9246-1981"</x:f>
        <x:v>(34) 9 9246-1981</x:v>
      </x:c>
      <x:c r="J1465" s="23" t="str">
        <x:v>RENTAL</x:v>
      </x:c>
      <x:c r="K1465" s="23" t="str">
        <x:v>rental_company</x:v>
      </x:c>
      <x:c r="L1465" s="24" t="b">
        <x:v>1</x:v>
      </x:c>
      <x:c r="M1465" s="23" t="n">
        <x:v>1</x:v>
      </x:c>
      <x:c r="N1465" s="28" t="n">
        <x:v>46219.812988715275</x:v>
      </x:c>
      <x:c r="O1465" s="28" t="n">
        <x:v>46219.812988715275</x:v>
      </x:c>
      <x:c r="P1465" s="23" t="str">
        <x:v>UBERLANDIA</x:v>
      </x:c>
      <x:c r="Q1465" s="30" t="n">
        <x:v>32304</x:v>
      </x:c>
      <x:c r="R1465" s="22" t="str">
        <x:f>"15460849"</x:f>
        <x:v>15460849</x:v>
      </x:c>
      <x:c r="S1465" s="23" t="str">
        <x:v>masculino</x:v>
      </x:c>
      <x:c r="T1465" s="22" t="str"/>
      <x:c r="U1465" s="23" t="str">
        <x:v>GUILHERME HENRIQUE BETTIM GONZAGA</x:v>
      </x:c>
      <x:c r="V1465" s="22" t="str">
        <x:f>"093.508.126-73"</x:f>
        <x:v>093.508.126-73</x:v>
      </x:c>
      <x:c r="W1465" s="22" t="str">
        <x:f>"09350812673"</x:f>
        <x:v>09350812673</x:v>
      </x:c>
      <x:c r="X1465" s="23" t="str">
        <x:v>entregasbettim@gmail.com</x:v>
      </x:c>
      <x:c r="Y1465" s="22" t="str">
        <x:f>"(34) 9 9246-1981"</x:f>
        <x:v>(34) 9 9246-1981</x:v>
      </x:c>
      <x:c r="Z1465" s="30" t="n">
        <x:v>46409</x:v>
      </x:c>
    </x:row>
    <x:row r="1466" ht="18" customHeight="1">
      <x:c r="A1466" s="22" t="str">
        <x:f>"2ebe2b6e-61d6-466a-9780-7399394d3531"</x:f>
        <x:v>2ebe2b6e-61d6-466a-9780-7399394d3531</x:v>
      </x:c>
      <x:c r="B1466" s="23" t="str">
        <x:v>GUILHERME HENRIQUE DE ASSIS CORREA</x:v>
      </x:c>
      <x:c r="C1466" s="23" t="str">
        <x:v>guilherme henrique de assis correa</x:v>
      </x:c>
      <x:c r="D1466" s="22" t="str">
        <x:f>"60.624.078/0001-09"</x:f>
        <x:v>60.624.078/0001-09</x:v>
      </x:c>
      <x:c r="E1466" s="22" t="str">
        <x:f>"60624078000109"</x:f>
        <x:v>60624078000109</x:v>
      </x:c>
      <x:c r="F1466" s="22" t="str">
        <x:f>"383.128.938-73"</x:f>
        <x:v>383.128.938-73</x:v>
      </x:c>
      <x:c r="G1466" s="22" t="str">
        <x:f>"38312893873"</x:f>
        <x:v>38312893873</x:v>
      </x:c>
      <x:c r="H1466" s="23" t="str">
        <x:v>ghassis@hotmail.com</x:v>
      </x:c>
      <x:c r="I1466" s="22" t="str">
        <x:f>"11999264740"</x:f>
        <x:v>11999264740</x:v>
      </x:c>
      <x:c r="J1466" s="23" t="str">
        <x:v>RENTAL</x:v>
      </x:c>
      <x:c r="K1466" s="23" t="str">
        <x:v>rental_company</x:v>
      </x:c>
      <x:c r="L1466" s="24" t="b">
        <x:v>1</x:v>
      </x:c>
      <x:c r="M1466" s="23" t="n">
        <x:v>1</x:v>
      </x:c>
      <x:c r="N1466" s="28" t="n">
        <x:v>46219.812988715275</x:v>
      </x:c>
      <x:c r="O1466" s="28" t="n">
        <x:v>46219.812988715275</x:v>
      </x:c>
      <x:c r="P1466" s="23" t="str">
        <x:v>BARUERI</x:v>
      </x:c>
      <x:c r="Q1466" s="30" t="n">
        <x:v>32254</x:v>
      </x:c>
      <x:c r="R1466" s="22" t="str">
        <x:f>"43596548"</x:f>
        <x:v>43596548</x:v>
      </x:c>
      <x:c r="S1466" s="23" t="str">
        <x:v>masculino</x:v>
      </x:c>
      <x:c r="T1466" s="22" t="str"/>
      <x:c r="U1466" s="23" t="str">
        <x:v>GUILHERME HENRIQUE DE ASSIS CORREA</x:v>
      </x:c>
      <x:c r="V1466" s="22" t="str">
        <x:f>"383.128.938-73"</x:f>
        <x:v>383.128.938-73</x:v>
      </x:c>
      <x:c r="W1466" s="22" t="str">
        <x:f>"38312893873"</x:f>
        <x:v>38312893873</x:v>
      </x:c>
      <x:c r="X1466" s="23" t="str">
        <x:v>ghassis@hotmail.com</x:v>
      </x:c>
      <x:c r="Y1466" s="22" t="str">
        <x:f>"11999264740"</x:f>
        <x:v>11999264740</x:v>
      </x:c>
      <x:c r="Z1466" s="30" t="n">
        <x:v>46541</x:v>
      </x:c>
    </x:row>
    <x:row r="1467" ht="18" customHeight="1">
      <x:c r="A1467" s="22" t="str">
        <x:f>"b37d74da-b812-4c8f-b62c-dff3da44ef27"</x:f>
        <x:v>b37d74da-b812-4c8f-b62c-dff3da44ef27</x:v>
      </x:c>
      <x:c r="B1467" s="23" t="str">
        <x:v>GUILHERME HENRIQUE MOREIRA EDUARDO</x:v>
      </x:c>
      <x:c r="C1467" s="23" t="str">
        <x:v>guilherme henrique moreira eduardo</x:v>
      </x:c>
      <x:c r="D1467" s="22" t="str">
        <x:f>"57.346.414/0001-94"</x:f>
        <x:v>57.346.414/0001-94</x:v>
      </x:c>
      <x:c r="E1467" s="22" t="str">
        <x:f>"57346414000194"</x:f>
        <x:v>57346414000194</x:v>
      </x:c>
      <x:c r="F1467" s="22" t="str">
        <x:f>"153.297.096-01"</x:f>
        <x:v>153.297.096-01</x:v>
      </x:c>
      <x:c r="G1467" s="22" t="str">
        <x:f>"15329709601"</x:f>
        <x:v>15329709601</x:v>
      </x:c>
      <x:c r="H1467" s="23" t="str">
        <x:v>Yguilhermepro28@gmail.com</x:v>
      </x:c>
      <x:c r="I1467" s="22" t="str">
        <x:f>"31 8213-4463"</x:f>
        <x:v>31 8213-4463</x:v>
      </x:c>
      <x:c r="J1467" s="23" t="str">
        <x:v>SPOT[</x:v>
      </x:c>
      <x:c r="K1467" s="23" t="str">
        <x:v>favored_only</x:v>
      </x:c>
      <x:c r="L1467" s="24" t="b">
        <x:v>1</x:v>
      </x:c>
      <x:c r="M1467" s="23" t="n">
        <x:v>1</x:v>
      </x:c>
      <x:c r="N1467" s="28" t="n">
        <x:v>46219.812988715275</x:v>
      </x:c>
      <x:c r="O1467" s="28" t="n">
        <x:v>46219.812988715275</x:v>
      </x:c>
      <x:c r="P1467" s="23" t="str">
        <x:v>NOVA LIMA</x:v>
      </x:c>
      <x:c r="Q1467" s="30" t="n">
        <x:v>38208</x:v>
      </x:c>
      <x:c r="R1467" s="22" t="str">
        <x:f>"23271122"</x:f>
        <x:v>23271122</x:v>
      </x:c>
      <x:c r="S1467" s="23" t="str">
        <x:v>masculino</x:v>
      </x:c>
      <x:c r="T1467" s="22" t="str">
        <x:f>"OQYT4B15"</x:f>
        <x:v>OQYT4B15</x:v>
      </x:c>
      <x:c r="U1467" s="23" t="str">
        <x:v>GUILHERME HENRIQUE MOREIRA EDUARDO</x:v>
      </x:c>
      <x:c r="V1467" s="22" t="str">
        <x:f>"153.297.096-01"</x:f>
        <x:v>153.297.096-01</x:v>
      </x:c>
      <x:c r="W1467" s="22" t="str">
        <x:f>"15329709601"</x:f>
        <x:v>15329709601</x:v>
      </x:c>
      <x:c r="X1467" s="23" t="str">
        <x:v>Yguilhermepro28@gmail.com</x:v>
      </x:c>
      <x:c r="Y1467" s="22" t="str">
        <x:f>"31 8213-4463"</x:f>
        <x:v>31 8213-4463</x:v>
      </x:c>
      <x:c r="Z1467" s="30" t="n">
        <x:v>46457</x:v>
      </x:c>
    </x:row>
    <x:row r="1468" ht="18" customHeight="1">
      <x:c r="A1468" s="22" t="str">
        <x:f>"5067683a-27f6-479d-b1ab-5e0ba5a23f72"</x:f>
        <x:v>5067683a-27f6-479d-b1ab-5e0ba5a23f72</x:v>
      </x:c>
      <x:c r="B1468" s="23" t="str">
        <x:v>GUILHERME JUNIO JOSE DA SILVA</x:v>
      </x:c>
      <x:c r="C1468" s="23" t="str">
        <x:v>guilherme junio jose da silva</x:v>
      </x:c>
      <x:c r="D1468" s="22" t="str">
        <x:f>"63.821.767/0001-00"</x:f>
        <x:v>63.821.767/0001-00</x:v>
      </x:c>
      <x:c r="E1468" s="22" t="str">
        <x:f>"63821767000100"</x:f>
        <x:v>63821767000100</x:v>
      </x:c>
      <x:c r="F1468" s="22" t="str">
        <x:f>"418.306.458-97"</x:f>
        <x:v>418.306.458-97</x:v>
      </x:c>
      <x:c r="G1468" s="22" t="str">
        <x:f>"41830645897"</x:f>
        <x:v>41830645897</x:v>
      </x:c>
      <x:c r="H1468" s="23" t="str">
        <x:v>guilherme46@outlook.com</x:v>
      </x:c>
      <x:c r="I1468" s="22" t="str">
        <x:f>"(16) 99366-3668"</x:f>
        <x:v>(16) 99366-3668</x:v>
      </x:c>
      <x:c r="J1468" s="23" t="str">
        <x:v>RENTAL</x:v>
      </x:c>
      <x:c r="K1468" s="23" t="str">
        <x:v>rental_company</x:v>
      </x:c>
      <x:c r="L1468" s="24" t="b">
        <x:v>1</x:v>
      </x:c>
      <x:c r="M1468" s="23" t="n">
        <x:v>1</x:v>
      </x:c>
      <x:c r="N1468" s="28" t="n">
        <x:v>46219.812988715275</x:v>
      </x:c>
      <x:c r="O1468" s="28" t="n">
        <x:v>46219.812988715275</x:v>
      </x:c>
      <x:c r="P1468" s="23" t="str">
        <x:v>RIBEIRAO PRETO</x:v>
      </x:c>
      <x:c r="Q1468" s="30" t="n">
        <x:v>34020</x:v>
      </x:c>
      <x:c r="R1468" s="22" t="str">
        <x:f>"487698125"</x:f>
        <x:v>487698125</x:v>
      </x:c>
      <x:c r="S1468" s="23" t="str">
        <x:v>masculino</x:v>
      </x:c>
      <x:c r="T1468" s="22" t="str"/>
      <x:c r="U1468" s="23" t="str">
        <x:v>GUILHERME JUNIO JOSE DA SILVA</x:v>
      </x:c>
      <x:c r="V1468" s="22" t="str">
        <x:f>"418.306.458-97"</x:f>
        <x:v>418.306.458-97</x:v>
      </x:c>
      <x:c r="W1468" s="22" t="str">
        <x:f>"41830645897"</x:f>
        <x:v>41830645897</x:v>
      </x:c>
      <x:c r="X1468" s="23" t="str">
        <x:v>guilherme46@outlook.com</x:v>
      </x:c>
      <x:c r="Y1468" s="22" t="str">
        <x:f>"(16) 99366-3668"</x:f>
        <x:v>(16) 99366-3668</x:v>
      </x:c>
      <x:c r="Z1468" s="30" t="n">
        <x:v>46457</x:v>
      </x:c>
    </x:row>
    <x:row r="1469" ht="18" customHeight="1">
      <x:c r="A1469" s="22" t="str">
        <x:f>"ca9dde39-632e-48f8-a405-b93faed20a2a"</x:f>
        <x:v>ca9dde39-632e-48f8-a405-b93faed20a2a</x:v>
      </x:c>
      <x:c r="B1469" s="23" t="str">
        <x:v>GUILHERME LELES SOUZA SILVA</x:v>
      </x:c>
      <x:c r="C1469" s="23" t="str">
        <x:v>guilherme leles souza silva</x:v>
      </x:c>
      <x:c r="D1469" s="22" t="str">
        <x:f>"61.432.762/0001-51"</x:f>
        <x:v>61.432.762/0001-51</x:v>
      </x:c>
      <x:c r="E1469" s="22" t="str">
        <x:f>"61432762000151"</x:f>
        <x:v>61432762000151</x:v>
      </x:c>
      <x:c r="F1469" s="22" t="str">
        <x:f>"083.670.361-82"</x:f>
        <x:v>083.670.361-82</x:v>
      </x:c>
      <x:c r="G1469" s="22" t="str">
        <x:f>"08367036182"</x:f>
        <x:v>08367036182</x:v>
      </x:c>
      <x:c r="H1469" s="23" t="str">
        <x:v>lssguilherme36@gmail.com</x:v>
      </x:c>
      <x:c r="I1469" s="22" t="str">
        <x:f>"6781007685"</x:f>
        <x:v>6781007685</x:v>
      </x:c>
      <x:c r="J1469" s="23" t="str">
        <x:v>SPOT</x:v>
      </x:c>
      <x:c r="K1469" s="23" t="str">
        <x:v>favored_only</x:v>
      </x:c>
      <x:c r="L1469" s="24" t="b">
        <x:v>1</x:v>
      </x:c>
      <x:c r="M1469" s="23" t="n">
        <x:v>1</x:v>
      </x:c>
      <x:c r="N1469" s="28" t="n">
        <x:v>46203.92184908565</x:v>
      </x:c>
      <x:c r="O1469" s="28" t="n">
        <x:v>46219.812988715275</x:v>
      </x:c>
      <x:c r="P1469" s="23" t="str">
        <x:v>CHAPADÃO DO SUL</x:v>
      </x:c>
      <x:c r="Q1469" s="30" t="n">
        <x:v>37368</x:v>
      </x:c>
      <x:c r="R1469" s="22" t="str">
        <x:f>"2476247"</x:f>
        <x:v>2476247</x:v>
      </x:c>
      <x:c r="S1469" s="23" t="str">
        <x:v>masculino</x:v>
      </x:c>
      <x:c r="T1469" s="22" t="str">
        <x:f>"NVW0996"</x:f>
        <x:v>NVW0996</x:v>
      </x:c>
      <x:c r="U1469" s="23" t="str">
        <x:v>GUILHERME LELES SOUZA SILVA</x:v>
      </x:c>
      <x:c r="V1469" s="22" t="str">
        <x:f>"083.670.361-82"</x:f>
        <x:v>083.670.361-82</x:v>
      </x:c>
      <x:c r="W1469" s="22" t="str">
        <x:f>"08367036182"</x:f>
        <x:v>08367036182</x:v>
      </x:c>
      <x:c r="X1469" s="23" t="str">
        <x:v>lssguilherme36@gmail.com</x:v>
      </x:c>
      <x:c r="Y1469" s="22" t="str">
        <x:f>"6781007685"</x:f>
        <x:v>6781007685</x:v>
      </x:c>
      <x:c r="Z1469" s="30" t="n">
        <x:v>46378</x:v>
      </x:c>
    </x:row>
    <x:row r="1470" ht="18" customHeight="1">
      <x:c r="A1470" s="22" t="str">
        <x:f>"73fe4977-21af-4f72-8c07-f1ada27c2ecb"</x:f>
        <x:v>73fe4977-21af-4f72-8c07-f1ada27c2ecb</x:v>
      </x:c>
      <x:c r="B1470" s="23" t="str">
        <x:v>GUILHERME LUIZ REIS SOUZA</x:v>
      </x:c>
      <x:c r="C1470" s="23" t="str">
        <x:v>guilherme luiz reis souza</x:v>
      </x:c>
      <x:c r="D1470" s="22" t="str">
        <x:f>"54.860.245/0001-18"</x:f>
        <x:v>54.860.245/0001-18</x:v>
      </x:c>
      <x:c r="E1470" s="22" t="str">
        <x:f>"54860245000118"</x:f>
        <x:v>54860245000118</x:v>
      </x:c>
      <x:c r="F1470" s="22" t="str">
        <x:f>"038.954.646-19"</x:f>
        <x:v>038.954.646-19</x:v>
      </x:c>
      <x:c r="G1470" s="22" t="str">
        <x:f>"03895464619"</x:f>
        <x:v>03895464619</x:v>
      </x:c>
      <x:c r="H1470" s="23" t="str">
        <x:v>guisouzalicitacao@gmail.com</x:v>
      </x:c>
      <x:c r="I1470" s="22" t="str">
        <x:f>"(35)98406-0333"</x:f>
        <x:v>(35)98406-0333</x:v>
      </x:c>
      <x:c r="J1470" s="23" t="str">
        <x:v>RENTAL</x:v>
      </x:c>
      <x:c r="K1470" s="23" t="str">
        <x:v>rental_company</x:v>
      </x:c>
      <x:c r="L1470" s="24" t="b">
        <x:v>1</x:v>
      </x:c>
      <x:c r="M1470" s="23" t="n">
        <x:v>1</x:v>
      </x:c>
      <x:c r="N1470" s="28" t="n">
        <x:v>46203.92189965278</x:v>
      </x:c>
      <x:c r="O1470" s="28" t="n">
        <x:v>46219.812988715275</x:v>
      </x:c>
      <x:c r="P1470" s="23" t="str">
        <x:v>POUSO ALEGRE</x:v>
      </x:c>
      <x:c r="Q1470" s="30" t="n">
        <x:v>29110</x:v>
      </x:c>
      <x:c r="R1470" s="22" t="str">
        <x:f>"MG10502278 SSP MG"</x:f>
        <x:v>MG10502278 SSP MG</x:v>
      </x:c>
      <x:c r="S1470" s="23" t="str">
        <x:v>masculino</x:v>
      </x:c>
      <x:c r="T1470" s="22" t="str"/>
      <x:c r="U1470" s="23" t="str">
        <x:v>GUILHERME LUIZ REIS SOUZA</x:v>
      </x:c>
      <x:c r="V1470" s="22" t="str">
        <x:f>"038.954.646-19"</x:f>
        <x:v>038.954.646-19</x:v>
      </x:c>
      <x:c r="W1470" s="22" t="str">
        <x:f>"03895464619"</x:f>
        <x:v>03895464619</x:v>
      </x:c>
      <x:c r="X1470" s="23" t="str">
        <x:v>guisouzalicitacao@gmail.com</x:v>
      </x:c>
      <x:c r="Y1470" s="22" t="str">
        <x:f>"(35)98406-0333"</x:f>
        <x:v>(35)98406-0333</x:v>
      </x:c>
      <x:c r="Z1470" s="30" t="n">
        <x:v>46350</x:v>
      </x:c>
    </x:row>
    <x:row r="1471" ht="18" customHeight="1">
      <x:c r="A1471" s="22" t="str">
        <x:f>"ad4bb95c-1a76-46a9-910d-94b6f073dca5"</x:f>
        <x:v>ad4bb95c-1a76-46a9-910d-94b6f073dca5</x:v>
      </x:c>
      <x:c r="B1471" s="23" t="str">
        <x:v>GUILHERME MAIA DE SOUZA</x:v>
      </x:c>
      <x:c r="C1471" s="23" t="str">
        <x:v>guilherme maia de souza</x:v>
      </x:c>
      <x:c r="D1471" s="22" t="str">
        <x:f>"57.035.984/0001-63"</x:f>
        <x:v>57.035.984/0001-63</x:v>
      </x:c>
      <x:c r="E1471" s="22" t="str">
        <x:f>"57035984000163"</x:f>
        <x:v>57035984000163</x:v>
      </x:c>
      <x:c r="F1471" s="22" t="str">
        <x:f>"070.129.651-85"</x:f>
        <x:v>070.129.651-85</x:v>
      </x:c>
      <x:c r="G1471" s="22" t="str">
        <x:f>"07012965185"</x:f>
        <x:v>07012965185</x:v>
      </x:c>
      <x:c r="H1471" s="23" t="str">
        <x:v>guimaiasouza10@gmail.com</x:v>
      </x:c>
      <x:c r="I1471" s="22" t="str">
        <x:f>"65993234829"</x:f>
        <x:v>65993234829</x:v>
      </x:c>
      <x:c r="J1471" s="23" t="str">
        <x:v>spot</x:v>
      </x:c>
      <x:c r="K1471" s="23" t="str">
        <x:v>favored_only</x:v>
      </x:c>
      <x:c r="L1471" s="24" t="b">
        <x:v>1</x:v>
      </x:c>
      <x:c r="M1471" s="23" t="n">
        <x:v>1</x:v>
      </x:c>
      <x:c r="N1471" s="28" t="n">
        <x:v>46219.812988715275</x:v>
      </x:c>
      <x:c r="O1471" s="28" t="n">
        <x:v>46219.812988715275</x:v>
      </x:c>
      <x:c r="P1471" s="23" t="str">
        <x:v>CUIABA</x:v>
      </x:c>
      <x:c r="Q1471" s="30" t="n">
        <x:v>38365</x:v>
      </x:c>
      <x:c r="R1471" s="22" t="str">
        <x:f>"32251459"</x:f>
        <x:v>32251459</x:v>
      </x:c>
      <x:c r="S1471" s="23" t="str">
        <x:v>masculino</x:v>
      </x:c>
      <x:c r="T1471" s="22" t="str">
        <x:f>"QOC7A06"</x:f>
        <x:v>QOC7A06</x:v>
      </x:c>
      <x:c r="U1471" s="23" t="str">
        <x:v>ANDRE LUIZ ALVES MARTINS</x:v>
      </x:c>
      <x:c r="V1471" s="22" t="str">
        <x:f>"003.867.421-11"</x:f>
        <x:v>003.867.421-11</x:v>
      </x:c>
      <x:c r="W1471" s="22" t="str">
        <x:f>"00386742111"</x:f>
        <x:v>00386742111</x:v>
      </x:c>
      <x:c r="X1471" s="23" t="str">
        <x:v>andremartinsmtr10@gmail.com</x:v>
      </x:c>
      <x:c r="Y1471" s="22" t="str">
        <x:f>"65992919953"</x:f>
        <x:v>65992919953</x:v>
      </x:c>
      <x:c r="Z1471" s="30" t="n">
        <x:v>46553</x:v>
      </x:c>
    </x:row>
    <x:row r="1472" ht="18" customHeight="1">
      <x:c r="A1472" s="22" t="str">
        <x:f>"34ad0451-8944-45a3-9693-1cf96d661619"</x:f>
        <x:v>34ad0451-8944-45a3-9693-1cf96d661619</x:v>
      </x:c>
      <x:c r="B1472" s="23" t="str">
        <x:v>GUILHERME MATEUS DIAS BARBOSA</x:v>
      </x:c>
      <x:c r="C1472" s="23" t="str">
        <x:v>guilherme mateus dias barbosa</x:v>
      </x:c>
      <x:c r="D1472" s="22" t="str">
        <x:f>"67.159.802/0001-10"</x:f>
        <x:v>67.159.802/0001-10</x:v>
      </x:c>
      <x:c r="E1472" s="22" t="str">
        <x:f>"67159802000110"</x:f>
        <x:v>67159802000110</x:v>
      </x:c>
      <x:c r="F1472" s="22" t="str">
        <x:f>"097.871.696-58"</x:f>
        <x:v>097.871.696-58</x:v>
      </x:c>
      <x:c r="G1472" s="22" t="str">
        <x:f>"09787169658"</x:f>
        <x:v>09787169658</x:v>
      </x:c>
      <x:c r="H1472" s="23" t="str">
        <x:v>guilherme.mateus@ufv.br</x:v>
      </x:c>
      <x:c r="I1472" s="22" t="str">
        <x:f>"34 9888-9636"</x:f>
        <x:v>34 9888-9636</x:v>
      </x:c>
      <x:c r="J1472" s="23" t="str">
        <x:v>SPOT</x:v>
      </x:c>
      <x:c r="K1472" s="23" t="str">
        <x:v>favored_only</x:v>
      </x:c>
      <x:c r="L1472" s="24" t="b">
        <x:v>1</x:v>
      </x:c>
      <x:c r="M1472" s="23" t="n">
        <x:v>1</x:v>
      </x:c>
      <x:c r="N1472" s="28" t="n">
        <x:v>46219.812988715275</x:v>
      </x:c>
      <x:c r="O1472" s="28" t="n">
        <x:v>46219.812988715275</x:v>
      </x:c>
      <x:c r="P1472" s="23" t="str">
        <x:v>PATOS DE MINAS</x:v>
      </x:c>
      <x:c r="Q1472" s="30" t="n">
        <x:v>32493</x:v>
      </x:c>
      <x:c r="R1472" s="22" t="str">
        <x:f>"MG12324162"</x:f>
        <x:v>MG12324162</x:v>
      </x:c>
      <x:c r="S1472" s="23" t="str">
        <x:v>masculino</x:v>
      </x:c>
      <x:c r="T1472" s="22" t="str">
        <x:f>"SCY5C31"</x:f>
        <x:v>SCY5C31</x:v>
      </x:c>
      <x:c r="U1472" s="23" t="str">
        <x:v>GUILHERME MATEUS DIAS BARBOSA</x:v>
      </x:c>
      <x:c r="V1472" s="22" t="str">
        <x:f>"097.871.696-58"</x:f>
        <x:v>097.871.696-58</x:v>
      </x:c>
      <x:c r="W1472" s="22" t="str">
        <x:f>"09787169658"</x:f>
        <x:v>09787169658</x:v>
      </x:c>
      <x:c r="X1472" s="23" t="str">
        <x:v>guilherme.mateus@ufv.br</x:v>
      </x:c>
      <x:c r="Y1472" s="22" t="str">
        <x:f>"34 9888-9636"</x:f>
        <x:v>34 9888-9636</x:v>
      </x:c>
      <x:c r="Z1472" s="30" t="n">
        <x:v>46548</x:v>
      </x:c>
    </x:row>
    <x:row r="1473" ht="18" customHeight="1">
      <x:c r="A1473" s="22" t="str">
        <x:f>"9ac788a6-0124-4cb7-9ee6-1d39c6b619ef"</x:f>
        <x:v>9ac788a6-0124-4cb7-9ee6-1d39c6b619ef</x:v>
      </x:c>
      <x:c r="B1473" s="23" t="str">
        <x:v>GUILHERME OBERLEITNER LOPES</x:v>
      </x:c>
      <x:c r="C1473" s="23" t="str">
        <x:v>guilherme oberleitner lopes</x:v>
      </x:c>
      <x:c r="D1473" s="22" t="str">
        <x:f>"67.969.786/0001-20"</x:f>
        <x:v>67.969.786/0001-20</x:v>
      </x:c>
      <x:c r="E1473" s="22" t="str">
        <x:f>"67969786000120"</x:f>
        <x:v>67969786000120</x:v>
      </x:c>
      <x:c r="F1473" s="22" t="str">
        <x:f>"438.635.028-41"</x:f>
        <x:v>438.635.028-41</x:v>
      </x:c>
      <x:c r="G1473" s="22" t="str">
        <x:f>"43863502841"</x:f>
        <x:v>43863502841</x:v>
      </x:c>
      <x:c r="H1473" s="23" t="str">
        <x:v>guilhermeoberleitner@gmail.com</x:v>
      </x:c>
      <x:c r="I1473" s="22" t="str">
        <x:f>"14997974450"</x:f>
        <x:v>14997974450</x:v>
      </x:c>
      <x:c r="J1473" s="23" t="str">
        <x:v>RENTAL</x:v>
      </x:c>
      <x:c r="K1473" s="23" t="str">
        <x:v>rental_company</x:v>
      </x:c>
      <x:c r="L1473" s="24" t="b">
        <x:v>1</x:v>
      </x:c>
      <x:c r="M1473" s="23" t="n">
        <x:v>1</x:v>
      </x:c>
      <x:c r="N1473" s="28" t="n">
        <x:v>46219.812988715275</x:v>
      </x:c>
      <x:c r="O1473" s="28" t="n">
        <x:v>46219.812988715275</x:v>
      </x:c>
      <x:c r="P1473" s="23" t="str">
        <x:v>MARILIA</x:v>
      </x:c>
      <x:c r="Q1473" s="30" t="n">
        <x:v>34327</x:v>
      </x:c>
      <x:c r="R1473" s="22" t="str">
        <x:f>"40502146"</x:f>
        <x:v>40502146</x:v>
      </x:c>
      <x:c r="S1473" s="23" t="str">
        <x:v>masculino</x:v>
      </x:c>
      <x:c r="T1473" s="22" t="str"/>
      <x:c r="U1473" s="23" t="str">
        <x:v>GUILHERME OBERLEITNER LOPES</x:v>
      </x:c>
      <x:c r="V1473" s="22" t="str">
        <x:f>"438.635.028-41"</x:f>
        <x:v>438.635.028-41</x:v>
      </x:c>
      <x:c r="W1473" s="22" t="str">
        <x:f>"43863502841"</x:f>
        <x:v>43863502841</x:v>
      </x:c>
      <x:c r="X1473" s="23" t="str">
        <x:v>guilhermeoberleitner@gmail.com</x:v>
      </x:c>
      <x:c r="Y1473" s="22" t="str">
        <x:f>"14997974450"</x:f>
        <x:v>14997974450</x:v>
      </x:c>
      <x:c r="Z1473" s="30" t="n">
        <x:v>46581</x:v>
      </x:c>
    </x:row>
    <x:row r="1474" ht="18" customHeight="1">
      <x:c r="A1474" s="22" t="str">
        <x:f>"fa203f3f-0b04-45bd-9e9c-992245ec5abb"</x:f>
        <x:v>fa203f3f-0b04-45bd-9e9c-992245ec5abb</x:v>
      </x:c>
      <x:c r="B1474" s="23" t="str">
        <x:v>GUILHERME PAIVA DE OLIVEIRA</x:v>
      </x:c>
      <x:c r="C1474" s="23" t="str">
        <x:v>guilherme paiva de oliveira</x:v>
      </x:c>
      <x:c r="D1474" s="22" t="str">
        <x:f>"66.463.685/0001-10"</x:f>
        <x:v>66.463.685/0001-10</x:v>
      </x:c>
      <x:c r="E1474" s="22" t="str">
        <x:f>"66463685000110"</x:f>
        <x:v>66463685000110</x:v>
      </x:c>
      <x:c r="F1474" s="22" t="str">
        <x:f>"150.619.757-40"</x:f>
        <x:v>150.619.757-40</x:v>
      </x:c>
      <x:c r="G1474" s="22" t="str">
        <x:f>"15061975740"</x:f>
        <x:v>15061975740</x:v>
      </x:c>
      <x:c r="H1474" s="23" t="str">
        <x:v>guilhermeyao03062017@outlook.com.br</x:v>
      </x:c>
      <x:c r="I1474" s="22" t="str">
        <x:f>"21968266826"</x:f>
        <x:v>21968266826</x:v>
      </x:c>
      <x:c r="J1474" s="23" t="str">
        <x:v>SPOT</x:v>
      </x:c>
      <x:c r="K1474" s="23" t="str">
        <x:v>favored_only</x:v>
      </x:c>
      <x:c r="L1474" s="24" t="b">
        <x:v>1</x:v>
      </x:c>
      <x:c r="M1474" s="23" t="n">
        <x:v>1</x:v>
      </x:c>
      <x:c r="N1474" s="28" t="n">
        <x:v>46219.812988715275</x:v>
      </x:c>
      <x:c r="O1474" s="28" t="n">
        <x:v>46219.812988715275</x:v>
      </x:c>
      <x:c r="P1474" s="23" t="str">
        <x:v>ITABORAI</x:v>
      </x:c>
      <x:c r="Q1474" s="30" t="n">
        <x:v>35657</x:v>
      </x:c>
      <x:c r="R1474" s="22" t="str">
        <x:f>"283575959"</x:f>
        <x:v>283575959</x:v>
      </x:c>
      <x:c r="S1474" s="23" t="str">
        <x:v>masculino</x:v>
      </x:c>
      <x:c r="T1474" s="22" t="str">
        <x:f>"UBE7E81"</x:f>
        <x:v>UBE7E81</x:v>
      </x:c>
      <x:c r="U1474" s="23" t="str">
        <x:v>GUILHERME PAIVA DE OLIVEIRA</x:v>
      </x:c>
      <x:c r="V1474" s="22" t="str">
        <x:f>"150.619.757-40"</x:f>
        <x:v>150.619.757-40</x:v>
      </x:c>
      <x:c r="W1474" s="22" t="str">
        <x:f>"15061975740"</x:f>
        <x:v>15061975740</x:v>
      </x:c>
      <x:c r="X1474" s="23" t="str">
        <x:v>guilhermeyao03062017@outlook.com.br</x:v>
      </x:c>
      <x:c r="Y1474" s="22" t="str">
        <x:f>"21968266826"</x:f>
        <x:v>21968266826</x:v>
      </x:c>
      <x:c r="Z1474" s="30" t="n">
        <x:v>46518</x:v>
      </x:c>
    </x:row>
    <x:row r="1475" ht="18" customHeight="1">
      <x:c r="A1475" s="22" t="str">
        <x:f>"861ac0b4-07a6-470b-8fb6-bb166d3a5c0f"</x:f>
        <x:v>861ac0b4-07a6-470b-8fb6-bb166d3a5c0f</x:v>
      </x:c>
      <x:c r="B1475" s="23" t="str">
        <x:v>GUILHERME PERES</x:v>
      </x:c>
      <x:c r="C1475" s="23" t="str">
        <x:v>guilherme peres</x:v>
      </x:c>
      <x:c r="D1475" s="22" t="str">
        <x:f>"35.710.885/0001-05"</x:f>
        <x:v>35.710.885/0001-05</x:v>
      </x:c>
      <x:c r="E1475" s="22" t="str">
        <x:f>"35710885000105"</x:f>
        <x:v>35710885000105</x:v>
      </x:c>
      <x:c r="F1475" s="22" t="str">
        <x:f>"131.616.706-20"</x:f>
        <x:v>131.616.706-20</x:v>
      </x:c>
      <x:c r="G1475" s="22" t="str">
        <x:f>"13161670620"</x:f>
        <x:v>13161670620</x:v>
      </x:c>
      <x:c r="H1475" s="23" t="str">
        <x:v>GUILHERMEPERES123@OUTLOOK.COM</x:v>
      </x:c>
      <x:c r="I1475" s="22" t="str">
        <x:f>"34999590052"</x:f>
        <x:v>34999590052</x:v>
      </x:c>
      <x:c r="J1475" s="23" t="str">
        <x:v>RENTAL</x:v>
      </x:c>
      <x:c r="K1475" s="23" t="str">
        <x:v>favored_only</x:v>
      </x:c>
      <x:c r="L1475" s="24" t="b">
        <x:v>1</x:v>
      </x:c>
      <x:c r="M1475" s="23" t="n">
        <x:v>2</x:v>
      </x:c>
      <x:c r="N1475" s="28" t="n">
        <x:v>46203.9219084375</x:v>
      </x:c>
      <x:c r="O1475" s="28" t="n">
        <x:v>46219.812988715275</x:v>
      </x:c>
      <x:c r="P1475" s="23" t="str">
        <x:v>UBERLANDIA</x:v>
      </x:c>
      <x:c r="Q1475" s="30" t="n">
        <x:v>34446</x:v>
      </x:c>
      <x:c r="R1475" s="22" t="str">
        <x:f>"19010733"</x:f>
        <x:v>19010733</x:v>
      </x:c>
      <x:c r="S1475" s="23" t="str">
        <x:v>masculino</x:v>
      </x:c>
      <x:c r="T1475" s="22" t="str">
        <x:f>"OQM0E49"</x:f>
        <x:v>OQM0E49</x:v>
      </x:c>
      <x:c r="U1475" s="23" t="str">
        <x:v>GUILHERME PERES</x:v>
      </x:c>
      <x:c r="V1475" s="22" t="str">
        <x:f>"131.616.706-20"</x:f>
        <x:v>131.616.706-20</x:v>
      </x:c>
      <x:c r="W1475" s="22" t="str">
        <x:f>"13161670620"</x:f>
        <x:v>13161670620</x:v>
      </x:c>
      <x:c r="X1475" s="23" t="str">
        <x:v>GUILHERMEPERES123@OUTLOOK.COM</x:v>
      </x:c>
      <x:c r="Y1475" s="22" t="str">
        <x:f>"34999590052"</x:f>
        <x:v>34999590052</x:v>
      </x:c>
      <x:c r="Z1475" s="30" t="n">
        <x:v>46452</x:v>
      </x:c>
    </x:row>
    <x:row r="1476" ht="18" customHeight="1">
      <x:c r="A1476" s="22" t="str">
        <x:f>"65687732-29f9-419e-9a23-ca752515a972"</x:f>
        <x:v>65687732-29f9-419e-9a23-ca752515a972</x:v>
      </x:c>
      <x:c r="B1476" s="23" t="str">
        <x:v>GUILHERME RODRIGUES NASCIMENTO</x:v>
      </x:c>
      <x:c r="C1476" s="23" t="str">
        <x:v>guilherme rodrigues nascimento</x:v>
      </x:c>
      <x:c r="D1476" s="22" t="str">
        <x:f>"61.658.841/0001-85"</x:f>
        <x:v>61.658.841/0001-85</x:v>
      </x:c>
      <x:c r="E1476" s="22" t="str">
        <x:f>"61658841000185"</x:f>
        <x:v>61658841000185</x:v>
      </x:c>
      <x:c r="F1476" s="22" t="str">
        <x:f>"140.631.186-30"</x:f>
        <x:v>140.631.186-30</x:v>
      </x:c>
      <x:c r="G1476" s="22" t="str">
        <x:f>"14063118630"</x:f>
        <x:v>14063118630</x:v>
      </x:c>
      <x:c r="H1476" s="23" t="str">
        <x:v>guilherme.rn2101@gmail.com</x:v>
      </x:c>
      <x:c r="I1476" s="22" t="str">
        <x:f>"(35) 99911-1411"</x:f>
        <x:v>(35) 99911-1411</x:v>
      </x:c>
      <x:c r="J1476" s="23" t="str">
        <x:v>SPOT</x:v>
      </x:c>
      <x:c r="K1476" s="23" t="str">
        <x:v>favored_only</x:v>
      </x:c>
      <x:c r="L1476" s="24" t="b">
        <x:v>1</x:v>
      </x:c>
      <x:c r="M1476" s="23" t="n">
        <x:v>1</x:v>
      </x:c>
      <x:c r="N1476" s="28" t="n">
        <x:v>46203.9219084375</x:v>
      </x:c>
      <x:c r="O1476" s="28" t="n">
        <x:v>46219.812988715275</x:v>
      </x:c>
      <x:c r="P1476" s="23" t="str">
        <x:v>POUSO ALEGRE</x:v>
      </x:c>
      <x:c r="Q1476" s="30" t="n">
        <x:v>36182</x:v>
      </x:c>
      <x:c r="R1476" s="22" t="str">
        <x:f>"MG20474673 SSP MG"</x:f>
        <x:v>MG20474673 SSP MG</x:v>
      </x:c>
      <x:c r="S1476" s="23" t="str">
        <x:v>masculino</x:v>
      </x:c>
      <x:c r="T1476" s="22" t="str">
        <x:f>"QOJ2G66"</x:f>
        <x:v>QOJ2G66</x:v>
      </x:c>
      <x:c r="U1476" s="23" t="str">
        <x:v>GUILHERME RODRIGUES NASCIMENTO</x:v>
      </x:c>
      <x:c r="V1476" s="22" t="str">
        <x:f>"140.631.186-30"</x:f>
        <x:v>140.631.186-30</x:v>
      </x:c>
      <x:c r="W1476" s="22" t="str">
        <x:f>"14063118630"</x:f>
        <x:v>14063118630</x:v>
      </x:c>
      <x:c r="X1476" s="23" t="str">
        <x:v>guilherme.rn2101@gmail.com</x:v>
      </x:c>
      <x:c r="Y1476" s="22" t="str">
        <x:f>"(35) 99911-1411"</x:f>
        <x:v>(35) 99911-1411</x:v>
      </x:c>
      <x:c r="Z1476" s="30" t="n">
        <x:v>46396</x:v>
      </x:c>
    </x:row>
    <x:row r="1477" ht="18" customHeight="1">
      <x:c r="A1477" s="22" t="str">
        <x:f>"8c8b5864-f7d9-4aca-b3f2-5ed5e9ee8729"</x:f>
        <x:v>8c8b5864-f7d9-4aca-b3f2-5ed5e9ee8729</x:v>
      </x:c>
      <x:c r="B1477" s="23" t="str">
        <x:v>GUILHERME SOARES DA SILVA</x:v>
      </x:c>
      <x:c r="C1477" s="23" t="str">
        <x:v>guilherme soares da silva</x:v>
      </x:c>
      <x:c r="D1477" s="22" t="str">
        <x:f>"67.707.953/0001-65"</x:f>
        <x:v>67.707.953/0001-65</x:v>
      </x:c>
      <x:c r="E1477" s="22" t="str">
        <x:f>"67707953000165"</x:f>
        <x:v>67707953000165</x:v>
      </x:c>
      <x:c r="F1477" s="22" t="str">
        <x:f>"045.496.286-00"</x:f>
        <x:v>045.496.286-00</x:v>
      </x:c>
      <x:c r="G1477" s="22" t="str">
        <x:f>"04549628600"</x:f>
        <x:v>04549628600</x:v>
      </x:c>
      <x:c r="H1477" s="23" t="str">
        <x:v>guilhermess37soares@gmail.com</x:v>
      </x:c>
      <x:c r="I1477" s="22" t="str">
        <x:f>"35 9898-0181"</x:f>
        <x:v>35 9898-0181</x:v>
      </x:c>
      <x:c r="J1477" s="23" t="str">
        <x:v>SPOT</x:v>
      </x:c>
      <x:c r="K1477" s="23" t="str">
        <x:v>favored_only</x:v>
      </x:c>
      <x:c r="L1477" s="24" t="b">
        <x:v>1</x:v>
      </x:c>
      <x:c r="M1477" s="23" t="n">
        <x:v>1</x:v>
      </x:c>
      <x:c r="N1477" s="28" t="n">
        <x:v>46219.812988715275</x:v>
      </x:c>
      <x:c r="O1477" s="28" t="n">
        <x:v>46219.812988715275</x:v>
      </x:c>
      <x:c r="P1477" s="23" t="str">
        <x:v>GUAXUPE</x:v>
      </x:c>
      <x:c r="Q1477" s="30" t="n">
        <x:v>29560</x:v>
      </x:c>
      <x:c r="R1477" s="22" t="str">
        <x:f>"11745272"</x:f>
        <x:v>11745272</x:v>
      </x:c>
      <x:c r="S1477" s="23" t="str">
        <x:v>masculino</x:v>
      </x:c>
      <x:c r="T1477" s="22" t="str">
        <x:f>"QQD4020"</x:f>
        <x:v>QQD4020</x:v>
      </x:c>
      <x:c r="U1477" s="23" t="str">
        <x:v>ADRIANA PEREIRA DA SILVA</x:v>
      </x:c>
      <x:c r="V1477" s="22" t="str">
        <x:f>"014.135.506-90"</x:f>
        <x:v>014.135.506-90</x:v>
      </x:c>
      <x:c r="W1477" s="22" t="str">
        <x:f>"01413550690"</x:f>
        <x:v>01413550690</x:v>
      </x:c>
      <x:c r="X1477" s="23" t="str">
        <x:v>driguimanufilhos@gmail.com</x:v>
      </x:c>
      <x:c r="Y1477" s="22" t="str">
        <x:f>"35 9898-0181"</x:f>
        <x:v>35 9898-0181</x:v>
      </x:c>
      <x:c r="Z1477" s="30" t="n">
        <x:v>46569</x:v>
      </x:c>
    </x:row>
    <x:row r="1478" ht="18" customHeight="1">
      <x:c r="A1478" s="22" t="str">
        <x:f>"bcf5f2be-63cb-4307-b11f-53451d68f594"</x:f>
        <x:v>bcf5f2be-63cb-4307-b11f-53451d68f594</x:v>
      </x:c>
      <x:c r="B1478" s="23" t="str">
        <x:v>GUILHERME SOUZA DIAS</x:v>
      </x:c>
      <x:c r="C1478" s="23" t="str">
        <x:v>guilherme souza dias</x:v>
      </x:c>
      <x:c r="D1478" s="22" t="str">
        <x:f>"23.130.072/0001-59"</x:f>
        <x:v>23.130.072/0001-59</x:v>
      </x:c>
      <x:c r="E1478" s="22" t="str">
        <x:f>"23130072000159"</x:f>
        <x:v>23130072000159</x:v>
      </x:c>
      <x:c r="F1478" s="22" t="str">
        <x:f>"049.343.251-58"</x:f>
        <x:v>049.343.251-58</x:v>
      </x:c>
      <x:c r="G1478" s="22" t="str">
        <x:f>"04934325158"</x:f>
        <x:v>04934325158</x:v>
      </x:c>
      <x:c r="H1478" s="23" t="str">
        <x:v>guilherme.mutante23@gmail.com</x:v>
      </x:c>
      <x:c r="I1478" s="22" t="str">
        <x:f>"65 98115-1286"</x:f>
        <x:v>65 98115-1286</x:v>
      </x:c>
      <x:c r="J1478" s="23" t="str">
        <x:v>SPOT</x:v>
      </x:c>
      <x:c r="K1478" s="23" t="str">
        <x:v>favored_only</x:v>
      </x:c>
      <x:c r="L1478" s="24" t="b">
        <x:v>1</x:v>
      </x:c>
      <x:c r="M1478" s="23" t="n">
        <x:v>1</x:v>
      </x:c>
      <x:c r="N1478" s="28" t="n">
        <x:v>46205.60663420139</x:v>
      </x:c>
      <x:c r="O1478" s="28" t="n">
        <x:v>46219.812988715275</x:v>
      </x:c>
      <x:c r="P1478" s="23" t="str">
        <x:v>CUIABA</x:v>
      </x:c>
      <x:c r="Q1478" s="30" t="n">
        <x:v>33504</x:v>
      </x:c>
      <x:c r="R1478" s="22" t="str">
        <x:f>"24427322"</x:f>
        <x:v>24427322</x:v>
      </x:c>
      <x:c r="S1478" s="23" t="str">
        <x:v>masculino</x:v>
      </x:c>
      <x:c r="T1478" s="22" t="str">
        <x:f>"QCL9H92"</x:f>
        <x:v>QCL9H92</x:v>
      </x:c>
      <x:c r="U1478" s="23" t="str">
        <x:v>ROGGER DAYAN GONCALVES BELARDI</x:v>
      </x:c>
      <x:c r="V1478" s="22" t="str">
        <x:f>"048.078.511-28"</x:f>
        <x:v>048.078.511-28</x:v>
      </x:c>
      <x:c r="W1478" s="22" t="str">
        <x:f>"04807851128"</x:f>
        <x:v>04807851128</x:v>
      </x:c>
      <x:c r="X1478" s="23" t="str">
        <x:v>roggerdayan59@gmail.com</x:v>
      </x:c>
      <x:c r="Y1478" s="22" t="str">
        <x:f>"65996787923"</x:f>
        <x:v>65996787923</x:v>
      </x:c>
      <x:c r="Z1478" s="30" t="n">
        <x:v>46367</x:v>
      </x:c>
    </x:row>
    <x:row r="1479" ht="18" customHeight="1">
      <x:c r="A1479" s="22" t="str">
        <x:f>"a6f4f3d1-4770-430d-9d46-54387f11c772"</x:f>
        <x:v>a6f4f3d1-4770-430d-9d46-54387f11c772</x:v>
      </x:c>
      <x:c r="B1479" s="23" t="str">
        <x:v>GUILHERME VIEIRA DE MESQUITA</x:v>
      </x:c>
      <x:c r="C1479" s="23" t="str">
        <x:v>guilherme vieira de mesquita</x:v>
      </x:c>
      <x:c r="D1479" s="22" t="str">
        <x:f>"60.502.389/0001-03"</x:f>
        <x:v>60.502.389/0001-03</x:v>
      </x:c>
      <x:c r="E1479" s="22" t="str">
        <x:f>"60502389000103"</x:f>
        <x:v>60502389000103</x:v>
      </x:c>
      <x:c r="F1479" s="22" t="str">
        <x:f>"137.445.626-89"</x:f>
        <x:v>137.445.626-89</x:v>
      </x:c>
      <x:c r="G1479" s="22" t="str">
        <x:f>"13744562689"</x:f>
        <x:v>13744562689</x:v>
      </x:c>
      <x:c r="H1479" s="23" t="str">
        <x:v>gui2912mesquita@gmail.com</x:v>
      </x:c>
      <x:c r="I1479" s="22" t="str">
        <x:f>"37991100574"</x:f>
        <x:v>37991100574</x:v>
      </x:c>
      <x:c r="J1479" s="23" t="str">
        <x:v>RENTAL</x:v>
      </x:c>
      <x:c r="K1479" s="23" t="str">
        <x:v>rental_company</x:v>
      </x:c>
      <x:c r="L1479" s="24" t="b">
        <x:v>1</x:v>
      </x:c>
      <x:c r="M1479" s="23" t="n">
        <x:v>1</x:v>
      </x:c>
      <x:c r="N1479" s="28" t="n">
        <x:v>46219.812988715275</x:v>
      </x:c>
      <x:c r="O1479" s="28" t="n">
        <x:v>46219.812988715275</x:v>
      </x:c>
      <x:c r="P1479" s="23" t="str">
        <x:v>NOVA LIMA</x:v>
      </x:c>
      <x:c r="Q1479" s="30" t="n">
        <x:v>36159</x:v>
      </x:c>
      <x:c r="R1479" s="22" t="str">
        <x:f>"15336563"</x:f>
        <x:v>15336563</x:v>
      </x:c>
      <x:c r="S1479" s="23" t="str">
        <x:v>masculino</x:v>
      </x:c>
      <x:c r="T1479" s="22" t="str"/>
      <x:c r="U1479" s="23" t="str">
        <x:v>GUILHERME VIEIRA DE MESQUITA</x:v>
      </x:c>
      <x:c r="V1479" s="22" t="str">
        <x:f>"137.445.626-89"</x:f>
        <x:v>137.445.626-89</x:v>
      </x:c>
      <x:c r="W1479" s="22" t="str">
        <x:f>"13744562689"</x:f>
        <x:v>13744562689</x:v>
      </x:c>
      <x:c r="X1479" s="23" t="str">
        <x:v>gui2912mesquita@gmail.com</x:v>
      </x:c>
      <x:c r="Y1479" s="22" t="str">
        <x:f>"37991100574"</x:f>
        <x:v>37991100574</x:v>
      </x:c>
      <x:c r="Z1479" s="30" t="n">
        <x:v>46473</x:v>
      </x:c>
    </x:row>
    <x:row r="1480" ht="18" customHeight="1">
      <x:c r="A1480" s="22" t="str">
        <x:f>"8bcc5fcc-5fb4-4194-95c7-4bd5324f0e4e"</x:f>
        <x:v>8bcc5fcc-5fb4-4194-95c7-4bd5324f0e4e</x:v>
      </x:c>
      <x:c r="B1480" s="23" t="str">
        <x:v>GUILHERME VINICIUS RODRIGUES</x:v>
      </x:c>
      <x:c r="C1480" s="23" t="str">
        <x:v>guilherme vinicius rodrigues</x:v>
      </x:c>
      <x:c r="D1480" s="22" t="str">
        <x:f>"67.714.136/0001-34"</x:f>
        <x:v>67.714.136/0001-34</x:v>
      </x:c>
      <x:c r="E1480" s="22" t="str">
        <x:f>"67714136000134"</x:f>
        <x:v>67714136000134</x:v>
      </x:c>
      <x:c r="F1480" s="22" t="str">
        <x:f>"087.854.896-38"</x:f>
        <x:v>087.854.896-38</x:v>
      </x:c>
      <x:c r="G1480" s="22" t="str">
        <x:f>"08785489638"</x:f>
        <x:v>08785489638</x:v>
      </x:c>
      <x:c r="H1480" s="23" t="str">
        <x:v>VINICIUSG687@GMAIL.COM</x:v>
      </x:c>
      <x:c r="I1480" s="22" t="str">
        <x:f>"34996307135"</x:f>
        <x:v>34996307135</x:v>
      </x:c>
      <x:c r="J1480" s="23" t="str">
        <x:v>RENTAL</x:v>
      </x:c>
      <x:c r="K1480" s="23" t="str">
        <x:v>rental_company</x:v>
      </x:c>
      <x:c r="L1480" s="24" t="b">
        <x:v>1</x:v>
      </x:c>
      <x:c r="M1480" s="23" t="n">
        <x:v>1</x:v>
      </x:c>
      <x:c r="N1480" s="28" t="n">
        <x:v>46219.812988715275</x:v>
      </x:c>
      <x:c r="O1480" s="28" t="n">
        <x:v>46219.812988715275</x:v>
      </x:c>
      <x:c r="P1480" s="23" t="str">
        <x:v>UBERLANDIA</x:v>
      </x:c>
      <x:c r="Q1480" s="30" t="n">
        <x:v>35108</x:v>
      </x:c>
      <x:c r="R1480" s="22" t="str">
        <x:f>"MG164489782"</x:f>
        <x:v>MG164489782</x:v>
      </x:c>
      <x:c r="S1480" s="23" t="str">
        <x:v>masculino</x:v>
      </x:c>
      <x:c r="T1480" s="22" t="str"/>
      <x:c r="U1480" s="23" t="str">
        <x:v>GUILHERME VINICIUS RODRIGUES</x:v>
      </x:c>
      <x:c r="V1480" s="22" t="str">
        <x:f>"087.854.896-38"</x:f>
        <x:v>087.854.896-38</x:v>
      </x:c>
      <x:c r="W1480" s="22" t="str">
        <x:f>"08785489638"</x:f>
        <x:v>08785489638</x:v>
      </x:c>
      <x:c r="X1480" s="23" t="str">
        <x:v>VINICIUSG687@GMAIL.COM</x:v>
      </x:c>
      <x:c r="Y1480" s="22" t="str">
        <x:f>"34996307135"</x:f>
        <x:v>34996307135</x:v>
      </x:c>
      <x:c r="Z1480" s="30" t="n">
        <x:v>46568</x:v>
      </x:c>
    </x:row>
    <x:row r="1481" ht="18" customHeight="1">
      <x:c r="A1481" s="22" t="str">
        <x:f>"27e7f877-3e0d-404b-925d-eb64f3a9fdc0"</x:f>
        <x:v>27e7f877-3e0d-404b-925d-eb64f3a9fdc0</x:v>
      </x:c>
      <x:c r="B1481" s="23" t="str">
        <x:v>GUILHERME WAGNER NEVES</x:v>
      </x:c>
      <x:c r="C1481" s="23" t="str">
        <x:v>guilherme wagner neves</x:v>
      </x:c>
      <x:c r="D1481" s="22" t="str">
        <x:f>"43.268.734/0001-69"</x:f>
        <x:v>43.268.734/0001-69</x:v>
      </x:c>
      <x:c r="E1481" s="22" t="str">
        <x:f>"43268734000169"</x:f>
        <x:v>43268734000169</x:v>
      </x:c>
      <x:c r="F1481" s="22" t="str">
        <x:f>"115.451.576-18"</x:f>
        <x:v>115.451.576-18</x:v>
      </x:c>
      <x:c r="G1481" s="22" t="str">
        <x:f>"11545157618"</x:f>
        <x:v>11545157618</x:v>
      </x:c>
      <x:c r="H1481" s="23" t="str">
        <x:v>guigui.fut@hotmail.com</x:v>
      </x:c>
      <x:c r="I1481" s="22" t="str">
        <x:f>"31985177431"</x:f>
        <x:v>31985177431</x:v>
      </x:c>
      <x:c r="J1481" s="23" t="str">
        <x:v>SPOT</x:v>
      </x:c>
      <x:c r="K1481" s="23" t="str">
        <x:v>favored_only</x:v>
      </x:c>
      <x:c r="L1481" s="24" t="b">
        <x:v>1</x:v>
      </x:c>
      <x:c r="M1481" s="23" t="n">
        <x:v>1</x:v>
      </x:c>
      <x:c r="N1481" s="28" t="n">
        <x:v>46205.60628503472</x:v>
      </x:c>
      <x:c r="O1481" s="28" t="n">
        <x:v>46219.812988715275</x:v>
      </x:c>
      <x:c r="P1481" s="23" t="str">
        <x:v>VESPASIANO</x:v>
      </x:c>
      <x:c r="Q1481" s="30" t="n">
        <x:v>33975</x:v>
      </x:c>
      <x:c r="R1481" s="22" t="str">
        <x:f>"RG: 15713604"</x:f>
        <x:v>RG: 15713604</x:v>
      </x:c>
      <x:c r="S1481" s="23" t="str">
        <x:v>masculino</x:v>
      </x:c>
      <x:c r="T1481" s="22" t="str">
        <x:f>"HIA3076"</x:f>
        <x:v>HIA3076</x:v>
      </x:c>
      <x:c r="U1481" s="23" t="str">
        <x:v>GUSTAVO MATEUS NEVES</x:v>
      </x:c>
      <x:c r="V1481" s="22" t="str">
        <x:f>"154.107.426-21"</x:f>
        <x:v>154.107.426-21</x:v>
      </x:c>
      <x:c r="W1481" s="22" t="str">
        <x:f>"15410742621"</x:f>
        <x:v>15410742621</x:v>
      </x:c>
      <x:c r="X1481" s="23" t="str">
        <x:v>gugucuelho@hotmail.com</x:v>
      </x:c>
      <x:c r="Y1481" s="22" t="str">
        <x:f>"31 99798-2926"</x:f>
        <x:v>31 99798-2926</x:v>
      </x:c>
      <x:c r="Z1481" s="30" t="n">
        <x:v>46339</x:v>
      </x:c>
    </x:row>
    <x:row r="1482" ht="18" customHeight="1">
      <x:c r="A1482" s="22" t="str">
        <x:f>"50d59cba-65d6-44a3-80e0-221a55e21611"</x:f>
        <x:v>50d59cba-65d6-44a3-80e0-221a55e21611</x:v>
      </x:c>
      <x:c r="B1482" s="23" t="str">
        <x:v>GUILHERME WAGNER NEVES</x:v>
      </x:c>
      <x:c r="C1482" s="23" t="str">
        <x:v>guilherme wagner neves</x:v>
      </x:c>
      <x:c r="D1482" s="22" t="str">
        <x:f>"47.109.118/0001-16"</x:f>
        <x:v>47.109.118/0001-16</x:v>
      </x:c>
      <x:c r="E1482" s="22" t="str">
        <x:f>"47109118000116"</x:f>
        <x:v>47109118000116</x:v>
      </x:c>
      <x:c r="F1482" s="22" t="str">
        <x:f>"115.451.576-18"</x:f>
        <x:v>115.451.576-18</x:v>
      </x:c>
      <x:c r="G1482" s="22" t="str">
        <x:f>"11545157618"</x:f>
        <x:v>11545157618</x:v>
      </x:c>
      <x:c r="H1482" s="23" t="str">
        <x:v>guigui.fut@hotmail.com</x:v>
      </x:c>
      <x:c r="I1482" s="22" t="str">
        <x:f>"31985177431"</x:f>
        <x:v>31985177431</x:v>
      </x:c>
      <x:c r="J1482" s="23" t="str">
        <x:v>SPOT</x:v>
      </x:c>
      <x:c r="K1482" s="23" t="str">
        <x:v>favored_only</x:v>
      </x:c>
      <x:c r="L1482" s="24" t="b">
        <x:v>1</x:v>
      </x:c>
      <x:c r="M1482" s="23" t="n">
        <x:v>1</x:v>
      </x:c>
      <x:c r="N1482" s="28" t="n">
        <x:v>46203.92189349537</x:v>
      </x:c>
      <x:c r="O1482" s="28" t="n">
        <x:v>46219.812988715275</x:v>
      </x:c>
      <x:c r="P1482" s="23" t="str">
        <x:v>VESPASIANO</x:v>
      </x:c>
      <x:c r="Q1482" s="30" t="n">
        <x:v>33975</x:v>
      </x:c>
      <x:c r="R1482" s="22" t="str">
        <x:f>"RG: 15713604"</x:f>
        <x:v>RG: 15713604</x:v>
      </x:c>
      <x:c r="S1482" s="23" t="str">
        <x:v>masculino</x:v>
      </x:c>
      <x:c r="T1482" s="22" t="str">
        <x:f>"HIA3076"</x:f>
        <x:v>HIA3076</x:v>
      </x:c>
      <x:c r="U1482" s="23" t="str">
        <x:v>GUILHERME WAGNER NEVES</x:v>
      </x:c>
      <x:c r="V1482" s="22" t="str">
        <x:f>"115.451.576-18"</x:f>
        <x:v>115.451.576-18</x:v>
      </x:c>
      <x:c r="W1482" s="22" t="str">
        <x:f>"11545157618"</x:f>
        <x:v>11545157618</x:v>
      </x:c>
      <x:c r="X1482" s="23" t="str">
        <x:v>guigui.fut@hotmail.com</x:v>
      </x:c>
      <x:c r="Y1482" s="22" t="str">
        <x:f>"31985177431"</x:f>
        <x:v>31985177431</x:v>
      </x:c>
      <x:c r="Z1482" s="30" t="n">
        <x:v>46339</x:v>
      </x:c>
    </x:row>
    <x:row r="1483" ht="18" customHeight="1">
      <x:c r="A1483" s="22" t="str">
        <x:f>"e2bc1eee-6f9d-44a7-bd71-000a7857a6a2"</x:f>
        <x:v>e2bc1eee-6f9d-44a7-bd71-000a7857a6a2</x:v>
      </x:c>
      <x:c r="B1483" s="23" t="str">
        <x:v>GUSTAVO CAPELA WINTER</x:v>
      </x:c>
      <x:c r="C1483" s="23" t="str">
        <x:v>gustavo capela winter</x:v>
      </x:c>
      <x:c r="D1483" s="22" t="str">
        <x:f>"53.751.501/0001-76"</x:f>
        <x:v>53.751.501/0001-76</x:v>
      </x:c>
      <x:c r="E1483" s="22" t="str">
        <x:f>"53751501000176"</x:f>
        <x:v>53751501000176</x:v>
      </x:c>
      <x:c r="F1483" s="22" t="str">
        <x:f>"460.917.498-70"</x:f>
        <x:v>460.917.498-70</x:v>
      </x:c>
      <x:c r="G1483" s="22" t="str">
        <x:f>"46091749870"</x:f>
        <x:v>46091749870</x:v>
      </x:c>
      <x:c r="H1483" s="23" t="str">
        <x:v>gustavocapela067@gmail.com</x:v>
      </x:c>
      <x:c r="I1483" s="22" t="str">
        <x:f>"17996534806"</x:f>
        <x:v>17996534806</x:v>
      </x:c>
      <x:c r="J1483" s="23" t="str">
        <x:v>RENTAL</x:v>
      </x:c>
      <x:c r="K1483" s="23" t="str">
        <x:v>rental_company</x:v>
      </x:c>
      <x:c r="L1483" s="24" t="b">
        <x:v>1</x:v>
      </x:c>
      <x:c r="M1483" s="23" t="n">
        <x:v>1</x:v>
      </x:c>
      <x:c r="N1483" s="28" t="n">
        <x:v>46203.921887453704</x:v>
      </x:c>
      <x:c r="O1483" s="28" t="n">
        <x:v>46219.812988715275</x:v>
      </x:c>
      <x:c r="P1483" s="23" t="str">
        <x:v>JALES</x:v>
      </x:c>
      <x:c r="Q1483" s="30" t="n">
        <x:v>37054</x:v>
      </x:c>
      <x:c r="R1483" s="22" t="str">
        <x:f>"568703923"</x:f>
        <x:v>568703923</x:v>
      </x:c>
      <x:c r="S1483" s="23" t="str">
        <x:v>masculino</x:v>
      </x:c>
      <x:c r="T1483" s="22" t="str"/>
      <x:c r="U1483" s="23" t="str">
        <x:v>GUSTAVO CAPELA WINTER</x:v>
      </x:c>
      <x:c r="V1483" s="22" t="str">
        <x:f>"460.917.498-70"</x:f>
        <x:v>460.917.498-70</x:v>
      </x:c>
      <x:c r="W1483" s="22" t="str">
        <x:f>"46091749870"</x:f>
        <x:v>46091749870</x:v>
      </x:c>
      <x:c r="X1483" s="23" t="str">
        <x:v>gustavocapela067@gmail.com</x:v>
      </x:c>
      <x:c r="Y1483" s="22" t="str">
        <x:f>"17996534806"</x:f>
        <x:v>17996534806</x:v>
      </x:c>
      <x:c r="Z1483" s="30" t="n">
        <x:v>46333</x:v>
      </x:c>
    </x:row>
    <x:row r="1484" ht="18" customHeight="1">
      <x:c r="A1484" s="22" t="str">
        <x:f>"2508db6c-1847-4d63-a2dc-b0d6ecd0d151"</x:f>
        <x:v>2508db6c-1847-4d63-a2dc-b0d6ecd0d151</x:v>
      </x:c>
      <x:c r="B1484" s="23" t="str">
        <x:v>GUSTAVO DA MATTA CHINKO</x:v>
      </x:c>
      <x:c r="C1484" s="23" t="str">
        <x:v>gustavo da matta chinko</x:v>
      </x:c>
      <x:c r="D1484" s="22" t="str">
        <x:f>"67.729.951/0001-77"</x:f>
        <x:v>67.729.951/0001-77</x:v>
      </x:c>
      <x:c r="E1484" s="22" t="str">
        <x:f>"67729951000177"</x:f>
        <x:v>67729951000177</x:v>
      </x:c>
      <x:c r="F1484" s="22" t="str">
        <x:f>"441.984.038-47"</x:f>
        <x:v>441.984.038-47</x:v>
      </x:c>
      <x:c r="G1484" s="22" t="str">
        <x:f>"44198403847"</x:f>
        <x:v>44198403847</x:v>
      </x:c>
      <x:c r="H1484" s="23" t="str">
        <x:v>gustavo.chinko17@gmail.com</x:v>
      </x:c>
      <x:c r="I1484" s="22" t="str">
        <x:f>"(16)99708-8434"</x:f>
        <x:v>(16)99708-8434</x:v>
      </x:c>
      <x:c r="J1484" s="23" t="str">
        <x:v>RENTAL</x:v>
      </x:c>
      <x:c r="K1484" s="23" t="str">
        <x:v>rental_company</x:v>
      </x:c>
      <x:c r="L1484" s="24" t="b">
        <x:v>1</x:v>
      </x:c>
      <x:c r="M1484" s="23" t="n">
        <x:v>1</x:v>
      </x:c>
      <x:c r="N1484" s="28" t="n">
        <x:v>46219.812988715275</x:v>
      </x:c>
      <x:c r="O1484" s="28" t="n">
        <x:v>46219.812988715275</x:v>
      </x:c>
      <x:c r="P1484" s="23" t="str">
        <x:v>MADEIRA MADEIRA</x:v>
      </x:c>
      <x:c r="Q1484" s="30" t="n">
        <x:v>36503</x:v>
      </x:c>
      <x:c r="R1484" s="22" t="str">
        <x:f>"555469542"</x:f>
        <x:v>555469542</x:v>
      </x:c>
      <x:c r="S1484" s="23" t="str">
        <x:v>masculino</x:v>
      </x:c>
      <x:c r="T1484" s="22" t="str"/>
      <x:c r="U1484" s="23" t="str">
        <x:v>GUSTAVO DA MATTA CHINKO</x:v>
      </x:c>
      <x:c r="V1484" s="22" t="str">
        <x:f>"441.984.038-47"</x:f>
        <x:v>441.984.038-47</x:v>
      </x:c>
      <x:c r="W1484" s="22" t="str">
        <x:f>"44198403847"</x:f>
        <x:v>44198403847</x:v>
      </x:c>
      <x:c r="X1484" s="23" t="str">
        <x:v>gustavo.chinko17@gmail.com</x:v>
      </x:c>
      <x:c r="Y1484" s="22" t="str">
        <x:f>"(16)99708-8434"</x:f>
        <x:v>(16)99708-8434</x:v>
      </x:c>
      <x:c r="Z1484" s="30" t="n">
        <x:v>46565</x:v>
      </x:c>
    </x:row>
    <x:row r="1485" ht="18" customHeight="1">
      <x:c r="A1485" s="22" t="str">
        <x:f>"ce46a62d-868b-4c04-985e-6e25423b63ce"</x:f>
        <x:v>ce46a62d-868b-4c04-985e-6e25423b63ce</x:v>
      </x:c>
      <x:c r="B1485" s="23" t="str">
        <x:v>GUSTAVO DA MATTA CHINKO</x:v>
      </x:c>
      <x:c r="C1485" s="23" t="str">
        <x:v>gustavo da matta chinko</x:v>
      </x:c>
      <x:c r="D1485" s="22" t="str">
        <x:f>"53.301.881/0001-47"</x:f>
        <x:v>53.301.881/0001-47</x:v>
      </x:c>
      <x:c r="E1485" s="22" t="str">
        <x:f>"53301881000147"</x:f>
        <x:v>53301881000147</x:v>
      </x:c>
      <x:c r="F1485" s="22" t="str">
        <x:f>"441.984.038-21"</x:f>
        <x:v>441.984.038-21</x:v>
      </x:c>
      <x:c r="G1485" s="22" t="str">
        <x:f>"44198403821"</x:f>
        <x:v>44198403821</x:v>
      </x:c>
      <x:c r="H1485" s="23" t="str">
        <x:v>gustavo.chinko17@gmail.com</x:v>
      </x:c>
      <x:c r="I1485" s="22" t="str">
        <x:f>"(16)99708-9735"</x:f>
        <x:v>(16)99708-9735</x:v>
      </x:c>
      <x:c r="J1485" s="23" t="str">
        <x:v>RENTAL</x:v>
      </x:c>
      <x:c r="K1485" s="23" t="str">
        <x:v>rental_company</x:v>
      </x:c>
      <x:c r="L1485" s="24" t="b">
        <x:v>1</x:v>
      </x:c>
      <x:c r="M1485" s="23" t="n">
        <x:v>1</x:v>
      </x:c>
      <x:c r="N1485" s="28" t="n">
        <x:v>46219.812988715275</x:v>
      </x:c>
      <x:c r="O1485" s="28" t="n">
        <x:v>46219.812988715275</x:v>
      </x:c>
      <x:c r="P1485" s="23" t="str">
        <x:v>MADEIRA MADEIRA</x:v>
      </x:c>
      <x:c r="Q1485" s="30" t="n">
        <x:v>36503</x:v>
      </x:c>
      <x:c r="R1485" s="22" t="str">
        <x:f>"55.546.954-2"</x:f>
        <x:v>55.546.954-2</x:v>
      </x:c>
      <x:c r="S1485" s="23" t="str">
        <x:v>masculino</x:v>
      </x:c>
      <x:c r="T1485" s="22" t="str"/>
      <x:c r="U1485" s="23" t="str">
        <x:v>GUSTAVO DA MATTA CHINKO</x:v>
      </x:c>
      <x:c r="V1485" s="22" t="str">
        <x:f>"441.984.038-21"</x:f>
        <x:v>441.984.038-21</x:v>
      </x:c>
      <x:c r="W1485" s="22" t="str">
        <x:f>"44198403821"</x:f>
        <x:v>44198403821</x:v>
      </x:c>
      <x:c r="X1485" s="23" t="str">
        <x:v>gustavo.chinko17@gmail.com</x:v>
      </x:c>
      <x:c r="Y1485" s="22" t="str">
        <x:f>"(16)99708-9735"</x:f>
        <x:v>(16)99708-9735</x:v>
      </x:c>
      <x:c r="Z1485" s="30" t="n">
        <x:v>46513</x:v>
      </x:c>
    </x:row>
    <x:row r="1486" ht="18" customHeight="1">
      <x:c r="A1486" s="22" t="str">
        <x:f>"b569d9f6-5db1-4898-94d2-baa0a49a55aa"</x:f>
        <x:v>b569d9f6-5db1-4898-94d2-baa0a49a55aa</x:v>
      </x:c>
      <x:c r="B1486" s="23" t="str">
        <x:v>GUSTAVO DA SILVA ALMEIDA</x:v>
      </x:c>
      <x:c r="C1486" s="23" t="str">
        <x:v>gustavo da silva almeida</x:v>
      </x:c>
      <x:c r="D1486" s="22" t="str">
        <x:f>"66.266.913/0001-62"</x:f>
        <x:v>66.266.913/0001-62</x:v>
      </x:c>
      <x:c r="E1486" s="22" t="str">
        <x:f>"66266913000162"</x:f>
        <x:v>66266913000162</x:v>
      </x:c>
      <x:c r="F1486" s="22" t="str">
        <x:f>"521.144.588-06"</x:f>
        <x:v>521.144.588-06</x:v>
      </x:c>
      <x:c r="G1486" s="22" t="str">
        <x:f>"52114458806"</x:f>
        <x:v>52114458806</x:v>
      </x:c>
      <x:c r="H1486" s="23" t="str">
        <x:v>Gs2768229@gmail.com</x:v>
      </x:c>
      <x:c r="I1486" s="22" t="str">
        <x:f>"11942212681"</x:f>
        <x:v>11942212681</x:v>
      </x:c>
      <x:c r="J1486" s="23" t="str">
        <x:v>RENTAL</x:v>
      </x:c>
      <x:c r="K1486" s="23" t="str">
        <x:v>rental_company</x:v>
      </x:c>
      <x:c r="L1486" s="24" t="b">
        <x:v>1</x:v>
      </x:c>
      <x:c r="M1486" s="23" t="n">
        <x:v>1</x:v>
      </x:c>
      <x:c r="N1486" s="28" t="n">
        <x:v>46219.812988715275</x:v>
      </x:c>
      <x:c r="O1486" s="28" t="n">
        <x:v>46219.812988715275</x:v>
      </x:c>
      <x:c r="P1486" s="23" t="str">
        <x:v>BARUERI</x:v>
      </x:c>
      <x:c r="Q1486" s="30" t="n">
        <x:v>38308</x:v>
      </x:c>
      <x:c r="R1486" s="22" t="str">
        <x:f>"629053820"</x:f>
        <x:v>629053820</x:v>
      </x:c>
      <x:c r="S1486" s="23" t="str">
        <x:v>masculino</x:v>
      </x:c>
      <x:c r="T1486" s="22" t="str"/>
      <x:c r="U1486" s="23" t="str">
        <x:v>GUSTAVO DA SILVA ALMEIDA</x:v>
      </x:c>
      <x:c r="V1486" s="22" t="str">
        <x:f>"521.144.588-06"</x:f>
        <x:v>521.144.588-06</x:v>
      </x:c>
      <x:c r="W1486" s="22" t="str">
        <x:f>"52114458806"</x:f>
        <x:v>52114458806</x:v>
      </x:c>
      <x:c r="X1486" s="23" t="str">
        <x:v>Gs2768229@gmail.com</x:v>
      </x:c>
      <x:c r="Y1486" s="22" t="str">
        <x:f>"11942212681"</x:f>
        <x:v>11942212681</x:v>
      </x:c>
      <x:c r="Z1486" s="30" t="n">
        <x:v>46501</x:v>
      </x:c>
    </x:row>
    <x:row r="1487" ht="18" customHeight="1">
      <x:c r="A1487" s="22" t="str">
        <x:f>"5eafda8e-59cd-4f31-9c56-0ee000487ba3"</x:f>
        <x:v>5eafda8e-59cd-4f31-9c56-0ee000487ba3</x:v>
      </x:c>
      <x:c r="B1487" s="23" t="str">
        <x:v>GUSTAVO DE FRANCA COSTA</x:v>
      </x:c>
      <x:c r="C1487" s="23" t="str">
        <x:v>gustavo de franca costa</x:v>
      </x:c>
      <x:c r="D1487" s="22" t="str">
        <x:f>"62.807.180/0001-75"</x:f>
        <x:v>62.807.180/0001-75</x:v>
      </x:c>
      <x:c r="E1487" s="22" t="str">
        <x:f>"62807180000175"</x:f>
        <x:v>62807180000175</x:v>
      </x:c>
      <x:c r="F1487" s="22" t="str">
        <x:f>"409.083.338-89"</x:f>
        <x:v>409.083.338-89</x:v>
      </x:c>
      <x:c r="G1487" s="22" t="str">
        <x:f>"40908333889"</x:f>
        <x:v>40908333889</x:v>
      </x:c>
      <x:c r="H1487" s="23" t="str">
        <x:v>Gustavodjo2966@gmail.com</x:v>
      </x:c>
      <x:c r="I1487" s="22" t="str">
        <x:f>"18 99610-2966"</x:f>
        <x:v>18 99610-2966</x:v>
      </x:c>
      <x:c r="J1487" s="23" t="str">
        <x:v>RNETAL</x:v>
      </x:c>
      <x:c r="K1487" s="23" t="str">
        <x:v>favored_only</x:v>
      </x:c>
      <x:c r="L1487" s="24" t="b">
        <x:v>1</x:v>
      </x:c>
      <x:c r="M1487" s="23" t="n">
        <x:v>1</x:v>
      </x:c>
      <x:c r="N1487" s="28" t="n">
        <x:v>46203.92186462963</x:v>
      </x:c>
      <x:c r="O1487" s="28" t="n">
        <x:v>46219.812988715275</x:v>
      </x:c>
      <x:c r="P1487" s="23" t="str">
        <x:v>PRESIDENTE PRUDENTE</x:v>
      </x:c>
      <x:c r="Q1487" s="30" t="n">
        <x:v>33497</x:v>
      </x:c>
      <x:c r="R1487" s="22" t="str">
        <x:f>"49695272"</x:f>
        <x:v>49695272</x:v>
      </x:c>
      <x:c r="S1487" s="23" t="str">
        <x:v>masculino</x:v>
      </x:c>
      <x:c r="T1487" s="22" t="str"/>
      <x:c r="U1487" s="23" t="str">
        <x:v>GUSTAVO DE FRANCA COSTA</x:v>
      </x:c>
      <x:c r="V1487" s="22" t="str">
        <x:f>"409.083.338-89"</x:f>
        <x:v>409.083.338-89</x:v>
      </x:c>
      <x:c r="W1487" s="22" t="str">
        <x:f>"40908333889"</x:f>
        <x:v>40908333889</x:v>
      </x:c>
      <x:c r="X1487" s="23" t="str">
        <x:v>Gustavodjo2966@gmail.com</x:v>
      </x:c>
      <x:c r="Y1487" s="22" t="str">
        <x:f>"18 99610-2966"</x:f>
        <x:v>18 99610-2966</x:v>
      </x:c>
      <x:c r="Z1487" s="30" t="n">
        <x:v>46284</x:v>
      </x:c>
    </x:row>
    <x:row r="1488" ht="18" customHeight="1">
      <x:c r="A1488" s="22" t="str">
        <x:f>"79ad0e81-8db6-4623-87f4-7c34f4837185"</x:f>
        <x:v>79ad0e81-8db6-4623-87f4-7c34f4837185</x:v>
      </x:c>
      <x:c r="B1488" s="23" t="str">
        <x:v>GUSTAVO DOS SANTOS RUVIERE</x:v>
      </x:c>
      <x:c r="C1488" s="23" t="str">
        <x:v>gustavo dos santos ruviere</x:v>
      </x:c>
      <x:c r="D1488" s="22" t="str">
        <x:f>"59.108.797/0001-98"</x:f>
        <x:v>59.108.797/0001-98</x:v>
      </x:c>
      <x:c r="E1488" s="22" t="str">
        <x:f>"59108797000198"</x:f>
        <x:v>59108797000198</x:v>
      </x:c>
      <x:c r="F1488" s="22" t="str">
        <x:f>"372.437.228-06"</x:f>
        <x:v>372.437.228-06</x:v>
      </x:c>
      <x:c r="G1488" s="22" t="str">
        <x:f>"37243722806"</x:f>
        <x:v>37243722806</x:v>
      </x:c>
      <x:c r="H1488" s="23" t="str">
        <x:v>gustavoruviere@hotmail.com</x:v>
      </x:c>
      <x:c r="I1488" s="22" t="str">
        <x:f>"17 99618-1452"</x:f>
        <x:v>17 99618-1452</x:v>
      </x:c>
      <x:c r="J1488" s="23" t="str">
        <x:v>SPOT</x:v>
      </x:c>
      <x:c r="K1488" s="23" t="str">
        <x:v>favored_only</x:v>
      </x:c>
      <x:c r="L1488" s="24" t="b">
        <x:v>1</x:v>
      </x:c>
      <x:c r="M1488" s="23" t="n">
        <x:v>1</x:v>
      </x:c>
      <x:c r="N1488" s="28" t="n">
        <x:v>46219.812988715275</x:v>
      </x:c>
      <x:c r="O1488" s="28" t="n">
        <x:v>46219.812988715275</x:v>
      </x:c>
      <x:c r="P1488" s="23" t="str">
        <x:v>SÃO JOSE DO RIO PRETO</x:v>
      </x:c>
      <x:c r="Q1488" s="30" t="n">
        <x:v>33347</x:v>
      </x:c>
      <x:c r="R1488" s="22" t="str">
        <x:f>"47367106"</x:f>
        <x:v>47367106</x:v>
      </x:c>
      <x:c r="S1488" s="23" t="str">
        <x:v>masculino</x:v>
      </x:c>
      <x:c r="T1488" s="22" t="str">
        <x:f>"QJF1C28"</x:f>
        <x:v>QJF1C28</x:v>
      </x:c>
      <x:c r="U1488" s="23" t="str">
        <x:v>GUSTAVO DOS SANTOS RUVIERE</x:v>
      </x:c>
      <x:c r="V1488" s="22" t="str">
        <x:f>"372.437.228-06"</x:f>
        <x:v>372.437.228-06</x:v>
      </x:c>
      <x:c r="W1488" s="22" t="str">
        <x:f>"37243722806"</x:f>
        <x:v>37243722806</x:v>
      </x:c>
      <x:c r="X1488" s="23" t="str">
        <x:v>gustavoruviere@hotmail.com</x:v>
      </x:c>
      <x:c r="Y1488" s="22" t="str">
        <x:f>"17 99618-1452"</x:f>
        <x:v>17 99618-1452</x:v>
      </x:c>
      <x:c r="Z1488" s="30" t="n">
        <x:v>46539</x:v>
      </x:c>
    </x:row>
    <x:row r="1489" ht="18" customHeight="1">
      <x:c r="A1489" s="22" t="str">
        <x:f>"474c2ce2-ea55-49d8-9db5-63c934c7a68b"</x:f>
        <x:v>474c2ce2-ea55-49d8-9db5-63c934c7a68b</x:v>
      </x:c>
      <x:c r="B1489" s="23" t="str">
        <x:v>GUSTAVO ENRICO FERNANDES DOS SANTOS</x:v>
      </x:c>
      <x:c r="C1489" s="23" t="str">
        <x:v>gustavo enrico fernandes dos santos</x:v>
      </x:c>
      <x:c r="D1489" s="22" t="str">
        <x:f>"63.159.497/0001-05"</x:f>
        <x:v>63.159.497/0001-05</x:v>
      </x:c>
      <x:c r="E1489" s="22" t="str">
        <x:f>"63159497000105"</x:f>
        <x:v>63159497000105</x:v>
      </x:c>
      <x:c r="F1489" s="22" t="str">
        <x:f>"377.306.938-36"</x:f>
        <x:v>377.306.938-36</x:v>
      </x:c>
      <x:c r="G1489" s="22" t="str">
        <x:f>"37730693836"</x:f>
        <x:v>37730693836</x:v>
      </x:c>
      <x:c r="H1489" s="23" t="str">
        <x:v>gustabr1803@gmail.com</x:v>
      </x:c>
      <x:c r="I1489" s="22" t="str">
        <x:f>"18988199362"</x:f>
        <x:v>18988199362</x:v>
      </x:c>
      <x:c r="J1489" s="23" t="str">
        <x:v>rental</x:v>
      </x:c>
      <x:c r="K1489" s="23" t="str">
        <x:v>rental_company</x:v>
      </x:c>
      <x:c r="L1489" s="24" t="b">
        <x:v>1</x:v>
      </x:c>
      <x:c r="M1489" s="23" t="n">
        <x:v>2</x:v>
      </x:c>
      <x:c r="N1489" s="28" t="n">
        <x:v>46203.9218771875</x:v>
      </x:c>
      <x:c r="O1489" s="28" t="n">
        <x:v>46219.812988715275</x:v>
      </x:c>
      <x:c r="P1489" s="23" t="str">
        <x:v>PRESIDENTE PRUDENTE</x:v>
      </x:c>
      <x:c r="Q1489" s="30" t="n">
        <x:v>38371</x:v>
      </x:c>
      <x:c r="R1489" s="22" t="str">
        <x:f>"602127567"</x:f>
        <x:v>602127567</x:v>
      </x:c>
      <x:c r="S1489" s="23" t="str">
        <x:v>masculino</x:v>
      </x:c>
      <x:c r="T1489" s="22" t="str"/>
      <x:c r="U1489" s="23" t="str">
        <x:v>GUSTAVO ENRICO FERNANDES DOS SANTOS</x:v>
      </x:c>
      <x:c r="V1489" s="22" t="str">
        <x:f>"377.306.938-36"</x:f>
        <x:v>377.306.938-36</x:v>
      </x:c>
      <x:c r="W1489" s="22" t="str">
        <x:f>"37730693836"</x:f>
        <x:v>37730693836</x:v>
      </x:c>
      <x:c r="X1489" s="23" t="str">
        <x:v>gustabr1803@gmail.com</x:v>
      </x:c>
      <x:c r="Y1489" s="22" t="str">
        <x:f>"18988199362"</x:f>
        <x:v>18988199362</x:v>
      </x:c>
      <x:c r="Z1489" s="30" t="n">
        <x:v>46519</x:v>
      </x:c>
    </x:row>
    <x:row r="1490" ht="18" customHeight="1">
      <x:c r="A1490" s="22" t="str">
        <x:f>"792dbe49-e972-4477-9626-d15a4dac2185"</x:f>
        <x:v>792dbe49-e972-4477-9626-d15a4dac2185</x:v>
      </x:c>
      <x:c r="B1490" s="23" t="str">
        <x:v>GUSTAVO FERNANDES COSTA</x:v>
      </x:c>
      <x:c r="C1490" s="23" t="str">
        <x:v>gustavo fernandes costa</x:v>
      </x:c>
      <x:c r="D1490" s="22" t="str">
        <x:f>"46.067.763/0001-50"</x:f>
        <x:v>46.067.763/0001-50</x:v>
      </x:c>
      <x:c r="E1490" s="22" t="str">
        <x:f>"46067763000150"</x:f>
        <x:v>46067763000150</x:v>
      </x:c>
      <x:c r="F1490" s="22" t="str">
        <x:f>"157.013.456-10"</x:f>
        <x:v>157.013.456-10</x:v>
      </x:c>
      <x:c r="G1490" s="22" t="str">
        <x:f>"15701345610"</x:f>
        <x:v>15701345610</x:v>
      </x:c>
      <x:c r="H1490" s="23" t="str">
        <x:v>gufernandes.max@gmail.com</x:v>
      </x:c>
      <x:c r="I1490" s="22" t="str">
        <x:f>"31975165912"</x:f>
        <x:v>31975165912</x:v>
      </x:c>
      <x:c r="J1490" s="23" t="str">
        <x:v>SPOT</x:v>
      </x:c>
      <x:c r="K1490" s="23" t="str">
        <x:v>favored_only</x:v>
      </x:c>
      <x:c r="L1490" s="24" t="b">
        <x:v>1</x:v>
      </x:c>
      <x:c r="M1490" s="23" t="n">
        <x:v>1</x:v>
      </x:c>
      <x:c r="N1490" s="28" t="n">
        <x:v>46219.812988715275</x:v>
      </x:c>
      <x:c r="O1490" s="28" t="n">
        <x:v>46219.812988715275</x:v>
      </x:c>
      <x:c r="P1490" s="23" t="str">
        <x:v>VESPASIANO</x:v>
      </x:c>
      <x:c r="Q1490" s="30" t="n">
        <x:v>37447</x:v>
      </x:c>
      <x:c r="R1490" s="22" t="str">
        <x:f>"RG: MG20462374"</x:f>
        <x:v>RG: MG20462374</x:v>
      </x:c>
      <x:c r="S1490" s="23" t="str">
        <x:v>masculino</x:v>
      </x:c>
      <x:c r="T1490" s="22" t="str">
        <x:f>"HNC7F42"</x:f>
        <x:v>HNC7F42</x:v>
      </x:c>
      <x:c r="U1490" s="23" t="str">
        <x:v>GUSTAVO FERNANDES COSTA</x:v>
      </x:c>
      <x:c r="V1490" s="22" t="str">
        <x:f>"157.013.456-10"</x:f>
        <x:v>157.013.456-10</x:v>
      </x:c>
      <x:c r="W1490" s="22" t="str">
        <x:f>"15701345610"</x:f>
        <x:v>15701345610</x:v>
      </x:c>
      <x:c r="X1490" s="23" t="str">
        <x:v>gufernandes.max@gmail.com</x:v>
      </x:c>
      <x:c r="Y1490" s="22" t="str">
        <x:f>"31975165912"</x:f>
        <x:v>31975165912</x:v>
      </x:c>
      <x:c r="Z1490" s="30" t="n">
        <x:v>46428</x:v>
      </x:c>
    </x:row>
    <x:row r="1491" ht="18" customHeight="1">
      <x:c r="A1491" s="22" t="str">
        <x:f>"0960773e-e198-422f-8152-c48c0c6c12de"</x:f>
        <x:v>0960773e-e198-422f-8152-c48c0c6c12de</x:v>
      </x:c>
      <x:c r="B1491" s="23" t="str">
        <x:v>GUSTAVO FERNANDES DOS SANTOS</x:v>
      </x:c>
      <x:c r="C1491" s="23" t="str">
        <x:v>gustavo fernandes dos santos</x:v>
      </x:c>
      <x:c r="D1491" s="22" t="str">
        <x:f>"57.959.681/0001-37"</x:f>
        <x:v>57.959.681/0001-37</x:v>
      </x:c>
      <x:c r="E1491" s="22" t="str">
        <x:f>"57959681000137"</x:f>
        <x:v>57959681000137</x:v>
      </x:c>
      <x:c r="F1491" s="22" t="str">
        <x:f>"454.189.328-29"</x:f>
        <x:v>454.189.328-29</x:v>
      </x:c>
      <x:c r="G1491" s="22" t="str">
        <x:f>"45418932829"</x:f>
        <x:v>45418932829</x:v>
      </x:c>
      <x:c r="H1491" s="23" t="str">
        <x:v>gustavo_fernandes2000@hotmail.com</x:v>
      </x:c>
      <x:c r="I1491" s="22" t="str">
        <x:f>"11975836564"</x:f>
        <x:v>11975836564</x:v>
      </x:c>
      <x:c r="J1491" s="23" t="str">
        <x:v>RENTAL</x:v>
      </x:c>
      <x:c r="K1491" s="23" t="str">
        <x:v>rental_company</x:v>
      </x:c>
      <x:c r="L1491" s="24" t="b">
        <x:v>1</x:v>
      </x:c>
      <x:c r="M1491" s="23" t="n">
        <x:v>1</x:v>
      </x:c>
      <x:c r="N1491" s="28" t="n">
        <x:v>46203.921852962965</x:v>
      </x:c>
      <x:c r="O1491" s="28" t="n">
        <x:v>46219.812988715275</x:v>
      </x:c>
      <x:c r="P1491" s="23" t="str">
        <x:v>BARUERI</x:v>
      </x:c>
      <x:c r="Q1491" s="30" t="n">
        <x:v>37994</x:v>
      </x:c>
      <x:c r="R1491" s="22" t="str">
        <x:f>"563681950"</x:f>
        <x:v>563681950</x:v>
      </x:c>
      <x:c r="S1491" s="23" t="str">
        <x:v>masculino</x:v>
      </x:c>
      <x:c r="T1491" s="22" t="str"/>
      <x:c r="U1491" s="23" t="str">
        <x:v>GUSTAVO FERNANDES DOS SANTOS</x:v>
      </x:c>
      <x:c r="V1491" s="22" t="str">
        <x:f>"454.189.328-29"</x:f>
        <x:v>454.189.328-29</x:v>
      </x:c>
      <x:c r="W1491" s="22" t="str">
        <x:f>"45418932829"</x:f>
        <x:v>45418932829</x:v>
      </x:c>
      <x:c r="X1491" s="23" t="str">
        <x:v>gustavo_fernandes2000@hotmail.com</x:v>
      </x:c>
      <x:c r="Y1491" s="22" t="str">
        <x:f>"11975836564"</x:f>
        <x:v>11975836564</x:v>
      </x:c>
      <x:c r="Z1491" s="30" t="n">
        <x:v>46247</x:v>
      </x:c>
    </x:row>
    <x:row r="1492" ht="18" customHeight="1">
      <x:c r="A1492" s="22" t="str">
        <x:f>"370255cd-aa61-4dc8-8c2f-0ea61a536ed3"</x:f>
        <x:v>370255cd-aa61-4dc8-8c2f-0ea61a536ed3</x:v>
      </x:c>
      <x:c r="B1492" s="23" t="str">
        <x:v>GUSTAVO FERREIRA NERES DOS SANTOS</x:v>
      </x:c>
      <x:c r="C1492" s="23" t="str">
        <x:v>gustavo ferreira neres dos santos</x:v>
      </x:c>
      <x:c r="D1492" s="22" t="str">
        <x:f>"64.808.433/0001-50"</x:f>
        <x:v>64.808.433/0001-50</x:v>
      </x:c>
      <x:c r="E1492" s="22" t="str">
        <x:f>"64808433000150"</x:f>
        <x:v>64808433000150</x:v>
      </x:c>
      <x:c r="F1492" s="22" t="str">
        <x:f>"489.871.758-63"</x:f>
        <x:v>489.871.758-63</x:v>
      </x:c>
      <x:c r="G1492" s="22" t="str">
        <x:f>"48987175863"</x:f>
        <x:v>48987175863</x:v>
      </x:c>
      <x:c r="H1492" s="23" t="str">
        <x:v>Gustavo.f.neressantos@gmail.com</x:v>
      </x:c>
      <x:c r="I1492" s="22" t="str">
        <x:f>"17 99160-5737"</x:f>
        <x:v>17 99160-5737</x:v>
      </x:c>
      <x:c r="J1492" s="23" t="str">
        <x:v>RENTAL</x:v>
      </x:c>
      <x:c r="K1492" s="23" t="str">
        <x:v>rental_company</x:v>
      </x:c>
      <x:c r="L1492" s="24" t="b">
        <x:v>1</x:v>
      </x:c>
      <x:c r="M1492" s="23" t="n">
        <x:v>1</x:v>
      </x:c>
      <x:c r="N1492" s="28" t="n">
        <x:v>46219.812988715275</x:v>
      </x:c>
      <x:c r="O1492" s="28" t="n">
        <x:v>46219.812988715275</x:v>
      </x:c>
      <x:c r="P1492" s="23" t="str">
        <x:v>BARRETOS</x:v>
      </x:c>
      <x:c r="Q1492" s="30" t="n">
        <x:v>37773</x:v>
      </x:c>
      <x:c r="R1492" s="22" t="str">
        <x:f>"525511234"</x:f>
        <x:v>525511234</x:v>
      </x:c>
      <x:c r="S1492" s="23" t="str">
        <x:v>masculino</x:v>
      </x:c>
      <x:c r="T1492" s="22" t="str"/>
      <x:c r="U1492" s="23" t="str">
        <x:v>GUSTAVO FERREIRA NERES DOS SANTOS</x:v>
      </x:c>
      <x:c r="V1492" s="22" t="str">
        <x:f>"489.871.758-63"</x:f>
        <x:v>489.871.758-63</x:v>
      </x:c>
      <x:c r="W1492" s="22" t="str">
        <x:f>"48987175863"</x:f>
        <x:v>48987175863</x:v>
      </x:c>
      <x:c r="X1492" s="23" t="str">
        <x:v>Gustavo.f.neressantos@gmail.com</x:v>
      </x:c>
      <x:c r="Y1492" s="22" t="str">
        <x:f>"17 99160-5737"</x:f>
        <x:v>17 99160-5737</x:v>
      </x:c>
      <x:c r="Z1492" s="30" t="n">
        <x:v>46431</x:v>
      </x:c>
    </x:row>
    <x:row r="1493" ht="18" customHeight="1">
      <x:c r="A1493" s="22" t="str">
        <x:f>"4fa1b7b6-9667-4327-a91d-fbf5d5950f13"</x:f>
        <x:v>4fa1b7b6-9667-4327-a91d-fbf5d5950f13</x:v>
      </x:c>
      <x:c r="B1493" s="23" t="str">
        <x:v>GUSTAVO GABRIEL DE MAGALHAES SIQUEIRA</x:v>
      </x:c>
      <x:c r="C1493" s="23" t="str">
        <x:v>gustavo gabriel de magalhaes siqueira</x:v>
      </x:c>
      <x:c r="D1493" s="22" t="str">
        <x:f>"63.547.362/0001-17"</x:f>
        <x:v>63.547.362/0001-17</x:v>
      </x:c>
      <x:c r="E1493" s="22" t="str">
        <x:f>"63547362000117"</x:f>
        <x:v>63547362000117</x:v>
      </x:c>
      <x:c r="F1493" s="22" t="str">
        <x:f>"062.479.791-00"</x:f>
        <x:v>062.479.791-00</x:v>
      </x:c>
      <x:c r="G1493" s="22" t="str">
        <x:f>"06247979100"</x:f>
        <x:v>06247979100</x:v>
      </x:c>
      <x:c r="H1493" s="23" t="str">
        <x:v>gugugabriel144@gmail.com</x:v>
      </x:c>
      <x:c r="I1493" s="22" t="str">
        <x:f>"+55 65 9311-9636"</x:f>
        <x:v>+55 65 9311-9636</x:v>
      </x:c>
      <x:c r="J1493" s="23" t="str">
        <x:v>RENTAL</x:v>
      </x:c>
      <x:c r="K1493" s="23" t="str">
        <x:v>rental_company</x:v>
      </x:c>
      <x:c r="L1493" s="24" t="b">
        <x:v>1</x:v>
      </x:c>
      <x:c r="M1493" s="23" t="n">
        <x:v>1</x:v>
      </x:c>
      <x:c r="N1493" s="28" t="n">
        <x:v>46203.921887453704</x:v>
      </x:c>
      <x:c r="O1493" s="28" t="n">
        <x:v>46219.812988715275</x:v>
      </x:c>
      <x:c r="P1493" s="23" t="str">
        <x:v>CUIABA</x:v>
      </x:c>
      <x:c r="Q1493" s="30" t="n">
        <x:v>36905</x:v>
      </x:c>
      <x:c r="R1493" s="22" t="str">
        <x:f>"27090205"</x:f>
        <x:v>27090205</x:v>
      </x:c>
      <x:c r="S1493" s="23" t="str">
        <x:v>masculino</x:v>
      </x:c>
      <x:c r="T1493" s="22" t="str"/>
      <x:c r="U1493" s="23" t="str">
        <x:v>GUSTAVO GABRIEL DE MAGALHAES SIQUEIRA</x:v>
      </x:c>
      <x:c r="V1493" s="22" t="str">
        <x:f>"062.479.791-00"</x:f>
        <x:v>062.479.791-00</x:v>
      </x:c>
      <x:c r="W1493" s="22" t="str">
        <x:f>"06247979100"</x:f>
        <x:v>06247979100</x:v>
      </x:c>
      <x:c r="X1493" s="23" t="str">
        <x:v>gugugabriel144@gmail.com</x:v>
      </x:c>
      <x:c r="Y1493" s="22" t="str">
        <x:f>"+55 65 9311-9636"</x:f>
        <x:v>+55 65 9311-9636</x:v>
      </x:c>
      <x:c r="Z1493" s="30" t="n">
        <x:v>46332</x:v>
      </x:c>
    </x:row>
    <x:row r="1494" ht="18" customHeight="1">
      <x:c r="A1494" s="22" t="str">
        <x:f>"4087d7aa-ddba-455b-ab92-44b26a958496"</x:f>
        <x:v>4087d7aa-ddba-455b-ab92-44b26a958496</x:v>
      </x:c>
      <x:c r="B1494" s="23" t="str">
        <x:v>GUSTAVO GOMES CASSIMIRO</x:v>
      </x:c>
      <x:c r="C1494" s="23" t="str">
        <x:v>gustavo gomes cassimiro</x:v>
      </x:c>
      <x:c r="D1494" s="22" t="str">
        <x:f>"65.818.193/0001-38"</x:f>
        <x:v>65.818.193/0001-38</x:v>
      </x:c>
      <x:c r="E1494" s="22" t="str">
        <x:f>"65818193000138"</x:f>
        <x:v>65818193000138</x:v>
      </x:c>
      <x:c r="F1494" s="22" t="str">
        <x:f>"700.661.216-04"</x:f>
        <x:v>700.661.216-04</x:v>
      </x:c>
      <x:c r="G1494" s="22" t="str">
        <x:f>"70066121604"</x:f>
        <x:v>70066121604</x:v>
      </x:c>
      <x:c r="H1494" s="23" t="str">
        <x:v>lorraine.crist13@gmail.com</x:v>
      </x:c>
      <x:c r="I1494" s="22" t="str">
        <x:f>"31982245616"</x:f>
        <x:v>31982245616</x:v>
      </x:c>
      <x:c r="J1494" s="23" t="str">
        <x:v>RENTALS</x:v>
      </x:c>
      <x:c r="K1494" s="23" t="str">
        <x:v>rental_company</x:v>
      </x:c>
      <x:c r="L1494" s="24" t="b">
        <x:v>1</x:v>
      </x:c>
      <x:c r="M1494" s="23" t="n">
        <x:v>1</x:v>
      </x:c>
      <x:c r="N1494" s="28" t="n">
        <x:v>46219.812988715275</x:v>
      </x:c>
      <x:c r="O1494" s="28" t="n">
        <x:v>46219.812988715275</x:v>
      </x:c>
      <x:c r="P1494" s="23" t="str">
        <x:v>CONTAGEM</x:v>
      </x:c>
      <x:c r="Q1494" s="30" t="n">
        <x:v>37991</x:v>
      </x:c>
      <x:c r="R1494" s="22" t="str">
        <x:f>"mg21206227"</x:f>
        <x:v>mg21206227</x:v>
      </x:c>
      <x:c r="S1494" s="23" t="str">
        <x:v>masculino</x:v>
      </x:c>
      <x:c r="T1494" s="22" t="str"/>
      <x:c r="U1494" s="23" t="str">
        <x:v>GUSTAVO GOMES CASSIMIRO</x:v>
      </x:c>
      <x:c r="V1494" s="22" t="str">
        <x:f>"700.661.216-04"</x:f>
        <x:v>700.661.216-04</x:v>
      </x:c>
      <x:c r="W1494" s="22" t="str">
        <x:f>"70066121604"</x:f>
        <x:v>70066121604</x:v>
      </x:c>
      <x:c r="X1494" s="23" t="str">
        <x:v>lorraine.crist13@gmail.com</x:v>
      </x:c>
      <x:c r="Y1494" s="22" t="str">
        <x:f>"31982245616"</x:f>
        <x:v>31982245616</x:v>
      </x:c>
      <x:c r="Z1494" s="30" t="n">
        <x:v>46493</x:v>
      </x:c>
    </x:row>
    <x:row r="1495" ht="18" customHeight="1">
      <x:c r="A1495" s="22" t="str">
        <x:f>"018f18c2-7a3a-4432-89e0-e4d62cb09d59"</x:f>
        <x:v>018f18c2-7a3a-4432-89e0-e4d62cb09d59</x:v>
      </x:c>
      <x:c r="B1495" s="23" t="str">
        <x:v>GUSTAVO HENRIQUE BATAGINI</x:v>
      </x:c>
      <x:c r="C1495" s="23" t="str">
        <x:v>gustavo henrique batagini</x:v>
      </x:c>
      <x:c r="D1495" s="22" t="str">
        <x:f>"55.880.444/0001-50"</x:f>
        <x:v>55.880.444/0001-50</x:v>
      </x:c>
      <x:c r="E1495" s="22" t="str">
        <x:f>"55880444000150"</x:f>
        <x:v>55880444000150</x:v>
      </x:c>
      <x:c r="F1495" s="22" t="str">
        <x:f>"117.701.846-27"</x:f>
        <x:v>117.701.846-27</x:v>
      </x:c>
      <x:c r="G1495" s="22" t="str">
        <x:f>"11770184627"</x:f>
        <x:v>11770184627</x:v>
      </x:c>
      <x:c r="H1495" s="23" t="str">
        <x:v>fantinatigustavo@gmail.com</x:v>
      </x:c>
      <x:c r="I1495" s="22" t="str">
        <x:f>"35997090967"</x:f>
        <x:v>35997090967</x:v>
      </x:c>
      <x:c r="J1495" s="23" t="str">
        <x:v>SPOT</x:v>
      </x:c>
      <x:c r="K1495" s="23" t="str">
        <x:v>favored_only</x:v>
      </x:c>
      <x:c r="L1495" s="24" t="b">
        <x:v>1</x:v>
      </x:c>
      <x:c r="M1495" s="23" t="n">
        <x:v>1</x:v>
      </x:c>
      <x:c r="N1495" s="28" t="n">
        <x:v>46205.60334501157</x:v>
      </x:c>
      <x:c r="O1495" s="28" t="n">
        <x:v>46205.60488976852</x:v>
      </x:c>
      <x:c r="P1495" s="23" t="str">
        <x:v>GUAXUPE</x:v>
      </x:c>
      <x:c r="Q1495" s="30" t="n">
        <x:v>37772</x:v>
      </x:c>
      <x:c r="R1495" s="22" t="str">
        <x:f>"20712242"</x:f>
        <x:v>20712242</x:v>
      </x:c>
      <x:c r="S1495" s="23" t="str">
        <x:v>Masculino</x:v>
      </x:c>
      <x:c r="T1495" s="22" t="str">
        <x:f>"PUK5I47"</x:f>
        <x:v>PUK5I47</x:v>
      </x:c>
      <x:c r="U1495" s="23" t="str">
        <x:v>RIVELINO DE JESUS DA SILVA</x:v>
      </x:c>
      <x:c r="V1495" s="22" t="str">
        <x:f>"02950321623"</x:f>
        <x:v>02950321623</x:v>
      </x:c>
      <x:c r="W1495" s="22" t="str">
        <x:f>"02950321623"</x:f>
        <x:v>02950321623</x:v>
      </x:c>
      <x:c r="X1495" s="23" t="str">
        <x:v>FERNANDASILVARIBEIROT13@GMAIL.COM</x:v>
      </x:c>
      <x:c r="Y1495" s="22" t="str">
        <x:f>"35997090967"</x:f>
        <x:v>35997090967</x:v>
      </x:c>
      <x:c r="Z1495" s="30" t="n">
        <x:v>46217</x:v>
      </x:c>
    </x:row>
    <x:row r="1496" ht="18" customHeight="1">
      <x:c r="A1496" s="22" t="str">
        <x:f>"da8ba4e7-e6fd-4911-b155-724d629574ba"</x:f>
        <x:v>da8ba4e7-e6fd-4911-b155-724d629574ba</x:v>
      </x:c>
      <x:c r="B1496" s="23" t="str">
        <x:v>GUSTAVO HENRIQUE DA SILVA</x:v>
      </x:c>
      <x:c r="C1496" s="23" t="str">
        <x:v>gustavo henrique da silva</x:v>
      </x:c>
      <x:c r="D1496" s="22" t="str">
        <x:f>"46.249.417/0001-93"</x:f>
        <x:v>46.249.417/0001-93</x:v>
      </x:c>
      <x:c r="E1496" s="22" t="str">
        <x:f>"46249417000193"</x:f>
        <x:v>46249417000193</x:v>
      </x:c>
      <x:c r="F1496" s="22" t="str">
        <x:f>"036.658.481-21"</x:f>
        <x:v>036.658.481-21</x:v>
      </x:c>
      <x:c r="G1496" s="22" t="str">
        <x:f>"03665848121"</x:f>
        <x:v>03665848121</x:v>
      </x:c>
      <x:c r="H1496" s="23" t="str">
        <x:v>gustavo.henrique22.gh68@gmail.com</x:v>
      </x:c>
      <x:c r="I1496" s="22" t="str">
        <x:f>"62 9 8233-3910"</x:f>
        <x:v>62 9 8233-3910</x:v>
      </x:c>
      <x:c r="J1496" s="23" t="str">
        <x:v>SPOT</x:v>
      </x:c>
      <x:c r="K1496" s="23" t="str">
        <x:v>favored_only</x:v>
      </x:c>
      <x:c r="L1496" s="24" t="b">
        <x:v>1</x:v>
      </x:c>
      <x:c r="M1496" s="23" t="n">
        <x:v>1</x:v>
      </x:c>
      <x:c r="N1496" s="28" t="n">
        <x:v>46205.607198819445</x:v>
      </x:c>
      <x:c r="O1496" s="28" t="n">
        <x:v>46219.812988715275</x:v>
      </x:c>
      <x:c r="P1496" s="23" t="str">
        <x:v>MOZARLANDIA</x:v>
      </x:c>
      <x:c r="Q1496" s="30" t="n">
        <x:v>34437</x:v>
      </x:c>
      <x:c r="R1496" s="22" t="str">
        <x:f>"401375602"</x:f>
        <x:v>401375602</x:v>
      </x:c>
      <x:c r="S1496" s="23" t="str">
        <x:v>masculino</x:v>
      </x:c>
      <x:c r="T1496" s="22" t="str">
        <x:f>"NGR2I96"</x:f>
        <x:v>NGR2I96</x:v>
      </x:c>
      <x:c r="U1496" s="23" t="str">
        <x:v>ROSANGELA APARECIDA DA SILVA</x:v>
      </x:c>
      <x:c r="V1496" s="22" t="str">
        <x:f>"181.028.738-33"</x:f>
        <x:v>181.028.738-33</x:v>
      </x:c>
      <x:c r="W1496" s="22" t="str">
        <x:f>"18102873833"</x:f>
        <x:v>18102873833</x:v>
      </x:c>
      <x:c r="X1496" s="23" t="str">
        <x:v>nascimentomiguelfreitas@gmail.com</x:v>
      </x:c>
      <x:c r="Y1496" s="22" t="str">
        <x:f>"62 9 8233-3910"</x:f>
        <x:v>62 9 8233-3910</x:v>
      </x:c>
      <x:c r="Z1496" s="30" t="n">
        <x:v>46344</x:v>
      </x:c>
    </x:row>
    <x:row r="1497" ht="18" customHeight="1">
      <x:c r="A1497" s="22" t="str">
        <x:f>"33b4b954-cf04-4b2f-af97-c47ee52785ed"</x:f>
        <x:v>33b4b954-cf04-4b2f-af97-c47ee52785ed</x:v>
      </x:c>
      <x:c r="B1497" s="23" t="str">
        <x:v>GUSTAVO HENRIQUE DA SILVA SANTOS</x:v>
      </x:c>
      <x:c r="C1497" s="23" t="str">
        <x:v>gustavo henrique da silva santos</x:v>
      </x:c>
      <x:c r="D1497" s="22" t="str">
        <x:f>"59.300.097/0001-09"</x:f>
        <x:v>59.300.097/0001-09</x:v>
      </x:c>
      <x:c r="E1497" s="22" t="str">
        <x:f>"59300097000109"</x:f>
        <x:v>59300097000109</x:v>
      </x:c>
      <x:c r="F1497" s="22" t="str">
        <x:f>"049.365.451-80"</x:f>
        <x:v>049.365.451-80</x:v>
      </x:c>
      <x:c r="G1497" s="22" t="str">
        <x:f>"04936545180"</x:f>
        <x:v>04936545180</x:v>
      </x:c>
      <x:c r="H1497" s="23" t="str">
        <x:v>Gustavohenriquesampaio1@gmail.com</x:v>
      </x:c>
      <x:c r="I1497" s="22" t="str">
        <x:f>"31987392118"</x:f>
        <x:v>31987392118</x:v>
      </x:c>
      <x:c r="J1497" s="23" t="str">
        <x:v>SPOT</x:v>
      </x:c>
      <x:c r="K1497" s="23" t="str">
        <x:v>favored_only</x:v>
      </x:c>
      <x:c r="L1497" s="24" t="b">
        <x:v>1</x:v>
      </x:c>
      <x:c r="M1497" s="23" t="n">
        <x:v>1</x:v>
      </x:c>
      <x:c r="N1497" s="28" t="n">
        <x:v>46203.921824756944</x:v>
      </x:c>
      <x:c r="O1497" s="28" t="n">
        <x:v>46219.812988715275</x:v>
      </x:c>
      <x:c r="P1497" s="23" t="str">
        <x:v>CONTAGEM</x:v>
      </x:c>
      <x:c r="Q1497" s="30" t="n">
        <x:v>38470</x:v>
      </x:c>
      <x:c r="R1497" s="22" t="str">
        <x:f>"20338325"</x:f>
        <x:v>20338325</x:v>
      </x:c>
      <x:c r="S1497" s="23" t="str">
        <x:v>masculino</x:v>
      </x:c>
      <x:c r="T1497" s="22" t="str">
        <x:f>"PWH4E85"</x:f>
        <x:v>PWH4E85</x:v>
      </x:c>
      <x:c r="U1497" s="23" t="str">
        <x:v>GUSTAVO HENRIQUE DA SILVA SANTOS</x:v>
      </x:c>
      <x:c r="V1497" s="22" t="str">
        <x:f>"049.365.451-80"</x:f>
        <x:v>049.365.451-80</x:v>
      </x:c>
      <x:c r="W1497" s="22" t="str">
        <x:f>"04936545180"</x:f>
        <x:v>04936545180</x:v>
      </x:c>
      <x:c r="X1497" s="23" t="str">
        <x:v>Gustavohenriquesampaio1@gmail.com</x:v>
      </x:c>
      <x:c r="Y1497" s="22" t="str">
        <x:f>"31987392118"</x:f>
        <x:v>31987392118</x:v>
      </x:c>
      <x:c r="Z1497" s="30" t="n">
        <x:v>46403</x:v>
      </x:c>
    </x:row>
    <x:row r="1498" ht="18" customHeight="1">
      <x:c r="A1498" s="22" t="str">
        <x:f>"9caa566e-ab9e-41b1-b749-f14b961141b6"</x:f>
        <x:v>9caa566e-ab9e-41b1-b749-f14b961141b6</x:v>
      </x:c>
      <x:c r="B1498" s="23" t="str">
        <x:v>GUSTAVO HENRIQUE DOS REIS EDUARDO</x:v>
      </x:c>
      <x:c r="C1498" s="23" t="str">
        <x:v>gustavo henrique dos reis eduardo</x:v>
      </x:c>
      <x:c r="D1498" s="22" t="str">
        <x:f>"63.347.265/0001-80"</x:f>
        <x:v>63.347.265/0001-80</x:v>
      </x:c>
      <x:c r="E1498" s="22" t="str">
        <x:f>"63347265000180"</x:f>
        <x:v>63347265000180</x:v>
      </x:c>
      <x:c r="F1498" s="22" t="str">
        <x:f>"151.092.106-08"</x:f>
        <x:v>151.092.106-08</x:v>
      </x:c>
      <x:c r="G1498" s="22" t="str">
        <x:f>"15109210608"</x:f>
        <x:v>15109210608</x:v>
      </x:c>
      <x:c r="H1498" s="23" t="str">
        <x:v>guustavo1999@gmail.com</x:v>
      </x:c>
      <x:c r="I1498" s="22" t="str">
        <x:f>"(35) 99152-5511"</x:f>
        <x:v>(35) 99152-5511</x:v>
      </x:c>
      <x:c r="J1498" s="23" t="str">
        <x:v>SPOT</x:v>
      </x:c>
      <x:c r="K1498" s="23" t="str">
        <x:v>favored_only</x:v>
      </x:c>
      <x:c r="L1498" s="24" t="b">
        <x:v>1</x:v>
      </x:c>
      <x:c r="M1498" s="23" t="n">
        <x:v>1</x:v>
      </x:c>
      <x:c r="N1498" s="28" t="n">
        <x:v>46203.92188238426</x:v>
      </x:c>
      <x:c r="O1498" s="28" t="n">
        <x:v>46219.812988715275</x:v>
      </x:c>
      <x:c r="P1498" s="23" t="str">
        <x:v>POUSO ALEGRE</x:v>
      </x:c>
      <x:c r="Q1498" s="30" t="n">
        <x:v>36338</x:v>
      </x:c>
      <x:c r="R1498" s="22" t="str">
        <x:f>"16914900050 MT MG"</x:f>
        <x:v>16914900050 MT MG</x:v>
      </x:c>
      <x:c r="S1498" s="23" t="str">
        <x:v>masculino</x:v>
      </x:c>
      <x:c r="T1498" s="22" t="str">
        <x:f>"PXV0B77"</x:f>
        <x:v>PXV0B77</x:v>
      </x:c>
      <x:c r="U1498" s="23" t="str">
        <x:v>GUSTAVO HENRIQUE DOS REIS EDUARDO</x:v>
      </x:c>
      <x:c r="V1498" s="22" t="str">
        <x:f>"151.092.106-08"</x:f>
        <x:v>151.092.106-08</x:v>
      </x:c>
      <x:c r="W1498" s="22" t="str">
        <x:f>"15109210608"</x:f>
        <x:v>15109210608</x:v>
      </x:c>
      <x:c r="X1498" s="23" t="str">
        <x:v>guustavo1999@gmail.com</x:v>
      </x:c>
      <x:c r="Y1498" s="22" t="str">
        <x:f>"(35) 99152-5511"</x:f>
        <x:v>(35) 99152-5511</x:v>
      </x:c>
      <x:c r="Z1498" s="30" t="n">
        <x:v>46319</x:v>
      </x:c>
    </x:row>
    <x:row r="1499" ht="18" customHeight="1">
      <x:c r="A1499" s="22" t="str">
        <x:f>"fac45870-bf78-4dc3-b22c-6b2a743defe5"</x:f>
        <x:v>fac45870-bf78-4dc3-b22c-6b2a743defe5</x:v>
      </x:c>
      <x:c r="B1499" s="23" t="str">
        <x:v>GUSTAVO HENRIQUE FARIAS SORMANI</x:v>
      </x:c>
      <x:c r="C1499" s="23" t="str">
        <x:v>gustavo henrique farias sormani</x:v>
      </x:c>
      <x:c r="D1499" s="22" t="str">
        <x:f>"65.315.904/0001-51"</x:f>
        <x:v>65.315.904/0001-51</x:v>
      </x:c>
      <x:c r="E1499" s="22" t="str">
        <x:f>"65315904000151"</x:f>
        <x:v>65315904000151</x:v>
      </x:c>
      <x:c r="F1499" s="22" t="str">
        <x:f>"020.845.950-29"</x:f>
        <x:v>020.845.950-29</x:v>
      </x:c>
      <x:c r="G1499" s="22" t="str">
        <x:f>"02084595029"</x:f>
        <x:v>02084595029</x:v>
      </x:c>
      <x:c r="H1499" s="23" t="str">
        <x:v>gustavosormani445@gmail.com</x:v>
      </x:c>
      <x:c r="I1499" s="22" t="str">
        <x:f>"020.845.950-29"</x:f>
        <x:v>020.845.950-29</x:v>
      </x:c>
      <x:c r="J1499" s="23" t="str">
        <x:v>SPOT</x:v>
      </x:c>
      <x:c r="K1499" s="23" t="str">
        <x:v>favored_only</x:v>
      </x:c>
      <x:c r="L1499" s="24" t="b">
        <x:v>1</x:v>
      </x:c>
      <x:c r="M1499" s="23" t="n">
        <x:v>1</x:v>
      </x:c>
      <x:c r="N1499" s="28" t="n">
        <x:v>46219.812988715275</x:v>
      </x:c>
      <x:c r="O1499" s="28" t="n">
        <x:v>46219.812988715275</x:v>
      </x:c>
      <x:c r="P1499" s="23" t="str">
        <x:v>CHAPADÃO DO SUL</x:v>
      </x:c>
      <x:c r="Q1499" s="30" t="n">
        <x:v>38405</x:v>
      </x:c>
      <x:c r="R1499" s="22" t="str">
        <x:f>"33778779"</x:f>
        <x:v>33778779</x:v>
      </x:c>
      <x:c r="S1499" s="23" t="str">
        <x:v>masculino</x:v>
      </x:c>
      <x:c r="T1499" s="22" t="str">
        <x:f>"OOJ0I56"</x:f>
        <x:v>OOJ0I56</x:v>
      </x:c>
      <x:c r="U1499" s="23" t="str">
        <x:v>GUSTAVO HENRIQUE FARIAS SORMANI</x:v>
      </x:c>
      <x:c r="V1499" s="22" t="str">
        <x:f>"020.845.950-29"</x:f>
        <x:v>020.845.950-29</x:v>
      </x:c>
      <x:c r="W1499" s="22" t="str">
        <x:f>"02084595029"</x:f>
        <x:v>02084595029</x:v>
      </x:c>
      <x:c r="X1499" s="23" t="str">
        <x:v>gustavosormani445@gmail.com</x:v>
      </x:c>
      <x:c r="Y1499" s="22" t="str">
        <x:f>"6696032244"</x:f>
        <x:v>6696032244</x:v>
      </x:c>
      <x:c r="Z1499" s="30" t="n">
        <x:v>46449</x:v>
      </x:c>
    </x:row>
    <x:row r="1500" ht="18" customHeight="1">
      <x:c r="A1500" s="22" t="str">
        <x:f>"1d976a47-2a30-40fc-a883-6563aedbd287"</x:f>
        <x:v>1d976a47-2a30-40fc-a883-6563aedbd287</x:v>
      </x:c>
      <x:c r="B1500" s="23" t="str">
        <x:v>GUSTAVO HENRIQUE LOIOLA DOS SANTOS</x:v>
      </x:c>
      <x:c r="C1500" s="23" t="str">
        <x:v>gustavo henrique loiola dos santos</x:v>
      </x:c>
      <x:c r="D1500" s="22" t="str">
        <x:f>"63.752.628/0001-63"</x:f>
        <x:v>63.752.628/0001-63</x:v>
      </x:c>
      <x:c r="E1500" s="22" t="str">
        <x:f>"63752628000163"</x:f>
        <x:v>63752628000163</x:v>
      </x:c>
      <x:c r="F1500" s="22" t="str">
        <x:f>"437.408.178-01"</x:f>
        <x:v>437.408.178-01</x:v>
      </x:c>
      <x:c r="G1500" s="22" t="str">
        <x:f>"43740817801"</x:f>
        <x:v>43740817801</x:v>
      </x:c>
      <x:c r="H1500" s="23" t="str">
        <x:v>guh14pao@gmail.com</x:v>
      </x:c>
      <x:c r="I1500" s="22" t="str">
        <x:f>"18996102019"</x:f>
        <x:v>18996102019</x:v>
      </x:c>
      <x:c r="J1500" s="23" t="str">
        <x:v>RENTAL</x:v>
      </x:c>
      <x:c r="K1500" s="23" t="str">
        <x:v>rental_company</x:v>
      </x:c>
      <x:c r="L1500" s="24" t="b">
        <x:v>1</x:v>
      </x:c>
      <x:c r="M1500" s="23" t="n">
        <x:v>1</x:v>
      </x:c>
      <x:c r="N1500" s="28" t="n">
        <x:v>46203.92189965278</x:v>
      </x:c>
      <x:c r="O1500" s="28" t="n">
        <x:v>46219.812988715275</x:v>
      </x:c>
      <x:c r="P1500" s="23" t="str">
        <x:v>PRESIDENTE PRUDENTE</x:v>
      </x:c>
      <x:c r="Q1500" s="30" t="n">
        <x:v>37473</x:v>
      </x:c>
      <x:c r="R1500" s="22" t="str">
        <x:f>"58356135"</x:f>
        <x:v>58356135</x:v>
      </x:c>
      <x:c r="S1500" s="23" t="str">
        <x:v>masculino</x:v>
      </x:c>
      <x:c r="T1500" s="22" t="str"/>
      <x:c r="U1500" s="23" t="str">
        <x:v>GUSTAVO HENRIQUE LOIOLA DOS SANTOS</x:v>
      </x:c>
      <x:c r="V1500" s="22" t="str">
        <x:f>"437.408.178-01"</x:f>
        <x:v>437.408.178-01</x:v>
      </x:c>
      <x:c r="W1500" s="22" t="str">
        <x:f>"43740817801"</x:f>
        <x:v>43740817801</x:v>
      </x:c>
      <x:c r="X1500" s="23" t="str">
        <x:v>guh14pao@gmail.com</x:v>
      </x:c>
      <x:c r="Y1500" s="22" t="str">
        <x:f>"18996102019"</x:f>
        <x:v>18996102019</x:v>
      </x:c>
      <x:c r="Z1500" s="30" t="n">
        <x:v>46347</x:v>
      </x:c>
    </x:row>
    <x:row r="1501" ht="18" customHeight="1">
      <x:c r="A1501" s="22" t="str">
        <x:f>"0a890e14-a227-4e33-b2fb-8d678e0a108f"</x:f>
        <x:v>0a890e14-a227-4e33-b2fb-8d678e0a108f</x:v>
      </x:c>
      <x:c r="B1501" s="23" t="str">
        <x:v>GUSTAVO HENRIQUE MIRANDA ROCHA</x:v>
      </x:c>
      <x:c r="C1501" s="23" t="str">
        <x:v>gustavo henrique miranda rocha</x:v>
      </x:c>
      <x:c r="D1501" s="22" t="str">
        <x:f>"55.538.488/0001-05"</x:f>
        <x:v>55.538.488/0001-05</x:v>
      </x:c>
      <x:c r="E1501" s="22" t="str">
        <x:f>"55538488000105"</x:f>
        <x:v>55538488000105</x:v>
      </x:c>
      <x:c r="F1501" s="22" t="str">
        <x:f>"092.906.546-86"</x:f>
        <x:v>092.906.546-86</x:v>
      </x:c>
      <x:c r="G1501" s="22" t="str">
        <x:f>"09290654686"</x:f>
        <x:v>09290654686</x:v>
      </x:c>
      <x:c r="H1501" s="23" t="str">
        <x:v>gustavo_rocha1605@hotmail.com</x:v>
      </x:c>
      <x:c r="I1501" s="22" t="str">
        <x:f>"(33)98824-5526"</x:f>
        <x:v>(33)98824-5526</x:v>
      </x:c>
      <x:c r="J1501" s="23" t="str">
        <x:v>SPOT</x:v>
      </x:c>
      <x:c r="K1501" s="23" t="str">
        <x:v>favored_only</x:v>
      </x:c>
      <x:c r="L1501" s="24" t="b">
        <x:v>1</x:v>
      </x:c>
      <x:c r="M1501" s="23" t="n">
        <x:v>2</x:v>
      </x:c>
      <x:c r="N1501" s="28" t="n">
        <x:v>46205.60411613426</x:v>
      </x:c>
      <x:c r="O1501" s="28" t="n">
        <x:v>46219.812988715275</x:v>
      </x:c>
      <x:c r="P1501" s="23" t="str">
        <x:v>GUANHAES</x:v>
      </x:c>
      <x:c r="Q1501" s="30" t="n">
        <x:v>34835</x:v>
      </x:c>
      <x:c r="R1501" s="22" t="str">
        <x:f>"17136810040"</x:f>
        <x:v>17136810040</x:v>
      </x:c>
      <x:c r="S1501" s="23" t="str">
        <x:v>masculino</x:v>
      </x:c>
      <x:c r="T1501" s="22" t="str">
        <x:f>"HNB8J08"</x:f>
        <x:v>HNB8J08</x:v>
      </x:c>
      <x:c r="U1501" s="23" t="str">
        <x:v>DANIEL CARLOS ROSA DE MIRANDA</x:v>
      </x:c>
      <x:c r="V1501" s="22" t="str">
        <x:f>"093.695.556-25"</x:f>
        <x:v>093.695.556-25</x:v>
      </x:c>
      <x:c r="W1501" s="22" t="str">
        <x:f>"09369555625"</x:f>
        <x:v>09369555625</x:v>
      </x:c>
      <x:c r="X1501" s="23" t="str">
        <x:v>danielcarlosrmiranda@gmail.com</x:v>
      </x:c>
      <x:c r="Y1501" s="22" t="str">
        <x:f>"33 9844-7520"</x:f>
        <x:v>33 9844-7520</x:v>
      </x:c>
      <x:c r="Z1501" s="30" t="n">
        <x:v>46490</x:v>
      </x:c>
    </x:row>
    <x:row r="1502" ht="18" customHeight="1">
      <x:c r="A1502" s="22" t="str">
        <x:f>"8a17ff2b-dcc7-4236-84cf-61a15aafc952"</x:f>
        <x:v>8a17ff2b-dcc7-4236-84cf-61a15aafc952</x:v>
      </x:c>
      <x:c r="B1502" s="23" t="str">
        <x:v>GUSTAVO HENRIQUE MIRANDA ROCHA</x:v>
      </x:c>
      <x:c r="C1502" s="23" t="str">
        <x:v>gustavo henrique miranda rocha</x:v>
      </x:c>
      <x:c r="D1502" s="22" t="str">
        <x:f>"66.070.048/0001-84"</x:f>
        <x:v>66.070.048/0001-84</x:v>
      </x:c>
      <x:c r="E1502" s="22" t="str">
        <x:f>"66070048000184"</x:f>
        <x:v>66070048000184</x:v>
      </x:c>
      <x:c r="F1502" s="22" t="str">
        <x:f>"092.906.546-86"</x:f>
        <x:v>092.906.546-86</x:v>
      </x:c>
      <x:c r="G1502" s="22" t="str">
        <x:f>"09290654686"</x:f>
        <x:v>09290654686</x:v>
      </x:c>
      <x:c r="H1502" s="23" t="str">
        <x:v>gustavo_rocha1605@hotmail.com</x:v>
      </x:c>
      <x:c r="I1502" s="22" t="str">
        <x:f>"33988245526"</x:f>
        <x:v>33988245526</x:v>
      </x:c>
      <x:c r="J1502" s="23" t="str">
        <x:v>SPOT</x:v>
      </x:c>
      <x:c r="K1502" s="23" t="str">
        <x:v>favored_only</x:v>
      </x:c>
      <x:c r="L1502" s="24" t="b">
        <x:v>1</x:v>
      </x:c>
      <x:c r="M1502" s="23" t="n">
        <x:v>1</x:v>
      </x:c>
      <x:c r="N1502" s="28" t="n">
        <x:v>46219.812988715275</x:v>
      </x:c>
      <x:c r="O1502" s="28" t="n">
        <x:v>46219.812988715275</x:v>
      </x:c>
      <x:c r="P1502" s="23" t="str">
        <x:v>GUANHAES</x:v>
      </x:c>
      <x:c r="Q1502" s="30" t="n">
        <x:v>34835</x:v>
      </x:c>
      <x:c r="R1502" s="22" t="str">
        <x:f>"1713681004"</x:f>
        <x:v>1713681004</x:v>
      </x:c>
      <x:c r="S1502" s="23" t="str">
        <x:v>masculino</x:v>
      </x:c>
      <x:c r="T1502" s="22" t="str">
        <x:f>"HNB8J08"</x:f>
        <x:v>HNB8J08</x:v>
      </x:c>
      <x:c r="U1502" s="23" t="str">
        <x:v>LARA CRYSTINA FERREIRA</x:v>
      </x:c>
      <x:c r="V1502" s="22" t="str">
        <x:f>"081.462.546-08"</x:f>
        <x:v>081.462.546-08</x:v>
      </x:c>
      <x:c r="W1502" s="22" t="str">
        <x:f>"08146254608"</x:f>
        <x:v>08146254608</x:v>
      </x:c>
      <x:c r="X1502" s="23" t="str">
        <x:v>ferreiralara11@hotmail.com</x:v>
      </x:c>
      <x:c r="Y1502" s="22" t="str">
        <x:f>"33988781248"</x:f>
        <x:v>33988781248</x:v>
      </x:c>
      <x:c r="Z1502" s="30" t="n">
        <x:v>46505</x:v>
      </x:c>
    </x:row>
    <x:row r="1503" ht="18" customHeight="1">
      <x:c r="A1503" s="22" t="str">
        <x:f>"dcd91d5e-809c-4ff3-8838-89129a89d576"</x:f>
        <x:v>dcd91d5e-809c-4ff3-8838-89129a89d576</x:v>
      </x:c>
      <x:c r="B1503" s="23" t="str">
        <x:v>GUSTAVO HENRIQUE MIRANDA ROCHA</x:v>
      </x:c>
      <x:c r="C1503" s="23" t="str">
        <x:v>gustavo henrique miranda rocha</x:v>
      </x:c>
      <x:c r="D1503" s="22" t="str">
        <x:f>"20.963.623/0001-77"</x:f>
        <x:v>20.963.623/0001-77</x:v>
      </x:c>
      <x:c r="E1503" s="22" t="str">
        <x:f>"20963623000177"</x:f>
        <x:v>20963623000177</x:v>
      </x:c>
      <x:c r="F1503" s="22" t="str">
        <x:f>"092.906.546-86"</x:f>
        <x:v>092.906.546-86</x:v>
      </x:c>
      <x:c r="G1503" s="22" t="str">
        <x:f>"09290654686"</x:f>
        <x:v>09290654686</x:v>
      </x:c>
      <x:c r="H1503" s="23" t="str">
        <x:v>gustavo_rocha1605@hotmail.com</x:v>
      </x:c>
      <x:c r="I1503" s="22" t="str">
        <x:f>"339988245526"</x:f>
        <x:v>339988245526</x:v>
      </x:c>
      <x:c r="J1503" s="23" t="str">
        <x:v>SPOT</x:v>
      </x:c>
      <x:c r="K1503" s="23" t="str">
        <x:v>favored_only</x:v>
      </x:c>
      <x:c r="L1503" s="24" t="b">
        <x:v>1</x:v>
      </x:c>
      <x:c r="M1503" s="23" t="n">
        <x:v>1</x:v>
      </x:c>
      <x:c r="N1503" s="28" t="n">
        <x:v>46205.60627591435</x:v>
      </x:c>
      <x:c r="O1503" s="28" t="n">
        <x:v>46219.812988715275</x:v>
      </x:c>
      <x:c r="P1503" s="23" t="str">
        <x:v>GUANHAES</x:v>
      </x:c>
      <x:c r="Q1503" s="30" t="n">
        <x:v>34835</x:v>
      </x:c>
      <x:c r="R1503" s="22" t="str">
        <x:f>"17136810040"</x:f>
        <x:v>17136810040</x:v>
      </x:c>
      <x:c r="S1503" s="23" t="str">
        <x:v>masculino</x:v>
      </x:c>
      <x:c r="T1503" s="22" t="str">
        <x:f>"HNB8J08"</x:f>
        <x:v>HNB8J08</x:v>
      </x:c>
      <x:c r="U1503" s="23" t="str">
        <x:v>MONIQUE PIMENTA MIRANDA</x:v>
      </x:c>
      <x:c r="V1503" s="22" t="str">
        <x:f>"121.886.906-21"</x:f>
        <x:v>121.886.906-21</x:v>
      </x:c>
      <x:c r="W1503" s="22" t="str">
        <x:f>"12188690621"</x:f>
        <x:v>12188690621</x:v>
      </x:c>
      <x:c r="X1503" s="23" t="str">
        <x:v>studiodeimagens@hotmail.com</x:v>
      </x:c>
      <x:c r="Y1503" s="22" t="str">
        <x:f>"(33)9.9900-1562"</x:f>
        <x:v>(33)9.9900-1562</x:v>
      </x:c>
      <x:c r="Z1503" s="30" t="n">
        <x:v>46351</x:v>
      </x:c>
    </x:row>
    <x:row r="1504" ht="18" customHeight="1">
      <x:c r="A1504" s="22" t="str">
        <x:f>"99c526c4-c620-42f2-b01d-382889ba6411"</x:f>
        <x:v>99c526c4-c620-42f2-b01d-382889ba6411</x:v>
      </x:c>
      <x:c r="B1504" s="23" t="str">
        <x:v>GUSTAVO HENRIQUE SIMOES PORTO</x:v>
      </x:c>
      <x:c r="C1504" s="23" t="str">
        <x:v>gustavo henrique simoes porto</x:v>
      </x:c>
      <x:c r="D1504" s="22" t="str">
        <x:f>"66.652.525/0001-10"</x:f>
        <x:v>66.652.525/0001-10</x:v>
      </x:c>
      <x:c r="E1504" s="22" t="str">
        <x:f>"66652525000110"</x:f>
        <x:v>66652525000110</x:v>
      </x:c>
      <x:c r="F1504" s="22" t="str">
        <x:f>"434.329.628-86"</x:f>
        <x:v>434.329.628-86</x:v>
      </x:c>
      <x:c r="G1504" s="22" t="str">
        <x:f>"43432962886"</x:f>
        <x:v>43432962886</x:v>
      </x:c>
      <x:c r="H1504" s="23" t="str">
        <x:v>simoesgustavo.06@gmail.com</x:v>
      </x:c>
      <x:c r="I1504" s="22" t="str">
        <x:f>"18991399957"</x:f>
        <x:v>18991399957</x:v>
      </x:c>
      <x:c r="J1504" s="23" t="str">
        <x:v>RENTAL</x:v>
      </x:c>
      <x:c r="K1504" s="23" t="str">
        <x:v>rental_company</x:v>
      </x:c>
      <x:c r="L1504" s="24" t="b">
        <x:v>1</x:v>
      </x:c>
      <x:c r="M1504" s="23" t="n">
        <x:v>1</x:v>
      </x:c>
      <x:c r="N1504" s="28" t="n">
        <x:v>46219.812988715275</x:v>
      </x:c>
      <x:c r="O1504" s="28" t="n">
        <x:v>46219.812988715275</x:v>
      </x:c>
      <x:c r="P1504" s="23" t="str">
        <x:v>ARAÇATUBA</x:v>
      </x:c>
      <x:c r="Q1504" s="30" t="n">
        <x:v>34975</x:v>
      </x:c>
      <x:c r="R1504" s="22" t="str">
        <x:f>"46882635"</x:f>
        <x:v>46882635</x:v>
      </x:c>
      <x:c r="S1504" s="23" t="str">
        <x:v>masculino</x:v>
      </x:c>
      <x:c r="T1504" s="22" t="str"/>
      <x:c r="U1504" s="23" t="str">
        <x:v>GUSTAVO HENRIQUE SIMOES PORTO</x:v>
      </x:c>
      <x:c r="V1504" s="22" t="str">
        <x:f>"434.329.628-86"</x:f>
        <x:v>434.329.628-86</x:v>
      </x:c>
      <x:c r="W1504" s="22" t="str">
        <x:f>"43432962886"</x:f>
        <x:v>43432962886</x:v>
      </x:c>
      <x:c r="X1504" s="23" t="str">
        <x:v>simoesgustavo.06@gmail.com</x:v>
      </x:c>
      <x:c r="Y1504" s="22" t="str">
        <x:f>"18991399957"</x:f>
        <x:v>18991399957</x:v>
      </x:c>
      <x:c r="Z1504" s="30" t="n">
        <x:v>46521</x:v>
      </x:c>
    </x:row>
    <x:row r="1505" ht="18" customHeight="1">
      <x:c r="A1505" s="22" t="str">
        <x:f>"f18b03dd-00d1-486c-a59f-ce641f5bb4a8"</x:f>
        <x:v>f18b03dd-00d1-486c-a59f-ce641f5bb4a8</x:v>
      </x:c>
      <x:c r="B1505" s="23" t="str">
        <x:v>GUSTAVO HENRIQUE VIEIRA MARQUES</x:v>
      </x:c>
      <x:c r="C1505" s="23" t="str">
        <x:v>gustavo henrique vieira marques</x:v>
      </x:c>
      <x:c r="D1505" s="22" t="str">
        <x:f>"66.154.290/0001-36"</x:f>
        <x:v>66.154.290/0001-36</x:v>
      </x:c>
      <x:c r="E1505" s="22" t="str">
        <x:f>"66154290000136"</x:f>
        <x:v>66154290000136</x:v>
      </x:c>
      <x:c r="F1505" s="22" t="str">
        <x:f>"514.651.878-55"</x:f>
        <x:v>514.651.878-55</x:v>
      </x:c>
      <x:c r="G1505" s="22" t="str">
        <x:f>"51465187855"</x:f>
        <x:v>51465187855</x:v>
      </x:c>
      <x:c r="H1505" s="23" t="str">
        <x:v>gustavohvieiramarques@gmail.com</x:v>
      </x:c>
      <x:c r="I1505" s="22" t="str">
        <x:f>"1799735-6698"</x:f>
        <x:v>1799735-6698</x:v>
      </x:c>
      <x:c r="J1505" s="23" t="str">
        <x:v>SPOT</x:v>
      </x:c>
      <x:c r="K1505" s="23" t="str">
        <x:v>favored_only</x:v>
      </x:c>
      <x:c r="L1505" s="24" t="b">
        <x:v>1</x:v>
      </x:c>
      <x:c r="M1505" s="23" t="n">
        <x:v>1</x:v>
      </x:c>
      <x:c r="N1505" s="28" t="n">
        <x:v>46219.812988715275</x:v>
      </x:c>
      <x:c r="O1505" s="28" t="n">
        <x:v>46219.812988715275</x:v>
      </x:c>
      <x:c r="P1505" s="23" t="str">
        <x:v>JALES</x:v>
      </x:c>
      <x:c r="Q1505" s="30" t="n">
        <x:v>37434</x:v>
      </x:c>
      <x:c r="R1505" s="22" t="str">
        <x:f>"51465187855"</x:f>
        <x:v>51465187855</x:v>
      </x:c>
      <x:c r="S1505" s="23" t="str">
        <x:v>masculino</x:v>
      </x:c>
      <x:c r="T1505" s="22" t="str">
        <x:f>"FTC1B01"</x:f>
        <x:v>FTC1B01</x:v>
      </x:c>
      <x:c r="U1505" s="23" t="str">
        <x:v>GUSTAVO HENRIQUE VIEIRA MARQUES</x:v>
      </x:c>
      <x:c r="V1505" s="22" t="str">
        <x:f>"514.651.878-55"</x:f>
        <x:v>514.651.878-55</x:v>
      </x:c>
      <x:c r="W1505" s="22" t="str">
        <x:f>"51465187855"</x:f>
        <x:v>51465187855</x:v>
      </x:c>
      <x:c r="X1505" s="23" t="str">
        <x:v>gustavohvieiramarques@gmail.com</x:v>
      </x:c>
      <x:c r="Y1505" s="22" t="str">
        <x:f>"1799735-6698"</x:f>
        <x:v>1799735-6698</x:v>
      </x:c>
      <x:c r="Z1505" s="30" t="n">
        <x:v>46486</x:v>
      </x:c>
    </x:row>
    <x:row r="1506" ht="18" customHeight="1">
      <x:c r="A1506" s="22" t="str">
        <x:f>"9e713137-b23c-49e4-a5d4-bc87d5f0d9ff"</x:f>
        <x:v>9e713137-b23c-49e4-a5d4-bc87d5f0d9ff</x:v>
      </x:c>
      <x:c r="B1506" s="23" t="str">
        <x:v>GUSTAVO HONORIO GRIMALDI</x:v>
      </x:c>
      <x:c r="C1506" s="23" t="str">
        <x:v>gustavo honorio grimaldi</x:v>
      </x:c>
      <x:c r="D1506" s="22" t="str">
        <x:f>"66.867.676/0001-95"</x:f>
        <x:v>66.867.676/0001-95</x:v>
      </x:c>
      <x:c r="E1506" s="22" t="str">
        <x:f>"66867676000195"</x:f>
        <x:v>66867676000195</x:v>
      </x:c>
      <x:c r="F1506" s="22" t="str">
        <x:f>"048.825.402-74"</x:f>
        <x:v>048.825.402-74</x:v>
      </x:c>
      <x:c r="G1506" s="22" t="str">
        <x:f>"04882540274"</x:f>
        <x:v>04882540274</x:v>
      </x:c>
      <x:c r="H1506" s="23" t="str">
        <x:v>gustavogrimaldi833@gmail.com</x:v>
      </x:c>
      <x:c r="I1506" s="22" t="str">
        <x:f>"17988198357"</x:f>
        <x:v>17988198357</x:v>
      </x:c>
      <x:c r="J1506" s="23" t="str">
        <x:v>RENTAL</x:v>
      </x:c>
      <x:c r="K1506" s="23" t="str">
        <x:v>rental_company</x:v>
      </x:c>
      <x:c r="L1506" s="24" t="b">
        <x:v>1</x:v>
      </x:c>
      <x:c r="M1506" s="23" t="n">
        <x:v>1</x:v>
      </x:c>
      <x:c r="N1506" s="28" t="n">
        <x:v>46219.812988715275</x:v>
      </x:c>
      <x:c r="O1506" s="28" t="n">
        <x:v>46219.812988715275</x:v>
      </x:c>
      <x:c r="P1506" s="23" t="str">
        <x:v>GOIANIA</x:v>
      </x:c>
      <x:c r="Q1506" s="30" t="n">
        <x:v>38658</x:v>
      </x:c>
      <x:c r="R1506" s="22" t="str">
        <x:f>"6131880707"</x:f>
        <x:v>6131880707</x:v>
      </x:c>
      <x:c r="S1506" s="23" t="str">
        <x:v>masculino</x:v>
      </x:c>
      <x:c r="T1506" s="22" t="str"/>
      <x:c r="U1506" s="23" t="str">
        <x:v>GUSTAVO HONORIO GRIMALDI</x:v>
      </x:c>
      <x:c r="V1506" s="22" t="str">
        <x:f>"048.825.402-74"</x:f>
        <x:v>048.825.402-74</x:v>
      </x:c>
      <x:c r="W1506" s="22" t="str">
        <x:f>"04882540274"</x:f>
        <x:v>04882540274</x:v>
      </x:c>
      <x:c r="X1506" s="23" t="str">
        <x:v>gustavogrimaldi833@gmail.com</x:v>
      </x:c>
      <x:c r="Y1506" s="22" t="str">
        <x:f>"17988198357"</x:f>
        <x:v>17988198357</x:v>
      </x:c>
      <x:c r="Z1506" s="30" t="n">
        <x:v>46570</x:v>
      </x:c>
    </x:row>
    <x:row r="1507" ht="18" customHeight="1">
      <x:c r="A1507" s="22" t="str">
        <x:f>"a4188eac-9392-41f5-bb45-cc950605eb17"</x:f>
        <x:v>a4188eac-9392-41f5-bb45-cc950605eb17</x:v>
      </x:c>
      <x:c r="B1507" s="23" t="str">
        <x:v>GUSTAVO HUMBERTO DE ARAUJO</x:v>
      </x:c>
      <x:c r="C1507" s="23" t="str">
        <x:v>gustavo humberto de araujo</x:v>
      </x:c>
      <x:c r="D1507" s="22" t="str">
        <x:f>"54.889.181/0001-88"</x:f>
        <x:v>54.889.181/0001-88</x:v>
      </x:c>
      <x:c r="E1507" s="22" t="str">
        <x:f>"54889181000188"</x:f>
        <x:v>54889181000188</x:v>
      </x:c>
      <x:c r="F1507" s="22" t="str">
        <x:f>"065.109.556-52"</x:f>
        <x:v>065.109.556-52</x:v>
      </x:c>
      <x:c r="G1507" s="22" t="str">
        <x:f>"06510955652"</x:f>
        <x:v>06510955652</x:v>
      </x:c>
      <x:c r="H1507" s="23" t="str">
        <x:v>GUSTAVOHUMBERTOARAUJO@GMAIL.COM</x:v>
      </x:c>
      <x:c r="I1507" s="22" t="str">
        <x:f>"34991242728"</x:f>
        <x:v>34991242728</x:v>
      </x:c>
      <x:c r="J1507" s="23" t="str">
        <x:v>RENTAL</x:v>
      </x:c>
      <x:c r="K1507" s="23" t="str">
        <x:v>rental_company</x:v>
      </x:c>
      <x:c r="L1507" s="24" t="b">
        <x:v>1</x:v>
      </x:c>
      <x:c r="M1507" s="23" t="n">
        <x:v>1</x:v>
      </x:c>
      <x:c r="N1507" s="28" t="n">
        <x:v>46203.921824756944</x:v>
      </x:c>
      <x:c r="O1507" s="28" t="n">
        <x:v>46219.812988715275</x:v>
      </x:c>
      <x:c r="P1507" s="23" t="str">
        <x:v>ARAXÁ</x:v>
      </x:c>
      <x:c r="Q1507" s="30" t="n">
        <x:v>30631</x:v>
      </x:c>
      <x:c r="R1507" s="22" t="str">
        <x:f>"10886169"</x:f>
        <x:v>10886169</x:v>
      </x:c>
      <x:c r="S1507" s="23" t="str">
        <x:v>masculino</x:v>
      </x:c>
      <x:c r="T1507" s="22" t="str"/>
      <x:c r="U1507" s="23" t="str">
        <x:v>GUSTAVO HUMBERTO DE ARAUJO</x:v>
      </x:c>
      <x:c r="V1507" s="22" t="str">
        <x:f>"065.109.556-52"</x:f>
        <x:v>065.109.556-52</x:v>
      </x:c>
      <x:c r="W1507" s="22" t="str">
        <x:f>"06510955652"</x:f>
        <x:v>06510955652</x:v>
      </x:c>
      <x:c r="X1507" s="23" t="str">
        <x:v>GUSTAVOHUMBERTOARAUJO@GMAIL.COM</x:v>
      </x:c>
      <x:c r="Y1507" s="22" t="str">
        <x:f>"34991242728"</x:f>
        <x:v>34991242728</x:v>
      </x:c>
      <x:c r="Z1507" s="30" t="n">
        <x:v>46420</x:v>
      </x:c>
    </x:row>
    <x:row r="1508" ht="18" customHeight="1">
      <x:c r="A1508" s="22" t="str">
        <x:f>"b655a7da-06f5-4f4d-8c5a-ff609d8fdec5"</x:f>
        <x:v>b655a7da-06f5-4f4d-8c5a-ff609d8fdec5</x:v>
      </x:c>
      <x:c r="B1508" s="23" t="str">
        <x:v>GUSTAVO JOSE VICENTE</x:v>
      </x:c>
      <x:c r="C1508" s="23" t="str">
        <x:v>gustavo jose vicente</x:v>
      </x:c>
      <x:c r="D1508" s="22" t="str">
        <x:f>"60.882.482/0001-82"</x:f>
        <x:v>60.882.482/0001-82</x:v>
      </x:c>
      <x:c r="E1508" s="22" t="str">
        <x:f>"60882482000182"</x:f>
        <x:v>60882482000182</x:v>
      </x:c>
      <x:c r="F1508" s="22" t="str">
        <x:f>"373.982.478-69"</x:f>
        <x:v>373.982.478-69</x:v>
      </x:c>
      <x:c r="G1508" s="22" t="str">
        <x:f>"37398247869"</x:f>
        <x:v>37398247869</x:v>
      </x:c>
      <x:c r="H1508" s="23" t="str">
        <x:v>gustavojv064@gmail.com</x:v>
      </x:c>
      <x:c r="I1508" s="22" t="str">
        <x:f>"65992666940"</x:f>
        <x:v>65992666940</x:v>
      </x:c>
      <x:c r="J1508" s="23" t="str">
        <x:v>SPOT</x:v>
      </x:c>
      <x:c r="K1508" s="23" t="str">
        <x:v>favored_only</x:v>
      </x:c>
      <x:c r="L1508" s="24" t="b">
        <x:v>1</x:v>
      </x:c>
      <x:c r="M1508" s="23" t="n">
        <x:v>1</x:v>
      </x:c>
      <x:c r="N1508" s="28" t="n">
        <x:v>46219.812988715275</x:v>
      </x:c>
      <x:c r="O1508" s="28" t="n">
        <x:v>46219.812988715275</x:v>
      </x:c>
      <x:c r="P1508" s="23" t="str">
        <x:v>PONTES E LACERDA</x:v>
      </x:c>
      <x:c r="Q1508" s="30" t="n">
        <x:v>27447</x:v>
      </x:c>
      <x:c r="R1508" s="22" t="str">
        <x:f>"40727661"</x:f>
        <x:v>40727661</x:v>
      </x:c>
      <x:c r="S1508" s="23" t="str">
        <x:v>masculino</x:v>
      </x:c>
      <x:c r="T1508" s="22" t="str">
        <x:f>"NAB3J28"</x:f>
        <x:v>NAB3J28</x:v>
      </x:c>
      <x:c r="U1508" s="23" t="str">
        <x:v>GUSTAVO JOSE VICENTE</x:v>
      </x:c>
      <x:c r="V1508" s="22" t="str">
        <x:f>"373.982.478-69"</x:f>
        <x:v>373.982.478-69</x:v>
      </x:c>
      <x:c r="W1508" s="22" t="str">
        <x:f>"37398247869"</x:f>
        <x:v>37398247869</x:v>
      </x:c>
      <x:c r="X1508" s="23" t="str">
        <x:v>gustavojv064@gmail.com</x:v>
      </x:c>
      <x:c r="Y1508" s="22" t="str">
        <x:f>"65992666940"</x:f>
        <x:v>65992666940</x:v>
      </x:c>
      <x:c r="Z1508" s="30" t="n">
        <x:v>46501</x:v>
      </x:c>
    </x:row>
    <x:row r="1509" ht="18" customHeight="1">
      <x:c r="A1509" s="22" t="str">
        <x:f>"b001ac9f-ce49-47b9-a508-b8e1327b0209"</x:f>
        <x:v>b001ac9f-ce49-47b9-a508-b8e1327b0209</x:v>
      </x:c>
      <x:c r="B1509" s="23" t="str">
        <x:v>GUSTAVO JUNIOR BARBOSA DA SILVA</x:v>
      </x:c>
      <x:c r="C1509" s="23" t="str">
        <x:v>gustavo junior barbosa da silva</x:v>
      </x:c>
      <x:c r="D1509" s="22" t="str">
        <x:f>"39.973.480/0001-02"</x:f>
        <x:v>39.973.480/0001-02</x:v>
      </x:c>
      <x:c r="E1509" s="22" t="str">
        <x:f>"39973480000102"</x:f>
        <x:v>39973480000102</x:v>
      </x:c>
      <x:c r="F1509" s="22" t="str">
        <x:f>"460.893.048-67"</x:f>
        <x:v>460.893.048-67</x:v>
      </x:c>
      <x:c r="G1509" s="22" t="str">
        <x:f>"46089304867"</x:f>
        <x:v>46089304867</x:v>
      </x:c>
      <x:c r="H1509" s="23" t="str">
        <x:v>gustavojrbarsil@gmail.com</x:v>
      </x:c>
      <x:c r="I1509" s="22" t="str">
        <x:f>"(11) 988035837"</x:f>
        <x:v>(11) 988035837</x:v>
      </x:c>
      <x:c r="J1509" s="23" t="str">
        <x:v>RENTAL</x:v>
      </x:c>
      <x:c r="K1509" s="23" t="str">
        <x:v>rental_company</x:v>
      </x:c>
      <x:c r="L1509" s="24" t="b">
        <x:v>1</x:v>
      </x:c>
      <x:c r="M1509" s="23" t="n">
        <x:v>1</x:v>
      </x:c>
      <x:c r="N1509" s="28" t="n">
        <x:v>46203.921852962965</x:v>
      </x:c>
      <x:c r="O1509" s="28" t="n">
        <x:v>46219.812988715275</x:v>
      </x:c>
      <x:c r="P1509" s="23" t="str">
        <x:v>MADEIRA MADEIRA</x:v>
      </x:c>
      <x:c r="Q1509" s="30" t="n">
        <x:v>34655</x:v>
      </x:c>
      <x:c r="R1509" s="22" t="str">
        <x:f>"36227299"</x:f>
        <x:v>36227299</x:v>
      </x:c>
      <x:c r="S1509" s="23" t="str">
        <x:v>masculino</x:v>
      </x:c>
      <x:c r="T1509" s="22" t="str"/>
      <x:c r="U1509" s="23" t="str">
        <x:v>GUSTAVO JUNIOR BARBOSA DA SILVA</x:v>
      </x:c>
      <x:c r="V1509" s="22" t="str">
        <x:f>"460.893.048-67"</x:f>
        <x:v>460.893.048-67</x:v>
      </x:c>
      <x:c r="W1509" s="22" t="str">
        <x:f>"46089304867"</x:f>
        <x:v>46089304867</x:v>
      </x:c>
      <x:c r="X1509" s="23" t="str">
        <x:v>gustavojrbarsil@gmail.com</x:v>
      </x:c>
      <x:c r="Y1509" s="22" t="str">
        <x:f>"(11) 988035837"</x:f>
        <x:v>(11) 988035837</x:v>
      </x:c>
      <x:c r="Z1509" s="30" t="n">
        <x:v>46246</x:v>
      </x:c>
    </x:row>
    <x:row r="1510" ht="18" customHeight="1">
      <x:c r="A1510" s="22" t="str">
        <x:f>"d9298f61-c764-473b-affb-e59ab7d2ec61"</x:f>
        <x:v>d9298f61-c764-473b-affb-e59ab7d2ec61</x:v>
      </x:c>
      <x:c r="B1510" s="23" t="str">
        <x:v>GUSTAVO KIYOSHI NAKAO</x:v>
      </x:c>
      <x:c r="C1510" s="23" t="str">
        <x:v>gustavo kiyoshi nakao</x:v>
      </x:c>
      <x:c r="D1510" s="22" t="str">
        <x:f>"62.952.211/0001-81"</x:f>
        <x:v>62.952.211/0001-81</x:v>
      </x:c>
      <x:c r="E1510" s="22" t="str">
        <x:f>"62952211000181"</x:f>
        <x:v>62952211000181</x:v>
      </x:c>
      <x:c r="F1510" s="22" t="str">
        <x:f>"381.067.398-64"</x:f>
        <x:v>381.067.398-64</x:v>
      </x:c>
      <x:c r="G1510" s="22" t="str">
        <x:f>"38106739864"</x:f>
        <x:v>38106739864</x:v>
      </x:c>
      <x:c r="H1510" s="23" t="str">
        <x:v>gustavokiyoshinakao@gmail.com</x:v>
      </x:c>
      <x:c r="I1510" s="22" t="str">
        <x:f>"17 99227 9130"</x:f>
        <x:v>17 99227 9130</x:v>
      </x:c>
      <x:c r="J1510" s="23" t="str">
        <x:v>RENTAL</x:v>
      </x:c>
      <x:c r="K1510" s="23" t="str">
        <x:v>rental_company</x:v>
      </x:c>
      <x:c r="L1510" s="24" t="b">
        <x:v>1</x:v>
      </x:c>
      <x:c r="M1510" s="23" t="n">
        <x:v>1</x:v>
      </x:c>
      <x:c r="N1510" s="28" t="n">
        <x:v>46203.92188238426</x:v>
      </x:c>
      <x:c r="O1510" s="28" t="n">
        <x:v>46219.812988715275</x:v>
      </x:c>
      <x:c r="P1510" s="23" t="str">
        <x:v>JALES</x:v>
      </x:c>
      <x:c r="Q1510" s="30" t="n">
        <x:v>33614</x:v>
      </x:c>
      <x:c r="R1510" s="22" t="str">
        <x:f>"483637889"</x:f>
        <x:v>483637889</x:v>
      </x:c>
      <x:c r="S1510" s="23" t="str">
        <x:v>masculino</x:v>
      </x:c>
      <x:c r="T1510" s="22" t="str"/>
      <x:c r="U1510" s="23" t="str">
        <x:v>GUSTAVO KIYOSHI NAKAO</x:v>
      </x:c>
      <x:c r="V1510" s="22" t="str">
        <x:f>"381.067.398-64"</x:f>
        <x:v>381.067.398-64</x:v>
      </x:c>
      <x:c r="W1510" s="22" t="str">
        <x:f>"38106739864"</x:f>
        <x:v>38106739864</x:v>
      </x:c>
      <x:c r="X1510" s="23" t="str">
        <x:v>gustavokiyoshinakao@gmail.com</x:v>
      </x:c>
      <x:c r="Y1510" s="22" t="str">
        <x:f>"17 99227 9130"</x:f>
        <x:v>17 99227 9130</x:v>
      </x:c>
      <x:c r="Z1510" s="30" t="n">
        <x:v>46325</x:v>
      </x:c>
    </x:row>
    <x:row r="1511" ht="18" customHeight="1">
      <x:c r="A1511" s="22" t="str">
        <x:f>"5f23c36d-5392-4fa5-972e-39e0bf5da09d"</x:f>
        <x:v>5f23c36d-5392-4fa5-972e-39e0bf5da09d</x:v>
      </x:c>
      <x:c r="B1511" s="23" t="str">
        <x:v>GUSTAVO LOPES DE SOUZA</x:v>
      </x:c>
      <x:c r="C1511" s="23" t="str">
        <x:v>gustavo lopes de souza</x:v>
      </x:c>
      <x:c r="D1511" s="22" t="str">
        <x:f>"64.479.021/0001-14"</x:f>
        <x:v>64.479.021/0001-14</x:v>
      </x:c>
      <x:c r="E1511" s="22" t="str">
        <x:f>"64479021000114"</x:f>
        <x:v>64479021000114</x:v>
      </x:c>
      <x:c r="F1511" s="22" t="str">
        <x:f>"053.595.851-02"</x:f>
        <x:v>053.595.851-02</x:v>
      </x:c>
      <x:c r="G1511" s="22" t="str">
        <x:f>"05359585102"</x:f>
        <x:v>05359585102</x:v>
      </x:c>
      <x:c r="H1511" s="23" t="str">
        <x:v>gustavo_souza07@outlook.com</x:v>
      </x:c>
      <x:c r="I1511" s="22" t="str">
        <x:f>"65 9903-9447"</x:f>
        <x:v>65 9903-9447</x:v>
      </x:c>
      <x:c r="J1511" s="23" t="str">
        <x:v>SPOT</x:v>
      </x:c>
      <x:c r="K1511" s="23" t="str">
        <x:v>favored_only</x:v>
      </x:c>
      <x:c r="L1511" s="24" t="b">
        <x:v>1</x:v>
      </x:c>
      <x:c r="M1511" s="23" t="n">
        <x:v>1</x:v>
      </x:c>
      <x:c r="N1511" s="28" t="n">
        <x:v>46219.812988715275</x:v>
      </x:c>
      <x:c r="O1511" s="28" t="n">
        <x:v>46219.812988715275</x:v>
      </x:c>
      <x:c r="P1511" s="23" t="str">
        <x:v>CUIABA</x:v>
      </x:c>
      <x:c r="Q1511" s="30" t="n">
        <x:v>35192</x:v>
      </x:c>
      <x:c r="R1511" s="22" t="str">
        <x:f>"22576703"</x:f>
        <x:v>22576703</x:v>
      </x:c>
      <x:c r="S1511" s="23" t="str">
        <x:v>masculino</x:v>
      </x:c>
      <x:c r="T1511" s="22" t="str">
        <x:f>"NIJ2G95"</x:f>
        <x:v>NIJ2G95</x:v>
      </x:c>
      <x:c r="U1511" s="23" t="str">
        <x:v>GUSTAVO LOPES DE SOUZA</x:v>
      </x:c>
      <x:c r="V1511" s="22" t="str">
        <x:f>"053.595.851-02"</x:f>
        <x:v>053.595.851-02</x:v>
      </x:c>
      <x:c r="W1511" s="22" t="str">
        <x:f>"05359585102"</x:f>
        <x:v>05359585102</x:v>
      </x:c>
      <x:c r="X1511" s="23" t="str">
        <x:v>gustavo_souza07@outlook.com</x:v>
      </x:c>
      <x:c r="Y1511" s="22" t="str">
        <x:f>"65 9903-9447"</x:f>
        <x:v>65 9903-9447</x:v>
      </x:c>
      <x:c r="Z1511" s="30" t="n">
        <x:v>46403</x:v>
      </x:c>
    </x:row>
    <x:row r="1512" ht="18" customHeight="1">
      <x:c r="A1512" s="22" t="str">
        <x:f>"33aa4728-496d-4dca-b989-3afb3279cec0"</x:f>
        <x:v>33aa4728-496d-4dca-b989-3afb3279cec0</x:v>
      </x:c>
      <x:c r="B1512" s="23" t="str">
        <x:v>GUSTAVO MATEUS NEVES</x:v>
      </x:c>
      <x:c r="C1512" s="23" t="str">
        <x:v>gustavo mateus neves</x:v>
      </x:c>
      <x:c r="D1512" s="22" t="str">
        <x:f>"43.268.734/0001-69"</x:f>
        <x:v>43.268.734/0001-69</x:v>
      </x:c>
      <x:c r="E1512" s="22" t="str">
        <x:f>"43268734000169"</x:f>
        <x:v>43268734000169</x:v>
      </x:c>
      <x:c r="F1512" s="22" t="str">
        <x:f>"154.107.426-21"</x:f>
        <x:v>154.107.426-21</x:v>
      </x:c>
      <x:c r="G1512" s="22" t="str">
        <x:f>"15410742621"</x:f>
        <x:v>15410742621</x:v>
      </x:c>
      <x:c r="H1512" s="23" t="str">
        <x:v>gugucuelho@hotmail.com</x:v>
      </x:c>
      <x:c r="I1512" s="22" t="str">
        <x:f>"31 99798-2926"</x:f>
        <x:v>31 99798-2926</x:v>
      </x:c>
      <x:c r="J1512" s="23" t="str">
        <x:v>SPOT</x:v>
      </x:c>
      <x:c r="K1512" s="23" t="str">
        <x:v>favored_only</x:v>
      </x:c>
      <x:c r="L1512" s="24" t="b">
        <x:v>1</x:v>
      </x:c>
      <x:c r="M1512" s="23" t="n">
        <x:v>1</x:v>
      </x:c>
      <x:c r="N1512" s="28" t="n">
        <x:v>46203.92189965278</x:v>
      </x:c>
      <x:c r="O1512" s="28" t="n">
        <x:v>46203.92189965278</x:v>
      </x:c>
      <x:c r="P1512" s="23" t="str"/>
      <x:c r="Q1512" s="30" t="str"/>
      <x:c r="R1512" s="22" t="str"/>
      <x:c r="S1512" s="23" t="str"/>
      <x:c r="T1512" s="22" t="str"/>
      <x:c r="U1512" s="23" t="str">
        <x:v>GUSTAVO MATEUS NEVES</x:v>
      </x:c>
      <x:c r="V1512" s="22" t="str">
        <x:f>"154.107.426-21"</x:f>
        <x:v>154.107.426-21</x:v>
      </x:c>
      <x:c r="W1512" s="22" t="str">
        <x:f>"15410742621"</x:f>
        <x:v>15410742621</x:v>
      </x:c>
      <x:c r="X1512" s="23" t="str">
        <x:v>gugucuelho@hotmail.com</x:v>
      </x:c>
      <x:c r="Y1512" s="22" t="str">
        <x:f>"31 99798-2926"</x:f>
        <x:v>31 99798-2926</x:v>
      </x:c>
      <x:c r="Z1512" s="30" t="str"/>
    </x:row>
    <x:row r="1513" ht="18" customHeight="1">
      <x:c r="A1513" s="22" t="str">
        <x:f>"d797b96c-ca14-42ec-b2b1-38d93891af7d"</x:f>
        <x:v>d797b96c-ca14-42ec-b2b1-38d93891af7d</x:v>
      </x:c>
      <x:c r="B1513" s="23" t="str">
        <x:v>GUSTAVO NASCIMENTO DA SILVA</x:v>
      </x:c>
      <x:c r="C1513" s="23" t="str">
        <x:v>gustavo nascimento da silva</x:v>
      </x:c>
      <x:c r="D1513" s="22" t="str">
        <x:f>"61.155.930/0001-09"</x:f>
        <x:v>61.155.930/0001-09</x:v>
      </x:c>
      <x:c r="E1513" s="22" t="str">
        <x:f>"61155930000109"</x:f>
        <x:v>61155930000109</x:v>
      </x:c>
      <x:c r="F1513" s="22" t="str">
        <x:f>"520.528.538-98"</x:f>
        <x:v>520.528.538-98</x:v>
      </x:c>
      <x:c r="G1513" s="22" t="str">
        <x:f>"52052853898"</x:f>
        <x:v>52052853898</x:v>
      </x:c>
      <x:c r="H1513" s="23" t="str">
        <x:v>gs121343@gmail.com</x:v>
      </x:c>
      <x:c r="I1513" s="22" t="str">
        <x:f>"18996560762"</x:f>
        <x:v>18996560762</x:v>
      </x:c>
      <x:c r="J1513" s="23" t="str">
        <x:v>RENTAL</x:v>
      </x:c>
      <x:c r="K1513" s="23" t="str">
        <x:v>rental_company</x:v>
      </x:c>
      <x:c r="L1513" s="24" t="b">
        <x:v>1</x:v>
      </x:c>
      <x:c r="M1513" s="23" t="n">
        <x:v>1</x:v>
      </x:c>
      <x:c r="N1513" s="28" t="n">
        <x:v>46203.921904421295</x:v>
      </x:c>
      <x:c r="O1513" s="28" t="n">
        <x:v>46219.812988715275</x:v>
      </x:c>
      <x:c r="P1513" s="23" t="str">
        <x:v>PRESIDENTE PRUDENTE</x:v>
      </x:c>
      <x:c r="Q1513" s="30" t="n">
        <x:v>37999</x:v>
      </x:c>
      <x:c r="R1513" s="22" t="str">
        <x:f>"59.304.390-x"</x:f>
        <x:v>59.304.390-x</x:v>
      </x:c>
      <x:c r="S1513" s="23" t="str">
        <x:v>masculino</x:v>
      </x:c>
      <x:c r="T1513" s="22" t="str"/>
      <x:c r="U1513" s="23" t="str">
        <x:v>GUSTAVO NASCIMENTO DA SILVA</x:v>
      </x:c>
      <x:c r="V1513" s="22" t="str">
        <x:f>"520.528.538-98"</x:f>
        <x:v>520.528.538-98</x:v>
      </x:c>
      <x:c r="W1513" s="22" t="str">
        <x:f>"52052853898"</x:f>
        <x:v>52052853898</x:v>
      </x:c>
      <x:c r="X1513" s="23" t="str">
        <x:v>gs121343@gmail.com</x:v>
      </x:c>
      <x:c r="Y1513" s="22" t="str">
        <x:f>"18996560762"</x:f>
        <x:v>18996560762</x:v>
      </x:c>
      <x:c r="Z1513" s="30" t="n">
        <x:v>46361</x:v>
      </x:c>
    </x:row>
    <x:row r="1514" ht="18" customHeight="1">
      <x:c r="A1514" s="22" t="str">
        <x:f>"caee239d-e0b2-458b-b4e0-4ea471a2275d"</x:f>
        <x:v>caee239d-e0b2-458b-b4e0-4ea471a2275d</x:v>
      </x:c>
      <x:c r="B1514" s="23" t="str">
        <x:v>GUSTAVO NASCIMENTO DOS SANTOS</x:v>
      </x:c>
      <x:c r="C1514" s="23" t="str">
        <x:v>gustavo nascimento dos santos</x:v>
      </x:c>
      <x:c r="D1514" s="22" t="str">
        <x:f>"49.835.306/0001-57"</x:f>
        <x:v>49.835.306/0001-57</x:v>
      </x:c>
      <x:c r="E1514" s="22" t="str">
        <x:f>"49835306000157"</x:f>
        <x:v>49835306000157</x:v>
      </x:c>
      <x:c r="F1514" s="22" t="str">
        <x:f>"441.275.718-88"</x:f>
        <x:v>441.275.718-88</x:v>
      </x:c>
      <x:c r="G1514" s="22" t="str">
        <x:f>"44127571888"</x:f>
        <x:v>44127571888</x:v>
      </x:c>
      <x:c r="H1514" s="23" t="str">
        <x:v>gustavohand2012@gmail.com</x:v>
      </x:c>
      <x:c r="I1514" s="22" t="str">
        <x:f>"16 991259910"</x:f>
        <x:v>16 991259910</x:v>
      </x:c>
      <x:c r="J1514" s="23" t="str">
        <x:v>RENTAL</x:v>
      </x:c>
      <x:c r="K1514" s="23" t="str">
        <x:v>rental_company</x:v>
      </x:c>
      <x:c r="L1514" s="24" t="b">
        <x:v>1</x:v>
      </x:c>
      <x:c r="M1514" s="23" t="n">
        <x:v>1</x:v>
      </x:c>
      <x:c r="N1514" s="28" t="n">
        <x:v>46203.921887453704</x:v>
      </x:c>
      <x:c r="O1514" s="28" t="n">
        <x:v>46219.812988715275</x:v>
      </x:c>
      <x:c r="P1514" s="23" t="str">
        <x:v>RIBEIRAO PRETO</x:v>
      </x:c>
      <x:c r="Q1514" s="30" t="n">
        <x:v>35880</x:v>
      </x:c>
      <x:c r="R1514" s="22" t="str">
        <x:f>"541723030"</x:f>
        <x:v>541723030</x:v>
      </x:c>
      <x:c r="S1514" s="23" t="str">
        <x:v>masculino</x:v>
      </x:c>
      <x:c r="T1514" s="22" t="str"/>
      <x:c r="U1514" s="23" t="str">
        <x:v>GUSTAVO NASCIMENTO DOS SANTOS</x:v>
      </x:c>
      <x:c r="V1514" s="22" t="str">
        <x:f>"441.275.718-88"</x:f>
        <x:v>441.275.718-88</x:v>
      </x:c>
      <x:c r="W1514" s="22" t="str">
        <x:f>"44127571888"</x:f>
        <x:v>44127571888</x:v>
      </x:c>
      <x:c r="X1514" s="23" t="str">
        <x:v>gustavohand2012@gmail.com</x:v>
      </x:c>
      <x:c r="Y1514" s="22" t="str">
        <x:f>"16 991259910"</x:f>
        <x:v>16 991259910</x:v>
      </x:c>
      <x:c r="Z1514" s="30" t="n">
        <x:v>46329</x:v>
      </x:c>
    </x:row>
    <x:row r="1515" ht="18" customHeight="1">
      <x:c r="A1515" s="22" t="str">
        <x:f>"72fd7b26-8c79-46a0-9abd-71dc3354dd4a"</x:f>
        <x:v>72fd7b26-8c79-46a0-9abd-71dc3354dd4a</x:v>
      </x:c>
      <x:c r="B1515" s="23" t="str">
        <x:v>GUSTAVO NASCIMENTO SILVA</x:v>
      </x:c>
      <x:c r="C1515" s="23" t="str">
        <x:v>gustavo nascimento silva</x:v>
      </x:c>
      <x:c r="D1515" s="22" t="str">
        <x:f>"49.459.020/0001-14"</x:f>
        <x:v>49.459.020/0001-14</x:v>
      </x:c>
      <x:c r="E1515" s="22" t="str">
        <x:f>"49459020000114"</x:f>
        <x:v>49459020000114</x:v>
      </x:c>
      <x:c r="F1515" s="22" t="str">
        <x:f>"132.488.876-80"</x:f>
        <x:v>132.488.876-80</x:v>
      </x:c>
      <x:c r="G1515" s="22" t="str">
        <x:f>"13248887680"</x:f>
        <x:v>13248887680</x:v>
      </x:c>
      <x:c r="H1515" s="23" t="str">
        <x:v>gustavoelisa0810@gmail.com</x:v>
      </x:c>
      <x:c r="I1515" s="22" t="str">
        <x:f>"(32)99843-3503"</x:f>
        <x:v>(32)99843-3503</x:v>
      </x:c>
      <x:c r="J1515" s="23" t="str">
        <x:v>RENTAL</x:v>
      </x:c>
      <x:c r="K1515" s="23" t="str">
        <x:v>rental_company</x:v>
      </x:c>
      <x:c r="L1515" s="24" t="b">
        <x:v>1</x:v>
      </x:c>
      <x:c r="M1515" s="23" t="n">
        <x:v>1</x:v>
      </x:c>
      <x:c r="N1515" s="28" t="n">
        <x:v>46219.812988715275</x:v>
      </x:c>
      <x:c r="O1515" s="28" t="n">
        <x:v>46219.812988715275</x:v>
      </x:c>
      <x:c r="P1515" s="23" t="str">
        <x:v>CONTAGEM</x:v>
      </x:c>
      <x:c r="Q1515" s="30" t="n">
        <x:v>37036</x:v>
      </x:c>
      <x:c r="R1515" s="22" t="str">
        <x:f>"3343235"</x:f>
        <x:v>3343235</x:v>
      </x:c>
      <x:c r="S1515" s="23" t="str">
        <x:v>masculino</x:v>
      </x:c>
      <x:c r="T1515" s="22" t="str"/>
      <x:c r="U1515" s="23" t="str">
        <x:v>GUSTAVO NASCIMENTO SILVA</x:v>
      </x:c>
      <x:c r="V1515" s="22" t="str">
        <x:f>"132.488.876-80"</x:f>
        <x:v>132.488.876-80</x:v>
      </x:c>
      <x:c r="W1515" s="22" t="str">
        <x:f>"13248887680"</x:f>
        <x:v>13248887680</x:v>
      </x:c>
      <x:c r="X1515" s="23" t="str">
        <x:v>gustavoelisa0810@gmail.com</x:v>
      </x:c>
      <x:c r="Y1515" s="22" t="str">
        <x:f>"(32)99843-3503"</x:f>
        <x:v>(32)99843-3503</x:v>
      </x:c>
      <x:c r="Z1515" s="30" t="n">
        <x:v>46508</x:v>
      </x:c>
    </x:row>
    <x:row r="1516" ht="18" customHeight="1">
      <x:c r="A1516" s="22" t="str">
        <x:f>"e0a086db-e23b-4720-a8a4-3e0a5a27e34c"</x:f>
        <x:v>e0a086db-e23b-4720-a8a4-3e0a5a27e34c</x:v>
      </x:c>
      <x:c r="B1516" s="23" t="str">
        <x:v>GUSTAVO PAES ALVES</x:v>
      </x:c>
      <x:c r="C1516" s="23" t="str">
        <x:v>gustavo paes alves</x:v>
      </x:c>
      <x:c r="D1516" s="22" t="str">
        <x:f>"67.776.122/0001-45"</x:f>
        <x:v>67.776.122/0001-45</x:v>
      </x:c>
      <x:c r="E1516" s="22" t="str">
        <x:f>"67776122000145"</x:f>
        <x:v>67776122000145</x:v>
      </x:c>
      <x:c r="F1516" s="22" t="str">
        <x:f>"375.252.438-32"</x:f>
        <x:v>375.252.438-32</x:v>
      </x:c>
      <x:c r="G1516" s="22" t="str">
        <x:f>"37525243832"</x:f>
        <x:v>37525243832</x:v>
      </x:c>
      <x:c r="H1516" s="23" t="str">
        <x:v>gustavopaesalves@gmail.com</x:v>
      </x:c>
      <x:c r="I1516" s="22" t="str">
        <x:f>"11 991087915"</x:f>
        <x:v>11 991087915</x:v>
      </x:c>
      <x:c r="J1516" s="23" t="str">
        <x:v>RENTAL</x:v>
      </x:c>
      <x:c r="K1516" s="23" t="str">
        <x:v>rental_company</x:v>
      </x:c>
      <x:c r="L1516" s="24" t="b">
        <x:v>1</x:v>
      </x:c>
      <x:c r="M1516" s="23" t="n">
        <x:v>1</x:v>
      </x:c>
      <x:c r="N1516" s="28" t="n">
        <x:v>46219.812988715275</x:v>
      </x:c>
      <x:c r="O1516" s="28" t="n">
        <x:v>46219.812988715275</x:v>
      </x:c>
      <x:c r="P1516" s="23" t="str">
        <x:v>BARUERI</x:v>
      </x:c>
      <x:c r="Q1516" s="30" t="n">
        <x:v>36774</x:v>
      </x:c>
      <x:c r="R1516" s="22" t="str">
        <x:f>"396766298"</x:f>
        <x:v>396766298</x:v>
      </x:c>
      <x:c r="S1516" s="23" t="str">
        <x:v>masculino</x:v>
      </x:c>
      <x:c r="T1516" s="22" t="str"/>
      <x:c r="U1516" s="23" t="str">
        <x:v>GUSTAVO PAES ALVES</x:v>
      </x:c>
      <x:c r="V1516" s="22" t="str">
        <x:f>"375.252.438-32"</x:f>
        <x:v>375.252.438-32</x:v>
      </x:c>
      <x:c r="W1516" s="22" t="str">
        <x:f>"37525243832"</x:f>
        <x:v>37525243832</x:v>
      </x:c>
      <x:c r="X1516" s="23" t="str">
        <x:v>gustavopaesalves@gmail.com</x:v>
      </x:c>
      <x:c r="Y1516" s="22" t="str">
        <x:f>"11 991087915"</x:f>
        <x:v>11 991087915</x:v>
      </x:c>
      <x:c r="Z1516" s="30" t="n">
        <x:v>46581</x:v>
      </x:c>
    </x:row>
    <x:row r="1517" ht="18" customHeight="1">
      <x:c r="A1517" s="22" t="str">
        <x:f>"5e4efb03-d785-4dd0-b271-76f5c5a64863"</x:f>
        <x:v>5e4efb03-d785-4dd0-b271-76f5c5a64863</x:v>
      </x:c>
      <x:c r="B1517" s="23" t="str">
        <x:v>GUSTAVO PEREIRA AGUIAR</x:v>
      </x:c>
      <x:c r="C1517" s="23" t="str">
        <x:v>gustavo pereira aguiar</x:v>
      </x:c>
      <x:c r="D1517" s="22" t="str">
        <x:f>"62.947.468/0001-45"</x:f>
        <x:v>62.947.468/0001-45</x:v>
      </x:c>
      <x:c r="E1517" s="22" t="str">
        <x:f>"62947468000145"</x:f>
        <x:v>62947468000145</x:v>
      </x:c>
      <x:c r="F1517" s="22" t="str">
        <x:f>"549.985.598-69"</x:f>
        <x:v>549.985.598-69</x:v>
      </x:c>
      <x:c r="G1517" s="22" t="str">
        <x:f>"54998559869"</x:f>
        <x:v>54998559869</x:v>
      </x:c>
      <x:c r="H1517" s="23" t="str">
        <x:v>gustavoaguiar014@outlook.com</x:v>
      </x:c>
      <x:c r="I1517" s="22" t="str">
        <x:f>"14998278092"</x:f>
        <x:v>14998278092</x:v>
      </x:c>
      <x:c r="J1517" s="23" t="str">
        <x:v>RENTAL</x:v>
      </x:c>
      <x:c r="K1517" s="23" t="str">
        <x:v>rental_company</x:v>
      </x:c>
      <x:c r="L1517" s="24" t="b">
        <x:v>1</x:v>
      </x:c>
      <x:c r="M1517" s="23" t="n">
        <x:v>1</x:v>
      </x:c>
      <x:c r="N1517" s="28" t="n">
        <x:v>46203.921887453704</x:v>
      </x:c>
      <x:c r="O1517" s="28" t="n">
        <x:v>46219.812988715275</x:v>
      </x:c>
      <x:c r="P1517" s="23" t="str">
        <x:v>MARILIA</x:v>
      </x:c>
      <x:c r="Q1517" s="30" t="n">
        <x:v>37394</x:v>
      </x:c>
      <x:c r="R1517" s="22" t="str">
        <x:f>"570086590"</x:f>
        <x:v>570086590</x:v>
      </x:c>
      <x:c r="S1517" s="23" t="str">
        <x:v>masculino</x:v>
      </x:c>
      <x:c r="T1517" s="22" t="str"/>
      <x:c r="U1517" s="23" t="str">
        <x:v>GUSTAVO PEREIRA AGUIAR</x:v>
      </x:c>
      <x:c r="V1517" s="22" t="str">
        <x:f>"549.985.598-69"</x:f>
        <x:v>549.985.598-69</x:v>
      </x:c>
      <x:c r="W1517" s="22" t="str">
        <x:f>"54998559869"</x:f>
        <x:v>54998559869</x:v>
      </x:c>
      <x:c r="X1517" s="23" t="str">
        <x:v>gustavoaguiar014@outlook.com</x:v>
      </x:c>
      <x:c r="Y1517" s="22" t="str">
        <x:f>"14998278092"</x:f>
        <x:v>14998278092</x:v>
      </x:c>
      <x:c r="Z1517" s="30" t="n">
        <x:v>46332</x:v>
      </x:c>
    </x:row>
    <x:row r="1518" ht="18" customHeight="1">
      <x:c r="A1518" s="22" t="str">
        <x:f>"e4395586-fde5-4904-9b03-3d3a63c858d4"</x:f>
        <x:v>e4395586-fde5-4904-9b03-3d3a63c858d4</x:v>
      </x:c>
      <x:c r="B1518" s="23" t="str">
        <x:v>GUSTAVO POSS PARREIRA CIRILO</x:v>
      </x:c>
      <x:c r="C1518" s="23" t="str">
        <x:v>gustavo poss parreira cirilo</x:v>
      </x:c>
      <x:c r="D1518" s="22" t="str">
        <x:f>"61.568.137/0001-31"</x:f>
        <x:v>61.568.137/0001-31</x:v>
      </x:c>
      <x:c r="E1518" s="22" t="str">
        <x:f>"61568137000131"</x:f>
        <x:v>61568137000131</x:v>
      </x:c>
      <x:c r="F1518" s="22" t="str">
        <x:f>"132.540.949-99"</x:f>
        <x:v>132.540.949-99</x:v>
      </x:c>
      <x:c r="G1518" s="22" t="str">
        <x:f>"13254094999"</x:f>
        <x:v>13254094999</x:v>
      </x:c>
      <x:c r="H1518" s="23" t="str">
        <x:v>gustavoposs2@gmail.com</x:v>
      </x:c>
      <x:c r="I1518" s="22" t="str">
        <x:f>"43988553871"</x:f>
        <x:v>43988553871</x:v>
      </x:c>
      <x:c r="J1518" s="23" t="str">
        <x:v>spot</x:v>
      </x:c>
      <x:c r="K1518" s="23" t="str">
        <x:v>favored_only</x:v>
      </x:c>
      <x:c r="L1518" s="24" t="b">
        <x:v>1</x:v>
      </x:c>
      <x:c r="M1518" s="23" t="n">
        <x:v>1</x:v>
      </x:c>
      <x:c r="N1518" s="28" t="n">
        <x:v>46205.607338842594</x:v>
      </x:c>
      <x:c r="O1518" s="28" t="n">
        <x:v>46205.60890572917</x:v>
      </x:c>
      <x:c r="P1518" s="23" t="str">
        <x:v>MARILIA</x:v>
      </x:c>
      <x:c r="Q1518" s="30" t="n">
        <x:v>38611</x:v>
      </x:c>
      <x:c r="R1518" s="22" t="str">
        <x:f>"149723072"</x:f>
        <x:v>149723072</x:v>
      </x:c>
      <x:c r="S1518" s="23" t="str">
        <x:v>Masculino</x:v>
      </x:c>
      <x:c r="T1518" s="22" t="str">
        <x:f>"EZB1H89"</x:f>
        <x:v>EZB1H89</x:v>
      </x:c>
      <x:c r="U1518" s="23" t="str">
        <x:v>61.568.137 ALADINE DOMINIQUE POSS PARREIRA CIRILO</x:v>
      </x:c>
      <x:c r="V1518" s="22" t="str">
        <x:f>"06500342950"</x:f>
        <x:v>06500342950</x:v>
      </x:c>
      <x:c r="W1518" s="22" t="str">
        <x:f>"06500342950"</x:f>
        <x:v>06500342950</x:v>
      </x:c>
      <x:c r="X1518" s="23" t="str">
        <x:v>aladinecmk@hotmail.com</x:v>
      </x:c>
      <x:c r="Y1518" s="22" t="str">
        <x:f>"43988553111"</x:f>
        <x:v>43988553111</x:v>
      </x:c>
      <x:c r="Z1518" s="30" t="n">
        <x:v>46238</x:v>
      </x:c>
    </x:row>
    <x:row r="1519" ht="18" customHeight="1">
      <x:c r="A1519" s="22" t="str">
        <x:f>"06a00f6f-e16c-4245-9e0d-9c13b0a9e31d"</x:f>
        <x:v>06a00f6f-e16c-4245-9e0d-9c13b0a9e31d</x:v>
      </x:c>
      <x:c r="B1519" s="23" t="str">
        <x:v>GUSTAVO ROCHA SANTOS</x:v>
      </x:c>
      <x:c r="C1519" s="23" t="str">
        <x:v>gustavo rocha santos</x:v>
      </x:c>
      <x:c r="D1519" s="22" t="str">
        <x:f>"61.477.852/0001-69"</x:f>
        <x:v>61.477.852/0001-69</x:v>
      </x:c>
      <x:c r="E1519" s="22" t="str">
        <x:f>"61477852000169"</x:f>
        <x:v>61477852000169</x:v>
      </x:c>
      <x:c r="F1519" s="22" t="str">
        <x:f>"149.761.596-80"</x:f>
        <x:v>149.761.596-80</x:v>
      </x:c>
      <x:c r="G1519" s="22" t="str">
        <x:f>"14976159680"</x:f>
        <x:v>14976159680</x:v>
      </x:c>
      <x:c r="H1519" s="23" t="str">
        <x:v>gs1413764@gmail.com</x:v>
      </x:c>
      <x:c r="I1519" s="22" t="str">
        <x:f>"31973516285"</x:f>
        <x:v>31973516285</x:v>
      </x:c>
      <x:c r="J1519" s="23" t="str">
        <x:v>RENTAL</x:v>
      </x:c>
      <x:c r="K1519" s="23" t="str">
        <x:v>rental_company</x:v>
      </x:c>
      <x:c r="L1519" s="24" t="b">
        <x:v>1</x:v>
      </x:c>
      <x:c r="M1519" s="23" t="n">
        <x:v>1</x:v>
      </x:c>
      <x:c r="N1519" s="28" t="n">
        <x:v>46219.812988715275</x:v>
      </x:c>
      <x:c r="O1519" s="28" t="n">
        <x:v>46219.812988715275</x:v>
      </x:c>
      <x:c r="P1519" s="23" t="str">
        <x:v>VESPASIANO</x:v>
      </x:c>
      <x:c r="Q1519" s="30" t="n">
        <x:v>36385</x:v>
      </x:c>
      <x:c r="R1519" s="22" t="str">
        <x:f>"20485257"</x:f>
        <x:v>20485257</x:v>
      </x:c>
      <x:c r="S1519" s="23" t="str">
        <x:v>masculino</x:v>
      </x:c>
      <x:c r="T1519" s="22" t="str"/>
      <x:c r="U1519" s="23" t="str">
        <x:v>GUSTAVO ROCHA SANTOS</x:v>
      </x:c>
      <x:c r="V1519" s="22" t="str">
        <x:f>"149.761.596-80"</x:f>
        <x:v>149.761.596-80</x:v>
      </x:c>
      <x:c r="W1519" s="22" t="str">
        <x:f>"14976159680"</x:f>
        <x:v>14976159680</x:v>
      </x:c>
      <x:c r="X1519" s="23" t="str">
        <x:v>gs1413764@gmail.com</x:v>
      </x:c>
      <x:c r="Y1519" s="22" t="str">
        <x:f>"31973516285"</x:f>
        <x:v>31973516285</x:v>
      </x:c>
      <x:c r="Z1519" s="30" t="n">
        <x:v>46439</x:v>
      </x:c>
    </x:row>
    <x:row r="1520" ht="18" customHeight="1">
      <x:c r="A1520" s="22" t="str">
        <x:f>"46031352-cf15-4375-899c-5012edd0496e"</x:f>
        <x:v>46031352-cf15-4375-899c-5012edd0496e</x:v>
      </x:c>
      <x:c r="B1520" s="23" t="str">
        <x:v>GUSTAVO RODRIGUES BITTAR</x:v>
      </x:c>
      <x:c r="C1520" s="23" t="str">
        <x:v>gustavo rodrigues bittar</x:v>
      </x:c>
      <x:c r="D1520" s="22" t="str">
        <x:f>"61.264.757/0001-87"</x:f>
        <x:v>61.264.757/0001-87</x:v>
      </x:c>
      <x:c r="E1520" s="22" t="str">
        <x:f>"61264757000187"</x:f>
        <x:v>61264757000187</x:v>
      </x:c>
      <x:c r="F1520" s="22" t="str">
        <x:f>"476.485.668-93"</x:f>
        <x:v>476.485.668-93</x:v>
      </x:c>
      <x:c r="G1520" s="22" t="str">
        <x:f>"47648566893"</x:f>
        <x:v>47648566893</x:v>
      </x:c>
      <x:c r="H1520" s="23" t="str">
        <x:v>gustavo_bittar28041@hotmail.com</x:v>
      </x:c>
      <x:c r="I1520" s="22" t="str">
        <x:f>"18997350989"</x:f>
        <x:v>18997350989</x:v>
      </x:c>
      <x:c r="J1520" s="23" t="str">
        <x:v>RENTAL</x:v>
      </x:c>
      <x:c r="K1520" s="23" t="str">
        <x:v>rental_company</x:v>
      </x:c>
      <x:c r="L1520" s="24" t="b">
        <x:v>1</x:v>
      </x:c>
      <x:c r="M1520" s="23" t="n">
        <x:v>1</x:v>
      </x:c>
      <x:c r="N1520" s="28" t="n">
        <x:v>46219.812988715275</x:v>
      </x:c>
      <x:c r="O1520" s="28" t="n">
        <x:v>46219.812988715275</x:v>
      </x:c>
      <x:c r="P1520" s="23" t="str">
        <x:v>PRESIDENTE PRUDENTE</x:v>
      </x:c>
      <x:c r="Q1520" s="30" t="n">
        <x:v>37374</x:v>
      </x:c>
      <x:c r="R1520" s="22" t="str">
        <x:f>"555770370"</x:f>
        <x:v>555770370</x:v>
      </x:c>
      <x:c r="S1520" s="23" t="str">
        <x:v>masculino</x:v>
      </x:c>
      <x:c r="T1520" s="22" t="str"/>
      <x:c r="U1520" s="23" t="str">
        <x:v>GUSTAVO RODRIGUES BITTAR</x:v>
      </x:c>
      <x:c r="V1520" s="22" t="str">
        <x:f>"476.485.668-93"</x:f>
        <x:v>476.485.668-93</x:v>
      </x:c>
      <x:c r="W1520" s="22" t="str">
        <x:f>"47648566893"</x:f>
        <x:v>47648566893</x:v>
      </x:c>
      <x:c r="X1520" s="23" t="str">
        <x:v>gustavo_bittar28041@hotmail.com</x:v>
      </x:c>
      <x:c r="Y1520" s="22" t="str">
        <x:f>"18997350989"</x:f>
        <x:v>18997350989</x:v>
      </x:c>
      <x:c r="Z1520" s="30" t="n">
        <x:v>46478</x:v>
      </x:c>
    </x:row>
    <x:row r="1521" ht="18" customHeight="1">
      <x:c r="A1521" s="22" t="str">
        <x:f>"9f7fbb85-beac-4950-ba91-8da1228638f2"</x:f>
        <x:v>9f7fbb85-beac-4950-ba91-8da1228638f2</x:v>
      </x:c>
      <x:c r="B1521" s="23" t="str">
        <x:v>GUSTAVO SANCHES DE SOUZA</x:v>
      </x:c>
      <x:c r="C1521" s="23" t="str">
        <x:v>gustavo sanches de souza</x:v>
      </x:c>
      <x:c r="D1521" s="22" t="str">
        <x:f>"58.558.044/0001-11"</x:f>
        <x:v>58.558.044/0001-11</x:v>
      </x:c>
      <x:c r="E1521" s="22" t="str">
        <x:f>"58558044000111"</x:f>
        <x:v>58558044000111</x:v>
      </x:c>
      <x:c r="F1521" s="22" t="str">
        <x:f>"135.373.526-54"</x:f>
        <x:v>135.373.526-54</x:v>
      </x:c>
      <x:c r="G1521" s="22" t="str">
        <x:f>"13537352654"</x:f>
        <x:v>13537352654</x:v>
      </x:c>
      <x:c r="H1521" s="23" t="str">
        <x:v>gusouza111@gmail.com</x:v>
      </x:c>
      <x:c r="I1521" s="22" t="str">
        <x:f>"(35)99112-2221"</x:f>
        <x:v>(35)99112-2221</x:v>
      </x:c>
      <x:c r="J1521" s="23" t="str">
        <x:v>SPOT</x:v>
      </x:c>
      <x:c r="K1521" s="23" t="str">
        <x:v>rental_company</x:v>
      </x:c>
      <x:c r="L1521" s="24" t="b">
        <x:v>1</x:v>
      </x:c>
      <x:c r="M1521" s="23" t="n">
        <x:v>2</x:v>
      </x:c>
      <x:c r="N1521" s="28" t="n">
        <x:v>46203.921824756944</x:v>
      </x:c>
      <x:c r="O1521" s="28" t="n">
        <x:v>46219.812988715275</x:v>
      </x:c>
      <x:c r="P1521" s="23" t="str">
        <x:v>POUSO ALEGRE</x:v>
      </x:c>
      <x:c r="Q1521" s="30" t="n">
        <x:v>36832</x:v>
      </x:c>
      <x:c r="R1521" s="22" t="str">
        <x:f>"MG21722682 SSP MG"</x:f>
        <x:v>MG21722682 SSP MG</x:v>
      </x:c>
      <x:c r="S1521" s="23" t="str">
        <x:v>masculino</x:v>
      </x:c>
      <x:c r="T1521" s="22" t="str">
        <x:f>"RMM1H02"</x:f>
        <x:v>RMM1H02</x:v>
      </x:c>
      <x:c r="U1521" s="23" t="str">
        <x:v>GUSTAVO SANCHES DE SOUZA</x:v>
      </x:c>
      <x:c r="V1521" s="22" t="str">
        <x:f>"135.373.526-54"</x:f>
        <x:v>135.373.526-54</x:v>
      </x:c>
      <x:c r="W1521" s="22" t="str">
        <x:f>"13537352654"</x:f>
        <x:v>13537352654</x:v>
      </x:c>
      <x:c r="X1521" s="23" t="str">
        <x:v>gusouza111@gmail.com</x:v>
      </x:c>
      <x:c r="Y1521" s="22" t="str">
        <x:f>"(35)99112-2221"</x:f>
        <x:v>(35)99112-2221</x:v>
      </x:c>
      <x:c r="Z1521" s="30" t="n">
        <x:v>46470</x:v>
      </x:c>
    </x:row>
    <x:row r="1522" ht="18" customHeight="1">
      <x:c r="A1522" s="22" t="str">
        <x:f>"5754bc14-b5d0-4866-a53f-0fe83edf7749"</x:f>
        <x:v>5754bc14-b5d0-4866-a53f-0fe83edf7749</x:v>
      </x:c>
      <x:c r="B1522" s="23" t="str">
        <x:v>GUSTAVO TELES VOGUEL</x:v>
      </x:c>
      <x:c r="C1522" s="23" t="str">
        <x:v>gustavo teles voguel</x:v>
      </x:c>
      <x:c r="D1522" s="22" t="str">
        <x:f>"44.562.275/0001-94"</x:f>
        <x:v>44.562.275/0001-94</x:v>
      </x:c>
      <x:c r="E1522" s="22" t="str">
        <x:f>"44562275000194"</x:f>
        <x:v>44562275000194</x:v>
      </x:c>
      <x:c r="F1522" s="22" t="str">
        <x:f>"161.212.206-00"</x:f>
        <x:v>161.212.206-00</x:v>
      </x:c>
      <x:c r="G1522" s="22" t="str">
        <x:f>"16121220600"</x:f>
        <x:v>16121220600</x:v>
      </x:c>
      <x:c r="H1522" s="23" t="str">
        <x:v>Gustavotelesvogel5866@gmail.com</x:v>
      </x:c>
      <x:c r="I1522" s="22" t="str">
        <x:f>"33 98708-0880"</x:f>
        <x:v>33 98708-0880</x:v>
      </x:c>
      <x:c r="J1522" s="23" t="str">
        <x:v>SPOT</x:v>
      </x:c>
      <x:c r="K1522" s="23" t="str">
        <x:v>favored_only</x:v>
      </x:c>
      <x:c r="L1522" s="24" t="b">
        <x:v>1</x:v>
      </x:c>
      <x:c r="M1522" s="23" t="n">
        <x:v>1</x:v>
      </x:c>
      <x:c r="N1522" s="28" t="n">
        <x:v>46203.921904421295</x:v>
      </x:c>
      <x:c r="O1522" s="28" t="n">
        <x:v>46219.812988715275</x:v>
      </x:c>
      <x:c r="P1522" s="23" t="str">
        <x:v>TEOFILO OTONI</x:v>
      </x:c>
      <x:c r="Q1522" s="30" t="n">
        <x:v>36904</x:v>
      </x:c>
      <x:c r="R1522" s="22" t="str">
        <x:f>"22389464"</x:f>
        <x:v>22389464</x:v>
      </x:c>
      <x:c r="S1522" s="23" t="str">
        <x:v>masculino</x:v>
      </x:c>
      <x:c r="T1522" s="22" t="str">
        <x:f>"EQM2E18"</x:f>
        <x:v>EQM2E18</x:v>
      </x:c>
      <x:c r="U1522" s="23" t="str">
        <x:v>GUSTAVO TELES VOGUEL</x:v>
      </x:c>
      <x:c r="V1522" s="22" t="str">
        <x:f>"161.212.206-00"</x:f>
        <x:v>161.212.206-00</x:v>
      </x:c>
      <x:c r="W1522" s="22" t="str">
        <x:f>"16121220600"</x:f>
        <x:v>16121220600</x:v>
      </x:c>
      <x:c r="X1522" s="23" t="str">
        <x:v>Gustavotelesvogel5866@gmail.com</x:v>
      </x:c>
      <x:c r="Y1522" s="22" t="str">
        <x:f>"33 98708-0880"</x:f>
        <x:v>33 98708-0880</x:v>
      </x:c>
      <x:c r="Z1522" s="30" t="n">
        <x:v>46375</x:v>
      </x:c>
    </x:row>
    <x:row r="1523" ht="18" customHeight="1">
      <x:c r="A1523" s="22" t="str">
        <x:f>"57865614-2c6c-4cc3-9b78-82b4741efd94"</x:f>
        <x:v>57865614-2c6c-4cc3-9b78-82b4741efd94</x:v>
      </x:c>
      <x:c r="B1523" s="23" t="str">
        <x:v>GUSTAVO VINICIUS BORGES FRANCISCO</x:v>
      </x:c>
      <x:c r="C1523" s="23" t="str">
        <x:v>gustavo vinicius borges francisco</x:v>
      </x:c>
      <x:c r="D1523" s="22" t="str">
        <x:f>"31.095.678/0001-29"</x:f>
        <x:v>31.095.678/0001-29</x:v>
      </x:c>
      <x:c r="E1523" s="22" t="str">
        <x:f>"31095678000129"</x:f>
        <x:v>31095678000129</x:v>
      </x:c>
      <x:c r="F1523" s="22" t="str">
        <x:f>"125.804.206-14"</x:f>
        <x:v>125.804.206-14</x:v>
      </x:c>
      <x:c r="G1523" s="22" t="str">
        <x:f>"12580420614"</x:f>
        <x:v>12580420614</x:v>
      </x:c>
      <x:c r="H1523" s="23" t="str">
        <x:v>gustavoviniciusbor@gmail.com</x:v>
      </x:c>
      <x:c r="I1523" s="22" t="str">
        <x:f>"34 98851-6097"</x:f>
        <x:v>34 98851-6097</x:v>
      </x:c>
      <x:c r="J1523" s="23" t="str">
        <x:v>SPOT</x:v>
      </x:c>
      <x:c r="K1523" s="23" t="str">
        <x:v>favored_only</x:v>
      </x:c>
      <x:c r="L1523" s="24" t="b">
        <x:v>1</x:v>
      </x:c>
      <x:c r="M1523" s="23" t="n">
        <x:v>1</x:v>
      </x:c>
      <x:c r="N1523" s="28" t="n">
        <x:v>46205.60403396991</x:v>
      </x:c>
      <x:c r="O1523" s="28" t="n">
        <x:v>46219.812988715275</x:v>
      </x:c>
      <x:c r="P1523" s="23" t="str">
        <x:v>ARAXÁ</x:v>
      </x:c>
      <x:c r="Q1523" s="30" t="n">
        <x:v>37902</x:v>
      </x:c>
      <x:c r="R1523" s="22" t="str">
        <x:f>"MG22156146"</x:f>
        <x:v>MG22156146</x:v>
      </x:c>
      <x:c r="S1523" s="23" t="str">
        <x:v>masculino</x:v>
      </x:c>
      <x:c r="T1523" s="22" t="str">
        <x:f>"PUE1219"</x:f>
        <x:v>PUE1219</x:v>
      </x:c>
      <x:c r="U1523" s="23" t="str">
        <x:v>NATHALIA CAROLINE GOMES DA SILVA</x:v>
      </x:c>
      <x:c r="V1523" s="22" t="str">
        <x:f>"103.851.366-92"</x:f>
        <x:v>103.851.366-92</x:v>
      </x:c>
      <x:c r="W1523" s="22" t="str">
        <x:f>"10385136692"</x:f>
        <x:v>10385136692</x:v>
      </x:c>
      <x:c r="X1523" s="23" t="str">
        <x:v>Nathaliasilvaclara13@outlook.com</x:v>
      </x:c>
      <x:c r="Y1523" s="22" t="str">
        <x:f>"34 98863-3933"</x:f>
        <x:v>34 98863-3933</x:v>
      </x:c>
      <x:c r="Z1523" s="30" t="n">
        <x:v>46254</x:v>
      </x:c>
    </x:row>
    <x:row r="1524" ht="18" customHeight="1">
      <x:c r="A1524" s="22" t="str">
        <x:f>"c792d7c0-ac05-4a2c-9263-f2c801aabc6c"</x:f>
        <x:v>c792d7c0-ac05-4a2c-9263-f2c801aabc6c</x:v>
      </x:c>
      <x:c r="B1524" s="23" t="str">
        <x:v>GUTIERREZ HENRIQUE MESQUITA LEITE</x:v>
      </x:c>
      <x:c r="C1524" s="23" t="str">
        <x:v>gutierrez henrique mesquita leite</x:v>
      </x:c>
      <x:c r="D1524" s="22" t="str">
        <x:f>"51.269.770/0001-75"</x:f>
        <x:v>51.269.770/0001-75</x:v>
      </x:c>
      <x:c r="E1524" s="22" t="str">
        <x:f>"51269770000175"</x:f>
        <x:v>51269770000175</x:v>
      </x:c>
      <x:c r="F1524" s="22" t="str">
        <x:f>"425.125.798-75"</x:f>
        <x:v>425.125.798-75</x:v>
      </x:c>
      <x:c r="G1524" s="22" t="str">
        <x:f>"42512579875"</x:f>
        <x:v>42512579875</x:v>
      </x:c>
      <x:c r="H1524" s="23" t="str">
        <x:v>gutileite2503@gmail.com</x:v>
      </x:c>
      <x:c r="I1524" s="22" t="str">
        <x:f>"(19)981494248"</x:f>
        <x:v>(19)981494248</x:v>
      </x:c>
      <x:c r="J1524" s="23" t="str">
        <x:v>RENTAL</x:v>
      </x:c>
      <x:c r="K1524" s="23" t="str">
        <x:v>rental_company</x:v>
      </x:c>
      <x:c r="L1524" s="24" t="b">
        <x:v>1</x:v>
      </x:c>
      <x:c r="M1524" s="23" t="n">
        <x:v>2</x:v>
      </x:c>
      <x:c r="N1524" s="28" t="n">
        <x:v>46203.92183017361</x:v>
      </x:c>
      <x:c r="O1524" s="28" t="n">
        <x:v>46219.812988715275</x:v>
      </x:c>
      <x:c r="P1524" s="23" t="str">
        <x:v>JUNDIAI</x:v>
      </x:c>
      <x:c r="Q1524" s="30" t="n">
        <x:v>35879</x:v>
      </x:c>
      <x:c r="R1524" s="22" t="str">
        <x:f>"37426787x"</x:f>
        <x:v>37426787x</x:v>
      </x:c>
      <x:c r="S1524" s="23" t="str">
        <x:v>masculino</x:v>
      </x:c>
      <x:c r="T1524" s="22" t="str"/>
      <x:c r="U1524" s="23" t="str">
        <x:v>GUTIERREZ HENRIQUE MESQUITA LEITE</x:v>
      </x:c>
      <x:c r="V1524" s="22" t="str">
        <x:f>"425.125.798-75"</x:f>
        <x:v>425.125.798-75</x:v>
      </x:c>
      <x:c r="W1524" s="22" t="str">
        <x:f>"42512579875"</x:f>
        <x:v>42512579875</x:v>
      </x:c>
      <x:c r="X1524" s="23" t="str">
        <x:v>gutileite2503@gmail.com</x:v>
      </x:c>
      <x:c r="Y1524" s="22" t="str">
        <x:f>"(19)981494248"</x:f>
        <x:v>(19)981494248</x:v>
      </x:c>
      <x:c r="Z1524" s="30" t="n">
        <x:v>46350</x:v>
      </x:c>
    </x:row>
    <x:row r="1525" ht="18" customHeight="1">
      <x:c r="A1525" s="22" t="str">
        <x:f>"44e2152f-f716-4fb5-88eb-28a059e03747"</x:f>
        <x:v>44e2152f-f716-4fb5-88eb-28a059e03747</x:v>
      </x:c>
      <x:c r="B1525" s="23" t="str">
        <x:v>HARISSON DE SOUZA VARGAS</x:v>
      </x:c>
      <x:c r="C1525" s="23" t="str">
        <x:v>harisson de souza vargas</x:v>
      </x:c>
      <x:c r="D1525" s="22" t="str">
        <x:f>"54.651.577/0001-92"</x:f>
        <x:v>54.651.577/0001-92</x:v>
      </x:c>
      <x:c r="E1525" s="22" t="str">
        <x:f>"54651577000192"</x:f>
        <x:v>54651577000192</x:v>
      </x:c>
      <x:c r="F1525" s="22" t="str">
        <x:f>"162.963.317-06"</x:f>
        <x:v>162.963.317-06</x:v>
      </x:c>
      <x:c r="G1525" s="22" t="str">
        <x:f>"16296331706"</x:f>
        <x:v>16296331706</x:v>
      </x:c>
      <x:c r="H1525" s="23" t="str">
        <x:v>harisson.vargas92@gmail.com</x:v>
      </x:c>
      <x:c r="I1525" s="22" t="str">
        <x:f>"21992424018"</x:f>
        <x:v>21992424018</x:v>
      </x:c>
      <x:c r="J1525" s="23" t="str">
        <x:v>SPOT</x:v>
      </x:c>
      <x:c r="K1525" s="23" t="str">
        <x:v>favored_only</x:v>
      </x:c>
      <x:c r="L1525" s="24" t="b">
        <x:v>1</x:v>
      </x:c>
      <x:c r="M1525" s="23" t="n">
        <x:v>1</x:v>
      </x:c>
      <x:c r="N1525" s="28" t="n">
        <x:v>46203.92189349537</x:v>
      </x:c>
      <x:c r="O1525" s="28" t="n">
        <x:v>46219.812988715275</x:v>
      </x:c>
      <x:c r="P1525" s="23" t="str">
        <x:v>CORDOVIL</x:v>
      </x:c>
      <x:c r="Q1525" s="30" t="n">
        <x:v>34081</x:v>
      </x:c>
      <x:c r="R1525" s="22" t="str">
        <x:f>"2570118366"</x:f>
        <x:v>2570118366</x:v>
      </x:c>
      <x:c r="S1525" s="23" t="str">
        <x:v>masculino</x:v>
      </x:c>
      <x:c r="T1525" s="22" t="str">
        <x:f>"KVU9D94"</x:f>
        <x:v>KVU9D94</x:v>
      </x:c>
      <x:c r="U1525" s="23" t="str">
        <x:v>HARISSON DE SOUZA VARGAS</x:v>
      </x:c>
      <x:c r="V1525" s="22" t="str">
        <x:f>"162.963.317-06"</x:f>
        <x:v>162.963.317-06</x:v>
      </x:c>
      <x:c r="W1525" s="22" t="str">
        <x:f>"16296331706"</x:f>
        <x:v>16296331706</x:v>
      </x:c>
      <x:c r="X1525" s="23" t="str">
        <x:v>harisson.vargas92@gmail.com</x:v>
      </x:c>
      <x:c r="Y1525" s="22" t="str">
        <x:f>"21992424018"</x:f>
        <x:v>21992424018</x:v>
      </x:c>
      <x:c r="Z1525" s="30" t="n">
        <x:v>46341</x:v>
      </x:c>
    </x:row>
    <x:row r="1526" ht="18" customHeight="1">
      <x:c r="A1526" s="22" t="str">
        <x:f>"6becae2e-3715-434f-92b7-db46ce9e7c10"</x:f>
        <x:v>6becae2e-3715-434f-92b7-db46ce9e7c10</x:v>
      </x:c>
      <x:c r="B1526" s="23" t="str">
        <x:v>HARLEY JOSE RIBEIRO</x:v>
      </x:c>
      <x:c r="C1526" s="23" t="str">
        <x:v>harley jose ribeiro</x:v>
      </x:c>
      <x:c r="D1526" s="22" t="str">
        <x:f>"49.736.445/0001-23"</x:f>
        <x:v>49.736.445/0001-23</x:v>
      </x:c>
      <x:c r="E1526" s="22" t="str">
        <x:f>"49736445000123"</x:f>
        <x:v>49736445000123</x:v>
      </x:c>
      <x:c r="F1526" s="22" t="str">
        <x:f>"343.490.028-47"</x:f>
        <x:v>343.490.028-47</x:v>
      </x:c>
      <x:c r="G1526" s="22" t="str">
        <x:f>"34349002847"</x:f>
        <x:v>34349002847</x:v>
      </x:c>
      <x:c r="H1526" s="23" t="str">
        <x:v>harleyjribeiro@gmail.com</x:v>
      </x:c>
      <x:c r="I1526" s="22" t="str">
        <x:f>"34991251595"</x:f>
        <x:v>34991251595</x:v>
      </x:c>
      <x:c r="J1526" s="23" t="str">
        <x:v>RENTAL</x:v>
      </x:c>
      <x:c r="K1526" s="23" t="str">
        <x:v>rental_company</x:v>
      </x:c>
      <x:c r="L1526" s="24" t="b">
        <x:v>1</x:v>
      </x:c>
      <x:c r="M1526" s="23" t="n">
        <x:v>1</x:v>
      </x:c>
      <x:c r="N1526" s="28" t="n">
        <x:v>46219.812988715275</x:v>
      </x:c>
      <x:c r="O1526" s="28" t="n">
        <x:v>46219.812988715275</x:v>
      </x:c>
      <x:c r="P1526" s="23" t="str">
        <x:v>UBERABA</x:v>
      </x:c>
      <x:c r="Q1526" s="30" t="n">
        <x:v>31787</x:v>
      </x:c>
      <x:c r="R1526" s="22" t="str">
        <x:f>"403396086"</x:f>
        <x:v>403396086</x:v>
      </x:c>
      <x:c r="S1526" s="23" t="str">
        <x:v>masculino</x:v>
      </x:c>
      <x:c r="T1526" s="22" t="str"/>
      <x:c r="U1526" s="23" t="str">
        <x:v>HARLEY JOSE RIBEIRO</x:v>
      </x:c>
      <x:c r="V1526" s="22" t="str">
        <x:f>"343.490.028-47"</x:f>
        <x:v>343.490.028-47</x:v>
      </x:c>
      <x:c r="W1526" s="22" t="str">
        <x:f>"34349002847"</x:f>
        <x:v>34349002847</x:v>
      </x:c>
      <x:c r="X1526" s="23" t="str">
        <x:v>harleyjribeiro@gmail.com</x:v>
      </x:c>
      <x:c r="Y1526" s="22" t="str">
        <x:f>"34991251595"</x:f>
        <x:v>34991251595</x:v>
      </x:c>
      <x:c r="Z1526" s="30" t="n">
        <x:v>46491</x:v>
      </x:c>
    </x:row>
    <x:row r="1527" ht="18" customHeight="1">
      <x:c r="A1527" s="22" t="str">
        <x:f>"a7003a1a-e658-40d9-a8d2-22c51fb281f9"</x:f>
        <x:v>a7003a1a-e658-40d9-a8d2-22c51fb281f9</x:v>
      </x:c>
      <x:c r="B1527" s="23" t="str">
        <x:v>HAROLDO DA SILVA LOPES</x:v>
      </x:c>
      <x:c r="C1527" s="23" t="str">
        <x:v>haroldo da silva lopes</x:v>
      </x:c>
      <x:c r="D1527" s="22" t="str">
        <x:f>"47.657.129/0001-30"</x:f>
        <x:v>47.657.129/0001-30</x:v>
      </x:c>
      <x:c r="E1527" s="22" t="str">
        <x:f>"47657129000130"</x:f>
        <x:v>47657129000130</x:v>
      </x:c>
      <x:c r="F1527" s="22" t="str">
        <x:f>"489.142.156-87"</x:f>
        <x:v>489.142.156-87</x:v>
      </x:c>
      <x:c r="G1527" s="22" t="str">
        <x:f>"48914215687"</x:f>
        <x:v>48914215687</x:v>
      </x:c>
      <x:c r="H1527" s="23" t="str">
        <x:v>haroldobhz02@gmail.com</x:v>
      </x:c>
      <x:c r="I1527" s="22" t="str">
        <x:f>"31983534164"</x:f>
        <x:v>31983534164</x:v>
      </x:c>
      <x:c r="J1527" s="23" t="str">
        <x:v>RENTAL</x:v>
      </x:c>
      <x:c r="K1527" s="23" t="str">
        <x:v>rental_company</x:v>
      </x:c>
      <x:c r="L1527" s="24" t="b">
        <x:v>1</x:v>
      </x:c>
      <x:c r="M1527" s="23" t="n">
        <x:v>1</x:v>
      </x:c>
      <x:c r="N1527" s="28" t="n">
        <x:v>46219.812988715275</x:v>
      </x:c>
      <x:c r="O1527" s="28" t="n">
        <x:v>46219.812988715275</x:v>
      </x:c>
      <x:c r="P1527" s="23" t="str">
        <x:v>NOVA LIMA</x:v>
      </x:c>
      <x:c r="Q1527" s="30" t="n">
        <x:v>23988</x:v>
      </x:c>
      <x:c r="R1527" s="22" t="str">
        <x:f>"3399354"</x:f>
        <x:v>3399354</x:v>
      </x:c>
      <x:c r="S1527" s="23" t="str">
        <x:v>masculino</x:v>
      </x:c>
      <x:c r="T1527" s="22" t="str"/>
      <x:c r="U1527" s="23" t="str">
        <x:v>HAROLDO DA SILVA LOPES</x:v>
      </x:c>
      <x:c r="V1527" s="22" t="str">
        <x:f>"489.142.156-87"</x:f>
        <x:v>489.142.156-87</x:v>
      </x:c>
      <x:c r="W1527" s="22" t="str">
        <x:f>"48914215687"</x:f>
        <x:v>48914215687</x:v>
      </x:c>
      <x:c r="X1527" s="23" t="str">
        <x:v>haroldobhz02@gmail.com</x:v>
      </x:c>
      <x:c r="Y1527" s="22" t="str">
        <x:f>"31983534164"</x:f>
        <x:v>31983534164</x:v>
      </x:c>
      <x:c r="Z1527" s="30" t="n">
        <x:v>46502</x:v>
      </x:c>
    </x:row>
    <x:row r="1528" ht="18" customHeight="1">
      <x:c r="A1528" s="22" t="str">
        <x:f>"b911e5ae-b6e8-4cef-aa6a-be0bba2730c1"</x:f>
        <x:v>b911e5ae-b6e8-4cef-aa6a-be0bba2730c1</x:v>
      </x:c>
      <x:c r="B1528" s="23" t="str">
        <x:v>HEBERSON RANGEL GOMES</x:v>
      </x:c>
      <x:c r="C1528" s="23" t="str">
        <x:v>heberson rangel gomes</x:v>
      </x:c>
      <x:c r="D1528" s="22" t="str">
        <x:f>"63.877.035/0001-23"</x:f>
        <x:v>63.877.035/0001-23</x:v>
      </x:c>
      <x:c r="E1528" s="22" t="str">
        <x:f>"63877035000123"</x:f>
        <x:v>63877035000123</x:v>
      </x:c>
      <x:c r="F1528" s="22" t="str">
        <x:f>"186.989.877-02"</x:f>
        <x:v>186.989.877-02</x:v>
      </x:c>
      <x:c r="G1528" s="22" t="str">
        <x:f>"18698987702"</x:f>
        <x:v>18698987702</x:v>
      </x:c>
      <x:c r="H1528" s="23" t="str">
        <x:v>rangelheberson@gmail.com</x:v>
      </x:c>
      <x:c r="I1528" s="22" t="str">
        <x:f>"22981456010"</x:f>
        <x:v>22981456010</x:v>
      </x:c>
      <x:c r="J1528" s="23" t="str">
        <x:v>SPOT</x:v>
      </x:c>
      <x:c r="K1528" s="23" t="str">
        <x:v>favored_only</x:v>
      </x:c>
      <x:c r="L1528" s="24" t="b">
        <x:v>1</x:v>
      </x:c>
      <x:c r="M1528" s="23" t="n">
        <x:v>1</x:v>
      </x:c>
      <x:c r="N1528" s="28" t="n">
        <x:v>46219.812988715275</x:v>
      </x:c>
      <x:c r="O1528" s="28" t="n">
        <x:v>46219.812988715275</x:v>
      </x:c>
      <x:c r="P1528" s="23" t="str">
        <x:v>CAMPOS DOS GOYTACAZES</x:v>
      </x:c>
      <x:c r="Q1528" s="30" t="n">
        <x:v>37579</x:v>
      </x:c>
      <x:c r="R1528" s="22" t="str">
        <x:f>"318439973"</x:f>
        <x:v>318439973</x:v>
      </x:c>
      <x:c r="S1528" s="23" t="str">
        <x:v>masculino</x:v>
      </x:c>
      <x:c r="T1528" s="22" t="str">
        <x:f>"kxl4h38"</x:f>
        <x:v>kxl4h38</x:v>
      </x:c>
      <x:c r="U1528" s="23" t="str">
        <x:v>LUIZ FELIPE NASCIMENTO DA SILVA</x:v>
      </x:c>
      <x:c r="V1528" s="22" t="str">
        <x:f>"204.659.757-55"</x:f>
        <x:v>204.659.757-55</x:v>
      </x:c>
      <x:c r="W1528" s="22" t="str">
        <x:f>"20465975755"</x:f>
        <x:v>20465975755</x:v>
      </x:c>
      <x:c r="X1528" s="23" t="str">
        <x:v>lipe.ns2006@gmail.com</x:v>
      </x:c>
      <x:c r="Y1528" s="22" t="str">
        <x:f>"22999477236"</x:f>
        <x:v>22999477236</x:v>
      </x:c>
      <x:c r="Z1528" s="30" t="n">
        <x:v>46470</x:v>
      </x:c>
    </x:row>
    <x:row r="1529" ht="18" customHeight="1">
      <x:c r="A1529" s="22" t="str">
        <x:f>"2064fb96-d82a-40a3-a74c-2ffd56b3c742"</x:f>
        <x:v>2064fb96-d82a-40a3-a74c-2ffd56b3c742</x:v>
      </x:c>
      <x:c r="B1529" s="23" t="str">
        <x:v>HEBERT DE ARAUJO FREITAS</x:v>
      </x:c>
      <x:c r="C1529" s="23" t="str">
        <x:v>hebert de araujo freitas</x:v>
      </x:c>
      <x:c r="D1529" s="22" t="str">
        <x:f>"63.806.281/0001-94"</x:f>
        <x:v>63.806.281/0001-94</x:v>
      </x:c>
      <x:c r="E1529" s="22" t="str">
        <x:f>"63806281000194"</x:f>
        <x:v>63806281000194</x:v>
      </x:c>
      <x:c r="F1529" s="22" t="str">
        <x:f>"112.582.367-45"</x:f>
        <x:v>112.582.367-45</x:v>
      </x:c>
      <x:c r="G1529" s="22" t="str">
        <x:f>"11258236745"</x:f>
        <x:v>11258236745</x:v>
      </x:c>
      <x:c r="H1529" s="23" t="str">
        <x:v>freitashebert@hotmail.com</x:v>
      </x:c>
      <x:c r="I1529" s="22" t="str">
        <x:f>"21980203374"</x:f>
        <x:v>21980203374</x:v>
      </x:c>
      <x:c r="J1529" s="23" t="str">
        <x:v>SPOT</x:v>
      </x:c>
      <x:c r="K1529" s="23" t="str">
        <x:v>favored_only</x:v>
      </x:c>
      <x:c r="L1529" s="24" t="b">
        <x:v>1</x:v>
      </x:c>
      <x:c r="M1529" s="23" t="n">
        <x:v>1</x:v>
      </x:c>
      <x:c r="N1529" s="28" t="n">
        <x:v>46203.921904421295</x:v>
      </x:c>
      <x:c r="O1529" s="28" t="n">
        <x:v>46219.812988715275</x:v>
      </x:c>
      <x:c r="P1529" s="23" t="str">
        <x:v>QUEIMADOS</x:v>
      </x:c>
      <x:c r="Q1529" s="30" t="n">
        <x:v>31769</x:v>
      </x:c>
      <x:c r="R1529" s="22" t="str">
        <x:f>"213469828"</x:f>
        <x:v>213469828</x:v>
      </x:c>
      <x:c r="S1529" s="23" t="str">
        <x:v>masculino</x:v>
      </x:c>
      <x:c r="T1529" s="22" t="str">
        <x:f>"RJF2B44"</x:f>
        <x:v>RJF2B44</x:v>
      </x:c>
      <x:c r="U1529" s="23" t="str">
        <x:v>HEBERT DE ARAUJO FREITAS</x:v>
      </x:c>
      <x:c r="V1529" s="22" t="str">
        <x:f>"112.582.367-45"</x:f>
        <x:v>112.582.367-45</x:v>
      </x:c>
      <x:c r="W1529" s="22" t="str">
        <x:f>"11258236745"</x:f>
        <x:v>11258236745</x:v>
      </x:c>
      <x:c r="X1529" s="23" t="str">
        <x:v>freitashebert@hotmail.com</x:v>
      </x:c>
      <x:c r="Y1529" s="22" t="str">
        <x:f>"21980203374"</x:f>
        <x:v>21980203374</x:v>
      </x:c>
      <x:c r="Z1529" s="30" t="n">
        <x:v>46375</x:v>
      </x:c>
    </x:row>
    <x:row r="1530" ht="18" customHeight="1">
      <x:c r="A1530" s="22" t="str">
        <x:f>"11b7da2b-d6dd-43f4-84e1-8a71bd6b3a3c"</x:f>
        <x:v>11b7da2b-d6dd-43f4-84e1-8a71bd6b3a3c</x:v>
      </x:c>
      <x:c r="B1530" s="23" t="str">
        <x:v>HEBERT SILVA SANTOS</x:v>
      </x:c>
      <x:c r="C1530" s="23" t="str">
        <x:v>hebert silva santos</x:v>
      </x:c>
      <x:c r="D1530" s="22" t="str">
        <x:f>"63.698.167/0001-98"</x:f>
        <x:v>63.698.167/0001-98</x:v>
      </x:c>
      <x:c r="E1530" s="22" t="str">
        <x:f>"63698167000198"</x:f>
        <x:v>63698167000198</x:v>
      </x:c>
      <x:c r="F1530" s="22" t="str">
        <x:f>"444.340.358-27"</x:f>
        <x:v>444.340.358-27</x:v>
      </x:c>
      <x:c r="G1530" s="22" t="str">
        <x:f>"44434035827"</x:f>
        <x:v>44434035827</x:v>
      </x:c>
      <x:c r="H1530" s="23" t="str">
        <x:v>hebertseg12@gmail.com</x:v>
      </x:c>
      <x:c r="I1530" s="22" t="str">
        <x:f>"16993203950"</x:f>
        <x:v>16993203950</x:v>
      </x:c>
      <x:c r="J1530" s="23" t="str">
        <x:v>RENTAL</x:v>
      </x:c>
      <x:c r="K1530" s="23" t="str">
        <x:v>rental_company</x:v>
      </x:c>
      <x:c r="L1530" s="24" t="b">
        <x:v>1</x:v>
      </x:c>
      <x:c r="M1530" s="23" t="n">
        <x:v>1</x:v>
      </x:c>
      <x:c r="N1530" s="28" t="n">
        <x:v>46219.812988715275</x:v>
      </x:c>
      <x:c r="O1530" s="28" t="n">
        <x:v>46219.812988715275</x:v>
      </x:c>
      <x:c r="P1530" s="23" t="str">
        <x:v>SÃO CARLOS</x:v>
      </x:c>
      <x:c r="Q1530" s="30" t="n">
        <x:v>36357</x:v>
      </x:c>
      <x:c r="R1530" s="22" t="str">
        <x:f>"55710001-X"</x:f>
        <x:v>55710001-X</x:v>
      </x:c>
      <x:c r="S1530" s="23" t="str">
        <x:v>masculino</x:v>
      </x:c>
      <x:c r="T1530" s="22" t="str"/>
      <x:c r="U1530" s="23" t="str">
        <x:v>HEBERT SILVA SANTOS</x:v>
      </x:c>
      <x:c r="V1530" s="22" t="str">
        <x:f>"444.340.358-27"</x:f>
        <x:v>444.340.358-27</x:v>
      </x:c>
      <x:c r="W1530" s="22" t="str">
        <x:f>"44434035827"</x:f>
        <x:v>44434035827</x:v>
      </x:c>
      <x:c r="X1530" s="23" t="str">
        <x:v>hebertseg12@gmail.com</x:v>
      </x:c>
      <x:c r="Y1530" s="22" t="str">
        <x:f>"16993203950"</x:f>
        <x:v>16993203950</x:v>
      </x:c>
      <x:c r="Z1530" s="30" t="n">
        <x:v>46548</x:v>
      </x:c>
    </x:row>
    <x:row r="1531" ht="18" customHeight="1">
      <x:c r="A1531" s="22" t="str">
        <x:f>"277c1460-4b93-4e0b-887b-f1a0e6b5472c"</x:f>
        <x:v>277c1460-4b93-4e0b-887b-f1a0e6b5472c</x:v>
      </x:c>
      <x:c r="B1531" s="23" t="str">
        <x:v>Helena Barbosa Martins</x:v>
      </x:c>
      <x:c r="C1531" s="23" t="str">
        <x:v>helena barbosa martins</x:v>
      </x:c>
      <x:c r="D1531" s="22" t="str">
        <x:f>"15.271.538/0001-08"</x:f>
        <x:v>15.271.538/0001-08</x:v>
      </x:c>
      <x:c r="E1531" s="22" t="str">
        <x:f>"15271538000108"</x:f>
        <x:v>15271538000108</x:v>
      </x:c>
      <x:c r="F1531" s="22" t="str">
        <x:f>"481.275.661-87"</x:f>
        <x:v>481.275.661-87</x:v>
      </x:c>
      <x:c r="G1531" s="22" t="str">
        <x:f>"48127566187"</x:f>
        <x:v>48127566187</x:v>
      </x:c>
      <x:c r="H1531" s="23" t="str">
        <x:v>nortaoacessorios@hotmail.com</x:v>
      </x:c>
      <x:c r="I1531" s="22" t="str">
        <x:f>"(65)99611-8718"</x:f>
        <x:v>(65)99611-8718</x:v>
      </x:c>
      <x:c r="J1531" s="23" t="str">
        <x:v>SPOT</x:v>
      </x:c>
      <x:c r="K1531" s="23" t="str">
        <x:v>favored_only</x:v>
      </x:c>
      <x:c r="L1531" s="24" t="b">
        <x:v>1</x:v>
      </x:c>
      <x:c r="M1531" s="23" t="n">
        <x:v>1</x:v>
      </x:c>
      <x:c r="N1531" s="28" t="n">
        <x:v>46203.92188238426</x:v>
      </x:c>
      <x:c r="O1531" s="28" t="n">
        <x:v>46203.92188238426</x:v>
      </x:c>
      <x:c r="P1531" s="23" t="str"/>
      <x:c r="Q1531" s="30" t="str"/>
      <x:c r="R1531" s="22" t="str"/>
      <x:c r="S1531" s="23" t="str"/>
      <x:c r="T1531" s="22" t="str"/>
      <x:c r="U1531" s="23" t="str">
        <x:v>Helena Barbosa Martins</x:v>
      </x:c>
      <x:c r="V1531" s="22" t="str">
        <x:f>"481.275.661-87"</x:f>
        <x:v>481.275.661-87</x:v>
      </x:c>
      <x:c r="W1531" s="22" t="str">
        <x:f>"48127566187"</x:f>
        <x:v>48127566187</x:v>
      </x:c>
      <x:c r="X1531" s="23" t="str">
        <x:v>nortaoacessorios@hotmail.com</x:v>
      </x:c>
      <x:c r="Y1531" s="22" t="str">
        <x:f>"(65)99611-8718"</x:f>
        <x:v>(65)99611-8718</x:v>
      </x:c>
      <x:c r="Z1531" s="30" t="str"/>
    </x:row>
    <x:row r="1532" ht="18" customHeight="1">
      <x:c r="A1532" s="22" t="str">
        <x:f>"99307053-6a77-41b8-9568-bfa7d5dc887c"</x:f>
        <x:v>99307053-6a77-41b8-9568-bfa7d5dc887c</x:v>
      </x:c>
      <x:c r="B1532" s="23" t="str">
        <x:v>HELEN APARECIDA SILVA</x:v>
      </x:c>
      <x:c r="C1532" s="23" t="str">
        <x:v>helen aparecida silva</x:v>
      </x:c>
      <x:c r="D1532" s="22" t="str">
        <x:f>"68.896.441/0001-60"</x:f>
        <x:v>68.896.441/0001-60</x:v>
      </x:c>
      <x:c r="E1532" s="22" t="str">
        <x:f>"68896441000160"</x:f>
        <x:v>68896441000160</x:v>
      </x:c>
      <x:c r="F1532" s="22" t="str">
        <x:f>"113.666.396-77"</x:f>
        <x:v>113.666.396-77</x:v>
      </x:c>
      <x:c r="G1532" s="22" t="str">
        <x:f>"11366639677"</x:f>
        <x:v>11366639677</x:v>
      </x:c>
      <x:c r="H1532" s="23" t="str">
        <x:v>helenzinha.cmd@gmail.com</x:v>
      </x:c>
      <x:c r="I1532" s="22" t="str">
        <x:f>"31 982549955"</x:f>
        <x:v>31 982549955</x:v>
      </x:c>
      <x:c r="J1532" s="23" t="str">
        <x:v>spot</x:v>
      </x:c>
      <x:c r="K1532" s="23" t="str">
        <x:v>favored_only</x:v>
      </x:c>
      <x:c r="L1532" s="24" t="b">
        <x:v>1</x:v>
      </x:c>
      <x:c r="M1532" s="23" t="n">
        <x:v>1</x:v>
      </x:c>
      <x:c r="N1532" s="28" t="n">
        <x:v>46219.812988715275</x:v>
      </x:c>
      <x:c r="O1532" s="28" t="n">
        <x:v>46219.812988715275</x:v>
      </x:c>
      <x:c r="P1532" s="23" t="str">
        <x:v>CONCEIÇÃO DO MATO DENTRO</x:v>
      </x:c>
      <x:c r="Q1532" s="30" t="n">
        <x:v>33442</x:v>
      </x:c>
      <x:c r="R1532" s="22" t="str">
        <x:f>"19443380"</x:f>
        <x:v>19443380</x:v>
      </x:c>
      <x:c r="S1532" s="23" t="str">
        <x:v>feminino</x:v>
      </x:c>
      <x:c r="T1532" s="22" t="str">
        <x:f>"GYW0I42"</x:f>
        <x:v>GYW0I42</x:v>
      </x:c>
      <x:c r="U1532" s="23" t="str">
        <x:v>63.896.414 HELEN APARECIDA SILVA</x:v>
      </x:c>
      <x:c r="V1532" s="22" t="str">
        <x:f>"113.666.396-77"</x:f>
        <x:v>113.666.396-77</x:v>
      </x:c>
      <x:c r="W1532" s="22" t="str">
        <x:f>"11366639677"</x:f>
        <x:v>11366639677</x:v>
      </x:c>
      <x:c r="X1532" s="23" t="str">
        <x:v>helenzinha.cmd@gmail.com</x:v>
      </x:c>
      <x:c r="Y1532" s="22" t="str">
        <x:f>"31982549955"</x:f>
        <x:v>31982549955</x:v>
      </x:c>
      <x:c r="Z1532" s="30" t="n">
        <x:v>46568</x:v>
      </x:c>
    </x:row>
    <x:row r="1533" ht="18" customHeight="1">
      <x:c r="A1533" s="22" t="str">
        <x:f>"1df3faa4-db34-4910-9f5f-ea0197a9baa7"</x:f>
        <x:v>1df3faa4-db34-4910-9f5f-ea0197a9baa7</x:v>
      </x:c>
      <x:c r="B1533" s="23" t="str">
        <x:v>HELENO DONIZETE DE SOUZA</x:v>
      </x:c>
      <x:c r="C1533" s="23" t="str">
        <x:v>heleno donizete de souza</x:v>
      </x:c>
      <x:c r="D1533" s="22" t="str">
        <x:f>"40.439.409/0001-23"</x:f>
        <x:v>40.439.409/0001-23</x:v>
      </x:c>
      <x:c r="E1533" s="22" t="str">
        <x:f>"40439409000123"</x:f>
        <x:v>40439409000123</x:v>
      </x:c>
      <x:c r="F1533" s="22" t="str">
        <x:f>"015.428.976-02"</x:f>
        <x:v>015.428.976-02</x:v>
      </x:c>
      <x:c r="G1533" s="22" t="str">
        <x:f>"01542897602"</x:f>
        <x:v>01542897602</x:v>
      </x:c>
      <x:c r="H1533" s="23" t="str">
        <x:v>helenosouza1502@gmail.com</x:v>
      </x:c>
      <x:c r="I1533" s="22" t="str">
        <x:f>"19 97151-8601"</x:f>
        <x:v>19 97151-8601</x:v>
      </x:c>
      <x:c r="J1533" s="23" t="str">
        <x:v>SPOT</x:v>
      </x:c>
      <x:c r="K1533" s="23" t="str">
        <x:v>favored_only</x:v>
      </x:c>
      <x:c r="L1533" s="24" t="b">
        <x:v>1</x:v>
      </x:c>
      <x:c r="M1533" s="23" t="n">
        <x:v>1</x:v>
      </x:c>
      <x:c r="N1533" s="28" t="n">
        <x:v>46219.812988715275</x:v>
      </x:c>
      <x:c r="O1533" s="28" t="n">
        <x:v>46219.812988715275</x:v>
      </x:c>
      <x:c r="P1533" s="23" t="str">
        <x:v>GUAXUPE</x:v>
      </x:c>
      <x:c r="Q1533" s="30" t="n">
        <x:v>31762</x:v>
      </x:c>
      <x:c r="R1533" s="22" t="str">
        <x:f>"15609205"</x:f>
        <x:v>15609205</x:v>
      </x:c>
      <x:c r="S1533" s="23" t="str">
        <x:v>masculino</x:v>
      </x:c>
      <x:c r="T1533" s="22" t="str">
        <x:f>"FUN5680"</x:f>
        <x:v>FUN5680</x:v>
      </x:c>
      <x:c r="U1533" s="23" t="str">
        <x:v>JOSE ADRIANO DE SOUSA</x:v>
      </x:c>
      <x:c r="V1533" s="22" t="str">
        <x:f>"048.068.786-26"</x:f>
        <x:v>048.068.786-26</x:v>
      </x:c>
      <x:c r="W1533" s="22" t="str">
        <x:f>"04806878626"</x:f>
        <x:v>04806878626</x:v>
      </x:c>
      <x:c r="X1533" s="23" t="str">
        <x:v>Adrianomljose@gmail.com</x:v>
      </x:c>
      <x:c r="Y1533" s="22" t="str">
        <x:f>"35991931364"</x:f>
        <x:v>35991931364</x:v>
      </x:c>
      <x:c r="Z1533" s="30" t="n">
        <x:v>46478</x:v>
      </x:c>
    </x:row>
    <x:row r="1534" ht="18" customHeight="1">
      <x:c r="A1534" s="22" t="str">
        <x:f>"9c815e44-d7b8-4654-a6e8-ed6d2273fde9"</x:f>
        <x:v>9c815e44-d7b8-4654-a6e8-ed6d2273fde9</x:v>
      </x:c>
      <x:c r="B1534" s="23" t="str">
        <x:v>HELIELSON ROCHA CARVALHO SILVA</x:v>
      </x:c>
      <x:c r="C1534" s="23" t="str">
        <x:v>helielson rocha carvalho silva</x:v>
      </x:c>
      <x:c r="D1534" s="22" t="str">
        <x:f>"64.694.365/0001-46"</x:f>
        <x:v>64.694.365/0001-46</x:v>
      </x:c>
      <x:c r="E1534" s="22" t="str">
        <x:f>"64694365000146"</x:f>
        <x:v>64694365000146</x:v>
      </x:c>
      <x:c r="F1534" s="22" t="str">
        <x:f>"134.242.717-30"</x:f>
        <x:v>134.242.717-30</x:v>
      </x:c>
      <x:c r="G1534" s="22" t="str">
        <x:f>"13424271730"</x:f>
        <x:v>13424271730</x:v>
      </x:c>
      <x:c r="H1534" s="23" t="str">
        <x:v>traderhelielson@gmail.com</x:v>
      </x:c>
      <x:c r="I1534" s="22" t="str">
        <x:f>"21 97884-5945"</x:f>
        <x:v>21 97884-5945</x:v>
      </x:c>
      <x:c r="J1534" s="23" t="str">
        <x:v>SPOT</x:v>
      </x:c>
      <x:c r="K1534" s="23" t="str">
        <x:v>favored_only</x:v>
      </x:c>
      <x:c r="L1534" s="24" t="b">
        <x:v>1</x:v>
      </x:c>
      <x:c r="M1534" s="23" t="n">
        <x:v>1</x:v>
      </x:c>
      <x:c r="N1534" s="28" t="n">
        <x:v>46219.812988715275</x:v>
      </x:c>
      <x:c r="O1534" s="28" t="n">
        <x:v>46219.812988715275</x:v>
      </x:c>
      <x:c r="P1534" s="23" t="str">
        <x:v>QUEIMADOS</x:v>
      </x:c>
      <x:c r="Q1534" s="30" t="n">
        <x:v>32838</x:v>
      </x:c>
      <x:c r="R1534" s="22" t="str">
        <x:f>"21.025.568-3"</x:f>
        <x:v>21.025.568-3</x:v>
      </x:c>
      <x:c r="S1534" s="23" t="str">
        <x:v>masculino</x:v>
      </x:c>
      <x:c r="T1534" s="22" t="str">
        <x:f>"LTO5A40"</x:f>
        <x:v>LTO5A40</x:v>
      </x:c>
      <x:c r="U1534" s="23" t="str">
        <x:v>HELIELSON ROCHA CARVALHO SILVA</x:v>
      </x:c>
      <x:c r="V1534" s="22" t="str">
        <x:f>"134.242.717-30"</x:f>
        <x:v>134.242.717-30</x:v>
      </x:c>
      <x:c r="W1534" s="22" t="str">
        <x:f>"13424271730"</x:f>
        <x:v>13424271730</x:v>
      </x:c>
      <x:c r="X1534" s="23" t="str">
        <x:v>traderhelielson@gmail.com</x:v>
      </x:c>
      <x:c r="Y1534" s="22" t="str">
        <x:f>"21 97884-5945"</x:f>
        <x:v>21 97884-5945</x:v>
      </x:c>
      <x:c r="Z1534" s="30" t="n">
        <x:v>46215</x:v>
      </x:c>
    </x:row>
    <x:row r="1535" ht="18" customHeight="1">
      <x:c r="A1535" s="22" t="str">
        <x:f>"330df7ad-ba31-470a-8eb0-5f5497648893"</x:f>
        <x:v>330df7ad-ba31-470a-8eb0-5f5497648893</x:v>
      </x:c>
      <x:c r="B1535" s="23" t="str">
        <x:v>HELIO PAULINO DA SILVA</x:v>
      </x:c>
      <x:c r="C1535" s="23" t="str">
        <x:v>helio paulino da silva</x:v>
      </x:c>
      <x:c r="D1535" s="22" t="str">
        <x:f>"61.191.061/0001-78"</x:f>
        <x:v>61.191.061/0001-78</x:v>
      </x:c>
      <x:c r="E1535" s="22" t="str">
        <x:f>"61191061000178"</x:f>
        <x:v>61191061000178</x:v>
      </x:c>
      <x:c r="F1535" s="22" t="str">
        <x:f>"938.624.661-91"</x:f>
        <x:v>938.624.661-91</x:v>
      </x:c>
      <x:c r="G1535" s="22" t="str">
        <x:f>"93862466191"</x:f>
        <x:v>93862466191</x:v>
      </x:c>
      <x:c r="H1535" s="23" t="str">
        <x:v>heliopaulinopaulino41@gmail.com</x:v>
      </x:c>
      <x:c r="I1535" s="22" t="str">
        <x:f>"659992014681"</x:f>
        <x:v>659992014681</x:v>
      </x:c>
      <x:c r="J1535" s="23" t="str">
        <x:v>SPOT</x:v>
      </x:c>
      <x:c r="K1535" s="23" t="str">
        <x:v>favored_only</x:v>
      </x:c>
      <x:c r="L1535" s="24" t="b">
        <x:v>1</x:v>
      </x:c>
      <x:c r="M1535" s="23" t="n">
        <x:v>1</x:v>
      </x:c>
      <x:c r="N1535" s="28" t="n">
        <x:v>46205.60471151621</x:v>
      </x:c>
      <x:c r="O1535" s="28" t="n">
        <x:v>46219.812988715275</x:v>
      </x:c>
      <x:c r="P1535" s="23" t="str">
        <x:v>ARAPUTANGA</x:v>
      </x:c>
      <x:c r="Q1535" s="30" t="n">
        <x:v>27202</x:v>
      </x:c>
      <x:c r="R1535" s="22" t="str">
        <x:f>"14134454 SSP MT"</x:f>
        <x:v>14134454 SSP MT</x:v>
      </x:c>
      <x:c r="S1535" s="23" t="str">
        <x:v>masculino</x:v>
      </x:c>
      <x:c r="T1535" s="22" t="str">
        <x:f>"FDU5J03"</x:f>
        <x:v>FDU5J03</x:v>
      </x:c>
      <x:c r="U1535" s="23" t="str">
        <x:v>RAFAEL BENTO GOMES</x:v>
      </x:c>
      <x:c r="V1535" s="22" t="str">
        <x:f>"055.886.591-71"</x:f>
        <x:v>055.886.591-71</x:v>
      </x:c>
      <x:c r="W1535" s="22" t="str">
        <x:f>"05588659171"</x:f>
        <x:v>05588659171</x:v>
      </x:c>
      <x:c r="X1535" s="23" t="str">
        <x:v>rafaelbentogomes685@gmail.com</x:v>
      </x:c>
      <x:c r="Y1535" s="22" t="str">
        <x:f>"659992014681"</x:f>
        <x:v>659992014681</x:v>
      </x:c>
      <x:c r="Z1535" s="30" t="n">
        <x:v>46291</x:v>
      </x:c>
    </x:row>
    <x:row r="1536" ht="18" customHeight="1">
      <x:c r="A1536" s="22" t="str">
        <x:f>"eb2c8b8f-944b-4d2b-93f3-e5a9b0487a5e"</x:f>
        <x:v>eb2c8b8f-944b-4d2b-93f3-e5a9b0487a5e</x:v>
      </x:c>
      <x:c r="B1536" s="23" t="str">
        <x:v>HELOISA DA ROCHA MINUCCI</x:v>
      </x:c>
      <x:c r="C1536" s="23" t="str">
        <x:v>heloisa da rocha minucci</x:v>
      </x:c>
      <x:c r="D1536" s="22" t="str">
        <x:f>"30.360.322/0001-02"</x:f>
        <x:v>30.360.322/0001-02</x:v>
      </x:c>
      <x:c r="E1536" s="22" t="str">
        <x:f>"30360322000102"</x:f>
        <x:v>30360322000102</x:v>
      </x:c>
      <x:c r="F1536" s="22" t="str">
        <x:f>"124.847.939-44"</x:f>
        <x:v>124.847.939-44</x:v>
      </x:c>
      <x:c r="G1536" s="22" t="str">
        <x:f>"12484793944"</x:f>
        <x:v>12484793944</x:v>
      </x:c>
      <x:c r="H1536" s="23" t="str">
        <x:v>heloisarocha838@gmail.com</x:v>
      </x:c>
      <x:c r="I1536" s="22" t="str">
        <x:f>"+55 43 9190-7375"</x:f>
        <x:v>+55 43 9190-7375</x:v>
      </x:c>
      <x:c r="J1536" s="23" t="str">
        <x:v>spot</x:v>
      </x:c>
      <x:c r="K1536" s="23" t="str">
        <x:v>favored_only</x:v>
      </x:c>
      <x:c r="L1536" s="24" t="b">
        <x:v>1</x:v>
      </x:c>
      <x:c r="M1536" s="23" t="n">
        <x:v>1</x:v>
      </x:c>
      <x:c r="N1536" s="28" t="n">
        <x:v>46219.812988715275</x:v>
      </x:c>
      <x:c r="O1536" s="28" t="n">
        <x:v>46219.812988715275</x:v>
      </x:c>
      <x:c r="P1536" s="23" t="str">
        <x:v>MARILIA</x:v>
      </x:c>
      <x:c r="Q1536" s="30" t="n">
        <x:v>38538</x:v>
      </x:c>
      <x:c r="R1536" s="22" t="str">
        <x:f>"146694152"</x:f>
        <x:v>146694152</x:v>
      </x:c>
      <x:c r="S1536" s="23" t="str">
        <x:v>feminino</x:v>
      </x:c>
      <x:c r="T1536" s="22" t="str">
        <x:f>"BRY3D05"</x:f>
        <x:v>BRY3D05</x:v>
      </x:c>
      <x:c r="U1536" s="23" t="str">
        <x:v>MARA ADRIANA MARCUSSO</x:v>
      </x:c>
      <x:c r="V1536" s="22" t="str">
        <x:f>"066.612.619-43"</x:f>
        <x:v>066.612.619-43</x:v>
      </x:c>
      <x:c r="W1536" s="22" t="str">
        <x:f>"06661261943"</x:f>
        <x:v>06661261943</x:v>
      </x:c>
      <x:c r="X1536" s="23" t="str">
        <x:v>maramarcusso@gmail.com</x:v>
      </x:c>
      <x:c r="Y1536" s="22" t="str">
        <x:f>"+55 43 9984-1399"</x:f>
        <x:v>+55 43 9984-1399</x:v>
      </x:c>
      <x:c r="Z1536" s="30" t="n">
        <x:v>46554</x:v>
      </x:c>
    </x:row>
    <x:row r="1537" ht="18" customHeight="1">
      <x:c r="A1537" s="22" t="str">
        <x:f>"a4a650ff-8009-4cf3-872f-aae7262eb55c"</x:f>
        <x:v>a4a650ff-8009-4cf3-872f-aae7262eb55c</x:v>
      </x:c>
      <x:c r="B1537" s="23" t="str">
        <x:v>HELOISA HELENA DA CRUZ DA SILVA</x:v>
      </x:c>
      <x:c r="C1537" s="23" t="str">
        <x:v>heloisa helena da cruz da silva</x:v>
      </x:c>
      <x:c r="D1537" s="22" t="str">
        <x:f>"66.331.527/0001-07"</x:f>
        <x:v>66.331.527/0001-07</x:v>
      </x:c>
      <x:c r="E1537" s="22" t="str">
        <x:f>"66331527000107"</x:f>
        <x:v>66331527000107</x:v>
      </x:c>
      <x:c r="F1537" s="22" t="str">
        <x:f>"100.558.647-08"</x:f>
        <x:v>100.558.647-08</x:v>
      </x:c>
      <x:c r="G1537" s="22" t="str">
        <x:f>"10055864708"</x:f>
        <x:v>10055864708</x:v>
      </x:c>
      <x:c r="H1537" s="23" t="str">
        <x:v>heloisa.cruz@gmail.com</x:v>
      </x:c>
      <x:c r="I1537" s="22" t="str">
        <x:f>"21992552944"</x:f>
        <x:v>21992552944</x:v>
      </x:c>
      <x:c r="J1537" s="23" t="str">
        <x:v>SPOT</x:v>
      </x:c>
      <x:c r="K1537" s="23" t="str">
        <x:v>favored_only</x:v>
      </x:c>
      <x:c r="L1537" s="24" t="b">
        <x:v>1</x:v>
      </x:c>
      <x:c r="M1537" s="23" t="n">
        <x:v>1</x:v>
      </x:c>
      <x:c r="N1537" s="28" t="n">
        <x:v>46219.812988715275</x:v>
      </x:c>
      <x:c r="O1537" s="28" t="n">
        <x:v>46219.812988715275</x:v>
      </x:c>
      <x:c r="P1537" s="23" t="str">
        <x:v>CORDOVIL</x:v>
      </x:c>
      <x:c r="Q1537" s="30" t="n">
        <x:v>30326</x:v>
      </x:c>
      <x:c r="R1537" s="22" t="str">
        <x:f>"278816483"</x:f>
        <x:v>278816483</x:v>
      </x:c>
      <x:c r="S1537" s="23" t="str">
        <x:v>feminino</x:v>
      </x:c>
      <x:c r="T1537" s="22" t="str">
        <x:f>"KQU8545"</x:f>
        <x:v>KQU8545</x:v>
      </x:c>
      <x:c r="U1537" s="23" t="str">
        <x:v>HELOISA HELENA DA CRUZ DA SILVA</x:v>
      </x:c>
      <x:c r="V1537" s="22" t="str">
        <x:f>"100.558.647-08"</x:f>
        <x:v>100.558.647-08</x:v>
      </x:c>
      <x:c r="W1537" s="22" t="str">
        <x:f>"10055864708"</x:f>
        <x:v>10055864708</x:v>
      </x:c>
      <x:c r="X1537" s="23" t="str">
        <x:v>heloisa.cruz@gmail.com</x:v>
      </x:c>
      <x:c r="Y1537" s="22" t="str">
        <x:f>"21992552944"</x:f>
        <x:v>21992552944</x:v>
      </x:c>
      <x:c r="Z1537" s="30" t="n">
        <x:v>46539</x:v>
      </x:c>
    </x:row>
    <x:row r="1538" ht="18" customHeight="1">
      <x:c r="A1538" s="22" t="str">
        <x:f>"2784ff91-0a84-4dc4-896c-62d15917dee9"</x:f>
        <x:v>2784ff91-0a84-4dc4-896c-62d15917dee9</x:v>
      </x:c>
      <x:c r="B1538" s="23" t="str">
        <x:v>HEMILLY VITORIA GONCALVES JACOB</x:v>
      </x:c>
      <x:c r="C1538" s="23" t="str">
        <x:v>hemilly vitoria goncalves jacob</x:v>
      </x:c>
      <x:c r="D1538" s="22" t="str">
        <x:f>"00.008.640/8189-38"</x:f>
        <x:v>00.008.640/8189-38</x:v>
      </x:c>
      <x:c r="E1538" s="22" t="str">
        <x:f>"00008640818938"</x:f>
        <x:v>00008640818938</x:v>
      </x:c>
      <x:c r="F1538" s="22" t="str">
        <x:f>"037.217.121-45"</x:f>
        <x:v>037.217.121-45</x:v>
      </x:c>
      <x:c r="G1538" s="22" t="str">
        <x:f>"03721712145"</x:f>
        <x:v>03721712145</x:v>
      </x:c>
      <x:c r="H1538" s="23" t="str">
        <x:v>hemillyjacob@gmail.com</x:v>
      </x:c>
      <x:c r="I1538" s="22" t="str">
        <x:f>"6496102178"</x:f>
        <x:v>6496102178</x:v>
      </x:c>
      <x:c r="J1538" s="23" t="str">
        <x:v>SPOT</x:v>
      </x:c>
      <x:c r="K1538" s="23" t="str">
        <x:v>favored_only</x:v>
      </x:c>
      <x:c r="L1538" s="24" t="b">
        <x:v>1</x:v>
      </x:c>
      <x:c r="M1538" s="23" t="n">
        <x:v>1</x:v>
      </x:c>
      <x:c r="N1538" s="28" t="n">
        <x:v>46203.9218771875</x:v>
      </x:c>
      <x:c r="O1538" s="28" t="n">
        <x:v>46219.812988715275</x:v>
      </x:c>
      <x:c r="P1538" s="23" t="str">
        <x:v>CHAPADÃO DO SUL</x:v>
      </x:c>
      <x:c r="Q1538" s="30" t="n">
        <x:v>38611</x:v>
      </x:c>
      <x:c r="R1538" s="22" t="str">
        <x:f>"8216080"</x:f>
        <x:v>8216080</x:v>
      </x:c>
      <x:c r="S1538" s="23" t="str">
        <x:v>feminino</x:v>
      </x:c>
      <x:c r="T1538" s="22" t="str">
        <x:f>"PRZ2B45"</x:f>
        <x:v>PRZ2B45</x:v>
      </x:c>
      <x:c r="U1538" s="23" t="str">
        <x:v>HEMILLY VITORIA GONCALVES JACOB</x:v>
      </x:c>
      <x:c r="V1538" s="22" t="str">
        <x:f>"037.217.121-45"</x:f>
        <x:v>037.217.121-45</x:v>
      </x:c>
      <x:c r="W1538" s="22" t="str">
        <x:f>"03721712145"</x:f>
        <x:v>03721712145</x:v>
      </x:c>
      <x:c r="X1538" s="23" t="str">
        <x:v>hemillyjacob@gmail.com</x:v>
      </x:c>
      <x:c r="Y1538" s="22" t="str">
        <x:f>"6496102178"</x:f>
        <x:v>6496102178</x:v>
      </x:c>
      <x:c r="Z1538" s="30" t="n">
        <x:v>46305</x:v>
      </x:c>
    </x:row>
    <x:row r="1539" ht="18" customHeight="1">
      <x:c r="A1539" s="22" t="str">
        <x:f>"e30451d6-4d26-4d18-9b71-4ea026cb5153"</x:f>
        <x:v>e30451d6-4d26-4d18-9b71-4ea026cb5153</x:v>
      </x:c>
      <x:c r="B1539" s="23" t="str">
        <x:v>HENDERSON LEONARDO DE SOUZA LOCATELLI</x:v>
      </x:c>
      <x:c r="C1539" s="23" t="str">
        <x:v>henderson leonardo de souza locatelli</x:v>
      </x:c>
      <x:c r="D1539" s="22" t="str">
        <x:f>"45.979.974/0001-05"</x:f>
        <x:v>45.979.974/0001-05</x:v>
      </x:c>
      <x:c r="E1539" s="22" t="str">
        <x:f>"45979974000105"</x:f>
        <x:v>45979974000105</x:v>
      </x:c>
      <x:c r="F1539" s="22" t="str">
        <x:f>"182.401.247-04"</x:f>
        <x:v>182.401.247-04</x:v>
      </x:c>
      <x:c r="G1539" s="22" t="str">
        <x:f>"18240124704"</x:f>
        <x:v>18240124704</x:v>
      </x:c>
      <x:c r="H1539" s="23" t="str">
        <x:v>hendersonllocatelli@gmail.com</x:v>
      </x:c>
      <x:c r="I1539" s="22" t="str">
        <x:f>"21 97497-2395"</x:f>
        <x:v>21 97497-2395</x:v>
      </x:c>
      <x:c r="J1539" s="23" t="str">
        <x:v>SPOT</x:v>
      </x:c>
      <x:c r="K1539" s="23" t="str">
        <x:v>favored_only</x:v>
      </x:c>
      <x:c r="L1539" s="24" t="b">
        <x:v>1</x:v>
      </x:c>
      <x:c r="M1539" s="23" t="n">
        <x:v>1</x:v>
      </x:c>
      <x:c r="N1539" s="28" t="n">
        <x:v>46203.92189349537</x:v>
      </x:c>
      <x:c r="O1539" s="28" t="n">
        <x:v>46219.812988715275</x:v>
      </x:c>
      <x:c r="P1539" s="23" t="str">
        <x:v>CORDOVIL</x:v>
      </x:c>
      <x:c r="Q1539" s="30" t="n">
        <x:v>35913</x:v>
      </x:c>
      <x:c r="R1539" s="22" t="str">
        <x:f>"306369505"</x:f>
        <x:v>306369505</x:v>
      </x:c>
      <x:c r="S1539" s="23" t="str">
        <x:v>masculino</x:v>
      </x:c>
      <x:c r="T1539" s="22" t="str">
        <x:f>"LTS8I28"</x:f>
        <x:v>LTS8I28</x:v>
      </x:c>
      <x:c r="U1539" s="23" t="str">
        <x:v>HENDERSON LEONARDO DE SOUZA LOCATELLI</x:v>
      </x:c>
      <x:c r="V1539" s="22" t="str">
        <x:f>"182.401.247-04"</x:f>
        <x:v>182.401.247-04</x:v>
      </x:c>
      <x:c r="W1539" s="22" t="str">
        <x:f>"18240124704"</x:f>
        <x:v>18240124704</x:v>
      </x:c>
      <x:c r="X1539" s="23" t="str">
        <x:v>hendersonllocatelli@gmail.com</x:v>
      </x:c>
      <x:c r="Y1539" s="22" t="str">
        <x:f>"21 97497-2395"</x:f>
        <x:v>21 97497-2395</x:v>
      </x:c>
      <x:c r="Z1539" s="30" t="n">
        <x:v>46340</x:v>
      </x:c>
    </x:row>
    <x:row r="1540" ht="18" customHeight="1">
      <x:c r="A1540" s="22" t="str">
        <x:f>"aeb9e25b-2546-4ab8-8e53-f4fc961f4409"</x:f>
        <x:v>aeb9e25b-2546-4ab8-8e53-f4fc961f4409</x:v>
      </x:c>
      <x:c r="B1540" s="23" t="str">
        <x:v>HENRIQUE APARECIDO ALVES DE SOUZA</x:v>
      </x:c>
      <x:c r="C1540" s="23" t="str">
        <x:v>henrique aparecido alves de souza</x:v>
      </x:c>
      <x:c r="D1540" s="22" t="str">
        <x:f>"67.774.526/0001-08"</x:f>
        <x:v>67.774.526/0001-08</x:v>
      </x:c>
      <x:c r="E1540" s="22" t="str">
        <x:f>"67774526000108"</x:f>
        <x:v>67774526000108</x:v>
      </x:c>
      <x:c r="F1540" s="22" t="str">
        <x:f>"237.325.968-00"</x:f>
        <x:v>237.325.968-00</x:v>
      </x:c>
      <x:c r="G1540" s="22" t="str">
        <x:f>"23732596800"</x:f>
        <x:v>23732596800</x:v>
      </x:c>
      <x:c r="H1540" s="23" t="str">
        <x:v>henriqueaparecido550@gmail.com</x:v>
      </x:c>
      <x:c r="I1540" s="22" t="str">
        <x:f>"11981348052"</x:f>
        <x:v>11981348052</x:v>
      </x:c>
      <x:c r="J1540" s="23" t="str">
        <x:v>RENTAL</x:v>
      </x:c>
      <x:c r="K1540" s="23" t="str">
        <x:v>rental_company</x:v>
      </x:c>
      <x:c r="L1540" s="24" t="b">
        <x:v>1</x:v>
      </x:c>
      <x:c r="M1540" s="23" t="n">
        <x:v>1</x:v>
      </x:c>
      <x:c r="N1540" s="28" t="n">
        <x:v>46219.812988715275</x:v>
      </x:c>
      <x:c r="O1540" s="28" t="n">
        <x:v>46219.812988715275</x:v>
      </x:c>
      <x:c r="P1540" s="23" t="str">
        <x:v>BARUERI</x:v>
      </x:c>
      <x:c r="Q1540" s="30" t="n">
        <x:v>35256</x:v>
      </x:c>
      <x:c r="R1540" s="22" t="str">
        <x:f>"499318699"</x:f>
        <x:v>499318699</x:v>
      </x:c>
      <x:c r="S1540" s="23" t="str">
        <x:v>masculino</x:v>
      </x:c>
      <x:c r="T1540" s="22" t="str"/>
      <x:c r="U1540" s="23" t="str">
        <x:v>HENRIQUE APARECIDO ALVES DE SOUZA</x:v>
      </x:c>
      <x:c r="V1540" s="22" t="str">
        <x:f>"237.325.968-00"</x:f>
        <x:v>237.325.968-00</x:v>
      </x:c>
      <x:c r="W1540" s="22" t="str">
        <x:f>"23732596800"</x:f>
        <x:v>23732596800</x:v>
      </x:c>
      <x:c r="X1540" s="23" t="str">
        <x:v>henriqueaparecido550@gmail.com</x:v>
      </x:c>
      <x:c r="Y1540" s="22" t="str">
        <x:f>"11981348052"</x:f>
        <x:v>11981348052</x:v>
      </x:c>
      <x:c r="Z1540" s="30" t="n">
        <x:v>46569</x:v>
      </x:c>
    </x:row>
    <x:row r="1541" ht="18" customHeight="1">
      <x:c r="A1541" s="22" t="str">
        <x:f>"4fb05bb3-8f0c-45b3-a1fa-c77c36116578"</x:f>
        <x:v>4fb05bb3-8f0c-45b3-a1fa-c77c36116578</x:v>
      </x:c>
      <x:c r="B1541" s="23" t="str">
        <x:v>HENRIQUE APARECIDO DOS SANTOS</x:v>
      </x:c>
      <x:c r="C1541" s="23" t="str">
        <x:v>henrique aparecido dos santos</x:v>
      </x:c>
      <x:c r="D1541" s="22" t="str">
        <x:f>"64.821.331/0001-75"</x:f>
        <x:v>64.821.331/0001-75</x:v>
      </x:c>
      <x:c r="E1541" s="22" t="str">
        <x:f>"64821331000175"</x:f>
        <x:v>64821331000175</x:v>
      </x:c>
      <x:c r="F1541" s="22" t="str">
        <x:f>"144.562.526-18"</x:f>
        <x:v>144.562.526-18</x:v>
      </x:c>
      <x:c r="G1541" s="22" t="str">
        <x:f>"14456252618"</x:f>
        <x:v>14456252618</x:v>
      </x:c>
      <x:c r="H1541" s="23" t="str">
        <x:v>henrique.santos250c@gmail.com</x:v>
      </x:c>
      <x:c r="I1541" s="22" t="str">
        <x:f>"(35)99889-0390"</x:f>
        <x:v>(35)99889-0390</x:v>
      </x:c>
      <x:c r="J1541" s="23" t="str">
        <x:v>RENTAL</x:v>
      </x:c>
      <x:c r="K1541" s="23" t="str">
        <x:v>rental_company</x:v>
      </x:c>
      <x:c r="L1541" s="24" t="b">
        <x:v>1</x:v>
      </x:c>
      <x:c r="M1541" s="23" t="n">
        <x:v>1</x:v>
      </x:c>
      <x:c r="N1541" s="28" t="n">
        <x:v>46219.812988715275</x:v>
      </x:c>
      <x:c r="O1541" s="28" t="n">
        <x:v>46219.812988715275</x:v>
      </x:c>
      <x:c r="P1541" s="23" t="str">
        <x:v>POUSO ALEGRE</x:v>
      </x:c>
      <x:c r="Q1541" s="30" t="n">
        <x:v>36494</x:v>
      </x:c>
      <x:c r="R1541" s="22" t="str">
        <x:f>"MG19111623 SSP MG"</x:f>
        <x:v>MG19111623 SSP MG</x:v>
      </x:c>
      <x:c r="S1541" s="23" t="str">
        <x:v>masculino</x:v>
      </x:c>
      <x:c r="T1541" s="22" t="str"/>
      <x:c r="U1541" s="23" t="str">
        <x:v>HENRIQUE APARECIDO DOS SANTOS</x:v>
      </x:c>
      <x:c r="V1541" s="22" t="str">
        <x:f>"144.562.526-18"</x:f>
        <x:v>144.562.526-18</x:v>
      </x:c>
      <x:c r="W1541" s="22" t="str">
        <x:f>"14456252618"</x:f>
        <x:v>14456252618</x:v>
      </x:c>
      <x:c r="X1541" s="23" t="str">
        <x:v>henrique.santos250c@gmail.com</x:v>
      </x:c>
      <x:c r="Y1541" s="22" t="str">
        <x:f>"(35)99889-0390"</x:f>
        <x:v>(35)99889-0390</x:v>
      </x:c>
      <x:c r="Z1541" s="30" t="n">
        <x:v>46543</x:v>
      </x:c>
    </x:row>
    <x:row r="1542" ht="18" customHeight="1">
      <x:c r="A1542" s="22" t="str">
        <x:f>"9d9e47ab-6231-4692-8306-70f4c3f8feef"</x:f>
        <x:v>9d9e47ab-6231-4692-8306-70f4c3f8feef</x:v>
      </x:c>
      <x:c r="B1542" s="23" t="str">
        <x:v>HENRIQUE CESAR OLIVEIRA SOUZA</x:v>
      </x:c>
      <x:c r="C1542" s="23" t="str">
        <x:v>henrique cesar oliveira souza</x:v>
      </x:c>
      <x:c r="D1542" s="22" t="str">
        <x:f>"21.103.987/0001-40"</x:f>
        <x:v>21.103.987/0001-40</x:v>
      </x:c>
      <x:c r="E1542" s="22" t="str">
        <x:f>"21103987000140"</x:f>
        <x:v>21103987000140</x:v>
      </x:c>
      <x:c r="F1542" s="22" t="str">
        <x:f>"108.669.166-01"</x:f>
        <x:v>108.669.166-01</x:v>
      </x:c>
      <x:c r="G1542" s="22" t="str">
        <x:f>"10866916601"</x:f>
        <x:v>10866916601</x:v>
      </x:c>
      <x:c r="H1542" s="23" t="str">
        <x:v>Henriquejornalistabh@gmail.com</x:v>
      </x:c>
      <x:c r="I1542" s="22" t="str">
        <x:f>"31992389236"</x:f>
        <x:v>31992389236</x:v>
      </x:c>
      <x:c r="J1542" s="23" t="str">
        <x:v>SPOT</x:v>
      </x:c>
      <x:c r="K1542" s="23" t="str">
        <x:v>favored_only</x:v>
      </x:c>
      <x:c r="L1542" s="24" t="b">
        <x:v>1</x:v>
      </x:c>
      <x:c r="M1542" s="23" t="n">
        <x:v>1</x:v>
      </x:c>
      <x:c r="N1542" s="28" t="n">
        <x:v>46203.92186462963</x:v>
      </x:c>
      <x:c r="O1542" s="28" t="n">
        <x:v>46219.812988715275</x:v>
      </x:c>
      <x:c r="P1542" s="23" t="str">
        <x:v>CONTAGEM</x:v>
      </x:c>
      <x:c r="Q1542" s="30" t="n">
        <x:v>33943</x:v>
      </x:c>
      <x:c r="R1542" s="22" t="str">
        <x:f>"13778464"</x:f>
        <x:v>13778464</x:v>
      </x:c>
      <x:c r="S1542" s="23" t="str">
        <x:v>masculino</x:v>
      </x:c>
      <x:c r="T1542" s="22" t="str">
        <x:f>"TXF1F52"</x:f>
        <x:v>TXF1F52</x:v>
      </x:c>
      <x:c r="U1542" s="23" t="str">
        <x:v>HENRIQUE CESAR OLIVEIRA SOUZA</x:v>
      </x:c>
      <x:c r="V1542" s="22" t="str">
        <x:f>"108.669.166-01"</x:f>
        <x:v>108.669.166-01</x:v>
      </x:c>
      <x:c r="W1542" s="22" t="str">
        <x:f>"10866916601"</x:f>
        <x:v>10866916601</x:v>
      </x:c>
      <x:c r="X1542" s="23" t="str">
        <x:v>Henriquejornalistabh@gmail.com</x:v>
      </x:c>
      <x:c r="Y1542" s="22" t="str">
        <x:f>"31992389236"</x:f>
        <x:v>31992389236</x:v>
      </x:c>
      <x:c r="Z1542" s="30" t="n">
        <x:v>46283</x:v>
      </x:c>
    </x:row>
    <x:row r="1543" ht="18" customHeight="1">
      <x:c r="A1543" s="22" t="str">
        <x:f>"c4df78b9-af5e-4c80-8207-74d850e08142"</x:f>
        <x:v>c4df78b9-af5e-4c80-8207-74d850e08142</x:v>
      </x:c>
      <x:c r="B1543" s="23" t="str">
        <x:v>HENRIQUE DE CASTRO ALVES SILVA</x:v>
      </x:c>
      <x:c r="C1543" s="23" t="str">
        <x:v>henrique de castro alves silva</x:v>
      </x:c>
      <x:c r="D1543" s="22" t="str">
        <x:f>"61.591.575/0001-10"</x:f>
        <x:v>61.591.575/0001-10</x:v>
      </x:c>
      <x:c r="E1543" s="22" t="str">
        <x:f>"61591575000110"</x:f>
        <x:v>61591575000110</x:v>
      </x:c>
      <x:c r="F1543" s="22" t="str">
        <x:f>"130.110.196-65"</x:f>
        <x:v>130.110.196-65</x:v>
      </x:c>
      <x:c r="G1543" s="22" t="str">
        <x:f>"13011019665"</x:f>
        <x:v>13011019665</x:v>
      </x:c>
      <x:c r="H1543" s="23" t="str">
        <x:v>Henriquekastro85@gmail.com</x:v>
      </x:c>
      <x:c r="I1543" s="22" t="str">
        <x:f>"17 93300-4805"</x:f>
        <x:v>17 93300-4805</x:v>
      </x:c>
      <x:c r="J1543" s="23" t="str">
        <x:v>SPOT</x:v>
      </x:c>
      <x:c r="K1543" s="23" t="str">
        <x:v>favored_only</x:v>
      </x:c>
      <x:c r="L1543" s="24" t="b">
        <x:v>1</x:v>
      </x:c>
      <x:c r="M1543" s="23" t="n">
        <x:v>1</x:v>
      </x:c>
      <x:c r="N1543" s="28" t="n">
        <x:v>46219.812988715275</x:v>
      </x:c>
      <x:c r="O1543" s="28" t="n">
        <x:v>46219.812988715275</x:v>
      </x:c>
      <x:c r="P1543" s="23" t="str">
        <x:v>BARRETOS</x:v>
      </x:c>
      <x:c r="Q1543" s="30" t="n">
        <x:v>36209</x:v>
      </x:c>
      <x:c r="R1543" s="22" t="str">
        <x:f>"19562638"</x:f>
        <x:v>19562638</x:v>
      </x:c>
      <x:c r="S1543" s="23" t="str">
        <x:v>masculino</x:v>
      </x:c>
      <x:c r="T1543" s="22" t="str">
        <x:f>"FEO4994"</x:f>
        <x:v>FEO4994</x:v>
      </x:c>
      <x:c r="U1543" s="23" t="str">
        <x:v>HENRIQUE DE CASTRO ALVES SILVA</x:v>
      </x:c>
      <x:c r="V1543" s="22" t="str">
        <x:f>"130.110.196-65"</x:f>
        <x:v>130.110.196-65</x:v>
      </x:c>
      <x:c r="W1543" s="22" t="str">
        <x:f>"13011019665"</x:f>
        <x:v>13011019665</x:v>
      </x:c>
      <x:c r="X1543" s="23" t="str">
        <x:v>Henriquekastro85@gmail.com</x:v>
      </x:c>
      <x:c r="Y1543" s="22" t="str">
        <x:f>"17 93300-4805"</x:f>
        <x:v>17 93300-4805</x:v>
      </x:c>
      <x:c r="Z1543" s="30" t="n">
        <x:v>46407</x:v>
      </x:c>
    </x:row>
    <x:row r="1544" ht="18" customHeight="1">
      <x:c r="A1544" s="22" t="str">
        <x:f>"79a982be-448e-459b-bfee-9db82f938f4e"</x:f>
        <x:v>79a982be-448e-459b-bfee-9db82f938f4e</x:v>
      </x:c>
      <x:c r="B1544" s="23" t="str">
        <x:v>HENRIQUE DOS SANTOS BARBOSA</x:v>
      </x:c>
      <x:c r="C1544" s="23" t="str">
        <x:v>henrique dos santos barbosa</x:v>
      </x:c>
      <x:c r="D1544" s="22" t="str">
        <x:f>"64.362.430/0001-36"</x:f>
        <x:v>64.362.430/0001-36</x:v>
      </x:c>
      <x:c r="E1544" s="22" t="str">
        <x:f>"64362430000136"</x:f>
        <x:v>64362430000136</x:v>
      </x:c>
      <x:c r="F1544" s="22" t="str">
        <x:f>"426.906.978-31"</x:f>
        <x:v>426.906.978-31</x:v>
      </x:c>
      <x:c r="G1544" s="22" t="str">
        <x:f>"42690697831"</x:f>
        <x:v>42690697831</x:v>
      </x:c>
      <x:c r="H1544" s="23" t="str">
        <x:v>rick.s.barbosa013@gmail.com</x:v>
      </x:c>
      <x:c r="I1544" s="22" t="str">
        <x:f>"+55 14 99665-9903"</x:f>
        <x:v>+55 14 99665-9903</x:v>
      </x:c>
      <x:c r="J1544" s="23" t="str">
        <x:v>RENTAL</x:v>
      </x:c>
      <x:c r="K1544" s="23" t="str">
        <x:v>rental_company</x:v>
      </x:c>
      <x:c r="L1544" s="24" t="b">
        <x:v>1</x:v>
      </x:c>
      <x:c r="M1544" s="23" t="n">
        <x:v>1</x:v>
      </x:c>
      <x:c r="N1544" s="28" t="n">
        <x:v>46219.812988715275</x:v>
      </x:c>
      <x:c r="O1544" s="28" t="n">
        <x:v>46219.812988715275</x:v>
      </x:c>
      <x:c r="P1544" s="23" t="str">
        <x:v>MARILIA</x:v>
      </x:c>
      <x:c r="Q1544" s="30" t="n">
        <x:v>35555</x:v>
      </x:c>
      <x:c r="R1544" s="22" t="str">
        <x:f>"49824068"</x:f>
        <x:v>49824068</x:v>
      </x:c>
      <x:c r="S1544" s="23" t="str">
        <x:v>masculino</x:v>
      </x:c>
      <x:c r="T1544" s="22" t="str"/>
      <x:c r="U1544" s="23" t="str">
        <x:v>HENRIQUE DOS SANTOS BARBOSA</x:v>
      </x:c>
      <x:c r="V1544" s="22" t="str">
        <x:f>"426.906.978-31"</x:f>
        <x:v>426.906.978-31</x:v>
      </x:c>
      <x:c r="W1544" s="22" t="str">
        <x:f>"42690697831"</x:f>
        <x:v>42690697831</x:v>
      </x:c>
      <x:c r="X1544" s="23" t="str">
        <x:v>rick.s.barbosa013@gmail.com</x:v>
      </x:c>
      <x:c r="Y1544" s="22" t="str">
        <x:f>"+55 14 99665-9903"</x:f>
        <x:v>+55 14 99665-9903</x:v>
      </x:c>
      <x:c r="Z1544" s="30" t="n">
        <x:v>46472</x:v>
      </x:c>
    </x:row>
    <x:row r="1545" ht="18" customHeight="1">
      <x:c r="A1545" s="22" t="str">
        <x:f>"8a03464e-5576-4a24-8e30-8d4bcb89d04e"</x:f>
        <x:v>8a03464e-5576-4a24-8e30-8d4bcb89d04e</x:v>
      </x:c>
      <x:c r="B1545" s="23" t="str">
        <x:v>HENRIQUE FERREIRA SILVA</x:v>
      </x:c>
      <x:c r="C1545" s="23" t="str">
        <x:v>henrique ferreira silva</x:v>
      </x:c>
      <x:c r="D1545" s="22" t="str">
        <x:f>"57.338.797/0001-59"</x:f>
        <x:v>57.338.797/0001-59</x:v>
      </x:c>
      <x:c r="E1545" s="22" t="str">
        <x:f>"57338797000159"</x:f>
        <x:v>57338797000159</x:v>
      </x:c>
      <x:c r="F1545" s="22" t="str">
        <x:f>"051.386.686-84"</x:f>
        <x:v>051.386.686-84</x:v>
      </x:c>
      <x:c r="G1545" s="22" t="str">
        <x:f>"05138668684"</x:f>
        <x:v>05138668684</x:v>
      </x:c>
      <x:c r="H1545" s="23" t="str">
        <x:v>henriqueffrazao@gmail.com</x:v>
      </x:c>
      <x:c r="I1545" s="22" t="str">
        <x:f>"(34) 9 9105 2713"</x:f>
        <x:v>(34) 9 9105 2713</x:v>
      </x:c>
      <x:c r="J1545" s="23" t="str">
        <x:v>SPOT</x:v>
      </x:c>
      <x:c r="K1545" s="23" t="str">
        <x:v>favored_only</x:v>
      </x:c>
      <x:c r="L1545" s="24" t="b">
        <x:v>1</x:v>
      </x:c>
      <x:c r="M1545" s="23" t="n">
        <x:v>1</x:v>
      </x:c>
      <x:c r="N1545" s="28" t="n">
        <x:v>46205.60621096065</x:v>
      </x:c>
      <x:c r="O1545" s="28" t="n">
        <x:v>46219.812988715275</x:v>
      </x:c>
      <x:c r="P1545" s="23" t="str">
        <x:v>UBERABA</x:v>
      </x:c>
      <x:c r="Q1545" s="30" t="n">
        <x:v>30162</x:v>
      </x:c>
      <x:c r="R1545" s="22" t="str">
        <x:f>"12044871"</x:f>
        <x:v>12044871</x:v>
      </x:c>
      <x:c r="S1545" s="23" t="str">
        <x:v>masculino</x:v>
      </x:c>
      <x:c r="T1545" s="22" t="str">
        <x:f>"AXJ1G31"</x:f>
        <x:v>AXJ1G31</x:v>
      </x:c>
      <x:c r="U1545" s="23" t="str">
        <x:v>ERIKA CASSIANA FERREIRA SILVA E SOUZA</x:v>
      </x:c>
      <x:c r="V1545" s="22" t="str">
        <x:f>"050.585.476-78"</x:f>
        <x:v>050.585.476-78</x:v>
      </x:c>
      <x:c r="W1545" s="22" t="str">
        <x:f>"05058547678"</x:f>
        <x:v>05058547678</x:v>
      </x:c>
      <x:c r="X1545" s="23" t="str">
        <x:v>erikacassianasouza@gmail.com</x:v>
      </x:c>
      <x:c r="Y1545" s="22" t="str">
        <x:f>"(34) 9 8839 9929"</x:f>
        <x:v>(34) 9 8839 9929</x:v>
      </x:c>
      <x:c r="Z1545" s="30" t="n">
        <x:v>46350</x:v>
      </x:c>
    </x:row>
    <x:row r="1546" ht="18" customHeight="1">
      <x:c r="A1546" s="22" t="str">
        <x:f>"c737dae8-9d52-44ad-b5e1-fe019fc3ada7"</x:f>
        <x:v>c737dae8-9d52-44ad-b5e1-fe019fc3ada7</x:v>
      </x:c>
      <x:c r="B1546" s="23" t="str">
        <x:v>HENRIQUE FERREIRA SILVA</x:v>
      </x:c>
      <x:c r="C1546" s="23" t="str">
        <x:v>henrique ferreira silva</x:v>
      </x:c>
      <x:c r="D1546" s="22" t="str">
        <x:f>"56.905.138/0001-94"</x:f>
        <x:v>56.905.138/0001-94</x:v>
      </x:c>
      <x:c r="E1546" s="22" t="str">
        <x:f>"56905138000194"</x:f>
        <x:v>56905138000194</x:v>
      </x:c>
      <x:c r="F1546" s="22" t="str">
        <x:f>"051.386.686-84"</x:f>
        <x:v>051.386.686-84</x:v>
      </x:c>
      <x:c r="G1546" s="22" t="str">
        <x:f>"05138668684"</x:f>
        <x:v>05138668684</x:v>
      </x:c>
      <x:c r="H1546" s="23" t="str">
        <x:v>drhenriquefrazao@gmail.com</x:v>
      </x:c>
      <x:c r="I1546" s="22" t="str">
        <x:f>"(34) 9 9105 2713"</x:f>
        <x:v>(34) 9 9105 2713</x:v>
      </x:c>
      <x:c r="J1546" s="23" t="str">
        <x:v>RENTAL</x:v>
      </x:c>
      <x:c r="K1546" s="23" t="str">
        <x:v>rental_company</x:v>
      </x:c>
      <x:c r="L1546" s="24" t="b">
        <x:v>1</x:v>
      </x:c>
      <x:c r="M1546" s="23" t="n">
        <x:v>2</x:v>
      </x:c>
      <x:c r="N1546" s="28" t="n">
        <x:v>46219.812988715275</x:v>
      </x:c>
      <x:c r="O1546" s="28" t="n">
        <x:v>46219.812988715275</x:v>
      </x:c>
      <x:c r="P1546" s="23" t="str">
        <x:v>UBERABA</x:v>
      </x:c>
      <x:c r="Q1546" s="30" t="n">
        <x:v>30162</x:v>
      </x:c>
      <x:c r="R1546" s="22" t="str">
        <x:f>"12044871"</x:f>
        <x:v>12044871</x:v>
      </x:c>
      <x:c r="S1546" s="23" t="str">
        <x:v>masculino</x:v>
      </x:c>
      <x:c r="T1546" s="22" t="str"/>
      <x:c r="U1546" s="23" t="str">
        <x:v>HENRIQUE FERREIRA SILVA</x:v>
      </x:c>
      <x:c r="V1546" s="22" t="str">
        <x:f>"051.386.686-84"</x:f>
        <x:v>051.386.686-84</x:v>
      </x:c>
      <x:c r="W1546" s="22" t="str">
        <x:f>"05138668684"</x:f>
        <x:v>05138668684</x:v>
      </x:c>
      <x:c r="X1546" s="23" t="str">
        <x:v>drhenriquefrazao@gmail.com</x:v>
      </x:c>
      <x:c r="Y1546" s="22" t="str">
        <x:f>"(34) 9 9105 2713"</x:f>
        <x:v>(34) 9 9105 2713</x:v>
      </x:c>
      <x:c r="Z1546" s="30" t="n">
        <x:v>46442</x:v>
      </x:c>
    </x:row>
    <x:row r="1547" ht="18" customHeight="1">
      <x:c r="A1547" s="22" t="str">
        <x:f>"927abdf3-17bb-49fe-a7fe-0b69db2cb66b"</x:f>
        <x:v>927abdf3-17bb-49fe-a7fe-0b69db2cb66b</x:v>
      </x:c>
      <x:c r="B1547" s="23" t="str">
        <x:v>HENRIQUE GABRIEL DE ALMEIDA</x:v>
      </x:c>
      <x:c r="C1547" s="23" t="str">
        <x:v>henrique gabriel de almeida</x:v>
      </x:c>
      <x:c r="D1547" s="22" t="str">
        <x:f>"60.407.075/0001-13"</x:f>
        <x:v>60.407.075/0001-13</x:v>
      </x:c>
      <x:c r="E1547" s="22" t="str">
        <x:f>"60407075000113"</x:f>
        <x:v>60407075000113</x:v>
      </x:c>
      <x:c r="F1547" s="22" t="str">
        <x:f>"700.986.196-08"</x:f>
        <x:v>700.986.196-08</x:v>
      </x:c>
      <x:c r="G1547" s="22" t="str">
        <x:f>"70098619608"</x:f>
        <x:v>70098619608</x:v>
      </x:c>
      <x:c r="H1547" s="23" t="str">
        <x:v>Hrcruz1533@gmail.com</x:v>
      </x:c>
      <x:c r="I1547" s="22" t="str">
        <x:f>"35991200704"</x:f>
        <x:v>35991200704</x:v>
      </x:c>
      <x:c r="J1547" s="23" t="str">
        <x:v>SPOT</x:v>
      </x:c>
      <x:c r="K1547" s="23" t="str">
        <x:v>favored_only</x:v>
      </x:c>
      <x:c r="L1547" s="24" t="b">
        <x:v>1</x:v>
      </x:c>
      <x:c r="M1547" s="23" t="n">
        <x:v>1</x:v>
      </x:c>
      <x:c r="N1547" s="28" t="n">
        <x:v>46219.812988715275</x:v>
      </x:c>
      <x:c r="O1547" s="28" t="n">
        <x:v>46219.812988715275</x:v>
      </x:c>
      <x:c r="P1547" s="23" t="str">
        <x:v>GUAXUPE</x:v>
      </x:c>
      <x:c r="Q1547" s="30" t="n">
        <x:v>37221</x:v>
      </x:c>
      <x:c r="R1547" s="22" t="str">
        <x:f>"21301818"</x:f>
        <x:v>21301818</x:v>
      </x:c>
      <x:c r="S1547" s="23" t="str">
        <x:v>masculino</x:v>
      </x:c>
      <x:c r="T1547" s="22" t="str">
        <x:f>"FPQ5I77"</x:f>
        <x:v>FPQ5I77</x:v>
      </x:c>
      <x:c r="U1547" s="23" t="str">
        <x:v>MICHAEL CARVALHO CUNHA</x:v>
      </x:c>
      <x:c r="V1547" s="22" t="str">
        <x:f>"127.444.106-40"</x:f>
        <x:v>127.444.106-40</x:v>
      </x:c>
      <x:c r="W1547" s="22" t="str">
        <x:f>"12744410640"</x:f>
        <x:v>12744410640</x:v>
      </x:c>
      <x:c r="X1547" s="23" t="str">
        <x:v>MICHAELMERCADOLIVRE21@GMAIL.COM</x:v>
      </x:c>
      <x:c r="Y1547" s="22" t="str">
        <x:f>"35 998729076"</x:f>
        <x:v>35 998729076</x:v>
      </x:c>
      <x:c r="Z1547" s="30" t="n">
        <x:v>46437</x:v>
      </x:c>
    </x:row>
    <x:row r="1548" ht="18" customHeight="1">
      <x:c r="A1548" s="22" t="str">
        <x:f>"935d8e87-8b69-4af7-8402-0ede9cf1fd5c"</x:f>
        <x:v>935d8e87-8b69-4af7-8402-0ede9cf1fd5c</x:v>
      </x:c>
      <x:c r="B1548" s="23" t="str">
        <x:v>HENRIQUE GALVAO SILVA</x:v>
      </x:c>
      <x:c r="C1548" s="23" t="str">
        <x:v>henrique galvao silva</x:v>
      </x:c>
      <x:c r="D1548" s="22" t="str">
        <x:f>"06.560.499/1000-16"</x:f>
        <x:v>06.560.499/1000-16</x:v>
      </x:c>
      <x:c r="E1548" s="22" t="str">
        <x:f>"06560499100016"</x:f>
        <x:v>06560499100016</x:v>
      </x:c>
      <x:c r="F1548" s="22" t="str">
        <x:f>"058.601.497-78"</x:f>
        <x:v>058.601.497-78</x:v>
      </x:c>
      <x:c r="G1548" s="22" t="str">
        <x:f>"05860149778"</x:f>
        <x:v>05860149778</x:v>
      </x:c>
      <x:c r="H1548" s="23" t="str">
        <x:v>galvaosilvahenrique@gmail.com</x:v>
      </x:c>
      <x:c r="I1548" s="22" t="str">
        <x:f>"21998142847"</x:f>
        <x:v>21998142847</x:v>
      </x:c>
      <x:c r="J1548" s="23" t="str">
        <x:v>SPOT</x:v>
      </x:c>
      <x:c r="K1548" s="23" t="str">
        <x:v>favored_only</x:v>
      </x:c>
      <x:c r="L1548" s="24" t="b">
        <x:v>1</x:v>
      </x:c>
      <x:c r="M1548" s="23" t="n">
        <x:v>1</x:v>
      </x:c>
      <x:c r="N1548" s="28" t="n">
        <x:v>46219.812988715275</x:v>
      </x:c>
      <x:c r="O1548" s="28" t="n">
        <x:v>46219.812988715275</x:v>
      </x:c>
      <x:c r="P1548" s="23" t="str">
        <x:v>ITABORAI</x:v>
      </x:c>
      <x:c r="Q1548" s="30" t="n">
        <x:v>33366</x:v>
      </x:c>
      <x:c r="R1548" s="22" t="str">
        <x:f>"212856033"</x:f>
        <x:v>212856033</x:v>
      </x:c>
      <x:c r="S1548" s="23" t="str">
        <x:v>masculino</x:v>
      </x:c>
      <x:c r="T1548" s="22" t="str">
        <x:f>"QXU7J64"</x:f>
        <x:v>QXU7J64</x:v>
      </x:c>
      <x:c r="U1548" s="23" t="str">
        <x:v>HENRIQUE GALVAO SILVA</x:v>
      </x:c>
      <x:c r="V1548" s="22" t="str">
        <x:f>"058.601.497-78"</x:f>
        <x:v>058.601.497-78</x:v>
      </x:c>
      <x:c r="W1548" s="22" t="str">
        <x:f>"05860149778"</x:f>
        <x:v>05860149778</x:v>
      </x:c>
      <x:c r="X1548" s="23" t="str">
        <x:v>galvaosilvahenrique@gmail.com</x:v>
      </x:c>
      <x:c r="Y1548" s="22" t="str">
        <x:f>"21998142847"</x:f>
        <x:v>21998142847</x:v>
      </x:c>
      <x:c r="Z1548" s="30" t="n">
        <x:v>46459</x:v>
      </x:c>
    </x:row>
    <x:row r="1549" ht="18" customHeight="1">
      <x:c r="A1549" s="22" t="str">
        <x:f>"34e4bc98-59b6-42fb-a7b3-54fd12da9972"</x:f>
        <x:v>34e4bc98-59b6-42fb-a7b3-54fd12da9972</x:v>
      </x:c>
      <x:c r="B1549" s="23" t="str">
        <x:v>HENRIQUE GOMES TOUGEIRO</x:v>
      </x:c>
      <x:c r="C1549" s="23" t="str">
        <x:v>henrique gomes tougeiro</x:v>
      </x:c>
      <x:c r="D1549" s="22" t="str">
        <x:f>"64.769.824/0001-03"</x:f>
        <x:v>64.769.824/0001-03</x:v>
      </x:c>
      <x:c r="E1549" s="22" t="str">
        <x:f>"64769824000103"</x:f>
        <x:v>64769824000103</x:v>
      </x:c>
      <x:c r="F1549" s="22" t="str">
        <x:f>"177.572.897-85"</x:f>
        <x:v>177.572.897-85</x:v>
      </x:c>
      <x:c r="G1549" s="22" t="str">
        <x:f>"17757289785"</x:f>
        <x:v>17757289785</x:v>
      </x:c>
      <x:c r="H1549" s="23" t="str">
        <x:v>tougeiroh@gmail.com</x:v>
      </x:c>
      <x:c r="I1549" s="22" t="str">
        <x:f>"21982857970"</x:f>
        <x:v>21982857970</x:v>
      </x:c>
      <x:c r="J1549" s="23" t="str">
        <x:v>RENTAL</x:v>
      </x:c>
      <x:c r="K1549" s="23" t="str">
        <x:v>rental_company</x:v>
      </x:c>
      <x:c r="L1549" s="24" t="b">
        <x:v>1</x:v>
      </x:c>
      <x:c r="M1549" s="23" t="n">
        <x:v>1</x:v>
      </x:c>
      <x:c r="N1549" s="28" t="n">
        <x:v>46219.812988715275</x:v>
      </x:c>
      <x:c r="O1549" s="28" t="n">
        <x:v>46219.812988715275</x:v>
      </x:c>
      <x:c r="P1549" s="23" t="str">
        <x:v>QUEIMADOS</x:v>
      </x:c>
      <x:c r="Q1549" s="30" t="n">
        <x:v>36174</x:v>
      </x:c>
      <x:c r="R1549" s="22" t="str">
        <x:f>"292370707"</x:f>
        <x:v>292370707</x:v>
      </x:c>
      <x:c r="S1549" s="23" t="str">
        <x:v>masculino</x:v>
      </x:c>
      <x:c r="T1549" s="22" t="str"/>
      <x:c r="U1549" s="23" t="str">
        <x:v>HENRIQUE GOMES TOUGEIRO</x:v>
      </x:c>
      <x:c r="V1549" s="22" t="str">
        <x:f>"177.572.897-85"</x:f>
        <x:v>177.572.897-85</x:v>
      </x:c>
      <x:c r="W1549" s="22" t="str">
        <x:f>"17757289785"</x:f>
        <x:v>17757289785</x:v>
      </x:c>
      <x:c r="X1549" s="23" t="str">
        <x:v>tougeiroh@gmail.com</x:v>
      </x:c>
      <x:c r="Y1549" s="22" t="str">
        <x:f>"21982857970"</x:f>
        <x:v>21982857970</x:v>
      </x:c>
      <x:c r="Z1549" s="30" t="n">
        <x:v>46534</x:v>
      </x:c>
    </x:row>
    <x:row r="1550" ht="18" customHeight="1">
      <x:c r="A1550" s="22" t="str">
        <x:f>"bea2dd65-72bc-41ea-83c7-9dc1d6416e7d"</x:f>
        <x:v>bea2dd65-72bc-41ea-83c7-9dc1d6416e7d</x:v>
      </x:c>
      <x:c r="B1550" s="23" t="str">
        <x:v>HENRIQUE LIMA PACHECO</x:v>
      </x:c>
      <x:c r="C1550" s="23" t="str">
        <x:v>henrique lima pacheco</x:v>
      </x:c>
      <x:c r="D1550" s="22" t="str">
        <x:f>"64.340.586/0001-16"</x:f>
        <x:v>64.340.586/0001-16</x:v>
      </x:c>
      <x:c r="E1550" s="22" t="str">
        <x:f>"64340586000116"</x:f>
        <x:v>64340586000116</x:v>
      </x:c>
      <x:c r="F1550" s="22" t="str">
        <x:f>"707.161.721-00"</x:f>
        <x:v>707.161.721-00</x:v>
      </x:c>
      <x:c r="G1550" s="22" t="str">
        <x:f>"70716172100"</x:f>
        <x:v>70716172100</x:v>
      </x:c>
      <x:c r="H1550" s="23" t="str">
        <x:v>henrique090721@gmail.com</x:v>
      </x:c>
      <x:c r="I1550" s="22" t="str">
        <x:f>"62991746365"</x:f>
        <x:v>62991746365</x:v>
      </x:c>
      <x:c r="J1550" s="23" t="str">
        <x:v>SPOT</x:v>
      </x:c>
      <x:c r="K1550" s="23" t="str">
        <x:v>favored_only</x:v>
      </x:c>
      <x:c r="L1550" s="24" t="b">
        <x:v>1</x:v>
      </x:c>
      <x:c r="M1550" s="23" t="n">
        <x:v>1</x:v>
      </x:c>
      <x:c r="N1550" s="28" t="n">
        <x:v>46219.812988715275</x:v>
      </x:c>
      <x:c r="O1550" s="28" t="n">
        <x:v>46219.812988715275</x:v>
      </x:c>
      <x:c r="P1550" s="23" t="str">
        <x:v>MOZARLANDIA</x:v>
      </x:c>
      <x:c r="Q1550" s="30" t="n">
        <x:v>36063</x:v>
      </x:c>
      <x:c r="R1550" s="22" t="str">
        <x:f>"6671540"</x:f>
        <x:v>6671540</x:v>
      </x:c>
      <x:c r="S1550" s="23" t="str">
        <x:v>masculino</x:v>
      </x:c>
      <x:c r="T1550" s="22" t="str">
        <x:f>"JHX8B45"</x:f>
        <x:v>JHX8B45</x:v>
      </x:c>
      <x:c r="U1550" s="23" t="str">
        <x:v>3A EMPREENDIMENTOS LTDA</x:v>
      </x:c>
      <x:c r="V1550" s="22" t="str">
        <x:f>"074.602.051-17"</x:f>
        <x:v>074.602.051-17</x:v>
      </x:c>
      <x:c r="W1550" s="22" t="str">
        <x:f>"07460205117"</x:f>
        <x:v>07460205117</x:v>
      </x:c>
      <x:c r="X1550" s="23" t="str">
        <x:v>Alesburger2017@gmail.com</x:v>
      </x:c>
      <x:c r="Y1550" s="22" t="str">
        <x:f>"62992955166"</x:f>
        <x:v>62992955166</x:v>
      </x:c>
      <x:c r="Z1550" s="30" t="n">
        <x:v>46560</x:v>
      </x:c>
    </x:row>
    <x:row r="1551" ht="18" customHeight="1">
      <x:c r="A1551" s="22" t="str">
        <x:f>"e20c5191-de24-454c-9295-c84b9f7c8cc7"</x:f>
        <x:v>e20c5191-de24-454c-9295-c84b9f7c8cc7</x:v>
      </x:c>
      <x:c r="B1551" s="23" t="str">
        <x:v>HENRIQUE PEREIRA PADIAL</x:v>
      </x:c>
      <x:c r="C1551" s="23" t="str">
        <x:v>henrique pereira padial</x:v>
      </x:c>
      <x:c r="D1551" s="22" t="str">
        <x:f>"53.898.528/0001-96"</x:f>
        <x:v>53.898.528/0001-96</x:v>
      </x:c>
      <x:c r="E1551" s="22" t="str">
        <x:f>"53898528000196"</x:f>
        <x:v>53898528000196</x:v>
      </x:c>
      <x:c r="F1551" s="22" t="str">
        <x:f>"077.991.269-14"</x:f>
        <x:v>077.991.269-14</x:v>
      </x:c>
      <x:c r="G1551" s="22" t="str">
        <x:f>"07799126914"</x:f>
        <x:v>07799126914</x:v>
      </x:c>
      <x:c r="H1551" s="23" t="str">
        <x:v>HENRIQUEPADIAL26@GMAIL.COM</x:v>
      </x:c>
      <x:c r="I1551" s="22" t="str">
        <x:f>"11930636641"</x:f>
        <x:v>11930636641</x:v>
      </x:c>
      <x:c r="J1551" s="23" t="str">
        <x:v>RENTAL</x:v>
      </x:c>
      <x:c r="K1551" s="23" t="str">
        <x:v>rental_company</x:v>
      </x:c>
      <x:c r="L1551" s="24" t="b">
        <x:v>1</x:v>
      </x:c>
      <x:c r="M1551" s="23" t="n">
        <x:v>1</x:v>
      </x:c>
      <x:c r="N1551" s="28" t="n">
        <x:v>46203.92183332176</x:v>
      </x:c>
      <x:c r="O1551" s="28" t="n">
        <x:v>46219.812988715275</x:v>
      </x:c>
      <x:c r="P1551" s="23" t="str">
        <x:v>MADEIRA MADEIRA</x:v>
      </x:c>
      <x:c r="Q1551" s="30" t="n">
        <x:v>33868</x:v>
      </x:c>
      <x:c r="R1551" s="22" t="str">
        <x:f>"496915496"</x:f>
        <x:v>496915496</x:v>
      </x:c>
      <x:c r="S1551" s="23" t="str">
        <x:v>masculino</x:v>
      </x:c>
      <x:c r="T1551" s="22" t="str"/>
      <x:c r="U1551" s="23" t="str">
        <x:v>HENRIQUE PEREIRA PADIAL</x:v>
      </x:c>
      <x:c r="V1551" s="22" t="str">
        <x:f>"077.991.269-14"</x:f>
        <x:v>077.991.269-14</x:v>
      </x:c>
      <x:c r="W1551" s="22" t="str">
        <x:f>"07799126914"</x:f>
        <x:v>07799126914</x:v>
      </x:c>
      <x:c r="X1551" s="23" t="str">
        <x:v>HENRIQUEPADIAL26@GMAIL.COM</x:v>
      </x:c>
      <x:c r="Y1551" s="22" t="str">
        <x:f>"11930636641"</x:f>
        <x:v>11930636641</x:v>
      </x:c>
      <x:c r="Z1551" s="30" t="n">
        <x:v>46574</x:v>
      </x:c>
    </x:row>
    <x:row r="1552" ht="18" customHeight="1">
      <x:c r="A1552" s="22" t="str">
        <x:f>"7d711bc0-360b-4d05-8f07-4c75624cd4de"</x:f>
        <x:v>7d711bc0-360b-4d05-8f07-4c75624cd4de</x:v>
      </x:c>
      <x:c r="B1552" s="23" t="str">
        <x:v>HENRIQUE QUEIROZ</x:v>
      </x:c>
      <x:c r="C1552" s="23" t="str">
        <x:v>henrique queiroz</x:v>
      </x:c>
      <x:c r="D1552" s="22" t="str">
        <x:f>"43.942.991/0001-34"</x:f>
        <x:v>43.942.991/0001-34</x:v>
      </x:c>
      <x:c r="E1552" s="22" t="str">
        <x:f>"43942991000134"</x:f>
        <x:v>43942991000134</x:v>
      </x:c>
      <x:c r="F1552" s="22" t="str">
        <x:f>"389.883.798-02"</x:f>
        <x:v>389.883.798-02</x:v>
      </x:c>
      <x:c r="G1552" s="22" t="str">
        <x:f>"38988379802"</x:f>
        <x:v>38988379802</x:v>
      </x:c>
      <x:c r="H1552" s="23" t="str">
        <x:v>queirozhenrique283@gmail.com</x:v>
      </x:c>
      <x:c r="I1552" s="22" t="str">
        <x:f>"11 99349-3326"</x:f>
        <x:v>11 99349-3326</x:v>
      </x:c>
      <x:c r="J1552" s="23" t="str">
        <x:v>RENTAL</x:v>
      </x:c>
      <x:c r="K1552" s="23" t="str">
        <x:v>rental_company</x:v>
      </x:c>
      <x:c r="L1552" s="24" t="b">
        <x:v>1</x:v>
      </x:c>
      <x:c r="M1552" s="23" t="n">
        <x:v>1</x:v>
      </x:c>
      <x:c r="N1552" s="28" t="n">
        <x:v>46219.812988715275</x:v>
      </x:c>
      <x:c r="O1552" s="28" t="n">
        <x:v>46219.812988715275</x:v>
      </x:c>
      <x:c r="P1552" s="23" t="str">
        <x:v>BARUERI</x:v>
      </x:c>
      <x:c r="Q1552" s="30" t="n">
        <x:v>33355</x:v>
      </x:c>
      <x:c r="R1552" s="22" t="str">
        <x:f>"473928371"</x:f>
        <x:v>473928371</x:v>
      </x:c>
      <x:c r="S1552" s="23" t="str">
        <x:v>masculino</x:v>
      </x:c>
      <x:c r="T1552" s="22" t="str"/>
      <x:c r="U1552" s="23" t="str">
        <x:v>HENRIQUE QUEIROZ</x:v>
      </x:c>
      <x:c r="V1552" s="22" t="str">
        <x:f>"389.883.798-02"</x:f>
        <x:v>389.883.798-02</x:v>
      </x:c>
      <x:c r="W1552" s="22" t="str">
        <x:f>"38988379802"</x:f>
        <x:v>38988379802</x:v>
      </x:c>
      <x:c r="X1552" s="23" t="str">
        <x:v>queirozhenrique283@gmail.com</x:v>
      </x:c>
      <x:c r="Y1552" s="22" t="str">
        <x:f>"11 99349-3326"</x:f>
        <x:v>11 99349-3326</x:v>
      </x:c>
      <x:c r="Z1552" s="30" t="n">
        <x:v>46583</x:v>
      </x:c>
    </x:row>
    <x:row r="1553" ht="18" customHeight="1">
      <x:c r="A1553" s="22" t="str">
        <x:f>"aac6308a-6473-4b02-8122-e61507babc47"</x:f>
        <x:v>aac6308a-6473-4b02-8122-e61507babc47</x:v>
      </x:c>
      <x:c r="B1553" s="23" t="str">
        <x:v>HENRIQUE SANTOS FERREIRA</x:v>
      </x:c>
      <x:c r="C1553" s="23" t="str">
        <x:v>henrique santos ferreira</x:v>
      </x:c>
      <x:c r="D1553" s="22" t="str">
        <x:f>"53.428.229/0001-98"</x:f>
        <x:v>53.428.229/0001-98</x:v>
      </x:c>
      <x:c r="E1553" s="22" t="str">
        <x:f>"53428229000198"</x:f>
        <x:v>53428229000198</x:v>
      </x:c>
      <x:c r="F1553" s="22" t="str">
        <x:f>"326.771.818-00"</x:f>
        <x:v>326.771.818-00</x:v>
      </x:c>
      <x:c r="G1553" s="22" t="str">
        <x:f>"32677181800"</x:f>
        <x:v>32677181800</x:v>
      </x:c>
      <x:c r="H1553" s="23" t="str">
        <x:v>Henriquesf29@gmail.com</x:v>
      </x:c>
      <x:c r="I1553" s="22" t="str">
        <x:f>"16991587937"</x:f>
        <x:v>16991587937</x:v>
      </x:c>
      <x:c r="J1553" s="23" t="str">
        <x:v>RENTAL</x:v>
      </x:c>
      <x:c r="K1553" s="23" t="str">
        <x:v>rental_company</x:v>
      </x:c>
      <x:c r="L1553" s="24" t="b">
        <x:v>1</x:v>
      </x:c>
      <x:c r="M1553" s="23" t="n">
        <x:v>1</x:v>
      </x:c>
      <x:c r="N1553" s="28" t="n">
        <x:v>46203.921887453704</x:v>
      </x:c>
      <x:c r="O1553" s="28" t="n">
        <x:v>46219.812988715275</x:v>
      </x:c>
      <x:c r="P1553" s="23" t="str">
        <x:v>RIBEIRAO PRETO</x:v>
      </x:c>
      <x:c r="Q1553" s="30" t="n">
        <x:v>35037</x:v>
      </x:c>
      <x:c r="R1553" s="22" t="str">
        <x:f>"46586482"</x:f>
        <x:v>46586482</x:v>
      </x:c>
      <x:c r="S1553" s="23" t="str">
        <x:v>masculino</x:v>
      </x:c>
      <x:c r="T1553" s="22" t="str"/>
      <x:c r="U1553" s="23" t="str">
        <x:v>HENRIQUE SANTOS FERREIRA</x:v>
      </x:c>
      <x:c r="V1553" s="22" t="str">
        <x:f>"326.771.818-00"</x:f>
        <x:v>326.771.818-00</x:v>
      </x:c>
      <x:c r="W1553" s="22" t="str">
        <x:f>"32677181800"</x:f>
        <x:v>32677181800</x:v>
      </x:c>
      <x:c r="X1553" s="23" t="str">
        <x:v>Henriquesf29@gmail.com</x:v>
      </x:c>
      <x:c r="Y1553" s="22" t="str">
        <x:f>"16991587937"</x:f>
        <x:v>16991587937</x:v>
      </x:c>
      <x:c r="Z1553" s="30" t="n">
        <x:v>46330</x:v>
      </x:c>
    </x:row>
    <x:row r="1554" ht="18" customHeight="1">
      <x:c r="A1554" s="22" t="str">
        <x:f>"00ac9abb-1916-41da-ab8d-b1ecfd525e72"</x:f>
        <x:v>00ac9abb-1916-41da-ab8d-b1ecfd525e72</x:v>
      </x:c>
      <x:c r="B1554" s="23" t="str">
        <x:v>HENZO SERGIO OLIVEIRA DA SILVA</x:v>
      </x:c>
      <x:c r="C1554" s="23" t="str">
        <x:v>henzo sergio oliveira da silva</x:v>
      </x:c>
      <x:c r="D1554" s="22" t="str">
        <x:f>"67.911.838/0001-08"</x:f>
        <x:v>67.911.838/0001-08</x:v>
      </x:c>
      <x:c r="E1554" s="22" t="str">
        <x:f>"67911838000108"</x:f>
        <x:v>67911838000108</x:v>
      </x:c>
      <x:c r="F1554" s="22" t="str">
        <x:f>"550.486.978-12"</x:f>
        <x:v>550.486.978-12</x:v>
      </x:c>
      <x:c r="G1554" s="22" t="str">
        <x:f>"55048697812"</x:f>
        <x:v>55048697812</x:v>
      </x:c>
      <x:c r="H1554" s="23" t="str">
        <x:v>henzo06oliveira@gmail.com</x:v>
      </x:c>
      <x:c r="I1554" s="22" t="str">
        <x:f>"16996279374"</x:f>
        <x:v>16996279374</x:v>
      </x:c>
      <x:c r="J1554" s="23" t="str">
        <x:v>RENTAL</x:v>
      </x:c>
      <x:c r="K1554" s="23" t="str">
        <x:v>rental_company</x:v>
      </x:c>
      <x:c r="L1554" s="24" t="b">
        <x:v>1</x:v>
      </x:c>
      <x:c r="M1554" s="23" t="n">
        <x:v>1</x:v>
      </x:c>
      <x:c r="N1554" s="28" t="n">
        <x:v>46219.812988715275</x:v>
      </x:c>
      <x:c r="O1554" s="28" t="n">
        <x:v>46219.812988715275</x:v>
      </x:c>
      <x:c r="P1554" s="23" t="str">
        <x:v>SÃO CARLOS</x:v>
      </x:c>
      <x:c r="Q1554" s="30" t="n">
        <x:v>39035</x:v>
      </x:c>
      <x:c r="R1554" s="22" t="str">
        <x:f>"646419651"</x:f>
        <x:v>646419651</x:v>
      </x:c>
      <x:c r="S1554" s="23" t="str">
        <x:v>masculino</x:v>
      </x:c>
      <x:c r="T1554" s="22" t="str"/>
      <x:c r="U1554" s="23" t="str">
        <x:v>HENZO SERGIO OLIVEIRA DA SILVA</x:v>
      </x:c>
      <x:c r="V1554" s="22" t="str">
        <x:f>"560.486.978-12"</x:f>
        <x:v>560.486.978-12</x:v>
      </x:c>
      <x:c r="W1554" s="22" t="str">
        <x:f>"56048697812"</x:f>
        <x:v>56048697812</x:v>
      </x:c>
      <x:c r="X1554" s="23" t="str">
        <x:v>henzo06oliveira@gmail.com</x:v>
      </x:c>
      <x:c r="Y1554" s="22" t="str">
        <x:f>"16996279374"</x:f>
        <x:v>16996279374</x:v>
      </x:c>
      <x:c r="Z1554" s="30" t="n">
        <x:v>46576</x:v>
      </x:c>
    </x:row>
    <x:row r="1555" ht="18" customHeight="1">
      <x:c r="A1555" s="22" t="str">
        <x:f>"f487727c-d8e8-469d-b885-0835b77b12c0"</x:f>
        <x:v>f487727c-d8e8-469d-b885-0835b77b12c0</x:v>
      </x:c>
      <x:c r="B1555" s="23" t="str">
        <x:v>HERALDO UILIAM PEREIRA</x:v>
      </x:c>
      <x:c r="C1555" s="23" t="str">
        <x:v>heraldo uiliam pereira</x:v>
      </x:c>
      <x:c r="D1555" s="22" t="str">
        <x:f>"33.224.813/0001-14"</x:f>
        <x:v>33.224.813/0001-14</x:v>
      </x:c>
      <x:c r="E1555" s="22" t="str">
        <x:f>"33224813000114"</x:f>
        <x:v>33224813000114</x:v>
      </x:c>
      <x:c r="F1555" s="22" t="str">
        <x:f>"028.912.707-62"</x:f>
        <x:v>028.912.707-62</x:v>
      </x:c>
      <x:c r="G1555" s="22" t="str">
        <x:f>"02891270762"</x:f>
        <x:v>02891270762</x:v>
      </x:c>
      <x:c r="H1555" s="23" t="str">
        <x:v>heraldopereira541@gmail.com</x:v>
      </x:c>
      <x:c r="I1555" s="22" t="str">
        <x:f>"34 8431-0177"</x:f>
        <x:v>34 8431-0177</x:v>
      </x:c>
      <x:c r="J1555" s="23" t="str">
        <x:v>spot</x:v>
      </x:c>
      <x:c r="K1555" s="23" t="str">
        <x:v>favored_only</x:v>
      </x:c>
      <x:c r="L1555" s="24" t="b">
        <x:v>1</x:v>
      </x:c>
      <x:c r="M1555" s="23" t="n">
        <x:v>1</x:v>
      </x:c>
      <x:c r="N1555" s="28" t="n">
        <x:v>46219.812988715275</x:v>
      </x:c>
      <x:c r="O1555" s="28" t="n">
        <x:v>46219.812988715275</x:v>
      </x:c>
      <x:c r="P1555" s="23" t="str">
        <x:v>ARAXÁ</x:v>
      </x:c>
      <x:c r="Q1555" s="30" t="n">
        <x:v>26587</x:v>
      </x:c>
      <x:c r="R1555" s="22" t="str">
        <x:f>"24331970"</x:f>
        <x:v>24331970</x:v>
      </x:c>
      <x:c r="S1555" s="23" t="str">
        <x:v>masculino</x:v>
      </x:c>
      <x:c r="T1555" s="22" t="str">
        <x:f>"OQV8I02"</x:f>
        <x:v>OQV8I02</x:v>
      </x:c>
      <x:c r="U1555" s="23" t="str">
        <x:v>ALEXANDRE FIORENTINO FILHO</x:v>
      </x:c>
      <x:c r="V1555" s="22" t="str">
        <x:f>"019.808.016-65"</x:f>
        <x:v>019.808.016-65</x:v>
      </x:c>
      <x:c r="W1555" s="22" t="str">
        <x:f>"01980801665"</x:f>
        <x:v>01980801665</x:v>
      </x:c>
      <x:c r="X1555" s="23" t="str">
        <x:v>heraldopereira541@gmail.com</x:v>
      </x:c>
      <x:c r="Y1555" s="22" t="str">
        <x:f>"34991657777"</x:f>
        <x:v>34991657777</x:v>
      </x:c>
      <x:c r="Z1555" s="30" t="n">
        <x:v>46563</x:v>
      </x:c>
    </x:row>
    <x:row r="1556" ht="18" customHeight="1">
      <x:c r="A1556" s="22" t="str">
        <x:f>"accb854e-979d-4dab-9b10-b80b9c1a0bc1"</x:f>
        <x:v>accb854e-979d-4dab-9b10-b80b9c1a0bc1</x:v>
      </x:c>
      <x:c r="B1556" s="23" t="str">
        <x:v>HERBERT BAPTISTA DE SOUZA</x:v>
      </x:c>
      <x:c r="C1556" s="23" t="str">
        <x:v>herbert baptista de souza</x:v>
      </x:c>
      <x:c r="D1556" s="22" t="str">
        <x:f>"36.982.896/0001-07"</x:f>
        <x:v>36.982.896/0001-07</x:v>
      </x:c>
      <x:c r="E1556" s="22" t="str">
        <x:f>"36982896000107"</x:f>
        <x:v>36982896000107</x:v>
      </x:c>
      <x:c r="F1556" s="22" t="str">
        <x:f>"154.204.527-40"</x:f>
        <x:v>154.204.527-40</x:v>
      </x:c>
      <x:c r="G1556" s="22" t="str">
        <x:f>"15420452740"</x:f>
        <x:v>15420452740</x:v>
      </x:c>
      <x:c r="H1556" s="23" t="str">
        <x:v>heberthsousa07@gmail.com</x:v>
      </x:c>
      <x:c r="I1556" s="22" t="str">
        <x:f>"21995576952"</x:f>
        <x:v>21995576952</x:v>
      </x:c>
      <x:c r="J1556" s="23" t="str">
        <x:v>SPOT</x:v>
      </x:c>
      <x:c r="K1556" s="23" t="str">
        <x:v>favored_only</x:v>
      </x:c>
      <x:c r="L1556" s="24" t="b">
        <x:v>1</x:v>
      </x:c>
      <x:c r="M1556" s="23" t="n">
        <x:v>1</x:v>
      </x:c>
      <x:c r="N1556" s="28" t="n">
        <x:v>46203.9219084375</x:v>
      </x:c>
      <x:c r="O1556" s="28" t="n">
        <x:v>46219.812988715275</x:v>
      </x:c>
      <x:c r="P1556" s="23" t="str">
        <x:v>CAMPO GRANDE</x:v>
      </x:c>
      <x:c r="Q1556" s="30" t="n">
        <x:v>36623</x:v>
      </x:c>
      <x:c r="R1556" s="22" t="str">
        <x:f>"312576259"</x:f>
        <x:v>312576259</x:v>
      </x:c>
      <x:c r="S1556" s="23" t="str">
        <x:v>masculino</x:v>
      </x:c>
      <x:c r="T1556" s="22" t="str">
        <x:f>"KPA9513"</x:f>
        <x:v>KPA9513</x:v>
      </x:c>
      <x:c r="U1556" s="23" t="str">
        <x:v>HERBERT BAPTISTA DE SOUZA</x:v>
      </x:c>
      <x:c r="V1556" s="22" t="str">
        <x:f>"154.204.527-40"</x:f>
        <x:v>154.204.527-40</x:v>
      </x:c>
      <x:c r="W1556" s="22" t="str">
        <x:f>"15420452740"</x:f>
        <x:v>15420452740</x:v>
      </x:c>
      <x:c r="X1556" s="23" t="str">
        <x:v>heberthsousa07@gmail.com</x:v>
      </x:c>
      <x:c r="Y1556" s="22" t="str">
        <x:f>"21995576952"</x:f>
        <x:v>21995576952</x:v>
      </x:c>
      <x:c r="Z1556" s="30" t="n">
        <x:v>46400</x:v>
      </x:c>
    </x:row>
    <x:row r="1557" ht="18" customHeight="1">
      <x:c r="A1557" s="22" t="str">
        <x:f>"990a4f7d-f42a-43d1-bce8-71eb0b6043c7"</x:f>
        <x:v>990a4f7d-f42a-43d1-bce8-71eb0b6043c7</x:v>
      </x:c>
      <x:c r="B1557" s="23" t="str">
        <x:v>HERBERT WILLIAN SANTANA PINTO</x:v>
      </x:c>
      <x:c r="C1557" s="23" t="str">
        <x:v>herbert willian santana pinto</x:v>
      </x:c>
      <x:c r="D1557" s="22" t="str">
        <x:f>"52.810.123/0001-91"</x:f>
        <x:v>52.810.123/0001-91</x:v>
      </x:c>
      <x:c r="E1557" s="22" t="str">
        <x:f>"52810123000191"</x:f>
        <x:v>52810123000191</x:v>
      </x:c>
      <x:c r="F1557" s="22" t="str">
        <x:f>"391.732.118-18"</x:f>
        <x:v>391.732.118-18</x:v>
      </x:c>
      <x:c r="G1557" s="22" t="str">
        <x:f>"39173211818"</x:f>
        <x:v>39173211818</x:v>
      </x:c>
      <x:c r="H1557" s="23" t="str">
        <x:v>herbertwillian8@gmail.com</x:v>
      </x:c>
      <x:c r="I1557" s="22" t="str">
        <x:f>"16 993112089"</x:f>
        <x:v>16 993112089</x:v>
      </x:c>
      <x:c r="J1557" s="23" t="str">
        <x:v>RENTAL</x:v>
      </x:c>
      <x:c r="K1557" s="23" t="str">
        <x:v>rental_company</x:v>
      </x:c>
      <x:c r="L1557" s="24" t="b">
        <x:v>1</x:v>
      </x:c>
      <x:c r="M1557" s="23" t="n">
        <x:v>1</x:v>
      </x:c>
      <x:c r="N1557" s="28" t="n">
        <x:v>46203.92183017361</x:v>
      </x:c>
      <x:c r="O1557" s="28" t="n">
        <x:v>46219.812988715275</x:v>
      </x:c>
      <x:c r="P1557" s="23" t="str">
        <x:v>SÃO CARLOS</x:v>
      </x:c>
      <x:c r="Q1557" s="30" t="n">
        <x:v>32813</x:v>
      </x:c>
      <x:c r="R1557" s="22" t="str">
        <x:f>"46350841"</x:f>
        <x:v>46350841</x:v>
      </x:c>
      <x:c r="S1557" s="23" t="str">
        <x:v>masculino</x:v>
      </x:c>
      <x:c r="T1557" s="22" t="str"/>
      <x:c r="U1557" s="23" t="str">
        <x:v>HERBERT WILLIAN SANTANA PINTO</x:v>
      </x:c>
      <x:c r="V1557" s="22" t="str">
        <x:f>"391.732.118-18"</x:f>
        <x:v>391.732.118-18</x:v>
      </x:c>
      <x:c r="W1557" s="22" t="str">
        <x:f>"39173211818"</x:f>
        <x:v>39173211818</x:v>
      </x:c>
      <x:c r="X1557" s="23" t="str">
        <x:v>herbertwillian8@gmail.com</x:v>
      </x:c>
      <x:c r="Y1557" s="22" t="str">
        <x:f>"16 993112089"</x:f>
        <x:v>16 993112089</x:v>
      </x:c>
      <x:c r="Z1557" s="30" t="n">
        <x:v>46525</x:v>
      </x:c>
    </x:row>
    <x:row r="1558" ht="18" customHeight="1">
      <x:c r="A1558" s="22" t="str">
        <x:f>"04047ce7-fd00-4377-972e-53dfa63370cf"</x:f>
        <x:v>04047ce7-fd00-4377-972e-53dfa63370cf</x:v>
      </x:c>
      <x:c r="B1558" s="23" t="str">
        <x:v>HERICA CONCEICAO HORA</x:v>
      </x:c>
      <x:c r="C1558" s="23" t="str">
        <x:v>herica conceicao hora</x:v>
      </x:c>
      <x:c r="D1558" s="22" t="str">
        <x:f>"66.241.923/0001-43"</x:f>
        <x:v>66.241.923/0001-43</x:v>
      </x:c>
      <x:c r="E1558" s="22" t="str">
        <x:f>"66241923000143"</x:f>
        <x:v>66241923000143</x:v>
      </x:c>
      <x:c r="F1558" s="22" t="str">
        <x:f>"098.013.297-50"</x:f>
        <x:v>098.013.297-50</x:v>
      </x:c>
      <x:c r="G1558" s="22" t="str">
        <x:f>"09801329750"</x:f>
        <x:v>09801329750</x:v>
      </x:c>
      <x:c r="H1558" s="23" t="str">
        <x:v>hericachp@gmail.com</x:v>
      </x:c>
      <x:c r="I1558" s="22" t="str">
        <x:f>"21 96464-1131"</x:f>
        <x:v>21 96464-1131</x:v>
      </x:c>
      <x:c r="J1558" s="23" t="str">
        <x:v>SPOT</x:v>
      </x:c>
      <x:c r="K1558" s="23" t="str">
        <x:v>favored_only</x:v>
      </x:c>
      <x:c r="L1558" s="24" t="b">
        <x:v>1</x:v>
      </x:c>
      <x:c r="M1558" s="23" t="n">
        <x:v>1</x:v>
      </x:c>
      <x:c r="N1558" s="28" t="n">
        <x:v>46219.812988715275</x:v>
      </x:c>
      <x:c r="O1558" s="28" t="n">
        <x:v>46219.812988715275</x:v>
      </x:c>
      <x:c r="P1558" s="23" t="str">
        <x:v>ITABORAI</x:v>
      </x:c>
      <x:c r="Q1558" s="30" t="n">
        <x:v>30715</x:v>
      </x:c>
      <x:c r="R1558" s="22" t="str">
        <x:f>"020193560-8"</x:f>
        <x:v>020193560-8</x:v>
      </x:c>
      <x:c r="S1558" s="23" t="str">
        <x:v>masculino</x:v>
      </x:c>
      <x:c r="T1558" s="22" t="str">
        <x:f>"KNY8I64"</x:f>
        <x:v>KNY8I64</x:v>
      </x:c>
      <x:c r="U1558" s="23" t="str">
        <x:v>HERICA CONCEICAO HORA</x:v>
      </x:c>
      <x:c r="V1558" s="22" t="str">
        <x:f>"098.013.297-50"</x:f>
        <x:v>098.013.297-50</x:v>
      </x:c>
      <x:c r="W1558" s="22" t="str">
        <x:f>"09801329750"</x:f>
        <x:v>09801329750</x:v>
      </x:c>
      <x:c r="X1558" s="23" t="str">
        <x:v>hericachp@gmail.com</x:v>
      </x:c>
      <x:c r="Y1558" s="22" t="str">
        <x:f>"21 96464-1131"</x:f>
        <x:v>21 96464-1131</x:v>
      </x:c>
      <x:c r="Z1558" s="30" t="n">
        <x:v>46498</x:v>
      </x:c>
    </x:row>
    <x:row r="1559" ht="18" customHeight="1">
      <x:c r="A1559" s="22" t="str">
        <x:f>"96447a99-26c9-4118-a08e-36e546927f14"</x:f>
        <x:v>96447a99-26c9-4118-a08e-36e546927f14</x:v>
      </x:c>
      <x:c r="B1559" s="23" t="str">
        <x:v>HERMES FERNANDO MATIAS MENDES</x:v>
      </x:c>
      <x:c r="C1559" s="23" t="str">
        <x:v>hermes fernando matias mendes</x:v>
      </x:c>
      <x:c r="D1559" s="22" t="str">
        <x:f>"46.320.154/0001-61"</x:f>
        <x:v>46.320.154/0001-61</x:v>
      </x:c>
      <x:c r="E1559" s="22" t="str">
        <x:f>"46320154000161"</x:f>
        <x:v>46320154000161</x:v>
      </x:c>
      <x:c r="F1559" s="22" t="str">
        <x:f>"223.993.958-32"</x:f>
        <x:v>223.993.958-32</x:v>
      </x:c>
      <x:c r="G1559" s="22" t="str">
        <x:f>"22399395832"</x:f>
        <x:v>22399395832</x:v>
      </x:c>
      <x:c r="H1559" s="23" t="str">
        <x:v>hermesmendes82@gmail.com</x:v>
      </x:c>
      <x:c r="I1559" s="22" t="str">
        <x:f>"(16) 99778-9452"</x:f>
        <x:v>(16) 99778-9452</x:v>
      </x:c>
      <x:c r="J1559" s="23" t="str">
        <x:v>SPOT</x:v>
      </x:c>
      <x:c r="K1559" s="23" t="str">
        <x:v>favored_only</x:v>
      </x:c>
      <x:c r="L1559" s="24" t="b">
        <x:v>1</x:v>
      </x:c>
      <x:c r="M1559" s="23" t="n">
        <x:v>1</x:v>
      </x:c>
      <x:c r="N1559" s="28" t="n">
        <x:v>46203.9218771875</x:v>
      </x:c>
      <x:c r="O1559" s="28" t="n">
        <x:v>46219.812988715275</x:v>
      </x:c>
      <x:c r="P1559" s="23" t="str">
        <x:v>SÃO CARLOS</x:v>
      </x:c>
      <x:c r="Q1559" s="30" t="n">
        <x:v>30145</x:v>
      </x:c>
      <x:c r="R1559" s="22" t="str">
        <x:f>"28.079.420-4"</x:f>
        <x:v>28.079.420-4</x:v>
      </x:c>
      <x:c r="S1559" s="23" t="str">
        <x:v>masculino</x:v>
      </x:c>
      <x:c r="T1559" s="22" t="str">
        <x:f>"QNR9A44"</x:f>
        <x:v>QNR9A44</x:v>
      </x:c>
      <x:c r="U1559" s="23" t="str">
        <x:v>HERMES FERNANDO MATIAS MENDES</x:v>
      </x:c>
      <x:c r="V1559" s="22" t="str">
        <x:f>"223.993.958-32"</x:f>
        <x:v>223.993.958-32</x:v>
      </x:c>
      <x:c r="W1559" s="22" t="str">
        <x:f>"22399395832"</x:f>
        <x:v>22399395832</x:v>
      </x:c>
      <x:c r="X1559" s="23" t="str">
        <x:v>hermesmendes82@gmail.com</x:v>
      </x:c>
      <x:c r="Y1559" s="22" t="str">
        <x:f>"(16) 99778-9452"</x:f>
        <x:v>(16) 99778-9452</x:v>
      </x:c>
      <x:c r="Z1559" s="30" t="n">
        <x:v>46305</x:v>
      </x:c>
    </x:row>
    <x:row r="1560" ht="18" customHeight="1">
      <x:c r="A1560" s="22" t="str">
        <x:f>"568a0b73-91ae-4078-b94a-9f6d43a05652"</x:f>
        <x:v>568a0b73-91ae-4078-b94a-9f6d43a05652</x:v>
      </x:c>
      <x:c r="B1560" s="23" t="str">
        <x:v>HIAGO MATHEUS CABRERA</x:v>
      </x:c>
      <x:c r="C1560" s="23" t="str">
        <x:v>hiago matheus cabrera</x:v>
      </x:c>
      <x:c r="D1560" s="22" t="str">
        <x:f>"66.063.263/0001-58"</x:f>
        <x:v>66.063.263/0001-58</x:v>
      </x:c>
      <x:c r="E1560" s="22" t="str">
        <x:f>"66063263000158"</x:f>
        <x:v>66063263000158</x:v>
      </x:c>
      <x:c r="F1560" s="22" t="str">
        <x:f>"417.732.978-99"</x:f>
        <x:v>417.732.978-99</x:v>
      </x:c>
      <x:c r="G1560" s="22" t="str">
        <x:f>"41773297899"</x:f>
        <x:v>41773297899</x:v>
      </x:c>
      <x:c r="H1560" s="23" t="str">
        <x:v>cabrerahiago@gmail.com</x:v>
      </x:c>
      <x:c r="I1560" s="22" t="str">
        <x:f>"1698877-3219"</x:f>
        <x:v>1698877-3219</x:v>
      </x:c>
      <x:c r="J1560" s="23" t="str">
        <x:v>RENTALS</x:v>
      </x:c>
      <x:c r="K1560" s="23" t="str">
        <x:v>rental_company</x:v>
      </x:c>
      <x:c r="L1560" s="24" t="b">
        <x:v>1</x:v>
      </x:c>
      <x:c r="M1560" s="23" t="n">
        <x:v>1</x:v>
      </x:c>
      <x:c r="N1560" s="28" t="n">
        <x:v>46219.812988715275</x:v>
      </x:c>
      <x:c r="O1560" s="28" t="n">
        <x:v>46219.812988715275</x:v>
      </x:c>
      <x:c r="P1560" s="23" t="str">
        <x:v>SÃO CARLOS</x:v>
      </x:c>
      <x:c r="Q1560" s="30" t="n">
        <x:v>34196</x:v>
      </x:c>
      <x:c r="R1560" s="22" t="str">
        <x:f>"40.488.029-0"</x:f>
        <x:v>40.488.029-0</x:v>
      </x:c>
      <x:c r="S1560" s="23" t="str">
        <x:v>masculino</x:v>
      </x:c>
      <x:c r="T1560" s="22" t="str"/>
      <x:c r="U1560" s="23" t="str">
        <x:v>HIAGO MATHEUS CABRERA</x:v>
      </x:c>
      <x:c r="V1560" s="22" t="str">
        <x:f>"417.732.978-99"</x:f>
        <x:v>417.732.978-99</x:v>
      </x:c>
      <x:c r="W1560" s="22" t="str">
        <x:f>"41773297899"</x:f>
        <x:v>41773297899</x:v>
      </x:c>
      <x:c r="X1560" s="23" t="str">
        <x:v>cabrerahiago@gmail.com</x:v>
      </x:c>
      <x:c r="Y1560" s="22" t="str">
        <x:f>"1698877-3219"</x:f>
        <x:v>1698877-3219</x:v>
      </x:c>
      <x:c r="Z1560" s="30" t="n">
        <x:v>46490</x:v>
      </x:c>
    </x:row>
    <x:row r="1561" ht="18" customHeight="1">
      <x:c r="A1561" s="22" t="str">
        <x:f>"952a2043-a5b5-40e4-8c08-9bb8e9973fe2"</x:f>
        <x:v>952a2043-a5b5-40e4-8c08-9bb8e9973fe2</x:v>
      </x:c>
      <x:c r="B1561" s="23" t="str">
        <x:v>HIGHOR DA SILVA ARAUJO</x:v>
      </x:c>
      <x:c r="C1561" s="23" t="str">
        <x:v>highor da silva araujo</x:v>
      </x:c>
      <x:c r="D1561" s="22" t="str">
        <x:f>"66.347.591/0001-86"</x:f>
        <x:v>66.347.591/0001-86</x:v>
      </x:c>
      <x:c r="E1561" s="22" t="str">
        <x:f>"66347591000186"</x:f>
        <x:v>66347591000186</x:v>
      </x:c>
      <x:c r="F1561" s="22" t="str">
        <x:f>"142.439.096-60"</x:f>
        <x:v>142.439.096-60</x:v>
      </x:c>
      <x:c r="G1561" s="22" t="str">
        <x:f>"14243909660"</x:f>
        <x:v>14243909660</x:v>
      </x:c>
      <x:c r="H1561" s="23" t="str">
        <x:v>Highor.silva.araujo11@gmail.com</x:v>
      </x:c>
      <x:c r="I1561" s="22" t="str">
        <x:f>"319 7171-9989"</x:f>
        <x:v>319 7171-9989</x:v>
      </x:c>
      <x:c r="J1561" s="23" t="str">
        <x:v>SPOT</x:v>
      </x:c>
      <x:c r="K1561" s="23" t="str">
        <x:v>favored_only</x:v>
      </x:c>
      <x:c r="L1561" s="24" t="b">
        <x:v>1</x:v>
      </x:c>
      <x:c r="M1561" s="23" t="n">
        <x:v>1</x:v>
      </x:c>
      <x:c r="N1561" s="28" t="n">
        <x:v>46219.812988715275</x:v>
      </x:c>
      <x:c r="O1561" s="28" t="n">
        <x:v>46219.812988715275</x:v>
      </x:c>
      <x:c r="P1561" s="23" t="str">
        <x:v>VESPASIANO</x:v>
      </x:c>
      <x:c r="Q1561" s="30" t="n">
        <x:v>37217</x:v>
      </x:c>
      <x:c r="R1561" s="22" t="str">
        <x:f>"* RG: 20.669.887"</x:f>
        <x:v>* RG: 20.669.887</x:v>
      </x:c>
      <x:c r="S1561" s="23" t="str">
        <x:v>masculino</x:v>
      </x:c>
      <x:c r="T1561" s="22" t="str">
        <x:f>"RUV1A93"</x:f>
        <x:v>RUV1A93</x:v>
      </x:c>
      <x:c r="U1561" s="23" t="str">
        <x:v>HIGHOR DA SILVA ARAUJO</x:v>
      </x:c>
      <x:c r="V1561" s="22" t="str">
        <x:f>"142.439.096-60"</x:f>
        <x:v>142.439.096-60</x:v>
      </x:c>
      <x:c r="W1561" s="22" t="str">
        <x:f>"14243909660"</x:f>
        <x:v>14243909660</x:v>
      </x:c>
      <x:c r="X1561" s="23" t="str">
        <x:v>Highor.silva.araujo11@gmail.com</x:v>
      </x:c>
      <x:c r="Y1561" s="22" t="str">
        <x:f>"Highor.silva.araujo11@gmail.com"</x:f>
        <x:v>Highor.silva.araujo11@gmail.com</x:v>
      </x:c>
      <x:c r="Z1561" s="30" t="n">
        <x:v>46500</x:v>
      </x:c>
    </x:row>
    <x:row r="1562" ht="18" customHeight="1">
      <x:c r="A1562" s="22" t="str">
        <x:f>"a810503e-1b2a-4b2f-ad06-f7ad656ef494"</x:f>
        <x:v>a810503e-1b2a-4b2f-ad06-f7ad656ef494</x:v>
      </x:c>
      <x:c r="B1562" s="23" t="str">
        <x:v>HIGOR ALVES DE LIMA</x:v>
      </x:c>
      <x:c r="C1562" s="23" t="str">
        <x:v>higor alves de lima</x:v>
      </x:c>
      <x:c r="D1562" s="22" t="str">
        <x:f>"62.064.731/0001-58"</x:f>
        <x:v>62.064.731/0001-58</x:v>
      </x:c>
      <x:c r="E1562" s="22" t="str">
        <x:f>"62064731000158"</x:f>
        <x:v>62064731000158</x:v>
      </x:c>
      <x:c r="F1562" s="22" t="str">
        <x:f>"055.115.561-22"</x:f>
        <x:v>055.115.561-22</x:v>
      </x:c>
      <x:c r="G1562" s="22" t="str">
        <x:f>"05511556122"</x:f>
        <x:v>05511556122</x:v>
      </x:c>
      <x:c r="H1562" s="23" t="str">
        <x:v>higoralvesvalghanlima@gmail.com</x:v>
      </x:c>
      <x:c r="I1562" s="22" t="str">
        <x:f>"(65) 99917-7479"</x:f>
        <x:v>(65) 99917-7479</x:v>
      </x:c>
      <x:c r="J1562" s="23" t="str">
        <x:v>SPOT</x:v>
      </x:c>
      <x:c r="K1562" s="23" t="str">
        <x:v>favored_only</x:v>
      </x:c>
      <x:c r="L1562" s="24" t="b">
        <x:v>1</x:v>
      </x:c>
      <x:c r="M1562" s="23" t="n">
        <x:v>1</x:v>
      </x:c>
      <x:c r="N1562" s="28" t="n">
        <x:v>46203.921852962965</x:v>
      </x:c>
      <x:c r="O1562" s="28" t="n">
        <x:v>46219.812988715275</x:v>
      </x:c>
      <x:c r="P1562" s="23" t="str">
        <x:v>CUIABA</x:v>
      </x:c>
      <x:c r="Q1562" s="30" t="n">
        <x:v>35384</x:v>
      </x:c>
      <x:c r="R1562" s="22" t="str">
        <x:f>"24550230"</x:f>
        <x:v>24550230</x:v>
      </x:c>
      <x:c r="S1562" s="23" t="str">
        <x:v>masculino</x:v>
      </x:c>
      <x:c r="T1562" s="22" t="str">
        <x:f>"SIJ5A09"</x:f>
        <x:v>SIJ5A09</x:v>
      </x:c>
      <x:c r="U1562" s="23" t="str">
        <x:v>HIGOR ALVES DE LIMA</x:v>
      </x:c>
      <x:c r="V1562" s="22" t="str">
        <x:f>"055.115.561-22"</x:f>
        <x:v>055.115.561-22</x:v>
      </x:c>
      <x:c r="W1562" s="22" t="str">
        <x:f>"05511556122"</x:f>
        <x:v>05511556122</x:v>
      </x:c>
      <x:c r="X1562" s="23" t="str">
        <x:v>higoralvesvalghanlima@gmail.com</x:v>
      </x:c>
      <x:c r="Y1562" s="22" t="str">
        <x:f>"(65) 99917-7479"</x:f>
        <x:v>(65) 99917-7479</x:v>
      </x:c>
      <x:c r="Z1562" s="30" t="n">
        <x:v>46241</x:v>
      </x:c>
    </x:row>
    <x:row r="1563" ht="18" customHeight="1">
      <x:c r="A1563" s="22" t="str">
        <x:f>"b10ce679-bcd2-4bf0-bbcb-977a7166b08d"</x:f>
        <x:v>b10ce679-bcd2-4bf0-bbcb-977a7166b08d</x:v>
      </x:c>
      <x:c r="B1563" s="23" t="str">
        <x:v>HIGOR GERALDINI DA ROSA</x:v>
      </x:c>
      <x:c r="C1563" s="23" t="str">
        <x:v>higor geraldini da rosa</x:v>
      </x:c>
      <x:c r="D1563" s="22" t="str">
        <x:f>"67.872.734/0001-31"</x:f>
        <x:v>67.872.734/0001-31</x:v>
      </x:c>
      <x:c r="E1563" s="22" t="str">
        <x:f>"67872734000131"</x:f>
        <x:v>67872734000131</x:v>
      </x:c>
      <x:c r="F1563" s="22" t="str">
        <x:f>"160.330.496-75"</x:f>
        <x:v>160.330.496-75</x:v>
      </x:c>
      <x:c r="G1563" s="22" t="str">
        <x:f>"16033049675"</x:f>
        <x:v>16033049675</x:v>
      </x:c>
      <x:c r="H1563" s="23" t="str">
        <x:v>geraldihigor04@gmail.com</x:v>
      </x:c>
      <x:c r="I1563" s="22" t="str">
        <x:f>"(35)91014-6446"</x:f>
        <x:v>(35)91014-6446</x:v>
      </x:c>
      <x:c r="J1563" s="23" t="str">
        <x:v>RENTAL</x:v>
      </x:c>
      <x:c r="K1563" s="23" t="str">
        <x:v>rental_company</x:v>
      </x:c>
      <x:c r="L1563" s="24" t="b">
        <x:v>1</x:v>
      </x:c>
      <x:c r="M1563" s="23" t="n">
        <x:v>1</x:v>
      </x:c>
      <x:c r="N1563" s="28" t="n">
        <x:v>46219.812988715275</x:v>
      </x:c>
      <x:c r="O1563" s="28" t="n">
        <x:v>46219.812988715275</x:v>
      </x:c>
      <x:c r="P1563" s="23" t="str">
        <x:v>POUSO ALEGRE</x:v>
      </x:c>
      <x:c r="Q1563" s="30" t="n">
        <x:v>37330</x:v>
      </x:c>
      <x:c r="R1563" s="22" t="str">
        <x:f>"MG23770717 SSP MG"</x:f>
        <x:v>MG23770717 SSP MG</x:v>
      </x:c>
      <x:c r="S1563" s="23" t="str">
        <x:v>masculino</x:v>
      </x:c>
      <x:c r="T1563" s="22" t="str"/>
      <x:c r="U1563" s="23" t="str">
        <x:v>HIGOR GERALDINI DA ROSA</x:v>
      </x:c>
      <x:c r="V1563" s="22" t="str">
        <x:f>"160.330.496-75"</x:f>
        <x:v>160.330.496-75</x:v>
      </x:c>
      <x:c r="W1563" s="22" t="str">
        <x:f>"16033049675"</x:f>
        <x:v>16033049675</x:v>
      </x:c>
      <x:c r="X1563" s="23" t="str">
        <x:v>geraldihigor04@gmail.com</x:v>
      </x:c>
      <x:c r="Y1563" s="22" t="str">
        <x:f>"(35)91014-6446"</x:f>
        <x:v>(35)91014-6446</x:v>
      </x:c>
      <x:c r="Z1563" s="30" t="n">
        <x:v>46577</x:v>
      </x:c>
    </x:row>
    <x:row r="1564" ht="18" customHeight="1">
      <x:c r="A1564" s="22" t="str">
        <x:f>"45f47797-d2f3-4fef-a7eb-3d083fa6d1a2"</x:f>
        <x:v>45f47797-d2f3-4fef-a7eb-3d083fa6d1a2</x:v>
      </x:c>
      <x:c r="B1564" s="23" t="str">
        <x:v>HILTON SOUZA LIMA</x:v>
      </x:c>
      <x:c r="C1564" s="23" t="str">
        <x:v>hilton souza lima</x:v>
      </x:c>
      <x:c r="D1564" s="22" t="str">
        <x:f>"53.264.533/0001-47"</x:f>
        <x:v>53.264.533/0001-47</x:v>
      </x:c>
      <x:c r="E1564" s="22" t="str">
        <x:f>"53264533000147"</x:f>
        <x:v>53264533000147</x:v>
      </x:c>
      <x:c r="F1564" s="22" t="str">
        <x:f>"984.230.531-72"</x:f>
        <x:v>984.230.531-72</x:v>
      </x:c>
      <x:c r="G1564" s="22" t="str">
        <x:f>"98423053172"</x:f>
        <x:v>98423053172</x:v>
      </x:c>
      <x:c r="H1564" s="23" t="str">
        <x:v>souzahilton137@gmail.com</x:v>
      </x:c>
      <x:c r="I1564" s="22" t="str">
        <x:f>"65 9363-0548"</x:f>
        <x:v>65 9363-0548</x:v>
      </x:c>
      <x:c r="J1564" s="23" t="str">
        <x:v>SPOT</x:v>
      </x:c>
      <x:c r="K1564" s="23" t="str">
        <x:v>favored_only</x:v>
      </x:c>
      <x:c r="L1564" s="24" t="b">
        <x:v>1</x:v>
      </x:c>
      <x:c r="M1564" s="23" t="n">
        <x:v>1</x:v>
      </x:c>
      <x:c r="N1564" s="28" t="n">
        <x:v>46205.60531796296</x:v>
      </x:c>
      <x:c r="O1564" s="28" t="n">
        <x:v>46219.812988715275</x:v>
      </x:c>
      <x:c r="P1564" s="23" t="str">
        <x:v>CUIABA</x:v>
      </x:c>
      <x:c r="Q1564" s="30" t="n">
        <x:v>29726</x:v>
      </x:c>
      <x:c r="R1564" s="22" t="str">
        <x:f>"14215560"</x:f>
        <x:v>14215560</x:v>
      </x:c>
      <x:c r="S1564" s="23" t="str">
        <x:v>masculino</x:v>
      </x:c>
      <x:c r="T1564" s="22" t="str">
        <x:f>"SPT4B81"</x:f>
        <x:v>SPT4B81</x:v>
      </x:c>
      <x:c r="U1564" s="23" t="str">
        <x:v>LEONIDAS DE PINHO E SILVA</x:v>
      </x:c>
      <x:c r="V1564" s="22" t="str">
        <x:f>"692.451.851-68"</x:f>
        <x:v>692.451.851-68</x:v>
      </x:c>
      <x:c r="W1564" s="22" t="str">
        <x:f>"69245185168"</x:f>
        <x:v>69245185168</x:v>
      </x:c>
      <x:c r="X1564" s="23" t="str">
        <x:v>veloxlogisticamt@gmail.com</x:v>
      </x:c>
      <x:c r="Y1564" s="22" t="str">
        <x:f>"(65) 99632-1030"</x:f>
        <x:v>(65) 99632-1030</x:v>
      </x:c>
      <x:c r="Z1564" s="30" t="n">
        <x:v>46319</x:v>
      </x:c>
    </x:row>
    <x:row r="1565" ht="18" customHeight="1">
      <x:c r="A1565" s="22" t="str">
        <x:f>"96fe4b20-9039-4ba7-9baf-c22decae98e3"</x:f>
        <x:v>96fe4b20-9039-4ba7-9baf-c22decae98e3</x:v>
      </x:c>
      <x:c r="B1565" s="23" t="str">
        <x:v>HONORIO ISRAEL GONÇALVES PEREIRA</x:v>
      </x:c>
      <x:c r="C1565" s="23" t="str">
        <x:v>honorio israel goncalves pereira</x:v>
      </x:c>
      <x:c r="D1565" s="22" t="str">
        <x:f>"62408328000107"</x:f>
        <x:v>62408328000107</x:v>
      </x:c>
      <x:c r="E1565" s="22" t="str">
        <x:f>"62408328000107"</x:f>
        <x:v>62408328000107</x:v>
      </x:c>
      <x:c r="F1565" s="22" t="str">
        <x:f>"1247448973"</x:f>
        <x:v>1247448973</x:v>
      </x:c>
      <x:c r="G1565" s="22" t="str">
        <x:f>"1247448973"</x:f>
        <x:v>1247448973</x:v>
      </x:c>
      <x:c r="H1565" s="23" t="str">
        <x:v>mariakatiagramos@gmail.com</x:v>
      </x:c>
      <x:c r="I1565" s="22" t="str">
        <x:f>"33987080880"</x:f>
        <x:v>33987080880</x:v>
      </x:c>
      <x:c r="J1565" s="23" t="str">
        <x:v>SPOT</x:v>
      </x:c>
      <x:c r="K1565" s="23" t="str">
        <x:v>favored_only</x:v>
      </x:c>
      <x:c r="L1565" s="24" t="b">
        <x:v>1</x:v>
      </x:c>
      <x:c r="M1565" s="23" t="n">
        <x:v>1</x:v>
      </x:c>
      <x:c r="N1565" s="28" t="n">
        <x:v>46203.921858726855</x:v>
      </x:c>
      <x:c r="O1565" s="28" t="n">
        <x:v>46203.921858726855</x:v>
      </x:c>
      <x:c r="P1565" s="23" t="str"/>
      <x:c r="Q1565" s="30" t="str"/>
      <x:c r="R1565" s="22" t="str"/>
      <x:c r="S1565" s="23" t="str"/>
      <x:c r="T1565" s="22" t="str"/>
      <x:c r="U1565" s="23" t="str">
        <x:v>HONORIO ISRAEL GONÇALVES PEREIRA</x:v>
      </x:c>
      <x:c r="V1565" s="22" t="str">
        <x:f>"1247448973"</x:f>
        <x:v>1247448973</x:v>
      </x:c>
      <x:c r="W1565" s="22" t="str">
        <x:f>"1247448973"</x:f>
        <x:v>1247448973</x:v>
      </x:c>
      <x:c r="X1565" s="23" t="str">
        <x:v>mariakatiagramos@gmail.com</x:v>
      </x:c>
      <x:c r="Y1565" s="22" t="str">
        <x:f>"33987080880"</x:f>
        <x:v>33987080880</x:v>
      </x:c>
      <x:c r="Z1565" s="30" t="str"/>
    </x:row>
    <x:row r="1566" ht="18" customHeight="1">
      <x:c r="A1566" s="22" t="str">
        <x:f>"75cc6b9d-a2fd-499e-8b21-3f1b00c3be69"</x:f>
        <x:v>75cc6b9d-a2fd-499e-8b21-3f1b00c3be69</x:v>
      </x:c>
      <x:c r="B1566" s="23" t="str">
        <x:v>HUDSON DAS NEVES SANTOS</x:v>
      </x:c>
      <x:c r="C1566" s="23" t="str">
        <x:v>hudson das neves santos</x:v>
      </x:c>
      <x:c r="D1566" s="22" t="str">
        <x:f>"54.684.500/0001-19"</x:f>
        <x:v>54.684.500/0001-19</x:v>
      </x:c>
      <x:c r="E1566" s="22" t="str">
        <x:f>"54684500000119"</x:f>
        <x:v>54684500000119</x:v>
      </x:c>
      <x:c r="F1566" s="22" t="str">
        <x:f>"018.293.506-08"</x:f>
        <x:v>018.293.506-08</x:v>
      </x:c>
      <x:c r="G1566" s="22" t="str">
        <x:f>"01829350608"</x:f>
        <x:v>01829350608</x:v>
      </x:c>
      <x:c r="H1566" s="23" t="str">
        <x:v>hudsonneves1@hotmail.com</x:v>
      </x:c>
      <x:c r="I1566" s="22" t="str">
        <x:f>"31994471448"</x:f>
        <x:v>31994471448</x:v>
      </x:c>
      <x:c r="J1566" s="23" t="str">
        <x:v>RENTAL</x:v>
      </x:c>
      <x:c r="K1566" s="23" t="str">
        <x:v>rental_company</x:v>
      </x:c>
      <x:c r="L1566" s="24" t="b">
        <x:v>1</x:v>
      </x:c>
      <x:c r="M1566" s="23" t="n">
        <x:v>1</x:v>
      </x:c>
      <x:c r="N1566" s="28" t="n">
        <x:v>46203.92186888889</x:v>
      </x:c>
      <x:c r="O1566" s="28" t="n">
        <x:v>46219.812988715275</x:v>
      </x:c>
      <x:c r="P1566" s="23" t="str">
        <x:v>CONTAGEM</x:v>
      </x:c>
      <x:c r="Q1566" s="30" t="n">
        <x:v>35086</x:v>
      </x:c>
      <x:c r="R1566" s="22" t="str">
        <x:f>"19173008"</x:f>
        <x:v>19173008</x:v>
      </x:c>
      <x:c r="S1566" s="23" t="str">
        <x:v>masculino</x:v>
      </x:c>
      <x:c r="T1566" s="22" t="str"/>
      <x:c r="U1566" s="23" t="str">
        <x:v>HUDSON DAS NEVES SANTOS</x:v>
      </x:c>
      <x:c r="V1566" s="22" t="str">
        <x:f>"018.293.506-08"</x:f>
        <x:v>018.293.506-08</x:v>
      </x:c>
      <x:c r="W1566" s="22" t="str">
        <x:f>"01829350608"</x:f>
        <x:v>01829350608</x:v>
      </x:c>
      <x:c r="X1566" s="23" t="str">
        <x:v>hudsonneves1@hotmail.com</x:v>
      </x:c>
      <x:c r="Y1566" s="22" t="str">
        <x:f>"31994471448"</x:f>
        <x:v>31994471448</x:v>
      </x:c>
      <x:c r="Z1566" s="30" t="n">
        <x:v>46289</x:v>
      </x:c>
    </x:row>
    <x:row r="1567" ht="18" customHeight="1">
      <x:c r="A1567" s="22" t="str">
        <x:f>"7356d2e8-9224-4ebe-ab4c-241ae038fb48"</x:f>
        <x:v>7356d2e8-9224-4ebe-ab4c-241ae038fb48</x:v>
      </x:c>
      <x:c r="B1567" s="23" t="str">
        <x:v>HUDSON JOSE FERREIRA</x:v>
      </x:c>
      <x:c r="C1567" s="23" t="str">
        <x:v>hudson jose ferreira</x:v>
      </x:c>
      <x:c r="D1567" s="22" t="str">
        <x:f>"63.766.796/0001-08"</x:f>
        <x:v>63.766.796/0001-08</x:v>
      </x:c>
      <x:c r="E1567" s="22" t="str">
        <x:f>"63766796000108"</x:f>
        <x:v>63766796000108</x:v>
      </x:c>
      <x:c r="F1567" s="22" t="str">
        <x:f>"003.147.486-10"</x:f>
        <x:v>003.147.486-10</x:v>
      </x:c>
      <x:c r="G1567" s="22" t="str">
        <x:f>"00314748610"</x:f>
        <x:v>00314748610</x:v>
      </x:c>
      <x:c r="H1567" s="23" t="str">
        <x:v>Hudsonaraxa@hotmail.com</x:v>
      </x:c>
      <x:c r="I1567" s="22" t="str">
        <x:f>"34 8434-0311"</x:f>
        <x:v>34 8434-0311</x:v>
      </x:c>
      <x:c r="J1567" s="23" t="str">
        <x:v>SPOT</x:v>
      </x:c>
      <x:c r="K1567" s="23" t="str">
        <x:v>favored_only</x:v>
      </x:c>
      <x:c r="L1567" s="24" t="b">
        <x:v>1</x:v>
      </x:c>
      <x:c r="M1567" s="23" t="n">
        <x:v>1</x:v>
      </x:c>
      <x:c r="N1567" s="28" t="n">
        <x:v>46203.9219084375</x:v>
      </x:c>
      <x:c r="O1567" s="28" t="n">
        <x:v>46219.812988715275</x:v>
      </x:c>
      <x:c r="P1567" s="23" t="str">
        <x:v>ARAXÁ</x:v>
      </x:c>
      <x:c r="Q1567" s="30" t="n">
        <x:v>28164</x:v>
      </x:c>
      <x:c r="R1567" s="22" t="str">
        <x:f>"M7809785"</x:f>
        <x:v>M7809785</x:v>
      </x:c>
      <x:c r="S1567" s="23" t="str">
        <x:v>masculino</x:v>
      </x:c>
      <x:c r="T1567" s="22" t="str">
        <x:f>"JJF1A90"</x:f>
        <x:v>JJF1A90</x:v>
      </x:c>
      <x:c r="U1567" s="23" t="str">
        <x:v>HUDSON JOSE FERREIRA</x:v>
      </x:c>
      <x:c r="V1567" s="22" t="str">
        <x:f>"003.147.486-10"</x:f>
        <x:v>003.147.486-10</x:v>
      </x:c>
      <x:c r="W1567" s="22" t="str">
        <x:f>"00314748610"</x:f>
        <x:v>00314748610</x:v>
      </x:c>
      <x:c r="X1567" s="23" t="str">
        <x:v>Hudsonaraxa@hotmail.com</x:v>
      </x:c>
      <x:c r="Y1567" s="22" t="str">
        <x:f>"34 8434-0311"</x:f>
        <x:v>34 8434-0311</x:v>
      </x:c>
      <x:c r="Z1567" s="30" t="n">
        <x:v>46387</x:v>
      </x:c>
    </x:row>
    <x:row r="1568" ht="18" customHeight="1">
      <x:c r="A1568" s="22" t="str">
        <x:f>"d7073914-04d0-469a-8411-663d139edc4f"</x:f>
        <x:v>d7073914-04d0-469a-8411-663d139edc4f</x:v>
      </x:c>
      <x:c r="B1568" s="23" t="str">
        <x:v>HUDSON PEREIRA CARVALHO</x:v>
      </x:c>
      <x:c r="C1568" s="23" t="str">
        <x:v>hudson pereira carvalho</x:v>
      </x:c>
      <x:c r="D1568" s="22" t="str">
        <x:f>"55.126.997/0001-12"</x:f>
        <x:v>55.126.997/0001-12</x:v>
      </x:c>
      <x:c r="E1568" s="22" t="str">
        <x:f>"55126997000112"</x:f>
        <x:v>55126997000112</x:v>
      </x:c>
      <x:c r="F1568" s="22" t="str">
        <x:f>"700.246.316-04"</x:f>
        <x:v>700.246.316-04</x:v>
      </x:c>
      <x:c r="G1568" s="22" t="str">
        <x:f>"70024631604"</x:f>
        <x:v>70024631604</x:v>
      </x:c>
      <x:c r="H1568" s="23" t="str">
        <x:v>hudson57cv@gmail.co</x:v>
      </x:c>
      <x:c r="I1568" s="22" t="str">
        <x:f>"33998463528"</x:f>
        <x:v>33998463528</x:v>
      </x:c>
      <x:c r="J1568" s="23" t="str">
        <x:v>SPOT</x:v>
      </x:c>
      <x:c r="K1568" s="23" t="str">
        <x:v>favored_only</x:v>
      </x:c>
      <x:c r="L1568" s="24" t="b">
        <x:v>1</x:v>
      </x:c>
      <x:c r="M1568" s="23" t="n">
        <x:v>1</x:v>
      </x:c>
      <x:c r="N1568" s="28" t="n">
        <x:v>46205.60456275463</x:v>
      </x:c>
      <x:c r="O1568" s="28" t="n">
        <x:v>46219.812988715275</x:v>
      </x:c>
      <x:c r="P1568" s="23" t="str">
        <x:v>GUANHAES</x:v>
      </x:c>
      <x:c r="Q1568" s="30" t="n">
        <x:v>38272</x:v>
      </x:c>
      <x:c r="R1568" s="22" t="str">
        <x:f>"21089771"</x:f>
        <x:v>21089771</x:v>
      </x:c>
      <x:c r="S1568" s="23" t="str">
        <x:v>masculino</x:v>
      </x:c>
      <x:c r="T1568" s="22" t="str">
        <x:f>"PXW9A71"</x:f>
        <x:v>PXW9A71</x:v>
      </x:c>
      <x:c r="U1568" s="23" t="str">
        <x:v>THIAGO AUGUSTO PEREIRA MEDINA</x:v>
      </x:c>
      <x:c r="V1568" s="22" t="str">
        <x:f>"135.721.526-66"</x:f>
        <x:v>135.721.526-66</x:v>
      </x:c>
      <x:c r="W1568" s="22" t="str">
        <x:f>"13572152666"</x:f>
        <x:v>13572152666</x:v>
      </x:c>
      <x:c r="X1568" s="23" t="str">
        <x:v>thiagoaugustopereiramedina@gmail.com</x:v>
      </x:c>
      <x:c r="Y1568" s="22" t="str">
        <x:f>"33 988690722"</x:f>
        <x:v>33 988690722</x:v>
      </x:c>
      <x:c r="Z1568" s="30" t="n">
        <x:v>46282</x:v>
      </x:c>
    </x:row>
    <x:row r="1569" ht="18" customHeight="1">
      <x:c r="A1569" s="22" t="str">
        <x:f>"6fda8e8c-2cb5-45f6-b2b7-a7c45aaf2cca"</x:f>
        <x:v>6fda8e8c-2cb5-45f6-b2b7-a7c45aaf2cca</x:v>
      </x:c>
      <x:c r="B1569" s="23" t="str">
        <x:v>HUDSON RICARDO FERREIRA DA SILVA</x:v>
      </x:c>
      <x:c r="C1569" s="23" t="str">
        <x:v>hudson ricardo ferreira da silva</x:v>
      </x:c>
      <x:c r="D1569" s="22" t="str">
        <x:f>"52.459.549/0001-42"</x:f>
        <x:v>52.459.549/0001-42</x:v>
      </x:c>
      <x:c r="E1569" s="22" t="str">
        <x:f>"52459549000142"</x:f>
        <x:v>52459549000142</x:v>
      </x:c>
      <x:c r="F1569" s="22" t="str">
        <x:f>"094.209.426-35"</x:f>
        <x:v>094.209.426-35</x:v>
      </x:c>
      <x:c r="G1569" s="22" t="str">
        <x:f>"09420942635"</x:f>
        <x:v>09420942635</x:v>
      </x:c>
      <x:c r="H1569" s="23" t="str">
        <x:v>hudinricardo@gmail.com</x:v>
      </x:c>
      <x:c r="I1569" s="22" t="str">
        <x:f>"(34) 99725-3471"</x:f>
        <x:v>(34) 99725-3471</x:v>
      </x:c>
      <x:c r="J1569" s="23" t="str">
        <x:v>RENTAL</x:v>
      </x:c>
      <x:c r="K1569" s="23" t="str">
        <x:v>rental_company</x:v>
      </x:c>
      <x:c r="L1569" s="24" t="b">
        <x:v>1</x:v>
      </x:c>
      <x:c r="M1569" s="23" t="n">
        <x:v>1</x:v>
      </x:c>
      <x:c r="N1569" s="28" t="n">
        <x:v>46203.921824756944</x:v>
      </x:c>
      <x:c r="O1569" s="28" t="n">
        <x:v>46219.812988715275</x:v>
      </x:c>
      <x:c r="P1569" s="23" t="str">
        <x:v>UBERABA</x:v>
      </x:c>
      <x:c r="Q1569" s="30" t="n">
        <x:v>32741</x:v>
      </x:c>
      <x:c r="R1569" s="22" t="str">
        <x:f>"16122707"</x:f>
        <x:v>16122707</x:v>
      </x:c>
      <x:c r="S1569" s="23" t="str">
        <x:v>masculino</x:v>
      </x:c>
      <x:c r="T1569" s="22" t="str"/>
      <x:c r="U1569" s="23" t="str">
        <x:v>HUDSON RICARDO FERREIRA DA SILVA</x:v>
      </x:c>
      <x:c r="V1569" s="22" t="str">
        <x:f>"094.209.426-35"</x:f>
        <x:v>094.209.426-35</x:v>
      </x:c>
      <x:c r="W1569" s="22" t="str">
        <x:f>"09420942635"</x:f>
        <x:v>09420942635</x:v>
      </x:c>
      <x:c r="X1569" s="23" t="str">
        <x:v>hudinricardo@gmail.com</x:v>
      </x:c>
      <x:c r="Y1569" s="22" t="str">
        <x:f>"(34) 99725-3471"</x:f>
        <x:v>(34) 99725-3471</x:v>
      </x:c>
      <x:c r="Z1569" s="30" t="n">
        <x:v>46375</x:v>
      </x:c>
    </x:row>
    <x:row r="1570" ht="18" customHeight="1">
      <x:c r="A1570" s="22" t="str">
        <x:f>"5ea8168d-d919-4eb8-90ad-147acbfe82c7"</x:f>
        <x:v>5ea8168d-d919-4eb8-90ad-147acbfe82c7</x:v>
      </x:c>
      <x:c r="B1570" s="23" t="str">
        <x:v>HUDSON VIEIRA DE MELO</x:v>
      </x:c>
      <x:c r="C1570" s="23" t="str">
        <x:v>hudson vieira de melo</x:v>
      </x:c>
      <x:c r="D1570" s="22" t="str">
        <x:f>"58.001.428/0001-39"</x:f>
        <x:v>58.001.428/0001-39</x:v>
      </x:c>
      <x:c r="E1570" s="22" t="str">
        <x:f>"58001428000139"</x:f>
        <x:v>58001428000139</x:v>
      </x:c>
      <x:c r="F1570" s="22" t="str">
        <x:f>"009.225.651-12"</x:f>
        <x:v>009.225.651-12</x:v>
      </x:c>
      <x:c r="G1570" s="22" t="str">
        <x:f>"00922565112"</x:f>
        <x:v>00922565112</x:v>
      </x:c>
      <x:c r="H1570" s="23" t="str">
        <x:v>hudson28gyn@gmail.com</x:v>
      </x:c>
      <x:c r="I1570" s="22" t="str">
        <x:f>"62994796085"</x:f>
        <x:v>62994796085</x:v>
      </x:c>
      <x:c r="J1570" s="23" t="str">
        <x:v>SPOT</x:v>
      </x:c>
      <x:c r="K1570" s="23" t="str">
        <x:v>favored_only</x:v>
      </x:c>
      <x:c r="L1570" s="24" t="b">
        <x:v>1</x:v>
      </x:c>
      <x:c r="M1570" s="23" t="n">
        <x:v>1</x:v>
      </x:c>
      <x:c r="N1570" s="28" t="n">
        <x:v>46219.812988715275</x:v>
      </x:c>
      <x:c r="O1570" s="28" t="n">
        <x:v>46219.812988715275</x:v>
      </x:c>
      <x:c r="P1570" s="23" t="str">
        <x:v>GOIANIA</x:v>
      </x:c>
      <x:c r="Q1570" s="30" t="n">
        <x:v>31410</x:v>
      </x:c>
      <x:c r="R1570" s="22" t="str">
        <x:f>"4603154"</x:f>
        <x:v>4603154</x:v>
      </x:c>
      <x:c r="S1570" s="23" t="str">
        <x:v>masculino</x:v>
      </x:c>
      <x:c r="T1570" s="22" t="str">
        <x:f>"RNF2J64"</x:f>
        <x:v>RNF2J64</x:v>
      </x:c>
      <x:c r="U1570" s="23" t="str">
        <x:v>HUDSON VIEIRA DE MELO</x:v>
      </x:c>
      <x:c r="V1570" s="22" t="str">
        <x:f>"009.225.651-12"</x:f>
        <x:v>009.225.651-12</x:v>
      </x:c>
      <x:c r="W1570" s="22" t="str">
        <x:f>"00922565112"</x:f>
        <x:v>00922565112</x:v>
      </x:c>
      <x:c r="X1570" s="23" t="str">
        <x:v>hudson28gyn@gmail.com</x:v>
      </x:c>
      <x:c r="Y1570" s="22" t="str">
        <x:f>"62994796085"</x:f>
        <x:v>62994796085</x:v>
      </x:c>
      <x:c r="Z1570" s="30" t="n">
        <x:v>46471</x:v>
      </x:c>
    </x:row>
    <x:row r="1571" ht="18" customHeight="1">
      <x:c r="A1571" s="22" t="str">
        <x:f>"a83a7c4a-2d1c-4de0-aa7f-fd9341713445"</x:f>
        <x:v>a83a7c4a-2d1c-4de0-aa7f-fd9341713445</x:v>
      </x:c>
      <x:c r="B1571" s="23" t="str">
        <x:v>HUGO DA SILVA CARVALHO</x:v>
      </x:c>
      <x:c r="C1571" s="23" t="str">
        <x:v>hugo da silva carvalho</x:v>
      </x:c>
      <x:c r="D1571" s="22" t="str">
        <x:f>"40.274.352/0001-50"</x:f>
        <x:v>40.274.352/0001-50</x:v>
      </x:c>
      <x:c r="E1571" s="22" t="str">
        <x:f>"40274352000150"</x:f>
        <x:v>40274352000150</x:v>
      </x:c>
      <x:c r="F1571" s="22" t="str">
        <x:f>"172.453.097-60"</x:f>
        <x:v>172.453.097-60</x:v>
      </x:c>
      <x:c r="G1571" s="22" t="str">
        <x:f>"17245309760"</x:f>
        <x:v>17245309760</x:v>
      </x:c>
      <x:c r="H1571" s="23" t="str">
        <x:v>alcantaradasilvaerika@gmail.com</x:v>
      </x:c>
      <x:c r="I1571" s="22" t="str">
        <x:f>"21980849644"</x:f>
        <x:v>21980849644</x:v>
      </x:c>
      <x:c r="J1571" s="23" t="str">
        <x:v>SPOT</x:v>
      </x:c>
      <x:c r="K1571" s="23" t="str">
        <x:v>favored_only</x:v>
      </x:c>
      <x:c r="L1571" s="24" t="b">
        <x:v>1</x:v>
      </x:c>
      <x:c r="M1571" s="23" t="n">
        <x:v>1</x:v>
      </x:c>
      <x:c r="N1571" s="28" t="n">
        <x:v>46219.812988715275</x:v>
      </x:c>
      <x:c r="O1571" s="28" t="n">
        <x:v>46219.812988715275</x:v>
      </x:c>
      <x:c r="P1571" s="23" t="str">
        <x:v>QUEIMADOS</x:v>
      </x:c>
      <x:c r="Q1571" s="30" t="n">
        <x:v>35596</x:v>
      </x:c>
      <x:c r="R1571" s="22" t="str">
        <x:f>"140693030"</x:f>
        <x:v>140693030</x:v>
      </x:c>
      <x:c r="S1571" s="23" t="str">
        <x:v>masculino</x:v>
      </x:c>
      <x:c r="T1571" s="22" t="str">
        <x:f>"EPU7B49"</x:f>
        <x:v>EPU7B49</x:v>
      </x:c>
      <x:c r="U1571" s="23" t="str">
        <x:v>ERICA ALCANTARA DOS SANTOS</x:v>
      </x:c>
      <x:c r="V1571" s="22" t="str">
        <x:f>"095.530.847-02"</x:f>
        <x:v>095.530.847-02</x:v>
      </x:c>
      <x:c r="W1571" s="22" t="str">
        <x:f>"09553084702"</x:f>
        <x:v>09553084702</x:v>
      </x:c>
      <x:c r="X1571" s="23" t="str">
        <x:v>alcantaradasilvaerika@gmail.com</x:v>
      </x:c>
      <x:c r="Y1571" s="22" t="str">
        <x:f>"21969588755"</x:f>
        <x:v>21969588755</x:v>
      </x:c>
      <x:c r="Z1571" s="30" t="n">
        <x:v>46471</x:v>
      </x:c>
    </x:row>
    <x:row r="1572" ht="18" customHeight="1">
      <x:c r="A1572" s="22" t="str">
        <x:f>"7a50433a-2a54-4233-9b3d-a1e3209093b8"</x:f>
        <x:v>7a50433a-2a54-4233-9b3d-a1e3209093b8</x:v>
      </x:c>
      <x:c r="B1572" s="23" t="str">
        <x:v>HUGO DE SOUZA FRANCO</x:v>
      </x:c>
      <x:c r="C1572" s="23" t="str">
        <x:v>hugo de souza franco</x:v>
      </x:c>
      <x:c r="D1572" s="22" t="str">
        <x:f>"64.035.852/0001-05"</x:f>
        <x:v>64.035.852/0001-05</x:v>
      </x:c>
      <x:c r="E1572" s="22" t="str">
        <x:f>"64035852000105"</x:f>
        <x:v>64035852000105</x:v>
      </x:c>
      <x:c r="F1572" s="22" t="str">
        <x:f>"199.187.997-06"</x:f>
        <x:v>199.187.997-06</x:v>
      </x:c>
      <x:c r="G1572" s="22" t="str">
        <x:f>"19918799706"</x:f>
        <x:v>19918799706</x:v>
      </x:c>
      <x:c r="H1572" s="23" t="str">
        <x:v>francosouzahugo@gmail.com</x:v>
      </x:c>
      <x:c r="I1572" s="22" t="str">
        <x:f>"21 98193-1588"</x:f>
        <x:v>21 98193-1588</x:v>
      </x:c>
      <x:c r="J1572" s="23" t="str">
        <x:v>SPOT</x:v>
      </x:c>
      <x:c r="K1572" s="23" t="str">
        <x:v>favored_only</x:v>
      </x:c>
      <x:c r="L1572" s="24" t="b">
        <x:v>1</x:v>
      </x:c>
      <x:c r="M1572" s="23" t="n">
        <x:v>1</x:v>
      </x:c>
      <x:c r="N1572" s="28" t="n">
        <x:v>46205.60676059028</x:v>
      </x:c>
      <x:c r="O1572" s="28" t="n">
        <x:v>46219.812988715275</x:v>
      </x:c>
      <x:c r="P1572" s="23" t="str">
        <x:v>CORDOVIL</x:v>
      </x:c>
      <x:c r="Q1572" s="30" t="n">
        <x:v>37752</x:v>
      </x:c>
      <x:c r="R1572" s="22" t="str">
        <x:f>"291694194"</x:f>
        <x:v>291694194</x:v>
      </x:c>
      <x:c r="S1572" s="23" t="str">
        <x:v>masculino</x:v>
      </x:c>
      <x:c r="T1572" s="22" t="str">
        <x:f>"LTC3F48"</x:f>
        <x:v>LTC3F48</x:v>
      </x:c>
      <x:c r="U1572" s="23" t="str">
        <x:v>RENAN CAETANO DE SOUZA</x:v>
      </x:c>
      <x:c r="V1572" s="22" t="str">
        <x:f>"155.965.417-10"</x:f>
        <x:v>155.965.417-10</x:v>
      </x:c>
      <x:c r="W1572" s="22" t="str">
        <x:f>"15596541710"</x:f>
        <x:v>15596541710</x:v>
      </x:c>
      <x:c r="X1572" s="23" t="str">
        <x:v>rncaetano021@gmail.com</x:v>
      </x:c>
      <x:c r="Y1572" s="22" t="str">
        <x:f>"21 99348-5303"</x:f>
        <x:v>21 99348-5303</x:v>
      </x:c>
      <x:c r="Z1572" s="30" t="n">
        <x:v>46350</x:v>
      </x:c>
    </x:row>
    <x:row r="1573" ht="18" customHeight="1">
      <x:c r="A1573" s="22" t="str">
        <x:f>"d61325cd-0b35-47a0-ae1d-1bb8882ac861"</x:f>
        <x:v>d61325cd-0b35-47a0-ae1d-1bb8882ac861</x:v>
      </x:c>
      <x:c r="B1573" s="23" t="str">
        <x:v>HUGO DE SOUZA FRANCO</x:v>
      </x:c>
      <x:c r="C1573" s="23" t="str">
        <x:v>hugo de souza franco</x:v>
      </x:c>
      <x:c r="D1573" s="22" t="str">
        <x:f>"12.589.523/0001-02"</x:f>
        <x:v>12.589.523/0001-02</x:v>
      </x:c>
      <x:c r="E1573" s="22" t="str">
        <x:f>"12589523000102"</x:f>
        <x:v>12589523000102</x:v>
      </x:c>
      <x:c r="F1573" s="22" t="str">
        <x:f>"199.187.997-06"</x:f>
        <x:v>199.187.997-06</x:v>
      </x:c>
      <x:c r="G1573" s="22" t="str">
        <x:f>"19918799706"</x:f>
        <x:v>19918799706</x:v>
      </x:c>
      <x:c r="H1573" s="23" t="str">
        <x:v>francosouzahugo@gmail.com</x:v>
      </x:c>
      <x:c r="I1573" s="22" t="str">
        <x:f>"21 98193-1588"</x:f>
        <x:v>21 98193-1588</x:v>
      </x:c>
      <x:c r="J1573" s="23" t="str">
        <x:v>SPOT</x:v>
      </x:c>
      <x:c r="K1573" s="23" t="str">
        <x:v>favored_only</x:v>
      </x:c>
      <x:c r="L1573" s="24" t="b">
        <x:v>1</x:v>
      </x:c>
      <x:c r="M1573" s="23" t="n">
        <x:v>1</x:v>
      </x:c>
      <x:c r="N1573" s="28" t="n">
        <x:v>46205.60622951389</x:v>
      </x:c>
      <x:c r="O1573" s="28" t="n">
        <x:v>46219.812988715275</x:v>
      </x:c>
      <x:c r="P1573" s="23" t="str">
        <x:v>CORDOVIL</x:v>
      </x:c>
      <x:c r="Q1573" s="30" t="n">
        <x:v>48215</x:v>
      </x:c>
      <x:c r="R1573" s="22" t="str">
        <x:f>"291694194"</x:f>
        <x:v>291694194</x:v>
      </x:c>
      <x:c r="S1573" s="23" t="str">
        <x:v>masculino</x:v>
      </x:c>
      <x:c r="T1573" s="22" t="str">
        <x:f>"LTC3F48"</x:f>
        <x:v>LTC3F48</x:v>
      </x:c>
      <x:c r="U1573" s="23" t="str">
        <x:v>RAFAEL LUIZ MILITAO MOREIRA</x:v>
      </x:c>
      <x:c r="V1573" s="22" t="str">
        <x:f>"059.001.067-05"</x:f>
        <x:v>059.001.067-05</x:v>
      </x:c>
      <x:c r="W1573" s="22" t="str">
        <x:f>"05900106705"</x:f>
        <x:v>05900106705</x:v>
      </x:c>
      <x:c r="X1573" s="23" t="str">
        <x:v>francosouzahugo@gmail.com</x:v>
      </x:c>
      <x:c r="Y1573" s="22" t="str">
        <x:f>"21 98193-1588"</x:f>
        <x:v>21 98193-1588</x:v>
      </x:c>
      <x:c r="Z1573" s="30" t="n">
        <x:v>46350</x:v>
      </x:c>
    </x:row>
    <x:row r="1574" ht="18" customHeight="1">
      <x:c r="A1574" s="22" t="str">
        <x:f>"bd984492-8817-4464-aeaf-7149c4c3d112"</x:f>
        <x:v>bd984492-8817-4464-aeaf-7149c4c3d112</x:v>
      </x:c>
      <x:c r="B1574" s="23" t="str">
        <x:v>HUGO DOS SANTOS MARCELO</x:v>
      </x:c>
      <x:c r="C1574" s="23" t="str">
        <x:v>hugo dos santos marcelo</x:v>
      </x:c>
      <x:c r="D1574" s="22" t="str">
        <x:f>"64.519.270/0001-96"</x:f>
        <x:v>64.519.270/0001-96</x:v>
      </x:c>
      <x:c r="E1574" s="22" t="str">
        <x:f>"64519270000196"</x:f>
        <x:v>64519270000196</x:v>
      </x:c>
      <x:c r="F1574" s="22" t="str">
        <x:f>"406.736.328-14"</x:f>
        <x:v>406.736.328-14</x:v>
      </x:c>
      <x:c r="G1574" s="22" t="str">
        <x:f>"40673632814"</x:f>
        <x:v>40673632814</x:v>
      </x:c>
      <x:c r="H1574" s="23" t="str">
        <x:v>hugomarcelo6000@gmail.com</x:v>
      </x:c>
      <x:c r="I1574" s="22" t="str">
        <x:f>"18991509237"</x:f>
        <x:v>18991509237</x:v>
      </x:c>
      <x:c r="J1574" s="23" t="str">
        <x:v>RENTAL</x:v>
      </x:c>
      <x:c r="K1574" s="23" t="str">
        <x:v>rental_company</x:v>
      </x:c>
      <x:c r="L1574" s="24" t="b">
        <x:v>1</x:v>
      </x:c>
      <x:c r="M1574" s="23" t="n">
        <x:v>1</x:v>
      </x:c>
      <x:c r="N1574" s="28" t="n">
        <x:v>46219.812988715275</x:v>
      </x:c>
      <x:c r="O1574" s="28" t="n">
        <x:v>46219.812988715275</x:v>
      </x:c>
      <x:c r="P1574" s="23" t="str">
        <x:v>PRESIDENTE PRUDENTE</x:v>
      </x:c>
      <x:c r="Q1574" s="30" t="n">
        <x:v>39078</x:v>
      </x:c>
      <x:c r="R1574" s="22" t="str">
        <x:f>"52.559.647-1"</x:f>
        <x:v>52.559.647-1</x:v>
      </x:c>
      <x:c r="S1574" s="23" t="str">
        <x:v>masculino</x:v>
      </x:c>
      <x:c r="T1574" s="22" t="str"/>
      <x:c r="U1574" s="23" t="str">
        <x:v>HUGO DOS SANTOS MARCELO</x:v>
      </x:c>
      <x:c r="V1574" s="22" t="str">
        <x:f>"406.736.328-14"</x:f>
        <x:v>406.736.328-14</x:v>
      </x:c>
      <x:c r="W1574" s="22" t="str">
        <x:f>"40673632814"</x:f>
        <x:v>40673632814</x:v>
      </x:c>
      <x:c r="X1574" s="23" t="str">
        <x:v>hugomarcelo6000@gmail.com</x:v>
      </x:c>
      <x:c r="Y1574" s="22" t="str">
        <x:f>"18991509237"</x:f>
        <x:v>18991509237</x:v>
      </x:c>
      <x:c r="Z1574" s="30" t="n">
        <x:v>46272</x:v>
      </x:c>
    </x:row>
    <x:row r="1575" ht="18" customHeight="1">
      <x:c r="A1575" s="22" t="str">
        <x:f>"02f37a1f-250c-4d67-9603-6c02e0521dbd"</x:f>
        <x:v>02f37a1f-250c-4d67-9603-6c02e0521dbd</x:v>
      </x:c>
      <x:c r="B1575" s="23" t="str">
        <x:v>HUGO HENRIQUE ALVES PEREIRA</x:v>
      </x:c>
      <x:c r="C1575" s="23" t="str">
        <x:v>hugo henrique alves pereira</x:v>
      </x:c>
      <x:c r="D1575" s="22" t="str">
        <x:f>"54.726.176/0001-54"</x:f>
        <x:v>54.726.176/0001-54</x:v>
      </x:c>
      <x:c r="E1575" s="22" t="str">
        <x:f>"54726176000154"</x:f>
        <x:v>54726176000154</x:v>
      </x:c>
      <x:c r="F1575" s="22" t="str">
        <x:f>"139.744.316-24"</x:f>
        <x:v>139.744.316-24</x:v>
      </x:c>
      <x:c r="G1575" s="22" t="str">
        <x:f>"13974431624"</x:f>
        <x:v>13974431624</x:v>
      </x:c>
      <x:c r="H1575" s="23" t="str">
        <x:v>lb0694380@gmail.com</x:v>
      </x:c>
      <x:c r="I1575" s="22" t="str">
        <x:f>"31988291564"</x:f>
        <x:v>31988291564</x:v>
      </x:c>
      <x:c r="J1575" s="23" t="str">
        <x:v>RENTAL</x:v>
      </x:c>
      <x:c r="K1575" s="23" t="str">
        <x:v>rental_company</x:v>
      </x:c>
      <x:c r="L1575" s="24" t="b">
        <x:v>1</x:v>
      </x:c>
      <x:c r="M1575" s="23" t="n">
        <x:v>1</x:v>
      </x:c>
      <x:c r="N1575" s="28" t="n">
        <x:v>46219.812988715275</x:v>
      </x:c>
      <x:c r="O1575" s="28" t="n">
        <x:v>46219.812988715275</x:v>
      </x:c>
      <x:c r="P1575" s="23" t="str">
        <x:v>NOVA LIMA</x:v>
      </x:c>
      <x:c r="Q1575" s="30" t="n">
        <x:v>35729</x:v>
      </x:c>
      <x:c r="R1575" s="22" t="str">
        <x:f>"20364312"</x:f>
        <x:v>20364312</x:v>
      </x:c>
      <x:c r="S1575" s="23" t="str">
        <x:v>masculino</x:v>
      </x:c>
      <x:c r="T1575" s="22" t="str"/>
      <x:c r="U1575" s="23" t="str">
        <x:v>HUGO HENRIQUE ALVES PEREIRA</x:v>
      </x:c>
      <x:c r="V1575" s="22" t="str">
        <x:f>"139.744.316-24"</x:f>
        <x:v>139.744.316-24</x:v>
      </x:c>
      <x:c r="W1575" s="22" t="str">
        <x:f>"13974431624"</x:f>
        <x:v>13974431624</x:v>
      </x:c>
      <x:c r="X1575" s="23" t="str">
        <x:v>lb0694380@gmail.com</x:v>
      </x:c>
      <x:c r="Y1575" s="22" t="str">
        <x:f>"31988291564"</x:f>
        <x:v>31988291564</x:v>
      </x:c>
      <x:c r="Z1575" s="30" t="n">
        <x:v>46568</x:v>
      </x:c>
    </x:row>
    <x:row r="1576" ht="18" customHeight="1">
      <x:c r="A1576" s="22" t="str">
        <x:f>"9d596dee-dad4-4d36-9556-5750ec748d8f"</x:f>
        <x:v>9d596dee-dad4-4d36-9556-5750ec748d8f</x:v>
      </x:c>
      <x:c r="B1576" s="23" t="str">
        <x:v>HUGO LEONARDO DA SILVA</x:v>
      </x:c>
      <x:c r="C1576" s="23" t="str">
        <x:v>hugo leonardo da silva</x:v>
      </x:c>
      <x:c r="D1576" s="22" t="str">
        <x:f>"31.095.678/0001-29"</x:f>
        <x:v>31.095.678/0001-29</x:v>
      </x:c>
      <x:c r="E1576" s="22" t="str">
        <x:f>"31095678000129"</x:f>
        <x:v>31095678000129</x:v>
      </x:c>
      <x:c r="F1576" s="22" t="str">
        <x:f>"983.801.096-00"</x:f>
        <x:v>983.801.096-00</x:v>
      </x:c>
      <x:c r="G1576" s="22" t="str">
        <x:f>"98380109600"</x:f>
        <x:v>98380109600</x:v>
      </x:c>
      <x:c r="H1576" s="23" t="str">
        <x:v>hugoaxa@hotmail.com</x:v>
      </x:c>
      <x:c r="I1576" s="22" t="str">
        <x:f>"34992233897"</x:f>
        <x:v>34992233897</x:v>
      </x:c>
      <x:c r="J1576" s="23" t="str">
        <x:v>SPOT</x:v>
      </x:c>
      <x:c r="K1576" s="23" t="str">
        <x:v>favored_only</x:v>
      </x:c>
      <x:c r="L1576" s="24" t="b">
        <x:v>1</x:v>
      </x:c>
      <x:c r="M1576" s="23" t="n">
        <x:v>1</x:v>
      </x:c>
      <x:c r="N1576" s="28" t="n">
        <x:v>46205.60439341435</x:v>
      </x:c>
      <x:c r="O1576" s="28" t="n">
        <x:v>46219.812988715275</x:v>
      </x:c>
      <x:c r="P1576" s="23" t="str">
        <x:v>ARAXÁ</x:v>
      </x:c>
      <x:c r="Q1576" s="30" t="n">
        <x:v>29689</x:v>
      </x:c>
      <x:c r="R1576" s="22" t="str">
        <x:f>"7549372"</x:f>
        <x:v>7549372</x:v>
      </x:c>
      <x:c r="S1576" s="23" t="str">
        <x:v>masculino</x:v>
      </x:c>
      <x:c r="T1576" s="22" t="str">
        <x:f>"GZG5C64"</x:f>
        <x:v>GZG5C64</x:v>
      </x:c>
      <x:c r="U1576" s="23" t="str">
        <x:v>NATHALIA CAROLINE GOMES DA SILVA</x:v>
      </x:c>
      <x:c r="V1576" s="22" t="str">
        <x:f>"103.851.366-92"</x:f>
        <x:v>103.851.366-92</x:v>
      </x:c>
      <x:c r="W1576" s="22" t="str">
        <x:f>"10385136692"</x:f>
        <x:v>10385136692</x:v>
      </x:c>
      <x:c r="X1576" s="23" t="str">
        <x:v>Nathaliasilvaclara13@outlook.com</x:v>
      </x:c>
      <x:c r="Y1576" s="22" t="str">
        <x:f>"34988633933"</x:f>
        <x:v>34988633933</x:v>
      </x:c>
      <x:c r="Z1576" s="30" t="n">
        <x:v>46273</x:v>
      </x:c>
    </x:row>
    <x:row r="1577" ht="18" customHeight="1">
      <x:c r="A1577" s="22" t="str">
        <x:f>"2207ccaf-052e-4041-99dc-3b8ea6334614"</x:f>
        <x:v>2207ccaf-052e-4041-99dc-3b8ea6334614</x:v>
      </x:c>
      <x:c r="B1577" s="23" t="str">
        <x:v>HUGO LEONARDO FADIM</x:v>
      </x:c>
      <x:c r="C1577" s="23" t="str">
        <x:v>hugo leonardo fadim</x:v>
      </x:c>
      <x:c r="D1577" s="22" t="str">
        <x:f>"45.369.317/0001-38"</x:f>
        <x:v>45.369.317/0001-38</x:v>
      </x:c>
      <x:c r="E1577" s="22" t="str">
        <x:f>"45369317000138"</x:f>
        <x:v>45369317000138</x:v>
      </x:c>
      <x:c r="F1577" s="22" t="str">
        <x:f>"314.873.238-32"</x:f>
        <x:v>314.873.238-32</x:v>
      </x:c>
      <x:c r="G1577" s="22" t="str">
        <x:f>"31487323832"</x:f>
        <x:v>31487323832</x:v>
      </x:c>
      <x:c r="H1577" s="23" t="str">
        <x:v>hugofadim@hotmail.com</x:v>
      </x:c>
      <x:c r="I1577" s="22" t="str">
        <x:f>"18 997786070"</x:f>
        <x:v>18 997786070</x:v>
      </x:c>
      <x:c r="J1577" s="23" t="str">
        <x:v>SPOT</x:v>
      </x:c>
      <x:c r="K1577" s="23" t="str">
        <x:v>favored_only</x:v>
      </x:c>
      <x:c r="L1577" s="24" t="b">
        <x:v>1</x:v>
      </x:c>
      <x:c r="M1577" s="23" t="n">
        <x:v>1</x:v>
      </x:c>
      <x:c r="N1577" s="28" t="n">
        <x:v>46203.92184908565</x:v>
      </x:c>
      <x:c r="O1577" s="28" t="n">
        <x:v>46205.605129027776</x:v>
      </x:c>
      <x:c r="P1577" s="23" t="str">
        <x:v>PRESIDENTE PRUDENTE</x:v>
      </x:c>
      <x:c r="Q1577" s="30" t="n">
        <x:v>30686</x:v>
      </x:c>
      <x:c r="R1577" s="22" t="str">
        <x:f>"34176473"</x:f>
        <x:v>34176473</x:v>
      </x:c>
      <x:c r="S1577" s="23" t="str">
        <x:v>Masculino</x:v>
      </x:c>
      <x:c r="T1577" s="22" t="str">
        <x:f>"FXM0C89"</x:f>
        <x:v>FXM0C89</x:v>
      </x:c>
      <x:c r="U1577" s="23" t="str">
        <x:v>HUGO LEONARDO FADIM</x:v>
      </x:c>
      <x:c r="V1577" s="22" t="str">
        <x:f>"31487323832"</x:f>
        <x:v>31487323832</x:v>
      </x:c>
      <x:c r="W1577" s="22" t="str">
        <x:f>"31487323832"</x:f>
        <x:v>31487323832</x:v>
      </x:c>
      <x:c r="X1577" s="23" t="str">
        <x:v>hugofadim@hotmail.com</x:v>
      </x:c>
      <x:c r="Y1577" s="22" t="str">
        <x:f>"18 997786070"</x:f>
        <x:v>18 997786070</x:v>
      </x:c>
      <x:c r="Z1577" s="30" t="n">
        <x:v>46227</x:v>
      </x:c>
    </x:row>
    <x:row r="1578" ht="18" customHeight="1">
      <x:c r="A1578" s="22" t="str">
        <x:f>"53febc20-489e-448f-bf27-0aae9ed80d7e"</x:f>
        <x:v>53febc20-489e-448f-bf27-0aae9ed80d7e</x:v>
      </x:c>
      <x:c r="B1578" s="23" t="str">
        <x:v>HUMBERTO GIOVANI DE OLIVEIRA</x:v>
      </x:c>
      <x:c r="C1578" s="23" t="str">
        <x:v>humberto giovani de oliveira</x:v>
      </x:c>
      <x:c r="D1578" s="22" t="str">
        <x:f>"62.975.939/0001-29"</x:f>
        <x:v>62.975.939/0001-29</x:v>
      </x:c>
      <x:c r="E1578" s="22" t="str">
        <x:f>"62975939000129"</x:f>
        <x:v>62975939000129</x:v>
      </x:c>
      <x:c r="F1578" s="22" t="str">
        <x:f>"704.609.506-06"</x:f>
        <x:v>704.609.506-06</x:v>
      </x:c>
      <x:c r="G1578" s="22" t="str">
        <x:f>"70460950606"</x:f>
        <x:v>70460950606</x:v>
      </x:c>
      <x:c r="H1578" s="23" t="str">
        <x:v>Humbertogiovani2004@gmail.com</x:v>
      </x:c>
      <x:c r="I1578" s="22" t="str">
        <x:f>"+55 31 99990-7542"</x:f>
        <x:v>+55 31 99990-7542</x:v>
      </x:c>
      <x:c r="J1578" s="23" t="str">
        <x:v>SPOT</x:v>
      </x:c>
      <x:c r="K1578" s="23" t="str">
        <x:v>favored_only</x:v>
      </x:c>
      <x:c r="L1578" s="24" t="b">
        <x:v>1</x:v>
      </x:c>
      <x:c r="M1578" s="23" t="n">
        <x:v>4</x:v>
      </x:c>
      <x:c r="N1578" s="28" t="n">
        <x:v>46203.92189965278</x:v>
      </x:c>
      <x:c r="O1578" s="28" t="n">
        <x:v>46219.812988715275</x:v>
      </x:c>
      <x:c r="P1578" s="23" t="str">
        <x:v>VESPASIANO</x:v>
      </x:c>
      <x:c r="Q1578" s="30" t="n">
        <x:v>38275</x:v>
      </x:c>
      <x:c r="R1578" s="22" t="str">
        <x:f>"19494149"</x:f>
        <x:v>19494149</x:v>
      </x:c>
      <x:c r="S1578" s="23" t="str">
        <x:v>masculino</x:v>
      </x:c>
      <x:c r="T1578" s="22" t="str">
        <x:f>"AYD0A24"</x:f>
        <x:v>AYD0A24</x:v>
      </x:c>
      <x:c r="U1578" s="23" t="str">
        <x:v>HUMBERTO GIOVANI DE OLIVEIRA</x:v>
      </x:c>
      <x:c r="V1578" s="22" t="str">
        <x:f>"704.609.506-06"</x:f>
        <x:v>704.609.506-06</x:v>
      </x:c>
      <x:c r="W1578" s="22" t="str">
        <x:f>"70460950606"</x:f>
        <x:v>70460950606</x:v>
      </x:c>
      <x:c r="X1578" s="23" t="str">
        <x:v>Humbertogiovani2004@gmail.com</x:v>
      </x:c>
      <x:c r="Y1578" s="22" t="str">
        <x:f>"31 99990-7542"</x:f>
        <x:v>31 99990-7542</x:v>
      </x:c>
      <x:c r="Z1578" s="30" t="n">
        <x:v>46539</x:v>
      </x:c>
    </x:row>
    <x:row r="1579" ht="18" customHeight="1">
      <x:c r="A1579" s="22" t="str">
        <x:f>"c1010d1f-c4ce-4f8d-98d9-f0149e24c0c4"</x:f>
        <x:v>c1010d1f-c4ce-4f8d-98d9-f0149e24c0c4</x:v>
      </x:c>
      <x:c r="B1579" s="23" t="str">
        <x:v>HURYAN RAMOS TEIXEIRA</x:v>
      </x:c>
      <x:c r="C1579" s="23" t="str">
        <x:v>huryan ramos teixeira</x:v>
      </x:c>
      <x:c r="D1579" s="22" t="str">
        <x:f>"61.529.747/0001-26"</x:f>
        <x:v>61.529.747/0001-26</x:v>
      </x:c>
      <x:c r="E1579" s="22" t="str">
        <x:f>"61529747000126"</x:f>
        <x:v>61529747000126</x:v>
      </x:c>
      <x:c r="F1579" s="22" t="str">
        <x:f>"204.850.907-08"</x:f>
        <x:v>204.850.907-08</x:v>
      </x:c>
      <x:c r="G1579" s="22" t="str">
        <x:f>"20485090708"</x:f>
        <x:v>20485090708</x:v>
      </x:c>
      <x:c r="H1579" s="23" t="str">
        <x:v>huryank916@gmail.com</x:v>
      </x:c>
      <x:c r="I1579" s="22" t="str">
        <x:f>"22999189955"</x:f>
        <x:v>22999189955</x:v>
      </x:c>
      <x:c r="J1579" s="23" t="str">
        <x:v>SPOT</x:v>
      </x:c>
      <x:c r="K1579" s="23" t="str">
        <x:v>favored_only</x:v>
      </x:c>
      <x:c r="L1579" s="24" t="b">
        <x:v>1</x:v>
      </x:c>
      <x:c r="M1579" s="23" t="n">
        <x:v>1</x:v>
      </x:c>
      <x:c r="N1579" s="28" t="n">
        <x:v>46219.812988715275</x:v>
      </x:c>
      <x:c r="O1579" s="28" t="n">
        <x:v>46219.812988715275</x:v>
      </x:c>
      <x:c r="P1579" s="23" t="str">
        <x:v>CAMPOS DOS GOYTACAZES</x:v>
      </x:c>
      <x:c r="Q1579" s="30" t="n">
        <x:v>38773</x:v>
      </x:c>
      <x:c r="R1579" s="22" t="str">
        <x:f>"20485090708"</x:f>
        <x:v>20485090708</x:v>
      </x:c>
      <x:c r="S1579" s="23" t="str">
        <x:v>masculino</x:v>
      </x:c>
      <x:c r="T1579" s="22" t="str">
        <x:f>"KWG9J82"</x:f>
        <x:v>KWG9J82</x:v>
      </x:c>
      <x:c r="U1579" s="23" t="str">
        <x:v>FABIO FELIPE TAVARES VELASCO</x:v>
      </x:c>
      <x:c r="V1579" s="22" t="str">
        <x:f>"194.602.247-09"</x:f>
        <x:v>194.602.247-09</x:v>
      </x:c>
      <x:c r="W1579" s="22" t="str">
        <x:f>"19460224709"</x:f>
        <x:v>19460224709</x:v>
      </x:c>
      <x:c r="X1579" s="23" t="str">
        <x:v>fabiofelipetavares@gmail.com</x:v>
      </x:c>
      <x:c r="Y1579" s="22" t="str">
        <x:f>"22 99795-6696"</x:f>
        <x:v>22 99795-6696</x:v>
      </x:c>
      <x:c r="Z1579" s="30" t="n">
        <x:v>46462</x:v>
      </x:c>
    </x:row>
    <x:row r="1580" ht="18" customHeight="1">
      <x:c r="A1580" s="22" t="str">
        <x:f>"007a3602-92a5-4b6e-a632-8f6ff3a33c4d"</x:f>
        <x:v>007a3602-92a5-4b6e-a632-8f6ff3a33c4d</x:v>
      </x:c>
      <x:c r="B1580" s="23" t="str">
        <x:v>IAGO CALESI RODRIGUES</x:v>
      </x:c>
      <x:c r="C1580" s="23" t="str">
        <x:v>iago calesi rodrigues</x:v>
      </x:c>
      <x:c r="D1580" s="22" t="str">
        <x:f>"59.884.869/0001-99"</x:f>
        <x:v>59.884.869/0001-99</x:v>
      </x:c>
      <x:c r="E1580" s="22" t="str">
        <x:f>"59884869000199"</x:f>
        <x:v>59884869000199</x:v>
      </x:c>
      <x:c r="F1580" s="22" t="str">
        <x:f>"072.536.656-78"</x:f>
        <x:v>072.536.656-78</x:v>
      </x:c>
      <x:c r="G1580" s="22" t="str">
        <x:f>"07253665678"</x:f>
        <x:v>07253665678</x:v>
      </x:c>
      <x:c r="H1580" s="23" t="str">
        <x:v>calesiiago@gmail.com</x:v>
      </x:c>
      <x:c r="I1580" s="22" t="str">
        <x:f>"37999752422"</x:f>
        <x:v>37999752422</x:v>
      </x:c>
      <x:c r="J1580" s="23" t="str">
        <x:v>SPOT</x:v>
      </x:c>
      <x:c r="K1580" s="23" t="str">
        <x:v>rental_company</x:v>
      </x:c>
      <x:c r="L1580" s="24" t="b">
        <x:v>1</x:v>
      </x:c>
      <x:c r="M1580" s="23" t="n">
        <x:v>2</x:v>
      </x:c>
      <x:c r="N1580" s="28" t="n">
        <x:v>46203.92191240741</x:v>
      </x:c>
      <x:c r="O1580" s="28" t="n">
        <x:v>46219.812988715275</x:v>
      </x:c>
      <x:c r="P1580" s="23" t="str">
        <x:v>ARAXÁ</x:v>
      </x:c>
      <x:c r="Q1580" s="30" t="n">
        <x:v>35349</x:v>
      </x:c>
      <x:c r="R1580" s="22" t="str">
        <x:f>"MG17320065"</x:f>
        <x:v>MG17320065</x:v>
      </x:c>
      <x:c r="S1580" s="23" t="str">
        <x:v>masculino</x:v>
      </x:c>
      <x:c r="T1580" s="22" t="str">
        <x:f>"HDH7498"</x:f>
        <x:v>HDH7498</x:v>
      </x:c>
      <x:c r="U1580" s="23" t="str">
        <x:v>IAGO CALESI RODRIGUES</x:v>
      </x:c>
      <x:c r="V1580" s="22" t="str">
        <x:f>"072.536.656-78"</x:f>
        <x:v>072.536.656-78</x:v>
      </x:c>
      <x:c r="W1580" s="22" t="str">
        <x:f>"07253665678"</x:f>
        <x:v>07253665678</x:v>
      </x:c>
      <x:c r="X1580" s="23" t="str">
        <x:v>calesiiago@gmail.com</x:v>
      </x:c>
      <x:c r="Y1580" s="22" t="str">
        <x:f>"37999752422"</x:f>
        <x:v>37999752422</x:v>
      </x:c>
      <x:c r="Z1580" s="30" t="n">
        <x:v>46529</x:v>
      </x:c>
    </x:row>
    <x:row r="1581" ht="18" customHeight="1">
      <x:c r="A1581" s="22" t="str">
        <x:f>"8630421a-5d49-4081-879f-d012c749299c"</x:f>
        <x:v>8630421a-5d49-4081-879f-d012c749299c</x:v>
      </x:c>
      <x:c r="B1581" s="23" t="str">
        <x:v>IAGO CARDOSO DA SILVA</x:v>
      </x:c>
      <x:c r="C1581" s="23" t="str">
        <x:v>iago cardoso da silva</x:v>
      </x:c>
      <x:c r="D1581" s="22" t="str">
        <x:f>"54.997.734/0001-16"</x:f>
        <x:v>54.997.734/0001-16</x:v>
      </x:c>
      <x:c r="E1581" s="22" t="str">
        <x:f>"54997734000116"</x:f>
        <x:v>54997734000116</x:v>
      </x:c>
      <x:c r="F1581" s="22" t="str">
        <x:f>"436.615.338-60"</x:f>
        <x:v>436.615.338-60</x:v>
      </x:c>
      <x:c r="G1581" s="22" t="str">
        <x:f>"43661533860"</x:f>
        <x:v>43661533860</x:v>
      </x:c>
      <x:c r="H1581" s="23" t="str">
        <x:v>iago020305@gmail.com</x:v>
      </x:c>
      <x:c r="I1581" s="22" t="str">
        <x:f>"(12)99241-8861"</x:f>
        <x:v>(12)99241-8861</x:v>
      </x:c>
      <x:c r="J1581" s="23" t="str">
        <x:v>RENTAL</x:v>
      </x:c>
      <x:c r="K1581" s="23" t="str">
        <x:v>rental_company</x:v>
      </x:c>
      <x:c r="L1581" s="24" t="b">
        <x:v>1</x:v>
      </x:c>
      <x:c r="M1581" s="23" t="n">
        <x:v>1</x:v>
      </x:c>
      <x:c r="N1581" s="28" t="n">
        <x:v>46219.812988715275</x:v>
      </x:c>
      <x:c r="O1581" s="28" t="n">
        <x:v>46219.812988715275</x:v>
      </x:c>
      <x:c r="P1581" s="23" t="str">
        <x:v>POUSO ALEGRE</x:v>
      </x:c>
      <x:c r="Q1581" s="30" t="n">
        <x:v>34710</x:v>
      </x:c>
      <x:c r="R1581" s="22" t="str">
        <x:f>"532110031SSP"</x:f>
        <x:v>532110031SSP</x:v>
      </x:c>
      <x:c r="S1581" s="23" t="str">
        <x:v>masculino</x:v>
      </x:c>
      <x:c r="T1581" s="22" t="str"/>
      <x:c r="U1581" s="23" t="str">
        <x:v>IAGO CARDOSO DA SILVA</x:v>
      </x:c>
      <x:c r="V1581" s="22" t="str">
        <x:f>"436.615.338-60"</x:f>
        <x:v>436.615.338-60</x:v>
      </x:c>
      <x:c r="W1581" s="22" t="str">
        <x:f>"43661533860"</x:f>
        <x:v>43661533860</x:v>
      </x:c>
      <x:c r="X1581" s="23" t="str">
        <x:v>iago020305@gmail.com</x:v>
      </x:c>
      <x:c r="Y1581" s="22" t="str">
        <x:f>"(12)99241-8861"</x:f>
        <x:v>(12)99241-8861</x:v>
      </x:c>
      <x:c r="Z1581" s="30" t="n">
        <x:v>46560</x:v>
      </x:c>
    </x:row>
    <x:row r="1582" ht="18" customHeight="1">
      <x:c r="A1582" s="22" t="str">
        <x:f>"645cc92a-a992-4501-9eac-aaf2e2be5b9e"</x:f>
        <x:v>645cc92a-a992-4501-9eac-aaf2e2be5b9e</x:v>
      </x:c>
      <x:c r="B1582" s="23" t="str">
        <x:v>IAGO VINICIUS NAKANAMI RIBEIRO</x:v>
      </x:c>
      <x:c r="C1582" s="23" t="str">
        <x:v>iago vinicius nakanami ribeiro</x:v>
      </x:c>
      <x:c r="D1582" s="22" t="str">
        <x:f>"32.971.743/0001-03"</x:f>
        <x:v>32.971.743/0001-03</x:v>
      </x:c>
      <x:c r="E1582" s="22" t="str">
        <x:f>"32971743000103"</x:f>
        <x:v>32971743000103</x:v>
      </x:c>
      <x:c r="F1582" s="22" t="str">
        <x:f>"123.691.886-00"</x:f>
        <x:v>123.691.886-00</x:v>
      </x:c>
      <x:c r="G1582" s="22" t="str">
        <x:f>"12369188600"</x:f>
        <x:v>12369188600</x:v>
      </x:c>
      <x:c r="H1582" s="23" t="str">
        <x:v>iago.nakanami10@hotmail.com</x:v>
      </x:c>
      <x:c r="I1582" s="22" t="str">
        <x:f>"34999592332"</x:f>
        <x:v>34999592332</x:v>
      </x:c>
      <x:c r="J1582" s="23" t="str">
        <x:v>SPOT</x:v>
      </x:c>
      <x:c r="K1582" s="23" t="str">
        <x:v>favored_only</x:v>
      </x:c>
      <x:c r="L1582" s="24" t="b">
        <x:v>1</x:v>
      </x:c>
      <x:c r="M1582" s="23" t="n">
        <x:v>1</x:v>
      </x:c>
      <x:c r="N1582" s="28" t="n">
        <x:v>46203.92191240741</x:v>
      </x:c>
      <x:c r="O1582" s="28" t="n">
        <x:v>46219.812988715275</x:v>
      </x:c>
      <x:c r="P1582" s="23" t="str">
        <x:v>PATOS DE MINAS</x:v>
      </x:c>
      <x:c r="Q1582" s="30" t="n">
        <x:v>36719</x:v>
      </x:c>
      <x:c r="R1582" s="22" t="str">
        <x:f>"MG 19325130"</x:f>
        <x:v>MG 19325130</x:v>
      </x:c>
      <x:c r="S1582" s="23" t="str">
        <x:v>masculino</x:v>
      </x:c>
      <x:c r="T1582" s="22" t="str">
        <x:f>"PZY3991"</x:f>
        <x:v>PZY3991</x:v>
      </x:c>
      <x:c r="U1582" s="23" t="str">
        <x:v>IAGO VINICIUS NAKANAMI RIBEIRO</x:v>
      </x:c>
      <x:c r="V1582" s="22" t="str">
        <x:f>"123.691.886-00"</x:f>
        <x:v>123.691.886-00</x:v>
      </x:c>
      <x:c r="W1582" s="22" t="str">
        <x:f>"12369188600"</x:f>
        <x:v>12369188600</x:v>
      </x:c>
      <x:c r="X1582" s="23" t="str">
        <x:v>iago.nakanami10@hotmail.com</x:v>
      </x:c>
      <x:c r="Y1582" s="22" t="str">
        <x:f>"34999592332"</x:f>
        <x:v>34999592332</x:v>
      </x:c>
      <x:c r="Z1582" s="30" t="n">
        <x:v>46562</x:v>
      </x:c>
    </x:row>
    <x:row r="1583" ht="18" customHeight="1">
      <x:c r="A1583" s="22" t="str">
        <x:f>"5104fdf3-3762-4ceb-b7aa-31fcc3938903"</x:f>
        <x:v>5104fdf3-3762-4ceb-b7aa-31fcc3938903</x:v>
      </x:c>
      <x:c r="B1583" s="23" t="str">
        <x:v>IAN GONCALVES DA SILVA</x:v>
      </x:c>
      <x:c r="C1583" s="23" t="str">
        <x:v>ian goncalves da silva</x:v>
      </x:c>
      <x:c r="D1583" s="22" t="str">
        <x:f>"00.130.799/0001-13"</x:f>
        <x:v>00.130.799/0001-13</x:v>
      </x:c>
      <x:c r="E1583" s="22" t="str">
        <x:f>"00130799000113"</x:f>
        <x:v>00130799000113</x:v>
      </x:c>
      <x:c r="F1583" s="22" t="str">
        <x:f>"020.244.676-01"</x:f>
        <x:v>020.244.676-01</x:v>
      </x:c>
      <x:c r="G1583" s="22" t="str">
        <x:f>"02024467601"</x:f>
        <x:v>02024467601</x:v>
      </x:c>
      <x:c r="H1583" s="23" t="str">
        <x:v>goncalvesdasilvaian6@gmail.com</x:v>
      </x:c>
      <x:c r="I1583" s="22" t="str">
        <x:f>"33998356678"</x:f>
        <x:v>33998356678</x:v>
      </x:c>
      <x:c r="J1583" s="23" t="str">
        <x:v>RENTAL</x:v>
      </x:c>
      <x:c r="K1583" s="23" t="str">
        <x:v>rental_company</x:v>
      </x:c>
      <x:c r="L1583" s="24" t="b">
        <x:v>1</x:v>
      </x:c>
      <x:c r="M1583" s="23" t="n">
        <x:v>1</x:v>
      </x:c>
      <x:c r="N1583" s="28" t="n">
        <x:v>46219.812988715275</x:v>
      </x:c>
      <x:c r="O1583" s="28" t="n">
        <x:v>46219.812988715275</x:v>
      </x:c>
      <x:c r="P1583" s="23" t="str">
        <x:v>TEOFILO OTONI</x:v>
      </x:c>
      <x:c r="Q1583" s="30" t="n">
        <x:v>35497</x:v>
      </x:c>
      <x:c r="R1583" s="22" t="str">
        <x:f>"20014746"</x:f>
        <x:v>20014746</x:v>
      </x:c>
      <x:c r="S1583" s="23" t="str">
        <x:v>masculino</x:v>
      </x:c>
      <x:c r="T1583" s="22" t="str"/>
      <x:c r="U1583" s="23" t="str">
        <x:v>IAN GONCALVES DA SILVA</x:v>
      </x:c>
      <x:c r="V1583" s="22" t="str">
        <x:f>"020.244.676-01"</x:f>
        <x:v>020.244.676-01</x:v>
      </x:c>
      <x:c r="W1583" s="22" t="str">
        <x:f>"02024467601"</x:f>
        <x:v>02024467601</x:v>
      </x:c>
      <x:c r="X1583" s="23" t="str">
        <x:v>goncalvesdasilvaian6@gmail.com</x:v>
      </x:c>
      <x:c r="Y1583" s="22" t="str">
        <x:f>"33998356678"</x:f>
        <x:v>33998356678</x:v>
      </x:c>
      <x:c r="Z1583" s="30" t="n">
        <x:v>46541</x:v>
      </x:c>
    </x:row>
    <x:row r="1584" ht="18" customHeight="1">
      <x:c r="A1584" s="22" t="str">
        <x:f>"22f35b4a-edb4-401d-8593-b62a3d2b3cae"</x:f>
        <x:v>22f35b4a-edb4-401d-8593-b62a3d2b3cae</x:v>
      </x:c>
      <x:c r="B1584" s="23" t="str">
        <x:v>IAN SILVA PEREIRA</x:v>
      </x:c>
      <x:c r="C1584" s="23" t="str">
        <x:v>ian silva pereira</x:v>
      </x:c>
      <x:c r="D1584" s="22" t="str">
        <x:f>"55.557.828/0001-37"</x:f>
        <x:v>55.557.828/0001-37</x:v>
      </x:c>
      <x:c r="E1584" s="22" t="str">
        <x:f>"55557828000137"</x:f>
        <x:v>55557828000137</x:v>
      </x:c>
      <x:c r="F1584" s="22" t="str">
        <x:f>"119.180.276-09"</x:f>
        <x:v>119.180.276-09</x:v>
      </x:c>
      <x:c r="G1584" s="22" t="str">
        <x:f>"11918027609"</x:f>
        <x:v>11918027609</x:v>
      </x:c>
      <x:c r="H1584" s="23" t="str">
        <x:v>iansilvapereira55@gmail.com</x:v>
      </x:c>
      <x:c r="I1584" s="22" t="str">
        <x:f>"35991487517"</x:f>
        <x:v>35991487517</x:v>
      </x:c>
      <x:c r="J1584" s="23" t="str">
        <x:v>SPOT</x:v>
      </x:c>
      <x:c r="K1584" s="23" t="str">
        <x:v>favored_only</x:v>
      </x:c>
      <x:c r="L1584" s="24" t="b">
        <x:v>1</x:v>
      </x:c>
      <x:c r="M1584" s="23" t="n">
        <x:v>1</x:v>
      </x:c>
      <x:c r="N1584" s="28" t="n">
        <x:v>46205.60545966435</x:v>
      </x:c>
      <x:c r="O1584" s="28" t="n">
        <x:v>46219.812988715275</x:v>
      </x:c>
      <x:c r="P1584" s="23" t="str">
        <x:v>GUAXUPE</x:v>
      </x:c>
      <x:c r="Q1584" s="30" t="n">
        <x:v>34860</x:v>
      </x:c>
      <x:c r="R1584" s="22" t="str">
        <x:f>"19232869"</x:f>
        <x:v>19232869</x:v>
      </x:c>
      <x:c r="S1584" s="23" t="str">
        <x:v>masculino</x:v>
      </x:c>
      <x:c r="T1584" s="22" t="str">
        <x:f>"PUK5I47"</x:f>
        <x:v>PUK5I47</x:v>
      </x:c>
      <x:c r="U1584" s="23" t="str">
        <x:v>RITA APARECIDA MAGRI</x:v>
      </x:c>
      <x:c r="V1584" s="22" t="str">
        <x:f>"089.901.176-40"</x:f>
        <x:v>089.901.176-40</x:v>
      </x:c>
      <x:c r="W1584" s="22" t="str">
        <x:f>"08990117640"</x:f>
        <x:v>08990117640</x:v>
      </x:c>
      <x:c r="X1584" s="23" t="str">
        <x:v>navarroslanches@outlook.com</x:v>
      </x:c>
      <x:c r="Y1584" s="22" t="str">
        <x:f>"35 99234-8175"</x:f>
        <x:v>35 99234-8175</x:v>
      </x:c>
      <x:c r="Z1584" s="30" t="n">
        <x:v>46323</x:v>
      </x:c>
    </x:row>
    <x:row r="1585" ht="18" customHeight="1">
      <x:c r="A1585" s="22" t="str">
        <x:f>"0091c801-5425-447e-9464-96e7afa24085"</x:f>
        <x:v>0091c801-5425-447e-9464-96e7afa24085</x:v>
      </x:c>
      <x:c r="B1585" s="23" t="str">
        <x:v>IBRAIM FARID DE SOUZA FERNANDES</x:v>
      </x:c>
      <x:c r="C1585" s="23" t="str">
        <x:v>ibraim farid de souza fernandes</x:v>
      </x:c>
      <x:c r="D1585" s="22" t="str">
        <x:f>"58.203.512/0001-35"</x:f>
        <x:v>58.203.512/0001-35</x:v>
      </x:c>
      <x:c r="E1585" s="22" t="str">
        <x:f>"58203512000135"</x:f>
        <x:v>58203512000135</x:v>
      </x:c>
      <x:c r="F1585" s="22" t="str">
        <x:f>"493.958.068-77"</x:f>
        <x:v>493.958.068-77</x:v>
      </x:c>
      <x:c r="G1585" s="22" t="str">
        <x:f>"49395806877"</x:f>
        <x:v>49395806877</x:v>
      </x:c>
      <x:c r="H1585" s="23" t="str">
        <x:v>ibraimfarides05@gmail.com</x:v>
      </x:c>
      <x:c r="I1585" s="22" t="str">
        <x:f>"11984668439"</x:f>
        <x:v>11984668439</x:v>
      </x:c>
      <x:c r="J1585" s="23" t="str">
        <x:v>RENTAL</x:v>
      </x:c>
      <x:c r="K1585" s="23" t="str">
        <x:v>rental_company</x:v>
      </x:c>
      <x:c r="L1585" s="24" t="b">
        <x:v>1</x:v>
      </x:c>
      <x:c r="M1585" s="23" t="n">
        <x:v>1</x:v>
      </x:c>
      <x:c r="N1585" s="28" t="n">
        <x:v>46219.812988715275</x:v>
      </x:c>
      <x:c r="O1585" s="28" t="n">
        <x:v>46219.812988715275</x:v>
      </x:c>
      <x:c r="P1585" s="23" t="str">
        <x:v>BARUERI</x:v>
      </x:c>
      <x:c r="Q1585" s="30" t="n">
        <x:v>38201</x:v>
      </x:c>
      <x:c r="R1585" s="22" t="str">
        <x:f>"597337330"</x:f>
        <x:v>597337330</x:v>
      </x:c>
      <x:c r="S1585" s="23" t="str">
        <x:v>masculino</x:v>
      </x:c>
      <x:c r="T1585" s="22" t="str"/>
      <x:c r="U1585" s="23" t="str">
        <x:v>IBRAIM FARID DE SOUZA FERNANDES</x:v>
      </x:c>
      <x:c r="V1585" s="22" t="str">
        <x:f>"493.958.068-77"</x:f>
        <x:v>493.958.068-77</x:v>
      </x:c>
      <x:c r="W1585" s="22" t="str">
        <x:f>"49395806877"</x:f>
        <x:v>49395806877</x:v>
      </x:c>
      <x:c r="X1585" s="23" t="str">
        <x:v>ibraimfarides05@gmail.com</x:v>
      </x:c>
      <x:c r="Y1585" s="22" t="str">
        <x:f>"11984668439"</x:f>
        <x:v>11984668439</x:v>
      </x:c>
      <x:c r="Z1585" s="30" t="n">
        <x:v>46228</x:v>
      </x:c>
    </x:row>
    <x:row r="1586" ht="18" customHeight="1">
      <x:c r="A1586" s="22" t="str">
        <x:f>"b19660ad-807c-4ad7-a249-179c78f0082f"</x:f>
        <x:v>b19660ad-807c-4ad7-a249-179c78f0082f</x:v>
      </x:c>
      <x:c r="B1586" s="23" t="str">
        <x:v>ICARO RIBEIRO CAVALHEIRO</x:v>
      </x:c>
      <x:c r="C1586" s="23" t="str">
        <x:v>icaro ribeiro cavalheiro</x:v>
      </x:c>
      <x:c r="D1586" s="22" t="str">
        <x:f>"62.808.625/0001-31"</x:f>
        <x:v>62.808.625/0001-31</x:v>
      </x:c>
      <x:c r="E1586" s="22" t="str">
        <x:f>"62808625000131"</x:f>
        <x:v>62808625000131</x:v>
      </x:c>
      <x:c r="F1586" s="22" t="str">
        <x:f>"049.065.771-05"</x:f>
        <x:v>049.065.771-05</x:v>
      </x:c>
      <x:c r="G1586" s="22" t="str">
        <x:f>"04906577105"</x:f>
        <x:v>04906577105</x:v>
      </x:c>
      <x:c r="H1586" s="23" t="str">
        <x:v>icarocavalheiro_@hotmail.com_</x:v>
      </x:c>
      <x:c r="I1586" s="22" t="str">
        <x:f>"66)984307065"</x:f>
        <x:v>66)984307065</x:v>
      </x:c>
      <x:c r="J1586" s="23" t="str">
        <x:v>SPOT</x:v>
      </x:c>
      <x:c r="K1586" s="23" t="str">
        <x:v>favored_only</x:v>
      </x:c>
      <x:c r="L1586" s="24" t="b">
        <x:v>1</x:v>
      </x:c>
      <x:c r="M1586" s="23" t="n">
        <x:v>1</x:v>
      </x:c>
      <x:c r="N1586" s="28" t="n">
        <x:v>46203.921887453704</x:v>
      </x:c>
      <x:c r="O1586" s="28" t="n">
        <x:v>46219.812988715275</x:v>
      </x:c>
      <x:c r="P1586" s="23" t="str">
        <x:v>GOIANIA</x:v>
      </x:c>
      <x:c r="Q1586" s="30" t="n">
        <x:v>34642</x:v>
      </x:c>
      <x:c r="R1586" s="22" t="str">
        <x:f>"24996980"</x:f>
        <x:v>24996980</x:v>
      </x:c>
      <x:c r="S1586" s="23" t="str">
        <x:v>masculino</x:v>
      </x:c>
      <x:c r="T1586" s="22" t="str">
        <x:f>"PQM6D37"</x:f>
        <x:v>PQM6D37</x:v>
      </x:c>
      <x:c r="U1586" s="23" t="str">
        <x:v>ICARO RIBEIRO CAVALHEIRO</x:v>
      </x:c>
      <x:c r="V1586" s="22" t="str">
        <x:f>"049.065.771-05"</x:f>
        <x:v>049.065.771-05</x:v>
      </x:c>
      <x:c r="W1586" s="22" t="str">
        <x:f>"04906577105"</x:f>
        <x:v>04906577105</x:v>
      </x:c>
      <x:c r="X1586" s="23" t="str">
        <x:v>icarocavalheiro_@hotmail.com_</x:v>
      </x:c>
      <x:c r="Y1586" s="22" t="str">
        <x:f>"66)984307065"</x:f>
        <x:v>66)984307065</x:v>
      </x:c>
      <x:c r="Z1586" s="30" t="n">
        <x:v>46329</x:v>
      </x:c>
    </x:row>
    <x:row r="1587" ht="18" customHeight="1">
      <x:c r="A1587" s="22" t="str">
        <x:f>"2b063407-4ea0-4a84-baed-0f4c6c4b7040"</x:f>
        <x:v>2b063407-4ea0-4a84-baed-0f4c6c4b7040</x:v>
      </x:c>
      <x:c r="B1587" s="23" t="str">
        <x:v>IEDO PERES LIARES</x:v>
      </x:c>
      <x:c r="C1587" s="23" t="str">
        <x:v>iedo peres liares</x:v>
      </x:c>
      <x:c r="D1587" s="22" t="str">
        <x:f>"67.770.183/0001-03"</x:f>
        <x:v>67.770.183/0001-03</x:v>
      </x:c>
      <x:c r="E1587" s="22" t="str">
        <x:f>"67770183000103"</x:f>
        <x:v>67770183000103</x:v>
      </x:c>
      <x:c r="F1587" s="22" t="str">
        <x:f>"034.083.161-80"</x:f>
        <x:v>034.083.161-80</x:v>
      </x:c>
      <x:c r="G1587" s="22" t="str">
        <x:f>"03408316180"</x:f>
        <x:v>03408316180</x:v>
      </x:c>
      <x:c r="H1587" s="23" t="str">
        <x:v>iedoperesliares6@gmail.com</x:v>
      </x:c>
      <x:c r="I1587" s="22" t="str">
        <x:f>"62998616720"</x:f>
        <x:v>62998616720</x:v>
      </x:c>
      <x:c r="J1587" s="23" t="str">
        <x:v>SPOT</x:v>
      </x:c>
      <x:c r="K1587" s="23" t="str">
        <x:v>favored_only</x:v>
      </x:c>
      <x:c r="L1587" s="24" t="b">
        <x:v>1</x:v>
      </x:c>
      <x:c r="M1587" s="23" t="n">
        <x:v>1</x:v>
      </x:c>
      <x:c r="N1587" s="28" t="n">
        <x:v>46219.812988715275</x:v>
      </x:c>
      <x:c r="O1587" s="28" t="n">
        <x:v>46219.812988715275</x:v>
      </x:c>
      <x:c r="P1587" s="23" t="str">
        <x:v>GOIANIA</x:v>
      </x:c>
      <x:c r="Q1587" s="30" t="n">
        <x:v>37777</x:v>
      </x:c>
      <x:c r="R1587" s="22" t="str">
        <x:f>"7454223"</x:f>
        <x:v>7454223</x:v>
      </x:c>
      <x:c r="S1587" s="23" t="str">
        <x:v>masculino</x:v>
      </x:c>
      <x:c r="T1587" s="22" t="str">
        <x:f>"QTP2D60"</x:f>
        <x:v>QTP2D60</x:v>
      </x:c>
      <x:c r="U1587" s="23" t="str">
        <x:v>IEDO PERES LIARES</x:v>
      </x:c>
      <x:c r="V1587" s="22" t="str">
        <x:f>"034.083.161-80"</x:f>
        <x:v>034.083.161-80</x:v>
      </x:c>
      <x:c r="W1587" s="22" t="str">
        <x:f>"03408316180"</x:f>
        <x:v>03408316180</x:v>
      </x:c>
      <x:c r="X1587" s="23" t="str">
        <x:v>iedoperesliares6@gmail.com</x:v>
      </x:c>
      <x:c r="Y1587" s="22" t="str">
        <x:f>"62998616720"</x:f>
        <x:v>62998616720</x:v>
      </x:c>
      <x:c r="Z1587" s="30" t="n">
        <x:v>46571</x:v>
      </x:c>
    </x:row>
    <x:row r="1588" ht="18" customHeight="1">
      <x:c r="A1588" s="22" t="str">
        <x:f>"21d78ba4-1f67-4b43-b843-1737f6833973"</x:f>
        <x:v>21d78ba4-1f67-4b43-b843-1737f6833973</x:v>
      </x:c>
      <x:c r="B1588" s="23" t="str">
        <x:v>IGOR ALEXANDRE SANTOS MOURA</x:v>
      </x:c>
      <x:c r="C1588" s="23" t="str">
        <x:v>igor alexandre santos moura</x:v>
      </x:c>
      <x:c r="D1588" s="22" t="str">
        <x:f>"01.358.668/0001-78"</x:f>
        <x:v>01.358.668/0001-78</x:v>
      </x:c>
      <x:c r="E1588" s="22" t="str">
        <x:f>"01358668000178"</x:f>
        <x:v>01358668000178</x:v>
      </x:c>
      <x:c r="F1588" s="22" t="str">
        <x:f>"138.907.156-13"</x:f>
        <x:v>138.907.156-13</x:v>
      </x:c>
      <x:c r="G1588" s="22" t="str">
        <x:f>"13890715613"</x:f>
        <x:v>13890715613</x:v>
      </x:c>
      <x:c r="H1588" s="23" t="str">
        <x:v>igorale2804@gmail.com</x:v>
      </x:c>
      <x:c r="I1588" s="22" t="str">
        <x:f>"31983788467"</x:f>
        <x:v>31983788467</x:v>
      </x:c>
      <x:c r="J1588" s="23" t="str">
        <x:v>SPOT</x:v>
      </x:c>
      <x:c r="K1588" s="23" t="str">
        <x:v>favored_only</x:v>
      </x:c>
      <x:c r="L1588" s="24" t="b">
        <x:v>1</x:v>
      </x:c>
      <x:c r="M1588" s="23" t="n">
        <x:v>1</x:v>
      </x:c>
      <x:c r="N1588" s="28" t="n">
        <x:v>46219.812988715275</x:v>
      </x:c>
      <x:c r="O1588" s="28" t="n">
        <x:v>46219.812988715275</x:v>
      </x:c>
      <x:c r="P1588" s="23" t="str">
        <x:v>CONTAGEM</x:v>
      </x:c>
      <x:c r="Q1588" s="30" t="n">
        <x:v>36230</x:v>
      </x:c>
      <x:c r="R1588" s="22" t="str">
        <x:f>"16086958"</x:f>
        <x:v>16086958</x:v>
      </x:c>
      <x:c r="S1588" s="23" t="str">
        <x:v>masculino</x:v>
      </x:c>
      <x:c r="T1588" s="22" t="str">
        <x:f>"RRV3H24"</x:f>
        <x:v>RRV3H24</x:v>
      </x:c>
      <x:c r="U1588" s="23" t="str">
        <x:v>FRANCIS GONCALVES DIAS GERGEN</x:v>
      </x:c>
      <x:c r="V1588" s="22" t="str">
        <x:f>"049.686.776-85"</x:f>
        <x:v>049.686.776-85</x:v>
      </x:c>
      <x:c r="W1588" s="22" t="str">
        <x:f>"04968677685"</x:f>
        <x:v>04968677685</x:v>
      </x:c>
      <x:c r="X1588" s="23" t="str">
        <x:v>francisgergen13@gmail.com</x:v>
      </x:c>
      <x:c r="Y1588" s="22" t="str">
        <x:f>"31986365442"</x:f>
        <x:v>31986365442</x:v>
      </x:c>
      <x:c r="Z1588" s="30" t="n">
        <x:v>46509</x:v>
      </x:c>
    </x:row>
    <x:row r="1589" ht="18" customHeight="1">
      <x:c r="A1589" s="22" t="str">
        <x:f>"c9471f8d-04d3-4adc-84a8-4e4e1316c350"</x:f>
        <x:v>c9471f8d-04d3-4adc-84a8-4e4e1316c350</x:v>
      </x:c>
      <x:c r="B1589" s="23" t="str">
        <x:v>IGOR AUGUSTO GOMES DOS SANTOS</x:v>
      </x:c>
      <x:c r="C1589" s="23" t="str">
        <x:v>igor augusto gomes dos santos</x:v>
      </x:c>
      <x:c r="D1589" s="22" t="str">
        <x:f>"50.736.810/0001-89"</x:f>
        <x:v>50.736.810/0001-89</x:v>
      </x:c>
      <x:c r="E1589" s="22" t="str">
        <x:f>"50736810000189"</x:f>
        <x:v>50736810000189</x:v>
      </x:c>
      <x:c r="F1589" s="22" t="str">
        <x:f>"023.601.516-81"</x:f>
        <x:v>023.601.516-81</x:v>
      </x:c>
      <x:c r="G1589" s="22" t="str">
        <x:f>"02360151681"</x:f>
        <x:v>02360151681</x:v>
      </x:c>
      <x:c r="H1589" s="23" t="str">
        <x:v>igorgomesb16@gmail.com</x:v>
      </x:c>
      <x:c r="I1589" s="22" t="str">
        <x:f>"31993279418"</x:f>
        <x:v>31993279418</x:v>
      </x:c>
      <x:c r="J1589" s="23" t="str">
        <x:v>SPOT</x:v>
      </x:c>
      <x:c r="K1589" s="23" t="str">
        <x:v>favored_only</x:v>
      </x:c>
      <x:c r="L1589" s="24" t="b">
        <x:v>1</x:v>
      </x:c>
      <x:c r="M1589" s="23" t="n">
        <x:v>1</x:v>
      </x:c>
      <x:c r="N1589" s="28" t="n">
        <x:v>46219.812988715275</x:v>
      </x:c>
      <x:c r="O1589" s="28" t="n">
        <x:v>46219.812988715275</x:v>
      </x:c>
      <x:c r="P1589" s="23" t="str">
        <x:v>NOVA LIMA</x:v>
      </x:c>
      <x:c r="Q1589" s="30" t="n">
        <x:v>36673</x:v>
      </x:c>
      <x:c r="R1589" s="22" t="str">
        <x:f>"20989213"</x:f>
        <x:v>20989213</x:v>
      </x:c>
      <x:c r="S1589" s="23" t="str">
        <x:v>masculino</x:v>
      </x:c>
      <x:c r="T1589" s="22" t="str">
        <x:f>"RUZ2C25"</x:f>
        <x:v>RUZ2C25</x:v>
      </x:c>
      <x:c r="U1589" s="23" t="str">
        <x:v>IGOR AUGUSTO GOMES DOS SANTOS</x:v>
      </x:c>
      <x:c r="V1589" s="22" t="str">
        <x:f>"023.601.516-81"</x:f>
        <x:v>023.601.516-81</x:v>
      </x:c>
      <x:c r="W1589" s="22" t="str">
        <x:f>"02360151681"</x:f>
        <x:v>02360151681</x:v>
      </x:c>
      <x:c r="X1589" s="23" t="str">
        <x:v>igorgomesb16@gmail.com</x:v>
      </x:c>
      <x:c r="Y1589" s="22" t="str">
        <x:f>"31993279418"</x:f>
        <x:v>31993279418</x:v>
      </x:c>
      <x:c r="Z1589" s="30" t="n">
        <x:v>46534</x:v>
      </x:c>
    </x:row>
    <x:row r="1590" ht="18" customHeight="1">
      <x:c r="A1590" s="22" t="str">
        <x:f>"3d771f6b-3419-4af8-9445-2cca3848da05"</x:f>
        <x:v>3d771f6b-3419-4af8-9445-2cca3848da05</x:v>
      </x:c>
      <x:c r="B1590" s="23" t="str">
        <x:v>IGOR CARVALHO COSTA DE OLIVEIRA</x:v>
      </x:c>
      <x:c r="C1590" s="23" t="str">
        <x:v>igor carvalho costa de oliveira</x:v>
      </x:c>
      <x:c r="D1590" s="22" t="str">
        <x:f>"53.243.130/0001-11"</x:f>
        <x:v>53.243.130/0001-11</x:v>
      </x:c>
      <x:c r="E1590" s="22" t="str">
        <x:f>"53243130000111"</x:f>
        <x:v>53243130000111</x:v>
      </x:c>
      <x:c r="F1590" s="22" t="str">
        <x:f>"152.000.427-39"</x:f>
        <x:v>152.000.427-39</x:v>
      </x:c>
      <x:c r="G1590" s="22" t="str">
        <x:f>"15200042739"</x:f>
        <x:v>15200042739</x:v>
      </x:c>
      <x:c r="H1590" s="23" t="str">
        <x:v>igorguiljerme727@gmail.com</x:v>
      </x:c>
      <x:c r="I1590" s="22" t="str">
        <x:f>"(21) 998450-5049"</x:f>
        <x:v>(21) 998450-5049</x:v>
      </x:c>
      <x:c r="J1590" s="23" t="str">
        <x:v>SPOT</x:v>
      </x:c>
      <x:c r="K1590" s="23" t="str">
        <x:v>favored_only</x:v>
      </x:c>
      <x:c r="L1590" s="24" t="b">
        <x:v>1</x:v>
      </x:c>
      <x:c r="M1590" s="23" t="n">
        <x:v>1</x:v>
      </x:c>
      <x:c r="N1590" s="28" t="n">
        <x:v>46219.812988715275</x:v>
      </x:c>
      <x:c r="O1590" s="28" t="n">
        <x:v>46219.812988715275</x:v>
      </x:c>
      <x:c r="P1590" s="23" t="str">
        <x:v>ITABORAI</x:v>
      </x:c>
      <x:c r="Q1590" s="30" t="n">
        <x:v>35395</x:v>
      </x:c>
      <x:c r="R1590" s="22" t="str">
        <x:f>"80221S173"</x:f>
        <x:v>80221S173</x:v>
      </x:c>
      <x:c r="S1590" s="23" t="str">
        <x:v>masculino</x:v>
      </x:c>
      <x:c r="T1590" s="22" t="str">
        <x:f>"KZH6D34"</x:f>
        <x:v>KZH6D34</x:v>
      </x:c>
      <x:c r="U1590" s="23" t="str">
        <x:v>GREICE KELY DOS SANTOS NASCIMENTO DUARTE</x:v>
      </x:c>
      <x:c r="V1590" s="22" t="str">
        <x:f>"170.131.877-63"</x:f>
        <x:v>170.131.877-63</x:v>
      </x:c>
      <x:c r="W1590" s="22" t="str">
        <x:f>"17013187763"</x:f>
        <x:v>17013187763</x:v>
      </x:c>
      <x:c r="X1590" s="23" t="str">
        <x:v>greicekely1518@gmail.com</x:v>
      </x:c>
      <x:c r="Y1590" s="22" t="str">
        <x:f>"(21)96832-5844"</x:f>
        <x:v>(21)96832-5844</x:v>
      </x:c>
      <x:c r="Z1590" s="30" t="n">
        <x:v>46453</x:v>
      </x:c>
    </x:row>
    <x:row r="1591" ht="18" customHeight="1">
      <x:c r="A1591" s="22" t="str">
        <x:f>"095b5187-696c-43f6-969b-53cb0ff6af9b"</x:f>
        <x:v>095b5187-696c-43f6-969b-53cb0ff6af9b</x:v>
      </x:c>
      <x:c r="B1591" s="23" t="str">
        <x:v>IGOR CESAR CARDOSO FIGUEIREDO</x:v>
      </x:c>
      <x:c r="C1591" s="23" t="str">
        <x:v>igor cesar cardoso figueiredo</x:v>
      </x:c>
      <x:c r="D1591" s="22" t="str">
        <x:f>"13.287.872/0001-24"</x:f>
        <x:v>13.287.872/0001-24</x:v>
      </x:c>
      <x:c r="E1591" s="22" t="str">
        <x:f>"13287872000124"</x:f>
        <x:v>13287872000124</x:v>
      </x:c>
      <x:c r="F1591" s="22" t="str">
        <x:f>"394.825.748-50"</x:f>
        <x:v>394.825.748-50</x:v>
      </x:c>
      <x:c r="G1591" s="22" t="str">
        <x:f>"39482574850"</x:f>
        <x:v>39482574850</x:v>
      </x:c>
      <x:c r="H1591" s="23" t="str">
        <x:v>igorcesar_1001@hotmail.com</x:v>
      </x:c>
      <x:c r="I1591" s="22" t="str">
        <x:f>"11 910885026"</x:f>
        <x:v>11 910885026</x:v>
      </x:c>
      <x:c r="J1591" s="23" t="str">
        <x:v>RENTAL</x:v>
      </x:c>
      <x:c r="K1591" s="23" t="str">
        <x:v>rental_company</x:v>
      </x:c>
      <x:c r="L1591" s="24" t="b">
        <x:v>1</x:v>
      </x:c>
      <x:c r="M1591" s="23" t="n">
        <x:v>1</x:v>
      </x:c>
      <x:c r="N1591" s="28" t="n">
        <x:v>46203.92186888889</x:v>
      </x:c>
      <x:c r="O1591" s="28" t="n">
        <x:v>46219.812988715275</x:v>
      </x:c>
      <x:c r="P1591" s="23" t="str">
        <x:v>RIBEIRAO PRETO</x:v>
      </x:c>
      <x:c r="Q1591" s="30" t="n">
        <x:v>34359</x:v>
      </x:c>
      <x:c r="R1591" s="22" t="str">
        <x:f>"40909232"</x:f>
        <x:v>40909232</x:v>
      </x:c>
      <x:c r="S1591" s="23" t="str">
        <x:v>masculino</x:v>
      </x:c>
      <x:c r="T1591" s="22" t="str"/>
      <x:c r="U1591" s="23" t="str">
        <x:v>IGOR CESAR CARDOSO FIGUEIREDO</x:v>
      </x:c>
      <x:c r="V1591" s="22" t="str">
        <x:f>"394.825.748-50"</x:f>
        <x:v>394.825.748-50</x:v>
      </x:c>
      <x:c r="W1591" s="22" t="str">
        <x:f>"39482574850"</x:f>
        <x:v>39482574850</x:v>
      </x:c>
      <x:c r="X1591" s="23" t="str">
        <x:v>igorcesar_1001@hotmail.com</x:v>
      </x:c>
      <x:c r="Y1591" s="22" t="str">
        <x:f>"11 910885026"</x:f>
        <x:v>11 910885026</x:v>
      </x:c>
      <x:c r="Z1591" s="30" t="n">
        <x:v>46294</x:v>
      </x:c>
    </x:row>
    <x:row r="1592" ht="18" customHeight="1">
      <x:c r="A1592" s="22" t="str">
        <x:f>"103cde97-8a31-4bad-a30e-d226d979c246"</x:f>
        <x:v>103cde97-8a31-4bad-a30e-d226d979c246</x:v>
      </x:c>
      <x:c r="B1592" s="23" t="str">
        <x:v>IGOR CINTRA MIKEJEVS CARVALHO</x:v>
      </x:c>
      <x:c r="C1592" s="23" t="str">
        <x:v>igor cintra mikejevs carvalho</x:v>
      </x:c>
      <x:c r="D1592" s="22" t="str">
        <x:f>"32.455.125/0001-00"</x:f>
        <x:v>32.455.125/0001-00</x:v>
      </x:c>
      <x:c r="E1592" s="22" t="str">
        <x:f>"32455125000100"</x:f>
        <x:v>32455125000100</x:v>
      </x:c>
      <x:c r="F1592" s="22" t="str">
        <x:f>"488.054.498-14"</x:f>
        <x:v>488.054.498-14</x:v>
      </x:c>
      <x:c r="G1592" s="22" t="str">
        <x:f>"48805449814"</x:f>
        <x:v>48805449814</x:v>
      </x:c>
      <x:c r="H1592" s="23" t="str">
        <x:v>mvmikejevs@gmail.com</x:v>
      </x:c>
      <x:c r="I1592" s="22" t="str">
        <x:f>"(35) 998229324"</x:f>
        <x:v>(35) 998229324</x:v>
      </x:c>
      <x:c r="J1592" s="23" t="str">
        <x:v>RENTAL</x:v>
      </x:c>
      <x:c r="K1592" s="23" t="str">
        <x:v>rental_company</x:v>
      </x:c>
      <x:c r="L1592" s="24" t="b">
        <x:v>1</x:v>
      </x:c>
      <x:c r="M1592" s="23" t="n">
        <x:v>1</x:v>
      </x:c>
      <x:c r="N1592" s="28" t="n">
        <x:v>46203.921852962965</x:v>
      </x:c>
      <x:c r="O1592" s="28" t="n">
        <x:v>46219.812988715275</x:v>
      </x:c>
      <x:c r="P1592" s="23" t="str">
        <x:v>POUSO ALEGRE</x:v>
      </x:c>
      <x:c r="Q1592" s="30" t="n">
        <x:v>36324</x:v>
      </x:c>
      <x:c r="R1592" s="22" t="str">
        <x:f>"MG22513414 SSP MG"</x:f>
        <x:v>MG22513414 SSP MG</x:v>
      </x:c>
      <x:c r="S1592" s="23" t="str">
        <x:v>masculino</x:v>
      </x:c>
      <x:c r="T1592" s="22" t="str"/>
      <x:c r="U1592" s="23" t="str">
        <x:v>IGOR CINTRA MIKEJEVS CARVALHO</x:v>
      </x:c>
      <x:c r="V1592" s="22" t="str">
        <x:f>"488.054.498-14"</x:f>
        <x:v>488.054.498-14</x:v>
      </x:c>
      <x:c r="W1592" s="22" t="str">
        <x:f>"48805449814"</x:f>
        <x:v>48805449814</x:v>
      </x:c>
      <x:c r="X1592" s="23" t="str">
        <x:v>mvmikejevs@gmail.com</x:v>
      </x:c>
      <x:c r="Y1592" s="22" t="str">
        <x:f>"(35) 998229324"</x:f>
        <x:v>(35) 998229324</x:v>
      </x:c>
      <x:c r="Z1592" s="30" t="n">
        <x:v>46247</x:v>
      </x:c>
    </x:row>
    <x:row r="1593" ht="18" customHeight="1">
      <x:c r="A1593" s="22" t="str">
        <x:f>"7d18e8c3-3045-4371-9eab-9a953b296017"</x:f>
        <x:v>7d18e8c3-3045-4371-9eab-9a953b296017</x:v>
      </x:c>
      <x:c r="B1593" s="23" t="str">
        <x:v>IGOR CINTRA MIKEJEVS CARVALHO</x:v>
      </x:c>
      <x:c r="C1593" s="23" t="str">
        <x:v>igor cintra mikejevs carvalho</x:v>
      </x:c>
      <x:c r="D1593" s="22" t="str">
        <x:f>"62.233.463/0001-50"</x:f>
        <x:v>62.233.463/0001-50</x:v>
      </x:c>
      <x:c r="E1593" s="22" t="str">
        <x:f>"62233463000150"</x:f>
        <x:v>62233463000150</x:v>
      </x:c>
      <x:c r="F1593" s="22" t="str">
        <x:f>"488.054.498-14"</x:f>
        <x:v>488.054.498-14</x:v>
      </x:c>
      <x:c r="G1593" s="22" t="str">
        <x:f>"48805449814"</x:f>
        <x:v>48805449814</x:v>
      </x:c>
      <x:c r="H1593" s="23" t="str">
        <x:v>mvmikejevs@gmail.com</x:v>
      </x:c>
      <x:c r="I1593" s="22" t="str">
        <x:f>"35 998229324"</x:f>
        <x:v>35 998229324</x:v>
      </x:c>
      <x:c r="J1593" s="23" t="str">
        <x:v>RENTAL</x:v>
      </x:c>
      <x:c r="K1593" s="23" t="str">
        <x:v>rental_company</x:v>
      </x:c>
      <x:c r="L1593" s="24" t="b">
        <x:v>1</x:v>
      </x:c>
      <x:c r="M1593" s="23" t="n">
        <x:v>1</x:v>
      </x:c>
      <x:c r="N1593" s="28" t="n">
        <x:v>46203.921852962965</x:v>
      </x:c>
      <x:c r="O1593" s="28" t="n">
        <x:v>46219.812988715275</x:v>
      </x:c>
      <x:c r="P1593" s="23" t="str">
        <x:v>POUSO ALEGRE</x:v>
      </x:c>
      <x:c r="Q1593" s="30" t="n">
        <x:v>36293</x:v>
      </x:c>
      <x:c r="R1593" s="22" t="str">
        <x:f>"22513414"</x:f>
        <x:v>22513414</x:v>
      </x:c>
      <x:c r="S1593" s="23" t="str">
        <x:v>masculino</x:v>
      </x:c>
      <x:c r="T1593" s="22" t="str"/>
      <x:c r="U1593" s="23" t="str">
        <x:v>IGOR CINTRA MIKEJEVS CARVALHO</x:v>
      </x:c>
      <x:c r="V1593" s="22" t="str">
        <x:f>"488.054.498-14"</x:f>
        <x:v>488.054.498-14</x:v>
      </x:c>
      <x:c r="W1593" s="22" t="str">
        <x:f>"48805449814"</x:f>
        <x:v>48805449814</x:v>
      </x:c>
      <x:c r="X1593" s="23" t="str">
        <x:v>mvmikejevs@gmail.com</x:v>
      </x:c>
      <x:c r="Y1593" s="22" t="str">
        <x:f>"35 998229324"</x:f>
        <x:v>35 998229324</x:v>
      </x:c>
      <x:c r="Z1593" s="30" t="n">
        <x:v>46248</x:v>
      </x:c>
    </x:row>
    <x:row r="1594" ht="18" customHeight="1">
      <x:c r="A1594" s="22" t="str">
        <x:f>"c2ecc76c-1c8f-4263-94fb-cc2b767505dd"</x:f>
        <x:v>c2ecc76c-1c8f-4263-94fb-cc2b767505dd</x:v>
      </x:c>
      <x:c r="B1594" s="23" t="str">
        <x:v>IGOR DE ARRUDA CAMPOS</x:v>
      </x:c>
      <x:c r="C1594" s="23" t="str">
        <x:v>igor de arruda campos</x:v>
      </x:c>
      <x:c r="D1594" s="22" t="str">
        <x:f>"50.831.314/0001-04"</x:f>
        <x:v>50.831.314/0001-04</x:v>
      </x:c>
      <x:c r="E1594" s="22" t="str">
        <x:f>"50831314000104"</x:f>
        <x:v>50831314000104</x:v>
      </x:c>
      <x:c r="F1594" s="22" t="str">
        <x:f>"060.964.741-52"</x:f>
        <x:v>060.964.741-52</x:v>
      </x:c>
      <x:c r="G1594" s="22" t="str">
        <x:f>"06096474152"</x:f>
        <x:v>06096474152</x:v>
      </x:c>
      <x:c r="H1594" s="23" t="str">
        <x:v>igorcampos2198@gmail.com</x:v>
      </x:c>
      <x:c r="I1594" s="22" t="str">
        <x:f>"(65) 99333-3836"</x:f>
        <x:v>(65) 99333-3836</x:v>
      </x:c>
      <x:c r="J1594" s="23" t="str">
        <x:v>SPOT</x:v>
      </x:c>
      <x:c r="K1594" s="23" t="str">
        <x:v>favored_only</x:v>
      </x:c>
      <x:c r="L1594" s="24" t="b">
        <x:v>1</x:v>
      </x:c>
      <x:c r="M1594" s="23" t="n">
        <x:v>1</x:v>
      </x:c>
      <x:c r="N1594" s="28" t="n">
        <x:v>46203.92189965278</x:v>
      </x:c>
      <x:c r="O1594" s="28" t="n">
        <x:v>46219.812988715275</x:v>
      </x:c>
      <x:c r="P1594" s="23" t="str">
        <x:v>CUIABA</x:v>
      </x:c>
      <x:c r="Q1594" s="30" t="n">
        <x:v>35906</x:v>
      </x:c>
      <x:c r="R1594" s="22" t="str">
        <x:f>"25719319"</x:f>
        <x:v>25719319</x:v>
      </x:c>
      <x:c r="S1594" s="23" t="str">
        <x:v>masculino</x:v>
      </x:c>
      <x:c r="T1594" s="22" t="str">
        <x:f>"RNI1F86"</x:f>
        <x:v>RNI1F86</x:v>
      </x:c>
      <x:c r="U1594" s="23" t="str">
        <x:v>IGOR DE ARRUDA CAMPOS</x:v>
      </x:c>
      <x:c r="V1594" s="22" t="str">
        <x:f>"060.964.741-52"</x:f>
        <x:v>060.964.741-52</x:v>
      </x:c>
      <x:c r="W1594" s="22" t="str">
        <x:f>"06096474152"</x:f>
        <x:v>06096474152</x:v>
      </x:c>
      <x:c r="X1594" s="23" t="str">
        <x:v>igorcampos2198@gmail.com</x:v>
      </x:c>
      <x:c r="Y1594" s="22" t="str">
        <x:f>"(65) 99333-3836"</x:f>
        <x:v>(65) 99333-3836</x:v>
      </x:c>
      <x:c r="Z1594" s="30" t="n">
        <x:v>46347</x:v>
      </x:c>
    </x:row>
    <x:row r="1595" ht="18" customHeight="1">
      <x:c r="A1595" s="22" t="str">
        <x:f>"b7ec6b23-d705-46e1-a556-6b1a61691ebd"</x:f>
        <x:v>b7ec6b23-d705-46e1-a556-6b1a61691ebd</x:v>
      </x:c>
      <x:c r="B1595" s="23" t="str">
        <x:v>IGOR DE SOUZA ALEXANDRE</x:v>
      </x:c>
      <x:c r="C1595" s="23" t="str">
        <x:v>igor de souza alexandre</x:v>
      </x:c>
      <x:c r="D1595" s="22" t="str">
        <x:f>"61.608.835/0001-13"</x:f>
        <x:v>61.608.835/0001-13</x:v>
      </x:c>
      <x:c r="E1595" s="22" t="str">
        <x:f>"61608835000113"</x:f>
        <x:v>61608835000113</x:v>
      </x:c>
      <x:c r="F1595" s="22" t="str">
        <x:f>"223.565.978-08"</x:f>
        <x:v>223.565.978-08</x:v>
      </x:c>
      <x:c r="G1595" s="22" t="str">
        <x:f>"22356597808"</x:f>
        <x:v>22356597808</x:v>
      </x:c>
      <x:c r="H1595" s="23" t="str">
        <x:v>igorsast26@hotmail.com</x:v>
      </x:c>
      <x:c r="I1595" s="22" t="str">
        <x:f>"17 9 8182-1425"</x:f>
        <x:v>17 9 8182-1425</x:v>
      </x:c>
      <x:c r="J1595" s="23" t="str">
        <x:v>RENTAL</x:v>
      </x:c>
      <x:c r="K1595" s="23" t="str">
        <x:v>rental_company</x:v>
      </x:c>
      <x:c r="L1595" s="24" t="b">
        <x:v>1</x:v>
      </x:c>
      <x:c r="M1595" s="23" t="n">
        <x:v>1</x:v>
      </x:c>
      <x:c r="N1595" s="28" t="n">
        <x:v>46203.92183332176</x:v>
      </x:c>
      <x:c r="O1595" s="28" t="n">
        <x:v>46205.60470349537</x:v>
      </x:c>
      <x:c r="P1595" s="23" t="str">
        <x:v>BARRETOS</x:v>
      </x:c>
      <x:c r="Q1595" s="30" t="n">
        <x:v>30369</x:v>
      </x:c>
      <x:c r="R1595" s="22" t="str">
        <x:f>"34.545.947-7"</x:f>
        <x:v>34.545.947-7</x:v>
      </x:c>
      <x:c r="S1595" s="23" t="str">
        <x:v>Masculino</x:v>
      </x:c>
      <x:c r="T1595" s="22" t="str"/>
      <x:c r="U1595" s="23" t="str">
        <x:v>IGOR DE SOUZA ALEXANDRE</x:v>
      </x:c>
      <x:c r="V1595" s="22" t="str">
        <x:f>"223.565.978-08"</x:f>
        <x:v>223.565.978-08</x:v>
      </x:c>
      <x:c r="W1595" s="22" t="str">
        <x:f>"22356597808"</x:f>
        <x:v>22356597808</x:v>
      </x:c>
      <x:c r="X1595" s="23" t="str">
        <x:v>igorsast26@hotmail.com</x:v>
      </x:c>
      <x:c r="Y1595" s="22" t="str">
        <x:f>"17 9 8182-1425"</x:f>
        <x:v>17 9 8182-1425</x:v>
      </x:c>
      <x:c r="Z1595" s="30" t="n">
        <x:v>46210</x:v>
      </x:c>
    </x:row>
    <x:row r="1596" ht="18" customHeight="1">
      <x:c r="A1596" s="22" t="str">
        <x:f>"a1d22501-70d5-4f8a-add7-df4b8321a283"</x:f>
        <x:v>a1d22501-70d5-4f8a-add7-df4b8321a283</x:v>
      </x:c>
      <x:c r="B1596" s="23" t="str">
        <x:v>IGOR ERNESTO BARBOSA</x:v>
      </x:c>
      <x:c r="C1596" s="23" t="str">
        <x:v>igor ernesto barbosa</x:v>
      </x:c>
      <x:c r="D1596" s="22" t="str">
        <x:f>"67.761.405/0001-13"</x:f>
        <x:v>67.761.405/0001-13</x:v>
      </x:c>
      <x:c r="E1596" s="22" t="str">
        <x:f>"67761405000113"</x:f>
        <x:v>67761405000113</x:v>
      </x:c>
      <x:c r="F1596" s="22" t="str">
        <x:f>"177.415.106-57"</x:f>
        <x:v>177.415.106-57</x:v>
      </x:c>
      <x:c r="G1596" s="22" t="str">
        <x:f>"17741510657"</x:f>
        <x:v>17741510657</x:v>
      </x:c>
      <x:c r="H1596" s="23" t="str">
        <x:v>ernestoigor032@gmail.com</x:v>
      </x:c>
      <x:c r="I1596" s="22" t="str">
        <x:f>"+55 31 7158-2986"</x:f>
        <x:v>+55 31 7158-2986</x:v>
      </x:c>
      <x:c r="J1596" s="23" t="str">
        <x:v>RENTAL</x:v>
      </x:c>
      <x:c r="K1596" s="23" t="str">
        <x:v>rental_company</x:v>
      </x:c>
      <x:c r="L1596" s="24" t="b">
        <x:v>1</x:v>
      </x:c>
      <x:c r="M1596" s="23" t="n">
        <x:v>1</x:v>
      </x:c>
      <x:c r="N1596" s="28" t="n">
        <x:v>46219.812988715275</x:v>
      </x:c>
      <x:c r="O1596" s="28" t="n">
        <x:v>46219.812988715275</x:v>
      </x:c>
      <x:c r="P1596" s="23" t="str">
        <x:v>GUANHAES</x:v>
      </x:c>
      <x:c r="Q1596" s="30" t="n">
        <x:v>38047</x:v>
      </x:c>
      <x:c r="R1596" s="22" t="str">
        <x:f>"24052322"</x:f>
        <x:v>24052322</x:v>
      </x:c>
      <x:c r="S1596" s="23" t="str">
        <x:v>masculino</x:v>
      </x:c>
      <x:c r="T1596" s="22" t="str"/>
      <x:c r="U1596" s="23" t="str">
        <x:v>IGOR ERNESTO BARBOSA</x:v>
      </x:c>
      <x:c r="V1596" s="22" t="str">
        <x:f>"177.415.106-57"</x:f>
        <x:v>177.415.106-57</x:v>
      </x:c>
      <x:c r="W1596" s="22" t="str">
        <x:f>"17741510657"</x:f>
        <x:v>17741510657</x:v>
      </x:c>
      <x:c r="X1596" s="23" t="str">
        <x:v>ernestoigor032@gmail.com</x:v>
      </x:c>
      <x:c r="Y1596" s="22" t="str">
        <x:f>"+55 31 7158-2986"</x:f>
        <x:v>+55 31 7158-2986</x:v>
      </x:c>
      <x:c r="Z1596" s="30" t="n">
        <x:v>46568</x:v>
      </x:c>
    </x:row>
    <x:row r="1597" ht="18" customHeight="1">
      <x:c r="A1597" s="22" t="str">
        <x:f>"fb75246a-c1a5-4e31-8552-db92fe9a74aa"</x:f>
        <x:v>fb75246a-c1a5-4e31-8552-db92fe9a74aa</x:v>
      </x:c>
      <x:c r="B1597" s="23" t="str">
        <x:v>IGOR ERNESTO BARBOSA</x:v>
      </x:c>
      <x:c r="C1597" s="23" t="str">
        <x:v>igor ernesto barbosa</x:v>
      </x:c>
      <x:c r="D1597" s="22" t="str">
        <x:f>"63.920.213/0001-51"</x:f>
        <x:v>63.920.213/0001-51</x:v>
      </x:c>
      <x:c r="E1597" s="22" t="str">
        <x:f>"63920213000151"</x:f>
        <x:v>63920213000151</x:v>
      </x:c>
      <x:c r="F1597" s="22" t="str">
        <x:f>"177.415.106-57"</x:f>
        <x:v>177.415.106-57</x:v>
      </x:c>
      <x:c r="G1597" s="22" t="str">
        <x:f>"17741510657"</x:f>
        <x:v>17741510657</x:v>
      </x:c>
      <x:c r="H1597" s="23" t="str">
        <x:v>Ernestoigor032@gmail.com</x:v>
      </x:c>
      <x:c r="I1597" s="22" t="str">
        <x:f>"‪+55 31 97158‑2986‬"</x:f>
        <x:v>‪+55 31 97158‑2986‬</x:v>
      </x:c>
      <x:c r="J1597" s="23" t="str">
        <x:v>RENTAL</x:v>
      </x:c>
      <x:c r="K1597" s="23" t="str">
        <x:v>rental_company</x:v>
      </x:c>
      <x:c r="L1597" s="24" t="b">
        <x:v>1</x:v>
      </x:c>
      <x:c r="M1597" s="23" t="n">
        <x:v>1</x:v>
      </x:c>
      <x:c r="N1597" s="28" t="n">
        <x:v>46203.92189965278</x:v>
      </x:c>
      <x:c r="O1597" s="28" t="n">
        <x:v>46219.812988715275</x:v>
      </x:c>
      <x:c r="P1597" s="23" t="str">
        <x:v>GUANHAES</x:v>
      </x:c>
      <x:c r="Q1597" s="30" t="n">
        <x:v>38047</x:v>
      </x:c>
      <x:c r="R1597" s="22" t="str">
        <x:f>"24052322"</x:f>
        <x:v>24052322</x:v>
      </x:c>
      <x:c r="S1597" s="23" t="str">
        <x:v>masculino</x:v>
      </x:c>
      <x:c r="T1597" s="22" t="str"/>
      <x:c r="U1597" s="23" t="str">
        <x:v>IGOR ERNESTO BARBOSA</x:v>
      </x:c>
      <x:c r="V1597" s="22" t="str">
        <x:f>"177.415.106-57"</x:f>
        <x:v>177.415.106-57</x:v>
      </x:c>
      <x:c r="W1597" s="22" t="str">
        <x:f>"17741510657"</x:f>
        <x:v>17741510657</x:v>
      </x:c>
      <x:c r="X1597" s="23" t="str">
        <x:v>Ernestoigor032@gmail.com</x:v>
      </x:c>
      <x:c r="Y1597" s="22" t="str">
        <x:f>"‪+55 31 97158‑2986‬"</x:f>
        <x:v>‪+55 31 97158‑2986‬</x:v>
      </x:c>
      <x:c r="Z1597" s="30" t="n">
        <x:v>46360</x:v>
      </x:c>
    </x:row>
    <x:row r="1598" ht="18" customHeight="1">
      <x:c r="A1598" s="22" t="str">
        <x:f>"38334994-a425-4d5c-adf5-d442860bbdb7"</x:f>
        <x:v>38334994-a425-4d5c-adf5-d442860bbdb7</x:v>
      </x:c>
      <x:c r="B1598" s="23" t="str">
        <x:v>IGOR FELISBINO DO NASCIMENTO LEITE</x:v>
      </x:c>
      <x:c r="C1598" s="23" t="str">
        <x:v>igor felisbino do nascimento leite</x:v>
      </x:c>
      <x:c r="D1598" s="22" t="str">
        <x:f>"63.216.556/0001-30"</x:f>
        <x:v>63.216.556/0001-30</x:v>
      </x:c>
      <x:c r="E1598" s="22" t="str">
        <x:f>"63216556000130"</x:f>
        <x:v>63216556000130</x:v>
      </x:c>
      <x:c r="F1598" s="22" t="str">
        <x:f>"440.172.018-06"</x:f>
        <x:v>440.172.018-06</x:v>
      </x:c>
      <x:c r="G1598" s="22" t="str">
        <x:f>"44017201806"</x:f>
        <x:v>44017201806</x:v>
      </x:c>
      <x:c r="H1598" s="23" t="str">
        <x:v>Igornascimento2026@gmail.com</x:v>
      </x:c>
      <x:c r="I1598" s="22" t="str">
        <x:f>"16997748261"</x:f>
        <x:v>16997748261</x:v>
      </x:c>
      <x:c r="J1598" s="23" t="str">
        <x:v>RENTAL</x:v>
      </x:c>
      <x:c r="K1598" s="23" t="str">
        <x:v>rental_company</x:v>
      </x:c>
      <x:c r="L1598" s="24" t="b">
        <x:v>1</x:v>
      </x:c>
      <x:c r="M1598" s="23" t="n">
        <x:v>1</x:v>
      </x:c>
      <x:c r="N1598" s="28" t="n">
        <x:v>46203.92188238426</x:v>
      </x:c>
      <x:c r="O1598" s="28" t="n">
        <x:v>46219.812988715275</x:v>
      </x:c>
      <x:c r="P1598" s="23" t="str">
        <x:v>RIBEIRAO PRETO</x:v>
      </x:c>
      <x:c r="Q1598" s="30" t="n">
        <x:v>34583</x:v>
      </x:c>
      <x:c r="R1598" s="22" t="str">
        <x:f>"401668885"</x:f>
        <x:v>401668885</x:v>
      </x:c>
      <x:c r="S1598" s="23" t="str">
        <x:v>masculino</x:v>
      </x:c>
      <x:c r="T1598" s="22" t="str"/>
      <x:c r="U1598" s="23" t="str">
        <x:v>IGOR FELISBINO DO NASCIMENTO LEITE</x:v>
      </x:c>
      <x:c r="V1598" s="22" t="str">
        <x:f>"440.172.018-06"</x:f>
        <x:v>440.172.018-06</x:v>
      </x:c>
      <x:c r="W1598" s="22" t="str">
        <x:f>"44017201806"</x:f>
        <x:v>44017201806</x:v>
      </x:c>
      <x:c r="X1598" s="23" t="str">
        <x:v>Igornascimento2026@gmail.com</x:v>
      </x:c>
      <x:c r="Y1598" s="22" t="str">
        <x:f>"16997748261"</x:f>
        <x:v>16997748261</x:v>
      </x:c>
      <x:c r="Z1598" s="30" t="n">
        <x:v>46316</x:v>
      </x:c>
    </x:row>
    <x:row r="1599" ht="18" customHeight="1">
      <x:c r="A1599" s="22" t="str">
        <x:f>"4b444a9a-b941-4465-9a0d-6039fd76cbe9"</x:f>
        <x:v>4b444a9a-b941-4465-9a0d-6039fd76cbe9</x:v>
      </x:c>
      <x:c r="B1599" s="23" t="str">
        <x:v>IGOR GABRIEL SILVA PEDRO</x:v>
      </x:c>
      <x:c r="C1599" s="23" t="str">
        <x:v>igor gabriel silva pedro</x:v>
      </x:c>
      <x:c r="D1599" s="22" t="str">
        <x:f>"29.089.344/0001-09"</x:f>
        <x:v>29.089.344/0001-09</x:v>
      </x:c>
      <x:c r="E1599" s="22" t="str">
        <x:f>"29089344000109"</x:f>
        <x:v>29089344000109</x:v>
      </x:c>
      <x:c r="F1599" s="22" t="str">
        <x:f>"016.025.626-79"</x:f>
        <x:v>016.025.626-79</x:v>
      </x:c>
      <x:c r="G1599" s="22" t="str">
        <x:f>"01602562679"</x:f>
        <x:v>01602562679</x:v>
      </x:c>
      <x:c r="H1599" s="23" t="str">
        <x:v>igorgsilva92@gmail.com</x:v>
      </x:c>
      <x:c r="I1599" s="22" t="str">
        <x:f>"(35)99860-0270"</x:f>
        <x:v>(35)99860-0270</x:v>
      </x:c>
      <x:c r="J1599" s="23" t="str">
        <x:v>RENTAL</x:v>
      </x:c>
      <x:c r="K1599" s="23" t="str">
        <x:v>rental_company</x:v>
      </x:c>
      <x:c r="L1599" s="24" t="b">
        <x:v>1</x:v>
      </x:c>
      <x:c r="M1599" s="23" t="n">
        <x:v>1</x:v>
      </x:c>
      <x:c r="N1599" s="28" t="n">
        <x:v>46203.92186888889</x:v>
      </x:c>
      <x:c r="O1599" s="28" t="n">
        <x:v>46219.812988715275</x:v>
      </x:c>
      <x:c r="P1599" s="23" t="str">
        <x:v>POUSO ALEGRE</x:v>
      </x:c>
      <x:c r="Q1599" s="30" t="n">
        <x:v>35512</x:v>
      </x:c>
      <x:c r="R1599" s="22" t="str">
        <x:f>"MG17124060 SSP MG"</x:f>
        <x:v>MG17124060 SSP MG</x:v>
      </x:c>
      <x:c r="S1599" s="23" t="str">
        <x:v>masculino</x:v>
      </x:c>
      <x:c r="T1599" s="22" t="str"/>
      <x:c r="U1599" s="23" t="str">
        <x:v>IGOR GABRIEL SILVA PEDRO</x:v>
      </x:c>
      <x:c r="V1599" s="22" t="str">
        <x:f>"016.025.626-79"</x:f>
        <x:v>016.025.626-79</x:v>
      </x:c>
      <x:c r="W1599" s="22" t="str">
        <x:f>"01602562679"</x:f>
        <x:v>01602562679</x:v>
      </x:c>
      <x:c r="X1599" s="23" t="str">
        <x:v>igorgsilva92@gmail.com</x:v>
      </x:c>
      <x:c r="Y1599" s="22" t="str">
        <x:f>"(35)99860-0270"</x:f>
        <x:v>(35)99860-0270</x:v>
      </x:c>
      <x:c r="Z1599" s="30" t="n">
        <x:v>46303</x:v>
      </x:c>
    </x:row>
    <x:row r="1600" ht="18" customHeight="1">
      <x:c r="A1600" s="22" t="str">
        <x:f>"1ad4c789-fcf9-4599-ab5c-ff15822513bf"</x:f>
        <x:v>1ad4c789-fcf9-4599-ab5c-ff15822513bf</x:v>
      </x:c>
      <x:c r="B1600" s="23" t="str">
        <x:v>IGOR HENRIQUE DA SILVA</x:v>
      </x:c>
      <x:c r="C1600" s="23" t="str">
        <x:v>igor henrique da silva</x:v>
      </x:c>
      <x:c r="D1600" s="22" t="str">
        <x:f>"65.328.892/0001-08"</x:f>
        <x:v>65.328.892/0001-08</x:v>
      </x:c>
      <x:c r="E1600" s="22" t="str">
        <x:f>"65328892000108"</x:f>
        <x:v>65328892000108</x:v>
      </x:c>
      <x:c r="F1600" s="22" t="str">
        <x:f>"206.495.757-09"</x:f>
        <x:v>206.495.757-09</x:v>
      </x:c>
      <x:c r="G1600" s="22" t="str">
        <x:f>"20649575709"</x:f>
        <x:v>20649575709</x:v>
      </x:c>
      <x:c r="H1600" s="23" t="str">
        <x:v>igorhenrique804991@gmail.com</x:v>
      </x:c>
      <x:c r="I1600" s="22" t="str">
        <x:f>"11950715744"</x:f>
        <x:v>11950715744</x:v>
      </x:c>
      <x:c r="J1600" s="23" t="str">
        <x:v>RENTAL</x:v>
      </x:c>
      <x:c r="K1600" s="23" t="str">
        <x:v>rental_company</x:v>
      </x:c>
      <x:c r="L1600" s="24" t="b">
        <x:v>1</x:v>
      </x:c>
      <x:c r="M1600" s="23" t="n">
        <x:v>1</x:v>
      </x:c>
      <x:c r="N1600" s="28" t="n">
        <x:v>46219.812988715275</x:v>
      </x:c>
      <x:c r="O1600" s="28" t="n">
        <x:v>46219.812988715275</x:v>
      </x:c>
      <x:c r="P1600" s="23" t="str">
        <x:v>BARUERI</x:v>
      </x:c>
      <x:c r="Q1600" s="30" t="n">
        <x:v>36333</x:v>
      </x:c>
      <x:c r="R1600" s="22" t="str">
        <x:f>"695822470"</x:f>
        <x:v>695822470</x:v>
      </x:c>
      <x:c r="S1600" s="23" t="str">
        <x:v>masculino</x:v>
      </x:c>
      <x:c r="T1600" s="22" t="str"/>
      <x:c r="U1600" s="23" t="str">
        <x:v>IGOR HENRIQUE DA SILVA</x:v>
      </x:c>
      <x:c r="V1600" s="22" t="str">
        <x:f>"206.495.757-09"</x:f>
        <x:v>206.495.757-09</x:v>
      </x:c>
      <x:c r="W1600" s="22" t="str">
        <x:f>"20649575709"</x:f>
        <x:v>20649575709</x:v>
      </x:c>
      <x:c r="X1600" s="23" t="str">
        <x:v>igorhenrique804991@gmail.com</x:v>
      </x:c>
      <x:c r="Y1600" s="22" t="str">
        <x:f>"11950715744"</x:f>
        <x:v>11950715744</x:v>
      </x:c>
      <x:c r="Z1600" s="30" t="n">
        <x:v>46578</x:v>
      </x:c>
    </x:row>
    <x:row r="1601" ht="18" customHeight="1">
      <x:c r="A1601" s="22" t="str">
        <x:f>"deb27ae0-9d80-4d74-8a86-f446a40bc48c"</x:f>
        <x:v>deb27ae0-9d80-4d74-8a86-f446a40bc48c</x:v>
      </x:c>
      <x:c r="B1601" s="23" t="str">
        <x:v>IGOR HENRIQUE FARIAS RICARDO</x:v>
      </x:c>
      <x:c r="C1601" s="23" t="str">
        <x:v>igor henrique farias ricardo</x:v>
      </x:c>
      <x:c r="D1601" s="22" t="str">
        <x:f>"60.296.742/0001-38"</x:f>
        <x:v>60.296.742/0001-38</x:v>
      </x:c>
      <x:c r="E1601" s="22" t="str">
        <x:f>"60296742000138"</x:f>
        <x:v>60296742000138</x:v>
      </x:c>
      <x:c r="F1601" s="22" t="str">
        <x:f>"472.903.468-66"</x:f>
        <x:v>472.903.468-66</x:v>
      </x:c>
      <x:c r="G1601" s="22" t="str">
        <x:f>"47290346866"</x:f>
        <x:v>47290346866</x:v>
      </x:c>
      <x:c r="H1601" s="23" t="str">
        <x:v>igorhfarias01@gmail.com</x:v>
      </x:c>
      <x:c r="I1601" s="22" t="str">
        <x:f>"(16)99626-1166"</x:f>
        <x:v>(16)99626-1166</x:v>
      </x:c>
      <x:c r="J1601" s="23" t="str">
        <x:v>SPOT</x:v>
      </x:c>
      <x:c r="K1601" s="23" t="str">
        <x:v>favored_only</x:v>
      </x:c>
      <x:c r="L1601" s="24" t="b">
        <x:v>1</x:v>
      </x:c>
      <x:c r="M1601" s="23" t="n">
        <x:v>1</x:v>
      </x:c>
      <x:c r="N1601" s="28" t="n">
        <x:v>46205.60555087963</x:v>
      </x:c>
      <x:c r="O1601" s="28" t="n">
        <x:v>46219.812988715275</x:v>
      </x:c>
      <x:c r="P1601" s="23" t="str">
        <x:v>SÃO CARLOS</x:v>
      </x:c>
      <x:c r="Q1601" s="30" t="n">
        <x:v>37004</x:v>
      </x:c>
      <x:c r="R1601" s="22" t="str">
        <x:f>"53724939-4"</x:f>
        <x:v>53724939-4</x:v>
      </x:c>
      <x:c r="S1601" s="23" t="str">
        <x:v>masculino</x:v>
      </x:c>
      <x:c r="T1601" s="22" t="str">
        <x:f>"GFV8F83"</x:f>
        <x:v>GFV8F83</x:v>
      </x:c>
      <x:c r="U1601" s="23" t="str">
        <x:v>ALEX SANDRO RICARDO</x:v>
      </x:c>
      <x:c r="V1601" s="22" t="str">
        <x:f>"189.186.148-45"</x:f>
        <x:v>189.186.148-45</x:v>
      </x:c>
      <x:c r="W1601" s="22" t="str">
        <x:f>"18918614845"</x:f>
        <x:v>18918614845</x:v>
      </x:c>
      <x:c r="X1601" s="23" t="str">
        <x:v>a.sandro1974@hotmail.com</x:v>
      </x:c>
      <x:c r="Y1601" s="22" t="str">
        <x:f>"(16)98836-5834"</x:f>
        <x:v>(16)98836-5834</x:v>
      </x:c>
      <x:c r="Z1601" s="30" t="n">
        <x:v>46326</x:v>
      </x:c>
    </x:row>
    <x:row r="1602" ht="18" customHeight="1">
      <x:c r="A1602" s="22" t="str">
        <x:f>"e956e477-9320-4b55-8adc-c719f06be8e2"</x:f>
        <x:v>e956e477-9320-4b55-8adc-c719f06be8e2</x:v>
      </x:c>
      <x:c r="B1602" s="23" t="str">
        <x:v>IGOR LEONARDO DOS SANTOS SILVA</x:v>
      </x:c>
      <x:c r="C1602" s="23" t="str">
        <x:v>igor leonardo dos santos silva</x:v>
      </x:c>
      <x:c r="D1602" s="22" t="str">
        <x:f>"62.279.593/0001-24"</x:f>
        <x:v>62.279.593/0001-24</x:v>
      </x:c>
      <x:c r="E1602" s="22" t="str">
        <x:f>"62279593000124"</x:f>
        <x:v>62279593000124</x:v>
      </x:c>
      <x:c r="F1602" s="22" t="str">
        <x:f>"085.355.255-05"</x:f>
        <x:v>085.355.255-05</x:v>
      </x:c>
      <x:c r="G1602" s="22" t="str">
        <x:f>"08535525505"</x:f>
        <x:v>08535525505</x:v>
      </x:c>
      <x:c r="H1602" s="23" t="str">
        <x:v>igorleonardo003@gmail.com</x:v>
      </x:c>
      <x:c r="I1602" s="22" t="str">
        <x:f>"35984046728"</x:f>
        <x:v>35984046728</x:v>
      </x:c>
      <x:c r="J1602" s="23" t="str">
        <x:v>RENTAL</x:v>
      </x:c>
      <x:c r="K1602" s="23" t="str">
        <x:v>rental_company</x:v>
      </x:c>
      <x:c r="L1602" s="24" t="b">
        <x:v>1</x:v>
      </x:c>
      <x:c r="M1602" s="23" t="n">
        <x:v>1</x:v>
      </x:c>
      <x:c r="N1602" s="28" t="n">
        <x:v>46203.921852962965</x:v>
      </x:c>
      <x:c r="O1602" s="28" t="n">
        <x:v>46219.812988715275</x:v>
      </x:c>
      <x:c r="P1602" s="23" t="str">
        <x:v>POUSO ALEGRE</x:v>
      </x:c>
      <x:c r="Q1602" s="30" t="n">
        <x:v>35428</x:v>
      </x:c>
      <x:c r="R1602" s="22" t="str">
        <x:f>"2441405705"</x:f>
        <x:v>2441405705</x:v>
      </x:c>
      <x:c r="S1602" s="23" t="str">
        <x:v>masculino</x:v>
      </x:c>
      <x:c r="T1602" s="22" t="str"/>
      <x:c r="U1602" s="23" t="str">
        <x:v>IGOR LEONARDO DOS SANTOS SILVA</x:v>
      </x:c>
      <x:c r="V1602" s="22" t="str">
        <x:f>"085.355.255-05"</x:f>
        <x:v>085.355.255-05</x:v>
      </x:c>
      <x:c r="W1602" s="22" t="str">
        <x:f>"08535525505"</x:f>
        <x:v>08535525505</x:v>
      </x:c>
      <x:c r="X1602" s="23" t="str">
        <x:v>igorleonardo003@gmail.com</x:v>
      </x:c>
      <x:c r="Y1602" s="22" t="str">
        <x:f>"35984046728"</x:f>
        <x:v>35984046728</x:v>
      </x:c>
      <x:c r="Z1602" s="30" t="n">
        <x:v>46253</x:v>
      </x:c>
    </x:row>
    <x:row r="1603" ht="18" customHeight="1">
      <x:c r="A1603" s="22" t="str">
        <x:f>"24ad4a2b-598d-4e2f-adfa-f537dc1f6a97"</x:f>
        <x:v>24ad4a2b-598d-4e2f-adfa-f537dc1f6a97</x:v>
      </x:c>
      <x:c r="B1603" s="23" t="str">
        <x:v>IGOR MARCARI</x:v>
      </x:c>
      <x:c r="C1603" s="23" t="str">
        <x:v>igor marcari</x:v>
      </x:c>
      <x:c r="D1603" s="22" t="str">
        <x:f>"64.809.393/0001-61"</x:f>
        <x:v>64.809.393/0001-61</x:v>
      </x:c>
      <x:c r="E1603" s="22" t="str">
        <x:f>"64809393000161"</x:f>
        <x:v>64809393000161</x:v>
      </x:c>
      <x:c r="F1603" s="22" t="str">
        <x:f>"454.082.838-01"</x:f>
        <x:v>454.082.838-01</x:v>
      </x:c>
      <x:c r="G1603" s="22" t="str">
        <x:f>"45408283801"</x:f>
        <x:v>45408283801</x:v>
      </x:c>
      <x:c r="H1603" s="23" t="str">
        <x:v>igor.marcariii@gmail.com</x:v>
      </x:c>
      <x:c r="I1603" s="22" t="str">
        <x:f>"(16) 9 9112-3901"</x:f>
        <x:v>(16) 9 9112-3901</x:v>
      </x:c>
      <x:c r="J1603" s="23" t="str">
        <x:v>RENTALS</x:v>
      </x:c>
      <x:c r="K1603" s="23" t="str">
        <x:v>rental_company</x:v>
      </x:c>
      <x:c r="L1603" s="24" t="b">
        <x:v>1</x:v>
      </x:c>
      <x:c r="M1603" s="23" t="n">
        <x:v>2</x:v>
      </x:c>
      <x:c r="N1603" s="28" t="n">
        <x:v>46219.812988715275</x:v>
      </x:c>
      <x:c r="O1603" s="28" t="n">
        <x:v>46219.812988715275</x:v>
      </x:c>
      <x:c r="P1603" s="23" t="str">
        <x:v>RIBEIRAO PRETO</x:v>
      </x:c>
      <x:c r="Q1603" s="30" t="n">
        <x:v>35377</x:v>
      </x:c>
      <x:c r="R1603" s="22" t="str">
        <x:f>"44.362.119-6"</x:f>
        <x:v>44.362.119-6</x:v>
      </x:c>
      <x:c r="S1603" s="23" t="str">
        <x:v>masculino</x:v>
      </x:c>
      <x:c r="T1603" s="22" t="str">
        <x:f>"DMV2A69"</x:f>
        <x:v>DMV2A69</x:v>
      </x:c>
      <x:c r="U1603" s="23" t="str">
        <x:v>IGOR MARCARI</x:v>
      </x:c>
      <x:c r="V1603" s="22" t="str">
        <x:f>"454.082.838-01"</x:f>
        <x:v>454.082.838-01</x:v>
      </x:c>
      <x:c r="W1603" s="22" t="str">
        <x:f>"45408283801"</x:f>
        <x:v>45408283801</x:v>
      </x:c>
      <x:c r="X1603" s="23" t="str">
        <x:v>igor.marcariii@gmail.com</x:v>
      </x:c>
      <x:c r="Y1603" s="22" t="str">
        <x:f>"(16) 9 9112-3901"</x:f>
        <x:v>(16) 9 9112-3901</x:v>
      </x:c>
      <x:c r="Z1603" s="30" t="n">
        <x:v>46479</x:v>
      </x:c>
    </x:row>
    <x:row r="1604" ht="18" customHeight="1">
      <x:c r="A1604" s="22" t="str">
        <x:f>"469dc607-0187-43f0-8ed0-90816ba06aa9"</x:f>
        <x:v>469dc607-0187-43f0-8ed0-90816ba06aa9</x:v>
      </x:c>
      <x:c r="B1604" s="23" t="str">
        <x:v>IGOR MUNIZ FRANCISCO JOSE</x:v>
      </x:c>
      <x:c r="C1604" s="23" t="str">
        <x:v>igor muniz francisco jose</x:v>
      </x:c>
      <x:c r="D1604" s="22" t="str">
        <x:f>"62.552.403/0001-09"</x:f>
        <x:v>62.552.403/0001-09</x:v>
      </x:c>
      <x:c r="E1604" s="22" t="str">
        <x:f>"62552403000109"</x:f>
        <x:v>62552403000109</x:v>
      </x:c>
      <x:c r="F1604" s="22" t="str">
        <x:f>"174.022.267-94"</x:f>
        <x:v>174.022.267-94</x:v>
      </x:c>
      <x:c r="G1604" s="22" t="str">
        <x:f>"17402226794"</x:f>
        <x:v>17402226794</x:v>
      </x:c>
      <x:c r="H1604" s="23" t="str">
        <x:v>isaigormuniizz702@gmail.com</x:v>
      </x:c>
      <x:c r="I1604" s="22" t="str">
        <x:f>"22997007238"</x:f>
        <x:v>22997007238</x:v>
      </x:c>
      <x:c r="J1604" s="23" t="str">
        <x:v>SPOT</x:v>
      </x:c>
      <x:c r="K1604" s="23" t="str">
        <x:v>favored_only</x:v>
      </x:c>
      <x:c r="L1604" s="24" t="b">
        <x:v>1</x:v>
      </x:c>
      <x:c r="M1604" s="23" t="n">
        <x:v>1</x:v>
      </x:c>
      <x:c r="N1604" s="28" t="n">
        <x:v>46219.812988715275</x:v>
      </x:c>
      <x:c r="O1604" s="28" t="n">
        <x:v>46219.812988715275</x:v>
      </x:c>
      <x:c r="P1604" s="23" t="str">
        <x:v>CAMPOS DOS GOYTACAZES</x:v>
      </x:c>
      <x:c r="Q1604" s="30" t="n">
        <x:v>37025</x:v>
      </x:c>
      <x:c r="R1604" s="22" t="str">
        <x:f>"291030351"</x:f>
        <x:v>291030351</x:v>
      </x:c>
      <x:c r="S1604" s="23" t="str">
        <x:v>masculino</x:v>
      </x:c>
      <x:c r="T1604" s="22" t="str">
        <x:f>"ODB9C83"</x:f>
        <x:v>ODB9C83</x:v>
      </x:c>
      <x:c r="U1604" s="23" t="str">
        <x:v>LUCIENE DA SILVA SOARES BARRETO</x:v>
      </x:c>
      <x:c r="V1604" s="22" t="str">
        <x:f>"133.301.307-84"</x:f>
        <x:v>133.301.307-84</x:v>
      </x:c>
      <x:c r="W1604" s="22" t="str">
        <x:f>"13330130784"</x:f>
        <x:v>13330130784</x:v>
      </x:c>
      <x:c r="X1604" s="23" t="str">
        <x:v>barretoltda@outlook.com</x:v>
      </x:c>
      <x:c r="Y1604" s="22" t="str">
        <x:f>"+55 22 99105-0761"</x:f>
        <x:v>+55 22 99105-0761</x:v>
      </x:c>
      <x:c r="Z1604" s="30" t="n">
        <x:v>46558</x:v>
      </x:c>
    </x:row>
    <x:row r="1605" ht="18" customHeight="1">
      <x:c r="A1605" s="22" t="str">
        <x:f>"3af6768c-82bf-4d9b-9612-bc9bb266c738"</x:f>
        <x:v>3af6768c-82bf-4d9b-9612-bc9bb266c738</x:v>
      </x:c>
      <x:c r="B1605" s="23" t="str">
        <x:v>IGOR PERES DO NASCIMENTO</x:v>
      </x:c>
      <x:c r="C1605" s="23" t="str">
        <x:v>igor peres do nascimento</x:v>
      </x:c>
      <x:c r="D1605" s="22" t="str">
        <x:f>"54.835.644/0001-29"</x:f>
        <x:v>54.835.644/0001-29</x:v>
      </x:c>
      <x:c r="E1605" s="22" t="str">
        <x:f>"54835644000129"</x:f>
        <x:v>54835644000129</x:v>
      </x:c>
      <x:c r="F1605" s="22" t="str">
        <x:f>"134.896.147-39"</x:f>
        <x:v>134.896.147-39</x:v>
      </x:c>
      <x:c r="G1605" s="22" t="str">
        <x:f>"13489614739"</x:f>
        <x:v>13489614739</x:v>
      </x:c>
      <x:c r="H1605" s="23" t="str">
        <x:v>peresi576@gmail.com</x:v>
      </x:c>
      <x:c r="I1605" s="22" t="str">
        <x:f>"21982596292"</x:f>
        <x:v>21982596292</x:v>
      </x:c>
      <x:c r="J1605" s="23" t="str">
        <x:v>SPOT</x:v>
      </x:c>
      <x:c r="K1605" s="23" t="str">
        <x:v>favored_only</x:v>
      </x:c>
      <x:c r="L1605" s="24" t="b">
        <x:v>1</x:v>
      </x:c>
      <x:c r="M1605" s="23" t="n">
        <x:v>1</x:v>
      </x:c>
      <x:c r="N1605" s="28" t="n">
        <x:v>46219.812988715275</x:v>
      </x:c>
      <x:c r="O1605" s="28" t="n">
        <x:v>46219.812988715275</x:v>
      </x:c>
      <x:c r="P1605" s="23" t="str">
        <x:v>CORDOVIL</x:v>
      </x:c>
      <x:c r="Q1605" s="30" t="n">
        <x:v>33807</x:v>
      </x:c>
      <x:c r="R1605" s="22" t="str">
        <x:f>"256681644"</x:f>
        <x:v>256681644</x:v>
      </x:c>
      <x:c r="S1605" s="23" t="str">
        <x:v>masculino</x:v>
      </x:c>
      <x:c r="T1605" s="22" t="str">
        <x:f>"AZN8G65"</x:f>
        <x:v>AZN8G65</x:v>
      </x:c>
      <x:c r="U1605" s="23" t="str">
        <x:v>FERNANDO PERES DO NASCIMENTO</x:v>
      </x:c>
      <x:c r="V1605" s="22" t="str">
        <x:f>"080.708.027-66"</x:f>
        <x:v>080.708.027-66</x:v>
      </x:c>
      <x:c r="W1605" s="22" t="str">
        <x:f>"08070802766"</x:f>
        <x:v>08070802766</x:v>
      </x:c>
      <x:c r="X1605" s="23" t="str">
        <x:v>fpnlogistica1979@gmail.com</x:v>
      </x:c>
      <x:c r="Y1605" s="22" t="str">
        <x:f>"21982596292"</x:f>
        <x:v>21982596292</x:v>
      </x:c>
      <x:c r="Z1605" s="30" t="n">
        <x:v>46504</x:v>
      </x:c>
    </x:row>
    <x:row r="1606" ht="18" customHeight="1">
      <x:c r="A1606" s="22" t="str">
        <x:f>"2304cbf4-df81-4379-b27d-90d2d2f9690f"</x:f>
        <x:v>2304cbf4-df81-4379-b27d-90d2d2f9690f</x:v>
      </x:c>
      <x:c r="B1606" s="23" t="str">
        <x:v>IGOR PESSANHA DE SOUTO</x:v>
      </x:c>
      <x:c r="C1606" s="23" t="str">
        <x:v>igor pessanha de souto</x:v>
      </x:c>
      <x:c r="D1606" s="22" t="str">
        <x:f>"55.222.906/0001-42"</x:f>
        <x:v>55.222.906/0001-42</x:v>
      </x:c>
      <x:c r="E1606" s="22" t="str">
        <x:f>"55222906000142"</x:f>
        <x:v>55222906000142</x:v>
      </x:c>
      <x:c r="F1606" s="22" t="str">
        <x:f>"122.747.687-65"</x:f>
        <x:v>122.747.687-65</x:v>
      </x:c>
      <x:c r="G1606" s="22" t="str">
        <x:f>"12274768765"</x:f>
        <x:v>12274768765</x:v>
      </x:c>
      <x:c r="H1606" s="23" t="str">
        <x:v>igorpessanha90@gmail.com</x:v>
      </x:c>
      <x:c r="I1606" s="22" t="str">
        <x:f>"21964625836"</x:f>
        <x:v>21964625836</x:v>
      </x:c>
      <x:c r="J1606" s="23" t="str">
        <x:v>SPOT</x:v>
      </x:c>
      <x:c r="K1606" s="23" t="str">
        <x:v>favored_only</x:v>
      </x:c>
      <x:c r="L1606" s="24" t="b">
        <x:v>1</x:v>
      </x:c>
      <x:c r="M1606" s="23" t="n">
        <x:v>2</x:v>
      </x:c>
      <x:c r="N1606" s="28" t="n">
        <x:v>46203.92188238426</x:v>
      </x:c>
      <x:c r="O1606" s="28" t="n">
        <x:v>46219.812988715275</x:v>
      </x:c>
      <x:c r="P1606" s="23" t="str">
        <x:v>CAMPO GRANDE</x:v>
      </x:c>
      <x:c r="Q1606" s="30" t="n">
        <x:v>33022</x:v>
      </x:c>
      <x:c r="R1606" s="22" t="str">
        <x:f>"225019728"</x:f>
        <x:v>225019728</x:v>
      </x:c>
      <x:c r="S1606" s="23" t="str">
        <x:v>masculino</x:v>
      </x:c>
      <x:c r="T1606" s="22" t="str">
        <x:f>"TEO3J12"</x:f>
        <x:v>TEO3J12</x:v>
      </x:c>
      <x:c r="U1606" s="23" t="str">
        <x:v>IGOR PESSANHA DE SOUTO</x:v>
      </x:c>
      <x:c r="V1606" s="22" t="str">
        <x:f>"122.747.687-65"</x:f>
        <x:v>122.747.687-65</x:v>
      </x:c>
      <x:c r="W1606" s="22" t="str">
        <x:f>"12274768765"</x:f>
        <x:v>12274768765</x:v>
      </x:c>
      <x:c r="X1606" s="23" t="str">
        <x:v>igorpessanha90@gmail.com</x:v>
      </x:c>
      <x:c r="Y1606" s="22" t="str">
        <x:f>"21964625836"</x:f>
        <x:v>21964625836</x:v>
      </x:c>
      <x:c r="Z1606" s="30" t="n">
        <x:v>46364</x:v>
      </x:c>
    </x:row>
    <x:row r="1607" ht="18" customHeight="1">
      <x:c r="A1607" s="22" t="str">
        <x:f>"ba8f3799-eb42-4bd2-8c79-5225d946f97f"</x:f>
        <x:v>ba8f3799-eb42-4bd2-8c79-5225d946f97f</x:v>
      </x:c>
      <x:c r="B1607" s="23" t="str">
        <x:v>IGOR RUAN PEREIRA MEDEIROS</x:v>
      </x:c>
      <x:c r="C1607" s="23" t="str">
        <x:v>igor ruan pereira medeiros</x:v>
      </x:c>
      <x:c r="D1607" s="22" t="str">
        <x:f>"67.315.706/0001-13"</x:f>
        <x:v>67.315.706/0001-13</x:v>
      </x:c>
      <x:c r="E1607" s="22" t="str">
        <x:f>"67315706000113"</x:f>
        <x:v>67315706000113</x:v>
      </x:c>
      <x:c r="F1607" s="22" t="str">
        <x:f>"084.426.179-30"</x:f>
        <x:v>084.426.179-30</x:v>
      </x:c>
      <x:c r="G1607" s="22" t="str">
        <x:f>"08442617930"</x:f>
        <x:v>08442617930</x:v>
      </x:c>
      <x:c r="H1607" s="23" t="str">
        <x:v>igor_ruan@hotmail.com</x:v>
      </x:c>
      <x:c r="I1607" s="22" t="str">
        <x:f>"18997763035"</x:f>
        <x:v>18997763035</x:v>
      </x:c>
      <x:c r="J1607" s="23" t="str">
        <x:v>RENTAL</x:v>
      </x:c>
      <x:c r="K1607" s="23" t="str">
        <x:v>rental_company</x:v>
      </x:c>
      <x:c r="L1607" s="24" t="b">
        <x:v>1</x:v>
      </x:c>
      <x:c r="M1607" s="23" t="n">
        <x:v>1</x:v>
      </x:c>
      <x:c r="N1607" s="28" t="n">
        <x:v>46219.812988715275</x:v>
      </x:c>
      <x:c r="O1607" s="28" t="n">
        <x:v>46219.812988715275</x:v>
      </x:c>
      <x:c r="P1607" s="23" t="str">
        <x:v>PRESIDENTE PRUDENTE</x:v>
      </x:c>
      <x:c r="Q1607" s="30" t="n">
        <x:v>35160</x:v>
      </x:c>
      <x:c r="R1607" s="22" t="str">
        <x:f>"45285154"</x:f>
        <x:v>45285154</x:v>
      </x:c>
      <x:c r="S1607" s="23" t="str">
        <x:v>masculino</x:v>
      </x:c>
      <x:c r="T1607" s="22" t="str"/>
      <x:c r="U1607" s="23" t="str">
        <x:v>IGOR RUAN PEREIRA MEDEIROS</x:v>
      </x:c>
      <x:c r="V1607" s="22" t="str">
        <x:f>"084.426.179-30"</x:f>
        <x:v>084.426.179-30</x:v>
      </x:c>
      <x:c r="W1607" s="22" t="str">
        <x:f>"08442617930"</x:f>
        <x:v>08442617930</x:v>
      </x:c>
      <x:c r="X1607" s="23" t="str">
        <x:v>igor_ruan@hotmail.com</x:v>
      </x:c>
      <x:c r="Y1607" s="22" t="str">
        <x:f>"18997763035"</x:f>
        <x:v>18997763035</x:v>
      </x:c>
      <x:c r="Z1607" s="30" t="n">
        <x:v>46575</x:v>
      </x:c>
    </x:row>
    <x:row r="1608" ht="18" customHeight="1">
      <x:c r="A1608" s="22" t="str">
        <x:f>"f55e53f1-3262-4d25-972c-9220e4fce629"</x:f>
        <x:v>f55e53f1-3262-4d25-972c-9220e4fce629</x:v>
      </x:c>
      <x:c r="B1608" s="23" t="str">
        <x:v>IGOR SANTIAGO DA SILVA</x:v>
      </x:c>
      <x:c r="C1608" s="23" t="str">
        <x:v>igor santiago da silva</x:v>
      </x:c>
      <x:c r="D1608" s="22" t="str">
        <x:f>"57.631.339/0001-03"</x:f>
        <x:v>57.631.339/0001-03</x:v>
      </x:c>
      <x:c r="E1608" s="22" t="str">
        <x:f>"57631339000103"</x:f>
        <x:v>57631339000103</x:v>
      </x:c>
      <x:c r="F1608" s="22" t="str">
        <x:f>"161.690.116-02"</x:f>
        <x:v>161.690.116-02</x:v>
      </x:c>
      <x:c r="G1608" s="22" t="str">
        <x:f>"16169011602"</x:f>
        <x:v>16169011602</x:v>
      </x:c>
      <x:c r="H1608" s="23" t="str">
        <x:v>santiagoigor828@gmail.com</x:v>
      </x:c>
      <x:c r="I1608" s="22" t="str">
        <x:f>"(35) 9744-2848"</x:f>
        <x:v>(35) 9744-2848</x:v>
      </x:c>
      <x:c r="J1608" s="23" t="str">
        <x:v>RENTAL</x:v>
      </x:c>
      <x:c r="K1608" s="23" t="str">
        <x:v>rental_company</x:v>
      </x:c>
      <x:c r="L1608" s="24" t="b">
        <x:v>1</x:v>
      </x:c>
      <x:c r="M1608" s="23" t="n">
        <x:v>1</x:v>
      </x:c>
      <x:c r="N1608" s="28" t="n">
        <x:v>46203.921824756944</x:v>
      </x:c>
      <x:c r="O1608" s="28" t="n">
        <x:v>46219.812988715275</x:v>
      </x:c>
      <x:c r="P1608" s="23" t="str">
        <x:v>POUSO ALEGRE</x:v>
      </x:c>
      <x:c r="Q1608" s="30" t="n">
        <x:v>37514</x:v>
      </x:c>
      <x:c r="R1608" s="22" t="str">
        <x:f>"23385902 PCMG MG"</x:f>
        <x:v>23385902 PCMG MG</x:v>
      </x:c>
      <x:c r="S1608" s="23" t="str">
        <x:v>masculino</x:v>
      </x:c>
      <x:c r="T1608" s="22" t="str"/>
      <x:c r="U1608" s="23" t="str">
        <x:v>IGOR SANTIAGO DA SILVA</x:v>
      </x:c>
      <x:c r="V1608" s="22" t="str">
        <x:f>"161.690.116-02"</x:f>
        <x:v>161.690.116-02</x:v>
      </x:c>
      <x:c r="W1608" s="22" t="str">
        <x:f>"16169011602"</x:f>
        <x:v>16169011602</x:v>
      </x:c>
      <x:c r="X1608" s="23" t="str">
        <x:v>santiagoigor828@gmail.com</x:v>
      </x:c>
      <x:c r="Y1608" s="22" t="str">
        <x:f>"(35) 9744-2848"</x:f>
        <x:v>(35) 9744-2848</x:v>
      </x:c>
      <x:c r="Z1608" s="30" t="n">
        <x:v>46250</x:v>
      </x:c>
    </x:row>
    <x:row r="1609" ht="18" customHeight="1">
      <x:c r="A1609" s="22" t="str">
        <x:f>"6d3eb915-b5e6-4024-b384-481497e2f142"</x:f>
        <x:v>6d3eb915-b5e6-4024-b384-481497e2f142</x:v>
      </x:c>
      <x:c r="B1609" s="23" t="str">
        <x:v>IGOR SANTOS RODRIGUES</x:v>
      </x:c>
      <x:c r="C1609" s="23" t="str">
        <x:v>igor santos rodrigues</x:v>
      </x:c>
      <x:c r="D1609" s="22" t="str">
        <x:f>"53.264.533/0001-47"</x:f>
        <x:v>53.264.533/0001-47</x:v>
      </x:c>
      <x:c r="E1609" s="22" t="str">
        <x:f>"53264533000147"</x:f>
        <x:v>53264533000147</x:v>
      </x:c>
      <x:c r="F1609" s="22" t="str">
        <x:f>"062.195.771-24"</x:f>
        <x:v>062.195.771-24</x:v>
      </x:c>
      <x:c r="G1609" s="22" t="str">
        <x:f>"06219577124"</x:f>
        <x:v>06219577124</x:v>
      </x:c>
      <x:c r="H1609" s="23" t="str">
        <x:v>igorttsantos22@gmail.com</x:v>
      </x:c>
      <x:c r="I1609" s="22" t="str">
        <x:f>"659993456080"</x:f>
        <x:v>659993456080</x:v>
      </x:c>
      <x:c r="J1609" s="23" t="str">
        <x:v>SPOT</x:v>
      </x:c>
      <x:c r="K1609" s="23" t="str">
        <x:v>favored_only</x:v>
      </x:c>
      <x:c r="L1609" s="24" t="b">
        <x:v>1</x:v>
      </x:c>
      <x:c r="M1609" s="23" t="n">
        <x:v>1</x:v>
      </x:c>
      <x:c r="N1609" s="28" t="n">
        <x:v>46219.812988715275</x:v>
      </x:c>
      <x:c r="O1609" s="28" t="n">
        <x:v>46219.812988715275</x:v>
      </x:c>
      <x:c r="P1609" s="23" t="str">
        <x:v>PONTES E LACERDA</x:v>
      </x:c>
      <x:c r="Q1609" s="30" t="n">
        <x:v>36944</x:v>
      </x:c>
      <x:c r="R1609" s="22" t="str">
        <x:f>"33153396"</x:f>
        <x:v>33153396</x:v>
      </x:c>
      <x:c r="S1609" s="23" t="str">
        <x:v>masculino</x:v>
      </x:c>
      <x:c r="T1609" s="22" t="str">
        <x:f>"NTY7C67"</x:f>
        <x:v>NTY7C67</x:v>
      </x:c>
      <x:c r="U1609" s="23" t="str">
        <x:v>LEONIDAS DE PINHO E SILVA</x:v>
      </x:c>
      <x:c r="V1609" s="22" t="str">
        <x:f>"692.451.851-68"</x:f>
        <x:v>692.451.851-68</x:v>
      </x:c>
      <x:c r="W1609" s="22" t="str">
        <x:f>"69245185168"</x:f>
        <x:v>69245185168</x:v>
      </x:c>
      <x:c r="X1609" s="23" t="str">
        <x:v>veloxlogisticamt@gmail.com</x:v>
      </x:c>
      <x:c r="Y1609" s="22" t="str">
        <x:f>"62991277279"</x:f>
        <x:v>62991277279</x:v>
      </x:c>
      <x:c r="Z1609" s="30" t="n">
        <x:v>46478</x:v>
      </x:c>
    </x:row>
    <x:row r="1610" ht="18" customHeight="1">
      <x:c r="A1610" s="22" t="str">
        <x:f>"55ba2e1f-e2fe-4bf6-8001-3f7db0b13e73"</x:f>
        <x:v>55ba2e1f-e2fe-4bf6-8001-3f7db0b13e73</x:v>
      </x:c>
      <x:c r="B1610" s="23" t="str">
        <x:v>IGOR SILVA DE CARVALHO</x:v>
      </x:c>
      <x:c r="C1610" s="23" t="str">
        <x:v>igor silva de carvalho</x:v>
      </x:c>
      <x:c r="D1610" s="22" t="str">
        <x:f>"41.529.534/0001-97"</x:f>
        <x:v>41.529.534/0001-97</x:v>
      </x:c>
      <x:c r="E1610" s="22" t="str">
        <x:f>"41529534000197"</x:f>
        <x:v>41529534000197</x:v>
      </x:c>
      <x:c r="F1610" s="22" t="str">
        <x:f>"442.669.318-75"</x:f>
        <x:v>442.669.318-75</x:v>
      </x:c>
      <x:c r="G1610" s="22" t="str">
        <x:f>"44266931875"</x:f>
        <x:v>44266931875</x:v>
      </x:c>
      <x:c r="H1610" s="23" t="str">
        <x:v>igorsilvadecarvalho030@gmail.com</x:v>
      </x:c>
      <x:c r="I1610" s="22" t="str">
        <x:f>"11993989564"</x:f>
        <x:v>11993989564</x:v>
      </x:c>
      <x:c r="J1610" s="23" t="str">
        <x:v>RENTAL</x:v>
      </x:c>
      <x:c r="K1610" s="23" t="str">
        <x:v>rental_company</x:v>
      </x:c>
      <x:c r="L1610" s="24" t="b">
        <x:v>1</x:v>
      </x:c>
      <x:c r="M1610" s="23" t="n">
        <x:v>1</x:v>
      </x:c>
      <x:c r="N1610" s="28" t="n">
        <x:v>46203.9218771875</x:v>
      </x:c>
      <x:c r="O1610" s="28" t="n">
        <x:v>46219.812988715275</x:v>
      </x:c>
      <x:c r="P1610" s="23" t="str">
        <x:v>MADEIRA MADEIRA</x:v>
      </x:c>
      <x:c r="Q1610" s="30" t="n">
        <x:v>34429</x:v>
      </x:c>
      <x:c r="R1610" s="22" t="str">
        <x:f>"417861916"</x:f>
        <x:v>417861916</x:v>
      </x:c>
      <x:c r="S1610" s="23" t="str">
        <x:v>masculino</x:v>
      </x:c>
      <x:c r="T1610" s="22" t="str"/>
      <x:c r="U1610" s="23" t="str">
        <x:v>IGOR SILVA DE CARVALHO</x:v>
      </x:c>
      <x:c r="V1610" s="22" t="str">
        <x:f>"442.669.318-75"</x:f>
        <x:v>442.669.318-75</x:v>
      </x:c>
      <x:c r="W1610" s="22" t="str">
        <x:f>"44266931875"</x:f>
        <x:v>44266931875</x:v>
      </x:c>
      <x:c r="X1610" s="23" t="str">
        <x:v>igorsilvadecarvalho030@gmail.com</x:v>
      </x:c>
      <x:c r="Y1610" s="22" t="str">
        <x:f>"11993989564"</x:f>
        <x:v>11993989564</x:v>
      </x:c>
      <x:c r="Z1610" s="30" t="n">
        <x:v>46308</x:v>
      </x:c>
    </x:row>
    <x:row r="1611" ht="18" customHeight="1">
      <x:c r="A1611" s="22" t="str">
        <x:f>"b7629d0e-9264-4e88-bdfe-46113858c046"</x:f>
        <x:v>b7629d0e-9264-4e88-bdfe-46113858c046</x:v>
      </x:c>
      <x:c r="B1611" s="23" t="str">
        <x:v>IGOR SORIANO DA SILVA</x:v>
      </x:c>
      <x:c r="C1611" s="23" t="str">
        <x:v>igor soriano da silva</x:v>
      </x:c>
      <x:c r="D1611" s="22" t="str">
        <x:f>"51.982.067/0001-00"</x:f>
        <x:v>51.982.067/0001-00</x:v>
      </x:c>
      <x:c r="E1611" s="22" t="str">
        <x:f>"51982067000100"</x:f>
        <x:v>51982067000100</x:v>
      </x:c>
      <x:c r="F1611" s="22" t="str">
        <x:f>"185.085.277-48"</x:f>
        <x:v>185.085.277-48</x:v>
      </x:c>
      <x:c r="G1611" s="22" t="str">
        <x:f>"18508527748"</x:f>
        <x:v>18508527748</x:v>
      </x:c>
      <x:c r="H1611" s="23" t="str">
        <x:v>igorsoriano77@gmail.com</x:v>
      </x:c>
      <x:c r="I1611" s="22" t="str">
        <x:f>"22 981157480"</x:f>
        <x:v>22 981157480</x:v>
      </x:c>
      <x:c r="J1611" s="23" t="str">
        <x:v>RENTAL</x:v>
      </x:c>
      <x:c r="K1611" s="23" t="str">
        <x:v>rental_company</x:v>
      </x:c>
      <x:c r="L1611" s="24" t="b">
        <x:v>1</x:v>
      </x:c>
      <x:c r="M1611" s="23" t="n">
        <x:v>1</x:v>
      </x:c>
      <x:c r="N1611" s="28" t="n">
        <x:v>46203.92189349537</x:v>
      </x:c>
      <x:c r="O1611" s="28" t="n">
        <x:v>46219.812988715275</x:v>
      </x:c>
      <x:c r="P1611" s="23" t="str">
        <x:v>CAMPOS DOS GOYTACAZES</x:v>
      </x:c>
      <x:c r="Q1611" s="30" t="n">
        <x:v>36248</x:v>
      </x:c>
      <x:c r="R1611" s="22" t="str">
        <x:f>"316401926"</x:f>
        <x:v>316401926</x:v>
      </x:c>
      <x:c r="S1611" s="23" t="str">
        <x:v>masculino</x:v>
      </x:c>
      <x:c r="T1611" s="22" t="str"/>
      <x:c r="U1611" s="23" t="str">
        <x:v>IGOR SORIANO DA SILVA</x:v>
      </x:c>
      <x:c r="V1611" s="22" t="str">
        <x:f>"185.085.277-48"</x:f>
        <x:v>185.085.277-48</x:v>
      </x:c>
      <x:c r="W1611" s="22" t="str">
        <x:f>"18508527748"</x:f>
        <x:v>18508527748</x:v>
      </x:c>
      <x:c r="X1611" s="23" t="str">
        <x:v>igorsoriano77@gmail.com</x:v>
      </x:c>
      <x:c r="Y1611" s="22" t="str">
        <x:f>"22 981157480"</x:f>
        <x:v>22 981157480</x:v>
      </x:c>
      <x:c r="Z1611" s="30" t="n">
        <x:v>46344</x:v>
      </x:c>
    </x:row>
    <x:row r="1612" ht="18" customHeight="1">
      <x:c r="A1612" s="22" t="str">
        <x:f>"faf095ff-37a6-46f6-a32a-c53af12315ae"</x:f>
        <x:v>faf095ff-37a6-46f6-a32a-c53af12315ae</x:v>
      </x:c>
      <x:c r="B1612" s="23" t="str">
        <x:v>IGOR SUEDIS DOS SANTOS VIEIRA</x:v>
      </x:c>
      <x:c r="C1612" s="23" t="str">
        <x:v>igor suedis dos santos vieira</x:v>
      </x:c>
      <x:c r="D1612" s="22" t="str">
        <x:f>"65.415.621/0001-81"</x:f>
        <x:v>65.415.621/0001-81</x:v>
      </x:c>
      <x:c r="E1612" s="22" t="str">
        <x:f>"65415621000181"</x:f>
        <x:v>65415621000181</x:v>
      </x:c>
      <x:c r="F1612" s="22" t="str">
        <x:f>"143.766.636-11"</x:f>
        <x:v>143.766.636-11</x:v>
      </x:c>
      <x:c r="G1612" s="22" t="str">
        <x:f>"14376663611"</x:f>
        <x:v>14376663611</x:v>
      </x:c>
      <x:c r="H1612" s="23" t="str">
        <x:v>igornight2@gmail.com</x:v>
      </x:c>
      <x:c r="I1612" s="22" t="str">
        <x:f>"35998150422"</x:f>
        <x:v>35998150422</x:v>
      </x:c>
      <x:c r="J1612" s="23" t="str">
        <x:v>RENTAL</x:v>
      </x:c>
      <x:c r="K1612" s="23" t="str">
        <x:v>rental_company</x:v>
      </x:c>
      <x:c r="L1612" s="24" t="b">
        <x:v>1</x:v>
      </x:c>
      <x:c r="M1612" s="23" t="n">
        <x:v>1</x:v>
      </x:c>
      <x:c r="N1612" s="28" t="n">
        <x:v>46219.812988715275</x:v>
      </x:c>
      <x:c r="O1612" s="28" t="n">
        <x:v>46219.812988715275</x:v>
      </x:c>
      <x:c r="P1612" s="23" t="str">
        <x:v>POUSO ALEGRE</x:v>
      </x:c>
      <x:c r="Q1612" s="30" t="n">
        <x:v>36111</x:v>
      </x:c>
      <x:c r="R1612" s="22" t="str">
        <x:f>"18853299"</x:f>
        <x:v>18853299</x:v>
      </x:c>
      <x:c r="S1612" s="23" t="str">
        <x:v>masculino</x:v>
      </x:c>
      <x:c r="T1612" s="22" t="str"/>
      <x:c r="U1612" s="23" t="str">
        <x:v>IGOR SUEDIS DOS SANTOS VIEIRA</x:v>
      </x:c>
      <x:c r="V1612" s="22" t="str">
        <x:f>"143.766.636-11"</x:f>
        <x:v>143.766.636-11</x:v>
      </x:c>
      <x:c r="W1612" s="22" t="str">
        <x:f>"14376663611"</x:f>
        <x:v>14376663611</x:v>
      </x:c>
      <x:c r="X1612" s="23" t="str">
        <x:v>igornight2@gmail.com</x:v>
      </x:c>
      <x:c r="Y1612" s="22" t="str">
        <x:f>"35998150422"</x:f>
        <x:v>35998150422</x:v>
      </x:c>
      <x:c r="Z1612" s="30" t="n">
        <x:v>46451</x:v>
      </x:c>
    </x:row>
    <x:row r="1613" ht="18" customHeight="1">
      <x:c r="A1613" s="22" t="str">
        <x:f>"62dbb344-b5a4-4986-bc1a-902ccdd12dbb"</x:f>
        <x:v>62dbb344-b5a4-4986-bc1a-902ccdd12dbb</x:v>
      </x:c>
      <x:c r="B1613" s="23" t="str">
        <x:v>IGOR THIAGO DE MATOS LAIA</x:v>
      </x:c>
      <x:c r="C1613" s="23" t="str">
        <x:v>igor thiago de matos laia</x:v>
      </x:c>
      <x:c r="D1613" s="22" t="str">
        <x:f>"45.131.499/0001-04"</x:f>
        <x:v>45.131.499/0001-04</x:v>
      </x:c>
      <x:c r="E1613" s="22" t="str">
        <x:f>"45131499000104"</x:f>
        <x:v>45131499000104</x:v>
      </x:c>
      <x:c r="F1613" s="22" t="str">
        <x:f>"12747046699"</x:f>
        <x:v>12747046699</x:v>
      </x:c>
      <x:c r="G1613" s="22" t="str">
        <x:f>"12747046699"</x:f>
        <x:v>12747046699</x:v>
      </x:c>
      <x:c r="H1613" s="23" t="str">
        <x:v>igoralctransportes@gmail.com</x:v>
      </x:c>
      <x:c r="I1613" s="22" t="str">
        <x:f>"31985381065"</x:f>
        <x:v>31985381065</x:v>
      </x:c>
      <x:c r="J1613" s="23" t="str">
        <x:v>SPOT</x:v>
      </x:c>
      <x:c r="K1613" s="23" t="str">
        <x:v>favored_only</x:v>
      </x:c>
      <x:c r="L1613" s="24" t="b">
        <x:v>1</x:v>
      </x:c>
      <x:c r="M1613" s="23" t="n">
        <x:v>3</x:v>
      </x:c>
      <x:c r="N1613" s="28" t="n">
        <x:v>46203.921887453704</x:v>
      </x:c>
      <x:c r="O1613" s="28" t="n">
        <x:v>46203.921887453704</x:v>
      </x:c>
      <x:c r="P1613" s="23" t="str"/>
      <x:c r="Q1613" s="30" t="str"/>
      <x:c r="R1613" s="22" t="str"/>
      <x:c r="S1613" s="23" t="str"/>
      <x:c r="T1613" s="22" t="str"/>
      <x:c r="U1613" s="23" t="str">
        <x:v>IGOR THIAGO DE MATOS LAIA</x:v>
      </x:c>
      <x:c r="V1613" s="22" t="str">
        <x:f>"12747046699"</x:f>
        <x:v>12747046699</x:v>
      </x:c>
      <x:c r="W1613" s="22" t="str">
        <x:f>"12747046699"</x:f>
        <x:v>12747046699</x:v>
      </x:c>
      <x:c r="X1613" s="23" t="str">
        <x:v>igoralctransportes@gmail.com</x:v>
      </x:c>
      <x:c r="Y1613" s="22" t="str">
        <x:f>"31985381065"</x:f>
        <x:v>31985381065</x:v>
      </x:c>
      <x:c r="Z1613" s="30" t="str"/>
    </x:row>
    <x:row r="1614" ht="18" customHeight="1">
      <x:c r="A1614" s="22" t="str">
        <x:f>"a809a085-6e58-4332-a535-f1af6256c263"</x:f>
        <x:v>a809a085-6e58-4332-a535-f1af6256c263</x:v>
      </x:c>
      <x:c r="B1614" s="23" t="str">
        <x:v>IGOR THIAGO PELEGRINO</x:v>
      </x:c>
      <x:c r="C1614" s="23" t="str">
        <x:v>igor thiago pelegrino</x:v>
      </x:c>
      <x:c r="D1614" s="22" t="str">
        <x:f>"64.911.060/0001-49"</x:f>
        <x:v>64.911.060/0001-49</x:v>
      </x:c>
      <x:c r="E1614" s="22" t="str">
        <x:f>"64911060000149"</x:f>
        <x:v>64911060000149</x:v>
      </x:c>
      <x:c r="F1614" s="22" t="str">
        <x:f>"522.854.408-98"</x:f>
        <x:v>522.854.408-98</x:v>
      </x:c>
      <x:c r="G1614" s="22" t="str">
        <x:f>"52285440898"</x:f>
        <x:v>52285440898</x:v>
      </x:c>
      <x:c r="H1614" s="23" t="str">
        <x:v>Igort0579@gamil.com</x:v>
      </x:c>
      <x:c r="I1614" s="22" t="str">
        <x:f>"18991355130"</x:f>
        <x:v>18991355130</x:v>
      </x:c>
      <x:c r="J1614" s="23" t="str">
        <x:v>RENTAL</x:v>
      </x:c>
      <x:c r="K1614" s="23" t="str">
        <x:v>rental_company</x:v>
      </x:c>
      <x:c r="L1614" s="24" t="b">
        <x:v>1</x:v>
      </x:c>
      <x:c r="M1614" s="23" t="n">
        <x:v>1</x:v>
      </x:c>
      <x:c r="N1614" s="28" t="n">
        <x:v>46219.812988715275</x:v>
      </x:c>
      <x:c r="O1614" s="28" t="n">
        <x:v>46219.812988715275</x:v>
      </x:c>
      <x:c r="P1614" s="23" t="str">
        <x:v>PRESIDENTE PRUDENTE</x:v>
      </x:c>
      <x:c r="Q1614" s="30" t="n">
        <x:v>38518</x:v>
      </x:c>
      <x:c r="R1614" s="22" t="str">
        <x:f>"556931488"</x:f>
        <x:v>556931488</x:v>
      </x:c>
      <x:c r="S1614" s="23" t="str">
        <x:v>masculino</x:v>
      </x:c>
      <x:c r="T1614" s="22" t="str"/>
      <x:c r="U1614" s="23" t="str">
        <x:v>IGOR THIAGO PELEGRINO</x:v>
      </x:c>
      <x:c r="V1614" s="22" t="str">
        <x:f>"522.854.408-98"</x:f>
        <x:v>522.854.408-98</x:v>
      </x:c>
      <x:c r="W1614" s="22" t="str">
        <x:f>"52285440898"</x:f>
        <x:v>52285440898</x:v>
      </x:c>
      <x:c r="X1614" s="23" t="str">
        <x:v>Igort0579@gamil.com</x:v>
      </x:c>
      <x:c r="Y1614" s="22" t="str">
        <x:f>"18991355130"</x:f>
        <x:v>18991355130</x:v>
      </x:c>
      <x:c r="Z1614" s="30" t="n">
        <x:v>46424</x:v>
      </x:c>
    </x:row>
    <x:row r="1615" ht="18" customHeight="1">
      <x:c r="A1615" s="22" t="str">
        <x:f>"3a0f4fa7-b142-479e-9ed0-59fc5673d085"</x:f>
        <x:v>3a0f4fa7-b142-479e-9ed0-59fc5673d085</x:v>
      </x:c>
      <x:c r="B1615" s="23" t="str">
        <x:v>IGOR TORRES ELIASER</x:v>
      </x:c>
      <x:c r="C1615" s="23" t="str">
        <x:v>igor torres eliaser</x:v>
      </x:c>
      <x:c r="D1615" s="22" t="str">
        <x:f>"52.627.091/0001-93"</x:f>
        <x:v>52.627.091/0001-93</x:v>
      </x:c>
      <x:c r="E1615" s="22" t="str">
        <x:f>"52627091000193"</x:f>
        <x:v>52627091000193</x:v>
      </x:c>
      <x:c r="F1615" s="22" t="str">
        <x:f>"502.000.668-89"</x:f>
        <x:v>502.000.668-89</x:v>
      </x:c>
      <x:c r="G1615" s="22" t="str">
        <x:f>"50200066889"</x:f>
        <x:v>50200066889</x:v>
      </x:c>
      <x:c r="H1615" s="23" t="str">
        <x:v>Igormiguelvk@gmail.com</x:v>
      </x:c>
      <x:c r="I1615" s="22" t="str">
        <x:f>"11963557012"</x:f>
        <x:v>11963557012</x:v>
      </x:c>
      <x:c r="J1615" s="23" t="str">
        <x:v>RENTAL</x:v>
      </x:c>
      <x:c r="K1615" s="23" t="str">
        <x:v>rental_company</x:v>
      </x:c>
      <x:c r="L1615" s="24" t="b">
        <x:v>1</x:v>
      </x:c>
      <x:c r="M1615" s="23" t="n">
        <x:v>1</x:v>
      </x:c>
      <x:c r="N1615" s="28" t="n">
        <x:v>46219.812988715275</x:v>
      </x:c>
      <x:c r="O1615" s="28" t="n">
        <x:v>46219.812988715275</x:v>
      </x:c>
      <x:c r="P1615" s="23" t="str">
        <x:v>BARUERI</x:v>
      </x:c>
      <x:c r="Q1615" s="30" t="n">
        <x:v>36134</x:v>
      </x:c>
      <x:c r="R1615" s="22" t="str">
        <x:f>"606519725"</x:f>
        <x:v>606519725</x:v>
      </x:c>
      <x:c r="S1615" s="23" t="str">
        <x:v>masculino</x:v>
      </x:c>
      <x:c r="T1615" s="22" t="str"/>
      <x:c r="U1615" s="23" t="str">
        <x:v>IGOR TORRES ELIASER</x:v>
      </x:c>
      <x:c r="V1615" s="22" t="str">
        <x:f>"502.000.668-89"</x:f>
        <x:v>502.000.668-89</x:v>
      </x:c>
      <x:c r="W1615" s="22" t="str">
        <x:f>"50200066889"</x:f>
        <x:v>50200066889</x:v>
      </x:c>
      <x:c r="X1615" s="23" t="str">
        <x:v>Igormiguelvk@gmail.com</x:v>
      </x:c>
      <x:c r="Y1615" s="22" t="str">
        <x:f>"11963557012"</x:f>
        <x:v>11963557012</x:v>
      </x:c>
      <x:c r="Z1615" s="30" t="n">
        <x:v>46451</x:v>
      </x:c>
    </x:row>
    <x:row r="1616" ht="18" customHeight="1">
      <x:c r="A1616" s="22" t="str">
        <x:f>"d47cff4e-eba2-4dfb-a487-69a5530fb0be"</x:f>
        <x:v>d47cff4e-eba2-4dfb-a487-69a5530fb0be</x:v>
      </x:c>
      <x:c r="B1616" s="23" t="str">
        <x:v>IKARO PEREIRA DOS SANTOS</x:v>
      </x:c>
      <x:c r="C1616" s="23" t="str">
        <x:v>ikaro pereira dos santos</x:v>
      </x:c>
      <x:c r="D1616" s="22" t="str">
        <x:f>"67.775.826/0001-01"</x:f>
        <x:v>67.775.826/0001-01</x:v>
      </x:c>
      <x:c r="E1616" s="22" t="str">
        <x:f>"67775826000101"</x:f>
        <x:v>67775826000101</x:v>
      </x:c>
      <x:c r="F1616" s="22" t="str">
        <x:f>"160.100.406-04"</x:f>
        <x:v>160.100.406-04</x:v>
      </x:c>
      <x:c r="G1616" s="22" t="str">
        <x:f>"16010040604"</x:f>
        <x:v>16010040604</x:v>
      </x:c>
      <x:c r="H1616" s="23" t="str">
        <x:v>ikaropereira604@gmail.com</x:v>
      </x:c>
      <x:c r="I1616" s="22" t="str">
        <x:f>"(31) 99379-6087"</x:f>
        <x:v>(31) 99379-6087</x:v>
      </x:c>
      <x:c r="J1616" s="23" t="str">
        <x:v>SPOT</x:v>
      </x:c>
      <x:c r="K1616" s="23" t="str">
        <x:v>favored_only</x:v>
      </x:c>
      <x:c r="L1616" s="24" t="b">
        <x:v>1</x:v>
      </x:c>
      <x:c r="M1616" s="23" t="n">
        <x:v>1</x:v>
      </x:c>
      <x:c r="N1616" s="28" t="n">
        <x:v>46219.812988715275</x:v>
      </x:c>
      <x:c r="O1616" s="28" t="n">
        <x:v>46219.812988715275</x:v>
      </x:c>
      <x:c r="P1616" s="23" t="str">
        <x:v>IPATINGA</x:v>
      </x:c>
      <x:c r="Q1616" s="30" t="n">
        <x:v>37413</x:v>
      </x:c>
      <x:c r="R1616" s="22" t="str">
        <x:f>"MG 23467318 SSP"</x:f>
        <x:v>MG 23467318 SSP</x:v>
      </x:c>
      <x:c r="S1616" s="23" t="str">
        <x:v>masculino</x:v>
      </x:c>
      <x:c r="T1616" s="22" t="str">
        <x:f>"PZV1J41"</x:f>
        <x:v>PZV1J41</x:v>
      </x:c>
      <x:c r="U1616" s="23" t="str">
        <x:v>IKARO PEREIRA DOS SANTOS</x:v>
      </x:c>
      <x:c r="V1616" s="22" t="str">
        <x:f>"160.100.406-04"</x:f>
        <x:v>160.100.406-04</x:v>
      </x:c>
      <x:c r="W1616" s="22" t="str">
        <x:f>"16010040604"</x:f>
        <x:v>16010040604</x:v>
      </x:c>
      <x:c r="X1616" s="23" t="str">
        <x:v>ikaropereira604@gmail.com</x:v>
      </x:c>
      <x:c r="Y1616" s="22" t="str">
        <x:f>"(31) 99379-6087"</x:f>
        <x:v>(31) 99379-6087</x:v>
      </x:c>
      <x:c r="Z1616" s="30" t="n">
        <x:v>46571</x:v>
      </x:c>
    </x:row>
    <x:row r="1617" ht="18" customHeight="1">
      <x:c r="A1617" s="22" t="str">
        <x:f>"d11e2ae4-6434-4bdc-974e-992aa475e18d"</x:f>
        <x:v>d11e2ae4-6434-4bdc-974e-992aa475e18d</x:v>
      </x:c>
      <x:c r="B1617" s="23" t="str">
        <x:v>ILDA ANDRADE DE OLIVEIRA</x:v>
      </x:c>
      <x:c r="C1617" s="23" t="str">
        <x:v>ilda andrade de oliveira</x:v>
      </x:c>
      <x:c r="D1617" s="22" t="str">
        <x:f>"66.589.653/0001-66"</x:f>
        <x:v>66.589.653/0001-66</x:v>
      </x:c>
      <x:c r="E1617" s="22" t="str">
        <x:f>"66589653000166"</x:f>
        <x:v>66589653000166</x:v>
      </x:c>
      <x:c r="F1617" s="22" t="str">
        <x:f>"803.590.431-00"</x:f>
        <x:v>803.590.431-00</x:v>
      </x:c>
      <x:c r="G1617" s="22" t="str">
        <x:f>"80359043100"</x:f>
        <x:v>80359043100</x:v>
      </x:c>
      <x:c r="H1617" s="23" t="str">
        <x:v>ildaandrade97@gmail.com</x:v>
      </x:c>
      <x:c r="I1617" s="22" t="str">
        <x:f>"67998111042"</x:f>
        <x:v>67998111042</x:v>
      </x:c>
      <x:c r="J1617" s="23" t="str">
        <x:v>SPOT</x:v>
      </x:c>
      <x:c r="K1617" s="23" t="str">
        <x:v>favored_only</x:v>
      </x:c>
      <x:c r="L1617" s="24" t="b">
        <x:v>1</x:v>
      </x:c>
      <x:c r="M1617" s="23" t="n">
        <x:v>1</x:v>
      </x:c>
      <x:c r="N1617" s="28" t="n">
        <x:v>46219.812988715275</x:v>
      </x:c>
      <x:c r="O1617" s="28" t="n">
        <x:v>46219.812988715275</x:v>
      </x:c>
      <x:c r="P1617" s="23" t="str">
        <x:v>CHAPADÃO DO SUL</x:v>
      </x:c>
      <x:c r="Q1617" s="30" t="n">
        <x:v>27698</x:v>
      </x:c>
      <x:c r="R1617" s="22" t="str">
        <x:f>"984958"</x:f>
        <x:v>984958</x:v>
      </x:c>
      <x:c r="S1617" s="23" t="str">
        <x:v>feminino</x:v>
      </x:c>
      <x:c r="T1617" s="22" t="str">
        <x:f>"QAH8B07"</x:f>
        <x:v>QAH8B07</x:v>
      </x:c>
      <x:c r="U1617" s="23" t="str">
        <x:v>BRENDO CARLOS MARTINS</x:v>
      </x:c>
      <x:c r="V1617" s="22" t="str">
        <x:f>"080.239.901-01"</x:f>
        <x:v>080.239.901-01</x:v>
      </x:c>
      <x:c r="W1617" s="22" t="str">
        <x:f>"08023990101"</x:f>
        <x:v>08023990101</x:v>
      </x:c>
      <x:c r="X1617" s="23" t="str">
        <x:v>brendocarlos64@gmail.com</x:v>
      </x:c>
      <x:c r="Y1617" s="22" t="str">
        <x:f>"6798111042"</x:f>
        <x:v>6798111042</x:v>
      </x:c>
      <x:c r="Z1617" s="30" t="n">
        <x:v>46518</x:v>
      </x:c>
    </x:row>
    <x:row r="1618" ht="18" customHeight="1">
      <x:c r="A1618" s="22" t="str">
        <x:f>"fde0825c-a724-43ae-9e26-98589c7151dc"</x:f>
        <x:v>fde0825c-a724-43ae-9e26-98589c7151dc</x:v>
      </x:c>
      <x:c r="B1618" s="23" t="str">
        <x:v>ILDA ANDRADE DE OLIVEIRA</x:v>
      </x:c>
      <x:c r="C1618" s="23" t="str">
        <x:v>ilda andrade de oliveira</x:v>
      </x:c>
      <x:c r="D1618" s="22" t="str">
        <x:f>"42.677.173/0001-99"</x:f>
        <x:v>42.677.173/0001-99</x:v>
      </x:c>
      <x:c r="E1618" s="22" t="str">
        <x:f>"42677173000199"</x:f>
        <x:v>42677173000199</x:v>
      </x:c>
      <x:c r="F1618" s="22" t="str">
        <x:f>"803.590.431-00"</x:f>
        <x:v>803.590.431-00</x:v>
      </x:c>
      <x:c r="G1618" s="22" t="str">
        <x:f>"80359043100"</x:f>
        <x:v>80359043100</x:v>
      </x:c>
      <x:c r="H1618" s="23" t="str">
        <x:v>ildaandrade97@gmail.com</x:v>
      </x:c>
      <x:c r="I1618" s="22" t="str">
        <x:f>"67998111042"</x:f>
        <x:v>67998111042</x:v>
      </x:c>
      <x:c r="J1618" s="23" t="str">
        <x:v>SPOT</x:v>
      </x:c>
      <x:c r="K1618" s="23" t="str">
        <x:v>favored_only</x:v>
      </x:c>
      <x:c r="L1618" s="24" t="b">
        <x:v>1</x:v>
      </x:c>
      <x:c r="M1618" s="23" t="n">
        <x:v>1</x:v>
      </x:c>
      <x:c r="N1618" s="28" t="n">
        <x:v>46205.604668148146</x:v>
      </x:c>
      <x:c r="O1618" s="28" t="n">
        <x:v>46219.812988715275</x:v>
      </x:c>
      <x:c r="P1618" s="23" t="str">
        <x:v>CHAPADÃO DO SUL</x:v>
      </x:c>
      <x:c r="Q1618" s="30" t="n">
        <x:v>27698</x:v>
      </x:c>
      <x:c r="R1618" s="22" t="str">
        <x:f>"984958"</x:f>
        <x:v>984958</x:v>
      </x:c>
      <x:c r="S1618" s="23" t="str">
        <x:v>feminino</x:v>
      </x:c>
      <x:c r="T1618" s="22" t="str">
        <x:f>"AXV9I72"</x:f>
        <x:v>AXV9I72</x:v>
      </x:c>
      <x:c r="U1618" s="23" t="str">
        <x:v>NIXON BRENER MARTINS DA SILVA</x:v>
      </x:c>
      <x:c r="V1618" s="22" t="str">
        <x:f>"848.937.291-87"</x:f>
        <x:v>848.937.291-87</x:v>
      </x:c>
      <x:c r="W1618" s="22" t="str">
        <x:f>"84893729187"</x:f>
        <x:v>84893729187</x:v>
      </x:c>
      <x:c r="X1618" s="23" t="str">
        <x:v>bcmfinancias@gmail.com</x:v>
      </x:c>
      <x:c r="Y1618" s="22" t="str">
        <x:f>"67996425424"</x:f>
        <x:v>67996425424</x:v>
      </x:c>
      <x:c r="Z1618" s="30" t="n">
        <x:v>46288</x:v>
      </x:c>
    </x:row>
    <x:row r="1619" ht="18" customHeight="1">
      <x:c r="A1619" s="22" t="str">
        <x:f>"39ced4b3-0d7e-4304-863e-7e4dbaeb82da"</x:f>
        <x:v>39ced4b3-0d7e-4304-863e-7e4dbaeb82da</x:v>
      </x:c>
      <x:c r="B1619" s="23" t="str">
        <x:v>ILSON ANTONIO PACHU DA SILVA</x:v>
      </x:c>
      <x:c r="C1619" s="23" t="str">
        <x:v>ilson antonio pachu da silva</x:v>
      </x:c>
      <x:c r="D1619" s="22" t="str">
        <x:f>"61.737.665/0001-77"</x:f>
        <x:v>61.737.665/0001-77</x:v>
      </x:c>
      <x:c r="E1619" s="22" t="str">
        <x:f>"61737665000177"</x:f>
        <x:v>61737665000177</x:v>
      </x:c>
      <x:c r="F1619" s="22" t="str">
        <x:f>"317.599.678-74"</x:f>
        <x:v>317.599.678-74</x:v>
      </x:c>
      <x:c r="G1619" s="22" t="str">
        <x:f>"31759967874"</x:f>
        <x:v>31759967874</x:v>
      </x:c>
      <x:c r="H1619" s="23" t="str">
        <x:v>pachujr_adm@outlook.com</x:v>
      </x:c>
      <x:c r="I1619" s="22" t="str">
        <x:f>"18981180507"</x:f>
        <x:v>18981180507</x:v>
      </x:c>
      <x:c r="J1619" s="23" t="str">
        <x:v>SPOT</x:v>
      </x:c>
      <x:c r="K1619" s="23" t="str">
        <x:v>favored_only</x:v>
      </x:c>
      <x:c r="L1619" s="24" t="b">
        <x:v>1</x:v>
      </x:c>
      <x:c r="M1619" s="23" t="n">
        <x:v>1</x:v>
      </x:c>
      <x:c r="N1619" s="28" t="n">
        <x:v>46203.921858726855</x:v>
      </x:c>
      <x:c r="O1619" s="28" t="n">
        <x:v>46219.812988715275</x:v>
      </x:c>
      <x:c r="P1619" s="23" t="str">
        <x:v>PRESIDENTE PRUDENTE</x:v>
      </x:c>
      <x:c r="Q1619" s="30" t="n">
        <x:v>31197</x:v>
      </x:c>
      <x:c r="R1619" s="22" t="str">
        <x:f>"405681689"</x:f>
        <x:v>405681689</x:v>
      </x:c>
      <x:c r="S1619" s="23" t="str">
        <x:v>masculino</x:v>
      </x:c>
      <x:c r="T1619" s="22" t="str">
        <x:f>"UEE9B10"</x:f>
        <x:v>UEE9B10</x:v>
      </x:c>
      <x:c r="U1619" s="23" t="str">
        <x:v>ILSON ANTONIO PACHU DA SILVA</x:v>
      </x:c>
      <x:c r="V1619" s="22" t="str">
        <x:f>"317.599.678-74"</x:f>
        <x:v>317.599.678-74</x:v>
      </x:c>
      <x:c r="W1619" s="22" t="str">
        <x:f>"31759967874"</x:f>
        <x:v>31759967874</x:v>
      </x:c>
      <x:c r="X1619" s="23" t="str">
        <x:v>pachujr_adm@outlook.com</x:v>
      </x:c>
      <x:c r="Y1619" s="22" t="str">
        <x:f>"18981180507"</x:f>
        <x:v>18981180507</x:v>
      </x:c>
      <x:c r="Z1619" s="30" t="n">
        <x:v>46259</x:v>
      </x:c>
    </x:row>
    <x:row r="1620" ht="18" customHeight="1">
      <x:c r="A1620" s="22" t="str">
        <x:f>"60e98660-86b4-4458-8af5-315d72fd57db"</x:f>
        <x:v>60e98660-86b4-4458-8af5-315d72fd57db</x:v>
      </x:c>
      <x:c r="B1620" s="23" t="str">
        <x:v>INACIO NATAN DOS SANTOS SILVA</x:v>
      </x:c>
      <x:c r="C1620" s="23" t="str">
        <x:v>inacio natan dos santos silva</x:v>
      </x:c>
      <x:c r="D1620" s="22" t="str">
        <x:f>"58.632.724/0001-38"</x:f>
        <x:v>58.632.724/0001-38</x:v>
      </x:c>
      <x:c r="E1620" s="22" t="str">
        <x:f>"58632724000138"</x:f>
        <x:v>58632724000138</x:v>
      </x:c>
      <x:c r="F1620" s="22" t="str">
        <x:f>"434.704.318-09"</x:f>
        <x:v>434.704.318-09</x:v>
      </x:c>
      <x:c r="G1620" s="22" t="str">
        <x:f>"43470431809"</x:f>
        <x:v>43470431809</x:v>
      </x:c>
      <x:c r="H1620" s="23" t="str">
        <x:v>inacionatan.006@gmail.com</x:v>
      </x:c>
      <x:c r="I1620" s="22" t="str">
        <x:f>"18991938193"</x:f>
        <x:v>18991938193</x:v>
      </x:c>
      <x:c r="J1620" s="23" t="str">
        <x:v>RENTAL</x:v>
      </x:c>
      <x:c r="K1620" s="23" t="str">
        <x:v>rental_company</x:v>
      </x:c>
      <x:c r="L1620" s="24" t="b">
        <x:v>1</x:v>
      </x:c>
      <x:c r="M1620" s="23" t="n">
        <x:v>1</x:v>
      </x:c>
      <x:c r="N1620" s="28" t="n">
        <x:v>46203.921852962965</x:v>
      </x:c>
      <x:c r="O1620" s="28" t="n">
        <x:v>46219.812988715275</x:v>
      </x:c>
      <x:c r="P1620" s="23" t="str">
        <x:v>ARAÇATUBA</x:v>
      </x:c>
      <x:c r="Q1620" s="30" t="n">
        <x:v>38561</x:v>
      </x:c>
      <x:c r="R1620" s="22" t="str">
        <x:f>"508091664"</x:f>
        <x:v>508091664</x:v>
      </x:c>
      <x:c r="S1620" s="23" t="str">
        <x:v>masculino</x:v>
      </x:c>
      <x:c r="T1620" s="22" t="str"/>
      <x:c r="U1620" s="23" t="str">
        <x:v>INACIO NATAN DOS SANTOS SILVA</x:v>
      </x:c>
      <x:c r="V1620" s="22" t="str">
        <x:f>"434.704.318-09"</x:f>
        <x:v>434.704.318-09</x:v>
      </x:c>
      <x:c r="W1620" s="22" t="str">
        <x:f>"43470431809"</x:f>
        <x:v>43470431809</x:v>
      </x:c>
      <x:c r="X1620" s="23" t="str">
        <x:v>inacionatan.006@gmail.com</x:v>
      </x:c>
      <x:c r="Y1620" s="22" t="str">
        <x:f>"18991938193"</x:f>
        <x:v>18991938193</x:v>
      </x:c>
      <x:c r="Z1620" s="30" t="n">
        <x:v>46241</x:v>
      </x:c>
    </x:row>
    <x:row r="1621" ht="18" customHeight="1">
      <x:c r="A1621" s="22" t="str">
        <x:f>"58f18a92-86ee-4ca7-9fe5-fe515af347fc"</x:f>
        <x:v>58f18a92-86ee-4ca7-9fe5-fe515af347fc</x:v>
      </x:c>
      <x:c r="B1621" s="23" t="str">
        <x:v>INGRID DANIELE FRANCO DE OLIVEIRA</x:v>
      </x:c>
      <x:c r="C1621" s="23" t="str">
        <x:v>ingrid daniele franco de oliveira</x:v>
      </x:c>
      <x:c r="D1621" s="22" t="str">
        <x:f>"45.131.499/0001-04"</x:f>
        <x:v>45.131.499/0001-04</x:v>
      </x:c>
      <x:c r="E1621" s="22" t="str">
        <x:f>"45131499000104"</x:f>
        <x:v>45131499000104</x:v>
      </x:c>
      <x:c r="F1621" s="22" t="str">
        <x:f>"104.793.676-39"</x:f>
        <x:v>104.793.676-39</x:v>
      </x:c>
      <x:c r="G1621" s="22" t="str">
        <x:f>"10479367639"</x:f>
        <x:v>10479367639</x:v>
      </x:c>
      <x:c r="H1621" s="23" t="str">
        <x:v>ingriddfoliveira25@gmail.com</x:v>
      </x:c>
      <x:c r="I1621" s="22" t="str">
        <x:f>"31 9584-9168"</x:f>
        <x:v>31 9584-9168</x:v>
      </x:c>
      <x:c r="J1621" s="23" t="str">
        <x:v>DESCONHECIDO</x:v>
      </x:c>
      <x:c r="K1621" s="23" t="str">
        <x:v>favored_only</x:v>
      </x:c>
      <x:c r="L1621" s="24" t="b">
        <x:v>1</x:v>
      </x:c>
      <x:c r="M1621" s="23" t="n">
        <x:v>1</x:v>
      </x:c>
      <x:c r="N1621" s="28" t="n">
        <x:v>46205.60570984954</x:v>
      </x:c>
      <x:c r="O1621" s="28" t="n">
        <x:v>46219.812988715275</x:v>
      </x:c>
      <x:c r="P1621" s="23" t="str">
        <x:v>IPATINGA</x:v>
      </x:c>
      <x:c r="Q1621" s="30" t="n">
        <x:v>33372</x:v>
      </x:c>
      <x:c r="R1621" s="22" t="str">
        <x:f>"16830150"</x:f>
        <x:v>16830150</x:v>
      </x:c>
      <x:c r="S1621" s="23" t="str">
        <x:v>masculino</x:v>
      </x:c>
      <x:c r="T1621" s="22" t="str">
        <x:f>"LSY9H74"</x:f>
        <x:v>LSY9H74</x:v>
      </x:c>
      <x:c r="U1621" s="23" t="str">
        <x:v>IGOR THIAGO DE MATOS LAIA</x:v>
      </x:c>
      <x:c r="V1621" s="22" t="str">
        <x:f>"127.470.466-99"</x:f>
        <x:v>127.470.466-99</x:v>
      </x:c>
      <x:c r="W1621" s="22" t="str">
        <x:f>"12747046699"</x:f>
        <x:v>12747046699</x:v>
      </x:c>
      <x:c r="X1621" s="23" t="str">
        <x:v>igoralctransportes@gmail.com</x:v>
      </x:c>
      <x:c r="Y1621" s="22" t="str">
        <x:f>"31985381065"</x:f>
        <x:v>31985381065</x:v>
      </x:c>
      <x:c r="Z1621" s="30" t="n">
        <x:v>46331</x:v>
      </x:c>
    </x:row>
    <x:row r="1622" ht="18" customHeight="1">
      <x:c r="A1622" s="22" t="str">
        <x:f>"e0e7d241-c96e-48fe-a41d-d87fe4e64b0a"</x:f>
        <x:v>e0e7d241-c96e-48fe-a41d-d87fe4e64b0a</x:v>
      </x:c>
      <x:c r="B1622" s="23" t="str">
        <x:v>Irene Rodrigues Ferreira</x:v>
      </x:c>
      <x:c r="C1622" s="23" t="str">
        <x:v>irene rodrigues ferreira</x:v>
      </x:c>
      <x:c r="D1622" s="22" t="str">
        <x:f>"63320023000101"</x:f>
        <x:v>63320023000101</x:v>
      </x:c>
      <x:c r="E1622" s="22" t="str">
        <x:f>"63320023000101"</x:f>
        <x:v>63320023000101</x:v>
      </x:c>
      <x:c r="F1622" s="22" t="str">
        <x:f>"05425823177"</x:f>
        <x:v>05425823177</x:v>
      </x:c>
      <x:c r="G1622" s="22" t="str">
        <x:f>"05425823177"</x:f>
        <x:v>05425823177</x:v>
      </x:c>
      <x:c r="H1622" s="23" t="str">
        <x:v>irenerodriguesferreiraa@gmail.com</x:v>
      </x:c>
      <x:c r="I1622" s="22" t="str">
        <x:f>"67996801441"</x:f>
        <x:v>67996801441</x:v>
      </x:c>
      <x:c r="J1622" s="23" t="str">
        <x:v>SPOT</x:v>
      </x:c>
      <x:c r="K1622" s="23" t="str">
        <x:v>favored_only</x:v>
      </x:c>
      <x:c r="L1622" s="24" t="b">
        <x:v>1</x:v>
      </x:c>
      <x:c r="M1622" s="23" t="n">
        <x:v>1</x:v>
      </x:c>
      <x:c r="N1622" s="28" t="n">
        <x:v>46203.92189965278</x:v>
      </x:c>
      <x:c r="O1622" s="28" t="n">
        <x:v>46203.92189965278</x:v>
      </x:c>
      <x:c r="P1622" s="23" t="str"/>
      <x:c r="Q1622" s="30" t="str"/>
      <x:c r="R1622" s="22" t="str"/>
      <x:c r="S1622" s="23" t="str"/>
      <x:c r="T1622" s="22" t="str"/>
      <x:c r="U1622" s="23" t="str">
        <x:v>Irene Rodrigues Ferreira</x:v>
      </x:c>
      <x:c r="V1622" s="22" t="str">
        <x:f>"05425823177"</x:f>
        <x:v>05425823177</x:v>
      </x:c>
      <x:c r="W1622" s="22" t="str">
        <x:f>"05425823177"</x:f>
        <x:v>05425823177</x:v>
      </x:c>
      <x:c r="X1622" s="23" t="str">
        <x:v>irenerodriguesferreiraa@gmail.com</x:v>
      </x:c>
      <x:c r="Y1622" s="22" t="str">
        <x:f>"67996801441"</x:f>
        <x:v>67996801441</x:v>
      </x:c>
      <x:c r="Z1622" s="30" t="str"/>
    </x:row>
    <x:row r="1623" ht="18" customHeight="1">
      <x:c r="A1623" s="22" t="str">
        <x:f>"390262aa-e491-4b77-b668-8c65a75d10bf"</x:f>
        <x:v>390262aa-e491-4b77-b668-8c65a75d10bf</x:v>
      </x:c>
      <x:c r="B1623" s="23" t="str">
        <x:v>IRINALDO DA SILVA</x:v>
      </x:c>
      <x:c r="C1623" s="23" t="str">
        <x:v>irinaldo da silva</x:v>
      </x:c>
      <x:c r="D1623" s="22" t="str">
        <x:f>"55.783.923/0001-59"</x:f>
        <x:v>55.783.923/0001-59</x:v>
      </x:c>
      <x:c r="E1623" s="22" t="str">
        <x:f>"55783923000159"</x:f>
        <x:v>55783923000159</x:v>
      </x:c>
      <x:c r="F1623" s="22" t="str">
        <x:f>"032.659.651-80"</x:f>
        <x:v>032.659.651-80</x:v>
      </x:c>
      <x:c r="G1623" s="22" t="str">
        <x:f>"03265965180"</x:f>
        <x:v>03265965180</x:v>
      </x:c>
      <x:c r="H1623" s="23" t="str">
        <x:v>caiquehenrique112@gmail.com</x:v>
      </x:c>
      <x:c r="I1623" s="22" t="str">
        <x:f>"65981695365"</x:f>
        <x:v>65981695365</x:v>
      </x:c>
      <x:c r="J1623" s="23" t="str">
        <x:v>SPOT</x:v>
      </x:c>
      <x:c r="K1623" s="23" t="str">
        <x:v>favored_only</x:v>
      </x:c>
      <x:c r="L1623" s="24" t="b">
        <x:v>1</x:v>
      </x:c>
      <x:c r="M1623" s="23" t="n">
        <x:v>1</x:v>
      </x:c>
      <x:c r="N1623" s="28" t="n">
        <x:v>46205.60297399305</x:v>
      </x:c>
      <x:c r="O1623" s="28" t="n">
        <x:v>46219.812988715275</x:v>
      </x:c>
      <x:c r="P1623" s="23" t="str">
        <x:v>CÁCERES</x:v>
      </x:c>
      <x:c r="Q1623" s="30" t="n">
        <x:v>31193</x:v>
      </x:c>
      <x:c r="R1623" s="22" t="str">
        <x:f>"207792275"</x:f>
        <x:v>207792275</x:v>
      </x:c>
      <x:c r="S1623" s="23" t="str">
        <x:v>masculino</x:v>
      </x:c>
      <x:c r="T1623" s="22" t="str">
        <x:f>"MZO2374"</x:f>
        <x:v>MZO2374</x:v>
      </x:c>
      <x:c r="U1623" s="23" t="str">
        <x:v>CAIQUE HENRIQUE DA CRUZ</x:v>
      </x:c>
      <x:c r="V1623" s="22" t="str">
        <x:f>"058.062.901-58"</x:f>
        <x:v>058.062.901-58</x:v>
      </x:c>
      <x:c r="W1623" s="22" t="str">
        <x:f>"05806290158"</x:f>
        <x:v>05806290158</x:v>
      </x:c>
      <x:c r="X1623" s="23" t="str">
        <x:v>caiquehenrique112@gmail.com</x:v>
      </x:c>
      <x:c r="Y1623" s="22" t="str">
        <x:f>"65981695365"</x:f>
        <x:v>65981695365</x:v>
      </x:c>
      <x:c r="Z1623" s="30" t="n">
        <x:v>46252</x:v>
      </x:c>
    </x:row>
    <x:row r="1624" ht="18" customHeight="1">
      <x:c r="A1624" s="22" t="str">
        <x:f>"0fdef3a9-5ac2-410e-9477-27bc861b06a2"</x:f>
        <x:v>0fdef3a9-5ac2-410e-9477-27bc861b06a2</x:v>
      </x:c>
      <x:c r="B1624" s="23" t="str">
        <x:v>IRINEU SEBASTIAO KERISCK DE DEUS BENTO</x:v>
      </x:c>
      <x:c r="C1624" s="23" t="str">
        <x:v>irineu sebastiao kerisck de deus bento</x:v>
      </x:c>
      <x:c r="D1624" s="22" t="str">
        <x:f>"59.909.449/0001-10"</x:f>
        <x:v>59.909.449/0001-10</x:v>
      </x:c>
      <x:c r="E1624" s="22" t="str">
        <x:f>"59909449000110"</x:f>
        <x:v>59909449000110</x:v>
      </x:c>
      <x:c r="F1624" s="22" t="str">
        <x:f>"051.260.091-09"</x:f>
        <x:v>051.260.091-09</x:v>
      </x:c>
      <x:c r="G1624" s="22" t="str">
        <x:f>"05126009109"</x:f>
        <x:v>05126009109</x:v>
      </x:c>
      <x:c r="H1624" s="23" t="str">
        <x:v>kerisckdedeusbento@gmail.com</x:v>
      </x:c>
      <x:c r="I1624" s="22" t="str">
        <x:f>"65 9 9231-4129"</x:f>
        <x:v>65 9 9231-4129</x:v>
      </x:c>
      <x:c r="J1624" s="23" t="str">
        <x:v>SPOT</x:v>
      </x:c>
      <x:c r="K1624" s="23" t="str">
        <x:v>favored_only</x:v>
      </x:c>
      <x:c r="L1624" s="24" t="b">
        <x:v>1</x:v>
      </x:c>
      <x:c r="M1624" s="23" t="n">
        <x:v>1</x:v>
      </x:c>
      <x:c r="N1624" s="28" t="n">
        <x:v>46203.9218771875</x:v>
      </x:c>
      <x:c r="O1624" s="28" t="n">
        <x:v>46219.812988715275</x:v>
      </x:c>
      <x:c r="P1624" s="23" t="str">
        <x:v>CUIABA</x:v>
      </x:c>
      <x:c r="Q1624" s="30" t="n">
        <x:v>34252</x:v>
      </x:c>
      <x:c r="R1624" s="22" t="str">
        <x:f>"25065068"</x:f>
        <x:v>25065068</x:v>
      </x:c>
      <x:c r="S1624" s="23" t="str">
        <x:v>masculino</x:v>
      </x:c>
      <x:c r="T1624" s="22" t="str">
        <x:f>"RNZ6D86"</x:f>
        <x:v>RNZ6D86</x:v>
      </x:c>
      <x:c r="U1624" s="23" t="str">
        <x:v>IRINEU SEBASTIAO KERISCK DE DEUS BENTO</x:v>
      </x:c>
      <x:c r="V1624" s="22" t="str">
        <x:f>"051.260.091-09"</x:f>
        <x:v>051.260.091-09</x:v>
      </x:c>
      <x:c r="W1624" s="22" t="str">
        <x:f>"05126009109"</x:f>
        <x:v>05126009109</x:v>
      </x:c>
      <x:c r="X1624" s="23" t="str">
        <x:v>kerisckdedeusbento@gmail.com</x:v>
      </x:c>
      <x:c r="Y1624" s="22" t="str">
        <x:f>"65 9 9231-4129"</x:f>
        <x:v>65 9 9231-4129</x:v>
      </x:c>
      <x:c r="Z1624" s="30" t="n">
        <x:v>46315</x:v>
      </x:c>
    </x:row>
    <x:row r="1625" ht="18" customHeight="1">
      <x:c r="A1625" s="22" t="str">
        <x:f>"9cad8f97-ad83-4549-937f-ce4d8a35d8ac"</x:f>
        <x:v>9cad8f97-ad83-4549-937f-ce4d8a35d8ac</x:v>
      </x:c>
      <x:c r="B1625" s="23" t="str">
        <x:v>IRONI DA MOTA OLIVEIRA63.045</x:v>
      </x:c>
      <x:c r="C1625" s="23" t="str">
        <x:v>ironi da mota oliveira63 045</x:v>
      </x:c>
      <x:c r="D1625" s="22" t="str">
        <x:f>"63.045.970/0001-23"</x:f>
        <x:v>63.045.970/0001-23</x:v>
      </x:c>
      <x:c r="E1625" s="22" t="str">
        <x:f>"63045970000123"</x:f>
        <x:v>63045970000123</x:v>
      </x:c>
      <x:c r="F1625" s="22" t="str">
        <x:f>"042.274.656-80"</x:f>
        <x:v>042.274.656-80</x:v>
      </x:c>
      <x:c r="G1625" s="22" t="str">
        <x:f>"04227465680"</x:f>
        <x:v>04227465680</x:v>
      </x:c>
      <x:c r="H1625" s="23" t="str">
        <x:v>ironiblueeyes@hotmail.com</x:v>
      </x:c>
      <x:c r="I1625" s="22" t="str">
        <x:f>"(38) 99972‑7960‬"</x:f>
        <x:v>(38) 99972‑7960‬</x:v>
      </x:c>
      <x:c r="J1625" s="23" t="str">
        <x:v>SPOT</x:v>
      </x:c>
      <x:c r="K1625" s="23" t="str">
        <x:v>favored_only</x:v>
      </x:c>
      <x:c r="L1625" s="24" t="b">
        <x:v>1</x:v>
      </x:c>
      <x:c r="M1625" s="23" t="n">
        <x:v>1</x:v>
      </x:c>
      <x:c r="N1625" s="28" t="n">
        <x:v>46205.60527447917</x:v>
      </x:c>
      <x:c r="O1625" s="28" t="n">
        <x:v>46219.812988715275</x:v>
      </x:c>
      <x:c r="P1625" s="23" t="str">
        <x:v>PATOS DE MINAS</x:v>
      </x:c>
      <x:c r="Q1625" s="30" t="n">
        <x:v>29012</x:v>
      </x:c>
      <x:c r="R1625" s="22" t="str">
        <x:f>"11301411"</x:f>
        <x:v>11301411</x:v>
      </x:c>
      <x:c r="S1625" s="23" t="str">
        <x:v>masculino</x:v>
      </x:c>
      <x:c r="T1625" s="22" t="str">
        <x:f>"HKY1H02"</x:f>
        <x:v>HKY1H02</x:v>
      </x:c>
      <x:c r="U1625" s="23" t="str">
        <x:v>IRONI DA MOTA OLIVEIRA</x:v>
      </x:c>
      <x:c r="V1625" s="22" t="str">
        <x:f>"042.274.656-80"</x:f>
        <x:v>042.274.656-80</x:v>
      </x:c>
      <x:c r="W1625" s="22" t="str">
        <x:f>"04227465680"</x:f>
        <x:v>04227465680</x:v>
      </x:c>
      <x:c r="X1625" s="23" t="str">
        <x:v>ironiblueeyes@hotmail.com</x:v>
      </x:c>
      <x:c r="Y1625" s="22" t="str">
        <x:f>"(38) 99972‑7960‬"</x:f>
        <x:v>(38) 99972‑7960‬</x:v>
      </x:c>
      <x:c r="Z1625" s="30" t="n">
        <x:v>46317</x:v>
      </x:c>
    </x:row>
    <x:row r="1626" ht="18" customHeight="1">
      <x:c r="A1626" s="22" t="str">
        <x:f>"ae53c38b-b3d5-4540-b790-537f8b4373d3"</x:f>
        <x:v>ae53c38b-b3d5-4540-b790-537f8b4373d3</x:v>
      </x:c>
      <x:c r="B1626" s="23" t="str">
        <x:v>ISAAC DE JESUS RODRIGUES</x:v>
      </x:c>
      <x:c r="C1626" s="23" t="str">
        <x:v>isaac de jesus rodrigues</x:v>
      </x:c>
      <x:c r="D1626" s="22" t="str">
        <x:f>"67.567.809/0001-70"</x:f>
        <x:v>67.567.809/0001-70</x:v>
      </x:c>
      <x:c r="E1626" s="22" t="str">
        <x:f>"67567809000170"</x:f>
        <x:v>67567809000170</x:v>
      </x:c>
      <x:c r="F1626" s="22" t="str">
        <x:f>"158.329.427-95"</x:f>
        <x:v>158.329.427-95</x:v>
      </x:c>
      <x:c r="G1626" s="22" t="str">
        <x:f>"15832942795"</x:f>
        <x:v>15832942795</x:v>
      </x:c>
      <x:c r="H1626" s="23" t="str">
        <x:v>isaacjrodrigues9@gmail.com</x:v>
      </x:c>
      <x:c r="I1626" s="22" t="str">
        <x:f>"21 967463271"</x:f>
        <x:v>21 967463271</x:v>
      </x:c>
      <x:c r="J1626" s="23" t="str">
        <x:v>SPOT</x:v>
      </x:c>
      <x:c r="K1626" s="23" t="str">
        <x:v>favored_only</x:v>
      </x:c>
      <x:c r="L1626" s="24" t="b">
        <x:v>1</x:v>
      </x:c>
      <x:c r="M1626" s="23" t="n">
        <x:v>1</x:v>
      </x:c>
      <x:c r="N1626" s="28" t="n">
        <x:v>46219.812988715275</x:v>
      </x:c>
      <x:c r="O1626" s="28" t="n">
        <x:v>46219.812988715275</x:v>
      </x:c>
      <x:c r="P1626" s="23" t="str">
        <x:v>CORDOVIL</x:v>
      </x:c>
      <x:c r="Q1626" s="30" t="n">
        <x:v>38870</x:v>
      </x:c>
      <x:c r="R1626" s="22" t="str">
        <x:f>"15832942795"</x:f>
        <x:v>15832942795</x:v>
      </x:c>
      <x:c r="S1626" s="23" t="str">
        <x:v>masculino</x:v>
      </x:c>
      <x:c r="T1626" s="22" t="str">
        <x:f>"Lun6A87"</x:f>
        <x:v>Lun6A87</x:v>
      </x:c>
      <x:c r="U1626" s="23" t="str">
        <x:v>ISAAC DE JESUS RODRIGUES</x:v>
      </x:c>
      <x:c r="V1626" s="22" t="str">
        <x:f>"158.329.427-95"</x:f>
        <x:v>158.329.427-95</x:v>
      </x:c>
      <x:c r="W1626" s="22" t="str">
        <x:f>"15832942795"</x:f>
        <x:v>15832942795</x:v>
      </x:c>
      <x:c r="X1626" s="23" t="str">
        <x:v>isaacjrodrigues9@gmail.com</x:v>
      </x:c>
      <x:c r="Y1626" s="22" t="str">
        <x:f>"21 967463271"</x:f>
        <x:v>21 967463271</x:v>
      </x:c>
      <x:c r="Z1626" s="30" t="n">
        <x:v>46560</x:v>
      </x:c>
    </x:row>
    <x:row r="1627" ht="18" customHeight="1">
      <x:c r="A1627" s="22" t="str">
        <x:f>"5047f9b2-07eb-465c-979c-5cb6eabb55f4"</x:f>
        <x:v>5047f9b2-07eb-465c-979c-5cb6eabb55f4</x:v>
      </x:c>
      <x:c r="B1627" s="23" t="str">
        <x:v>ISAAC FERREIRA GOMES DA SILVA</x:v>
      </x:c>
      <x:c r="C1627" s="23" t="str">
        <x:v>isaac ferreira gomes da silva</x:v>
      </x:c>
      <x:c r="D1627" s="22" t="str">
        <x:f>"26.955.672/0001-44"</x:f>
        <x:v>26.955.672/0001-44</x:v>
      </x:c>
      <x:c r="E1627" s="22" t="str">
        <x:f>"26955672000144"</x:f>
        <x:v>26955672000144</x:v>
      </x:c>
      <x:c r="F1627" s="22" t="str">
        <x:f>"147.801.617-54"</x:f>
        <x:v>147.801.617-54</x:v>
      </x:c>
      <x:c r="G1627" s="22" t="str">
        <x:f>"14780161754"</x:f>
        <x:v>14780161754</x:v>
      </x:c>
      <x:c r="H1627" s="23" t="str">
        <x:v>isaacfgomesp94@gmail.com</x:v>
      </x:c>
      <x:c r="I1627" s="22" t="str">
        <x:f>"21 972094980"</x:f>
        <x:v>21 972094980</x:v>
      </x:c>
      <x:c r="J1627" s="23" t="str">
        <x:v>SPOT</x:v>
      </x:c>
      <x:c r="K1627" s="23" t="str">
        <x:v>favored_only</x:v>
      </x:c>
      <x:c r="L1627" s="24" t="b">
        <x:v>1</x:v>
      </x:c>
      <x:c r="M1627" s="23" t="n">
        <x:v>1</x:v>
      </x:c>
      <x:c r="N1627" s="28" t="n">
        <x:v>46219.812988715275</x:v>
      </x:c>
      <x:c r="O1627" s="28" t="n">
        <x:v>46219.812988715275</x:v>
      </x:c>
      <x:c r="P1627" s="23" t="str">
        <x:v>CORDOVIL</x:v>
      </x:c>
      <x:c r="Q1627" s="30" t="n">
        <x:v>34530</x:v>
      </x:c>
      <x:c r="R1627" s="22" t="str">
        <x:f>"26.837.759-5"</x:f>
        <x:v>26.837.759-5</x:v>
      </x:c>
      <x:c r="S1627" s="23" t="str">
        <x:v>masculino</x:v>
      </x:c>
      <x:c r="T1627" s="22" t="str">
        <x:f>"fwy0h27"</x:f>
        <x:v>fwy0h27</x:v>
      </x:c>
      <x:c r="U1627" s="23" t="str">
        <x:v>ISAAC FERREIRA GOMES DA SILVA</x:v>
      </x:c>
      <x:c r="V1627" s="22" t="str">
        <x:f>"147.801.617-54"</x:f>
        <x:v>147.801.617-54</x:v>
      </x:c>
      <x:c r="W1627" s="22" t="str">
        <x:f>"14780161754"</x:f>
        <x:v>14780161754</x:v>
      </x:c>
      <x:c r="X1627" s="23" t="str">
        <x:v>isaacfgomesp94@gmail.com</x:v>
      </x:c>
      <x:c r="Y1627" s="22" t="str">
        <x:f>"21 972094980"</x:f>
        <x:v>21 972094980</x:v>
      </x:c>
      <x:c r="Z1627" s="30" t="n">
        <x:v>46472</x:v>
      </x:c>
    </x:row>
    <x:row r="1628" ht="18" customHeight="1">
      <x:c r="A1628" s="22" t="str">
        <x:f>"3ec57ee4-949e-4043-a81d-2dfc1aa7bf7b"</x:f>
        <x:v>3ec57ee4-949e-4043-a81d-2dfc1aa7bf7b</x:v>
      </x:c>
      <x:c r="B1628" s="23" t="str">
        <x:v>ISAAC GUABERTO BARBOSA</x:v>
      </x:c>
      <x:c r="C1628" s="23" t="str">
        <x:v>isaac guaberto barbosa</x:v>
      </x:c>
      <x:c r="D1628" s="22" t="str">
        <x:f>"61.135.374/0001-09"</x:f>
        <x:v>61.135.374/0001-09</x:v>
      </x:c>
      <x:c r="E1628" s="22" t="str">
        <x:f>"61135374000109"</x:f>
        <x:v>61135374000109</x:v>
      </x:c>
      <x:c r="F1628" s="22" t="str">
        <x:f>"110.090.956-76"</x:f>
        <x:v>110.090.956-76</x:v>
      </x:c>
      <x:c r="G1628" s="22" t="str">
        <x:f>"11009095676"</x:f>
        <x:v>11009095676</x:v>
      </x:c>
      <x:c r="H1628" s="23" t="str">
        <x:v>Isaacbarbosa121090@gmail.com</x:v>
      </x:c>
      <x:c r="I1628" s="22" t="str">
        <x:f>"+55 31 9540-5152"</x:f>
        <x:v>+55 31 9540-5152</x:v>
      </x:c>
      <x:c r="J1628" s="23" t="str">
        <x:v>SPOT</x:v>
      </x:c>
      <x:c r="K1628" s="23" t="str">
        <x:v>favored_only</x:v>
      </x:c>
      <x:c r="L1628" s="24" t="b">
        <x:v>1</x:v>
      </x:c>
      <x:c r="M1628" s="23" t="n">
        <x:v>1</x:v>
      </x:c>
      <x:c r="N1628" s="28" t="n">
        <x:v>46205.60406130787</x:v>
      </x:c>
      <x:c r="O1628" s="28" t="n">
        <x:v>46219.812988715275</x:v>
      </x:c>
      <x:c r="P1628" s="23" t="str">
        <x:v>IPATINGA</x:v>
      </x:c>
      <x:c r="Q1628" s="30" t="n">
        <x:v>33158</x:v>
      </x:c>
      <x:c r="R1628" s="22" t="str">
        <x:f>"1524716"</x:f>
        <x:v>1524716</x:v>
      </x:c>
      <x:c r="S1628" s="23" t="str">
        <x:v>masculino</x:v>
      </x:c>
      <x:c r="T1628" s="22" t="str">
        <x:f>"OEO0454"</x:f>
        <x:v>OEO0454</x:v>
      </x:c>
      <x:c r="U1628" s="23" t="str">
        <x:v>SAVIO VELOSO DE OLIVEIRA DIAS</x:v>
      </x:c>
      <x:c r="V1628" s="22" t="str">
        <x:f>"123.808.466-42"</x:f>
        <x:v>123.808.466-42</x:v>
      </x:c>
      <x:c r="W1628" s="22" t="str">
        <x:f>"12380846642"</x:f>
        <x:v>12380846642</x:v>
      </x:c>
      <x:c r="X1628" s="23" t="str">
        <x:v>savio7183@hotmail.com</x:v>
      </x:c>
      <x:c r="Y1628" s="22" t="str">
        <x:f>"31986370604"</x:f>
        <x:v>31986370604</x:v>
      </x:c>
      <x:c r="Z1628" s="30" t="n">
        <x:v>46255</x:v>
      </x:c>
    </x:row>
    <x:row r="1629" ht="18" customHeight="1">
      <x:c r="A1629" s="22" t="str">
        <x:f>"421f3ccf-8ba7-4399-95da-200c2baa7dbb"</x:f>
        <x:v>421f3ccf-8ba7-4399-95da-200c2baa7dbb</x:v>
      </x:c>
      <x:c r="B1629" s="23" t="str">
        <x:v>ISABELA FELIX DE MOURA DOS SANTOS</x:v>
      </x:c>
      <x:c r="C1629" s="23" t="str">
        <x:v>isabela felix de moura dos santos</x:v>
      </x:c>
      <x:c r="D1629" s="22" t="str">
        <x:f>"52.238.657/0001-95"</x:f>
        <x:v>52.238.657/0001-95</x:v>
      </x:c>
      <x:c r="E1629" s="22" t="str">
        <x:f>"52238657000195"</x:f>
        <x:v>52238657000195</x:v>
      </x:c>
      <x:c r="F1629" s="22" t="str">
        <x:f>"486.322.478-83"</x:f>
        <x:v>486.322.478-83</x:v>
      </x:c>
      <x:c r="G1629" s="22" t="str">
        <x:f>"48632247883"</x:f>
        <x:v>48632247883</x:v>
      </x:c>
      <x:c r="H1629" s="23" t="str">
        <x:v>isabelafelix25@icloud.com</x:v>
      </x:c>
      <x:c r="I1629" s="22" t="str">
        <x:f>"14 99647-2599"</x:f>
        <x:v>14 99647-2599</x:v>
      </x:c>
      <x:c r="J1629" s="23" t="str">
        <x:v>SPOT</x:v>
      </x:c>
      <x:c r="K1629" s="23" t="str">
        <x:v>favored_only</x:v>
      </x:c>
      <x:c r="L1629" s="24" t="b">
        <x:v>1</x:v>
      </x:c>
      <x:c r="M1629" s="23" t="n">
        <x:v>1</x:v>
      </x:c>
      <x:c r="N1629" s="28" t="n">
        <x:v>46219.812988715275</x:v>
      </x:c>
      <x:c r="O1629" s="28" t="n">
        <x:v>46219.812988715275</x:v>
      </x:c>
      <x:c r="P1629" s="23" t="str">
        <x:v>MARILIA</x:v>
      </x:c>
      <x:c r="Q1629" s="30" t="n">
        <x:v>36794</x:v>
      </x:c>
      <x:c r="R1629" s="22" t="str">
        <x:f>"58892153"</x:f>
        <x:v>58892153</x:v>
      </x:c>
      <x:c r="S1629" s="23" t="str">
        <x:v>feminino</x:v>
      </x:c>
      <x:c r="T1629" s="22" t="str">
        <x:f>"GCE1829 2"</x:f>
        <x:v>GCE1829 2</x:v>
      </x:c>
      <x:c r="U1629" s="23" t="str">
        <x:v>ISABELA FELIX DE MOURA DOS SANTOS</x:v>
      </x:c>
      <x:c r="V1629" s="22" t="str">
        <x:f>"486.322.478-83"</x:f>
        <x:v>486.322.478-83</x:v>
      </x:c>
      <x:c r="W1629" s="22" t="str">
        <x:f>"48632247883"</x:f>
        <x:v>48632247883</x:v>
      </x:c>
      <x:c r="X1629" s="23" t="str">
        <x:v>isabelafelix25@icloud.com</x:v>
      </x:c>
      <x:c r="Y1629" s="22" t="str">
        <x:f>"14 99647-2599"</x:f>
        <x:v>14 99647-2599</x:v>
      </x:c>
      <x:c r="Z1629" s="30" t="n">
        <x:v>46533</x:v>
      </x:c>
    </x:row>
    <x:row r="1630" ht="18" customHeight="1">
      <x:c r="A1630" s="22" t="str">
        <x:f>"d4e53c80-1e98-4fe5-b2b6-af465ff5bece"</x:f>
        <x:v>d4e53c80-1e98-4fe5-b2b6-af465ff5bece</x:v>
      </x:c>
      <x:c r="B1630" s="23" t="str">
        <x:v>ISABELA FERNANDA FELICIO DA SILVA</x:v>
      </x:c>
      <x:c r="C1630" s="23" t="str">
        <x:v>isabela fernanda felicio da silva</x:v>
      </x:c>
      <x:c r="D1630" s="22" t="str">
        <x:f>"63.299.528/0001-23"</x:f>
        <x:v>63.299.528/0001-23</x:v>
      </x:c>
      <x:c r="E1630" s="22" t="str">
        <x:f>"63299528000123"</x:f>
        <x:v>63299528000123</x:v>
      </x:c>
      <x:c r="F1630" s="22" t="str">
        <x:f>"462.156.638-59"</x:f>
        <x:v>462.156.638-59</x:v>
      </x:c>
      <x:c r="G1630" s="22" t="str">
        <x:f>"46215663859"</x:f>
        <x:v>46215663859</x:v>
      </x:c>
      <x:c r="H1630" s="23" t="str">
        <x:v>Felicioisabela43@gmail.com</x:v>
      </x:c>
      <x:c r="I1630" s="22" t="str">
        <x:f>"(17) 99110-0292"</x:f>
        <x:v>(17) 99110-0292</x:v>
      </x:c>
      <x:c r="J1630" s="23" t="str">
        <x:v>RENTAL</x:v>
      </x:c>
      <x:c r="K1630" s="23" t="str">
        <x:v>rental_company</x:v>
      </x:c>
      <x:c r="L1630" s="24" t="b">
        <x:v>1</x:v>
      </x:c>
      <x:c r="M1630" s="23" t="n">
        <x:v>1</x:v>
      </x:c>
      <x:c r="N1630" s="28" t="n">
        <x:v>46203.92188238426</x:v>
      </x:c>
      <x:c r="O1630" s="28" t="n">
        <x:v>46219.812988715275</x:v>
      </x:c>
      <x:c r="P1630" s="23" t="str">
        <x:v>BARRETOS</x:v>
      </x:c>
      <x:c r="Q1630" s="30" t="n">
        <x:v>35805</x:v>
      </x:c>
      <x:c r="R1630" s="22" t="str">
        <x:f>"542591054"</x:f>
        <x:v>542591054</x:v>
      </x:c>
      <x:c r="S1630" s="23" t="str">
        <x:v>feminino</x:v>
      </x:c>
      <x:c r="T1630" s="22" t="str"/>
      <x:c r="U1630" s="23" t="str">
        <x:v>ISABELA FERNANDA FELICIO DA SILVA</x:v>
      </x:c>
      <x:c r="V1630" s="22" t="str">
        <x:f>"462.156.638-59"</x:f>
        <x:v>462.156.638-59</x:v>
      </x:c>
      <x:c r="W1630" s="22" t="str">
        <x:f>"46215663859"</x:f>
        <x:v>46215663859</x:v>
      </x:c>
      <x:c r="X1630" s="23" t="str">
        <x:v>Felicioisabela43@gmail.com</x:v>
      </x:c>
      <x:c r="Y1630" s="22" t="str">
        <x:f>"(17) 99110-0292"</x:f>
        <x:v>(17) 99110-0292</x:v>
      </x:c>
      <x:c r="Z1630" s="30" t="n">
        <x:v>46318</x:v>
      </x:c>
    </x:row>
    <x:row r="1631" ht="18" customHeight="1">
      <x:c r="A1631" s="22" t="str">
        <x:f>"a0e9fea4-1524-4c44-bed9-98e60428305e"</x:f>
        <x:v>a0e9fea4-1524-4c44-bed9-98e60428305e</x:v>
      </x:c>
      <x:c r="B1631" s="23" t="str">
        <x:v>ISABELI CAROLINA ALVES FERREIRA</x:v>
      </x:c>
      <x:c r="C1631" s="23" t="str">
        <x:v>isabeli carolina alves ferreira</x:v>
      </x:c>
      <x:c r="D1631" s="22" t="str">
        <x:f>"67.761.694/0001-50"</x:f>
        <x:v>67.761.694/0001-50</x:v>
      </x:c>
      <x:c r="E1631" s="22" t="str">
        <x:f>"67761694000150"</x:f>
        <x:v>67761694000150</x:v>
      </x:c>
      <x:c r="F1631" s="22" t="str">
        <x:f>"446.455.768-60"</x:f>
        <x:v>446.455.768-60</x:v>
      </x:c>
      <x:c r="G1631" s="22" t="str">
        <x:f>"44645576860"</x:f>
        <x:v>44645576860</x:v>
      </x:c>
      <x:c r="H1631" s="23" t="str">
        <x:v>isabelicarolina1@gmail.com</x:v>
      </x:c>
      <x:c r="I1631" s="22" t="str">
        <x:f>"16996070276"</x:f>
        <x:v>16996070276</x:v>
      </x:c>
      <x:c r="J1631" s="23" t="str">
        <x:v>RENTAL</x:v>
      </x:c>
      <x:c r="K1631" s="23" t="str">
        <x:v>rental_company</x:v>
      </x:c>
      <x:c r="L1631" s="24" t="b">
        <x:v>1</x:v>
      </x:c>
      <x:c r="M1631" s="23" t="n">
        <x:v>1</x:v>
      </x:c>
      <x:c r="N1631" s="28" t="n">
        <x:v>46219.812988715275</x:v>
      </x:c>
      <x:c r="O1631" s="28" t="n">
        <x:v>46219.812988715275</x:v>
      </x:c>
      <x:c r="P1631" s="23" t="str">
        <x:v>SÃO CARLOS</x:v>
      </x:c>
      <x:c r="Q1631" s="30" t="n">
        <x:v>37615</x:v>
      </x:c>
      <x:c r="R1631" s="22" t="str">
        <x:f>"555492308"</x:f>
        <x:v>555492308</x:v>
      </x:c>
      <x:c r="S1631" s="23" t="str">
        <x:v>feminino</x:v>
      </x:c>
      <x:c r="T1631" s="22" t="str"/>
      <x:c r="U1631" s="23" t="str">
        <x:v>ISABELI CAROLINA ALVES FERREIRA</x:v>
      </x:c>
      <x:c r="V1631" s="22" t="str">
        <x:f>"446.455.768-60"</x:f>
        <x:v>446.455.768-60</x:v>
      </x:c>
      <x:c r="W1631" s="22" t="str">
        <x:f>"44645576860"</x:f>
        <x:v>44645576860</x:v>
      </x:c>
      <x:c r="X1631" s="23" t="str">
        <x:v>isabelicarolina1@gmail.com</x:v>
      </x:c>
      <x:c r="Y1631" s="22" t="str">
        <x:f>"16996070276"</x:f>
        <x:v>16996070276</x:v>
      </x:c>
      <x:c r="Z1631" s="30" t="n">
        <x:v>46569</x:v>
      </x:c>
    </x:row>
    <x:row r="1632" ht="18" customHeight="1">
      <x:c r="A1632" s="22" t="str">
        <x:f>"16e84e04-9c1d-4812-a906-9946d8030f39"</x:f>
        <x:v>16e84e04-9c1d-4812-a906-9946d8030f39</x:v>
      </x:c>
      <x:c r="B1632" s="23" t="str">
        <x:v>ISABELLE BIANCA LUNI XAVIER</x:v>
      </x:c>
      <x:c r="C1632" s="23" t="str">
        <x:v>isabelle bianca luni xavier</x:v>
      </x:c>
      <x:c r="D1632" s="22" t="str">
        <x:f>"57.411.684/0001-31"</x:f>
        <x:v>57.411.684/0001-31</x:v>
      </x:c>
      <x:c r="E1632" s="22" t="str">
        <x:f>"57411684000131"</x:f>
        <x:v>57411684000131</x:v>
      </x:c>
      <x:c r="F1632" s="22" t="str">
        <x:f>"416.728.598-32"</x:f>
        <x:v>416.728.598-32</x:v>
      </x:c>
      <x:c r="G1632" s="22" t="str">
        <x:f>"41672859832"</x:f>
        <x:v>41672859832</x:v>
      </x:c>
      <x:c r="H1632" s="23" t="str">
        <x:v>davix3714@gmail.com</x:v>
      </x:c>
      <x:c r="I1632" s="22" t="str">
        <x:f>"14 998500920"</x:f>
        <x:v>14 998500920</x:v>
      </x:c>
      <x:c r="J1632" s="23" t="str">
        <x:v>RENTAL</x:v>
      </x:c>
      <x:c r="K1632" s="23" t="str">
        <x:v>rental_company</x:v>
      </x:c>
      <x:c r="L1632" s="24" t="b">
        <x:v>1</x:v>
      </x:c>
      <x:c r="M1632" s="23" t="n">
        <x:v>1</x:v>
      </x:c>
      <x:c r="N1632" s="28" t="n">
        <x:v>46203.921904421295</x:v>
      </x:c>
      <x:c r="O1632" s="28" t="n">
        <x:v>46219.812988715275</x:v>
      </x:c>
      <x:c r="P1632" s="23" t="str">
        <x:v>BAURU</x:v>
      </x:c>
      <x:c r="Q1632" s="30" t="n">
        <x:v>34111</x:v>
      </x:c>
      <x:c r="R1632" s="22" t="str">
        <x:f>"488201263"</x:f>
        <x:v>488201263</x:v>
      </x:c>
      <x:c r="S1632" s="23" t="str">
        <x:v>feminino</x:v>
      </x:c>
      <x:c r="T1632" s="22" t="str"/>
      <x:c r="U1632" s="23" t="str">
        <x:v>ISABELLE BIANCA LUNI XAVIER</x:v>
      </x:c>
      <x:c r="V1632" s="22" t="str">
        <x:f>"416.728.598-32"</x:f>
        <x:v>416.728.598-32</x:v>
      </x:c>
      <x:c r="W1632" s="22" t="str">
        <x:f>"41672859832"</x:f>
        <x:v>41672859832</x:v>
      </x:c>
      <x:c r="X1632" s="23" t="str">
        <x:v>davix3714@gmail.com</x:v>
      </x:c>
      <x:c r="Y1632" s="22" t="str">
        <x:f>"14 998500920"</x:f>
        <x:v>14 998500920</x:v>
      </x:c>
      <x:c r="Z1632" s="30" t="n">
        <x:v>46368</x:v>
      </x:c>
    </x:row>
    <x:row r="1633" ht="18" customHeight="1">
      <x:c r="A1633" s="22" t="str">
        <x:f>"e9277351-e9ae-4755-8c62-389f31dc9d6d"</x:f>
        <x:v>e9277351-e9ae-4755-8c62-389f31dc9d6d</x:v>
      </x:c>
      <x:c r="B1633" s="23" t="str">
        <x:v>ISABELLE KRISTINE PACHECO DE JESUS VASCONCELLOS</x:v>
      </x:c>
      <x:c r="C1633" s="23" t="str">
        <x:v>isabelle kristine pacheco de jesus vasconcellos</x:v>
      </x:c>
      <x:c r="D1633" s="22" t="str">
        <x:f>"63.935.264/0001-57"</x:f>
        <x:v>63.935.264/0001-57</x:v>
      </x:c>
      <x:c r="E1633" s="22" t="str">
        <x:f>"63935264000157"</x:f>
        <x:v>63935264000157</x:v>
      </x:c>
      <x:c r="F1633" s="22" t="str">
        <x:f>"145.302.067-50"</x:f>
        <x:v>145.302.067-50</x:v>
      </x:c>
      <x:c r="G1633" s="22" t="str">
        <x:f>"14530206750"</x:f>
        <x:v>14530206750</x:v>
      </x:c>
      <x:c r="H1633" s="23" t="str">
        <x:v>vasconcellosisa03@gmail.com</x:v>
      </x:c>
      <x:c r="I1633" s="22" t="str">
        <x:f>"21991554944"</x:f>
        <x:v>21991554944</x:v>
      </x:c>
      <x:c r="J1633" s="23" t="str">
        <x:v>SPOT</x:v>
      </x:c>
      <x:c r="K1633" s="23" t="str">
        <x:v>favored_only</x:v>
      </x:c>
      <x:c r="L1633" s="24" t="b">
        <x:v>1</x:v>
      </x:c>
      <x:c r="M1633" s="23" t="n">
        <x:v>3</x:v>
      </x:c>
      <x:c r="N1633" s="28" t="n">
        <x:v>46203.921904421295</x:v>
      </x:c>
      <x:c r="O1633" s="28" t="n">
        <x:v>46219.812988715275</x:v>
      </x:c>
      <x:c r="P1633" s="23" t="str">
        <x:v>CAMPO GRANDE</x:v>
      </x:c>
      <x:c r="Q1633" s="30" t="n">
        <x:v>35982</x:v>
      </x:c>
      <x:c r="R1633" s="22" t="str">
        <x:f>"273490227"</x:f>
        <x:v>273490227</x:v>
      </x:c>
      <x:c r="S1633" s="23" t="str">
        <x:v>feminino</x:v>
      </x:c>
      <x:c r="T1633" s="22" t="str">
        <x:f>"KRA7F39"</x:f>
        <x:v>KRA7F39</x:v>
      </x:c>
      <x:c r="U1633" s="23" t="str">
        <x:v>ISABELLE KRISTINE PACHECO DE JESUS VASCONCELLOS</x:v>
      </x:c>
      <x:c r="V1633" s="22" t="str">
        <x:f>"145.302.067-50"</x:f>
        <x:v>145.302.067-50</x:v>
      </x:c>
      <x:c r="W1633" s="22" t="str">
        <x:f>"14530206750"</x:f>
        <x:v>14530206750</x:v>
      </x:c>
      <x:c r="X1633" s="23" t="str">
        <x:v>vasconcellosisa03@gmail.com</x:v>
      </x:c>
      <x:c r="Y1633" s="22" t="str">
        <x:f>"21991554944"</x:f>
        <x:v>21991554944</x:v>
      </x:c>
      <x:c r="Z1633" s="30" t="n">
        <x:v>46556</x:v>
      </x:c>
    </x:row>
    <x:row r="1634" ht="18" customHeight="1">
      <x:c r="A1634" s="22" t="str">
        <x:f>"f5abfdb3-10db-438a-81e8-ebd261b2343d"</x:f>
        <x:v>f5abfdb3-10db-438a-81e8-ebd261b2343d</x:v>
      </x:c>
      <x:c r="B1634" s="23" t="str">
        <x:v>ISABELLY OLIVIA DA SILVA MATEUS</x:v>
      </x:c>
      <x:c r="C1634" s="23" t="str">
        <x:v>isabelly olivia da silva mateus</x:v>
      </x:c>
      <x:c r="D1634" s="22" t="str">
        <x:f>"51.659.848/0001-68"</x:f>
        <x:v>51.659.848/0001-68</x:v>
      </x:c>
      <x:c r="E1634" s="22" t="str">
        <x:f>"51659848000168"</x:f>
        <x:v>51659848000168</x:v>
      </x:c>
      <x:c r="F1634" s="22" t="str">
        <x:f>"445.261.148-63"</x:f>
        <x:v>445.261.148-63</x:v>
      </x:c>
      <x:c r="G1634" s="22" t="str">
        <x:f>"44526114863"</x:f>
        <x:v>44526114863</x:v>
      </x:c>
      <x:c r="H1634" s="23" t="str">
        <x:v>Isabellyjack@hotmail.com</x:v>
      </x:c>
      <x:c r="I1634" s="22" t="str">
        <x:f>"(16) 99252-8536"</x:f>
        <x:v>(16) 99252-8536</x:v>
      </x:c>
      <x:c r="J1634" s="23" t="str">
        <x:v>RENTAL</x:v>
      </x:c>
      <x:c r="K1634" s="23" t="str">
        <x:v>rental_company</x:v>
      </x:c>
      <x:c r="L1634" s="24" t="b">
        <x:v>1</x:v>
      </x:c>
      <x:c r="M1634" s="23" t="n">
        <x:v>1</x:v>
      </x:c>
      <x:c r="N1634" s="28" t="n">
        <x:v>46203.92189965278</x:v>
      </x:c>
      <x:c r="O1634" s="28" t="n">
        <x:v>46219.812988715275</x:v>
      </x:c>
      <x:c r="P1634" s="23" t="str">
        <x:v>RIBEIRAO PRETO</x:v>
      </x:c>
      <x:c r="Q1634" s="30" t="n">
        <x:v>35546</x:v>
      </x:c>
      <x:c r="R1634" s="22" t="str">
        <x:f>"5072878"</x:f>
        <x:v>5072878</x:v>
      </x:c>
      <x:c r="S1634" s="23" t="str">
        <x:v>feminino</x:v>
      </x:c>
      <x:c r="T1634" s="22" t="str"/>
      <x:c r="U1634" s="23" t="str">
        <x:v>ISABELLY OLIVIA DA SILVA MATEUS</x:v>
      </x:c>
      <x:c r="V1634" s="22" t="str">
        <x:f>"445.261.148-63"</x:f>
        <x:v>445.261.148-63</x:v>
      </x:c>
      <x:c r="W1634" s="22" t="str">
        <x:f>"44526114863"</x:f>
        <x:v>44526114863</x:v>
      </x:c>
      <x:c r="X1634" s="23" t="str">
        <x:v>Isabellyjack@hotmail.com</x:v>
      </x:c>
      <x:c r="Y1634" s="22" t="str">
        <x:f>"(16) 99252-8536"</x:f>
        <x:v>(16) 99252-8536</x:v>
      </x:c>
      <x:c r="Z1634" s="30" t="n">
        <x:v>46402</x:v>
      </x:c>
    </x:row>
    <x:row r="1635" ht="18" customHeight="1">
      <x:c r="A1635" s="22" t="str">
        <x:f>"c916cb3a-bf00-4566-bfa6-9f61c6229135"</x:f>
        <x:v>c916cb3a-bf00-4566-bfa6-9f61c6229135</x:v>
      </x:c>
      <x:c r="B1635" s="23" t="str">
        <x:v>ISAC JUNIO RIHS VIEIRA</x:v>
      </x:c>
      <x:c r="C1635" s="23" t="str">
        <x:v>isac junio rihs vieira</x:v>
      </x:c>
      <x:c r="D1635" s="22" t="str">
        <x:f>"61.035.196/0001-44"</x:f>
        <x:v>61.035.196/0001-44</x:v>
      </x:c>
      <x:c r="E1635" s="22" t="str">
        <x:f>"61035196000144"</x:f>
        <x:v>61035196000144</x:v>
      </x:c>
      <x:c r="F1635" s="22" t="str">
        <x:f>"131.920.766-90"</x:f>
        <x:v>131.920.766-90</x:v>
      </x:c>
      <x:c r="G1635" s="22" t="str">
        <x:f>"13192076690"</x:f>
        <x:v>13192076690</x:v>
      </x:c>
      <x:c r="H1635" s="23" t="str">
        <x:v>isacjunio.ijrv@gmail.com</x:v>
      </x:c>
      <x:c r="I1635" s="22" t="str">
        <x:f>"35 99191-7740"</x:f>
        <x:v>35 99191-7740</x:v>
      </x:c>
      <x:c r="J1635" s="23" t="str">
        <x:v>RENTAL</x:v>
      </x:c>
      <x:c r="K1635" s="23" t="str">
        <x:v>rental_company</x:v>
      </x:c>
      <x:c r="L1635" s="24" t="b">
        <x:v>1</x:v>
      </x:c>
      <x:c r="M1635" s="23" t="n">
        <x:v>1</x:v>
      </x:c>
      <x:c r="N1635" s="28" t="n">
        <x:v>46203.92183332176</x:v>
      </x:c>
      <x:c r="O1635" s="28" t="n">
        <x:v>46219.812988715275</x:v>
      </x:c>
      <x:c r="P1635" s="23" t="str">
        <x:v>POCOS DE CALDAS</x:v>
      </x:c>
      <x:c r="Q1635" s="30" t="n">
        <x:v>35564</x:v>
      </x:c>
      <x:c r="R1635" s="22" t="str">
        <x:f>"19476201"</x:f>
        <x:v>19476201</x:v>
      </x:c>
      <x:c r="S1635" s="23" t="str">
        <x:v>masculino</x:v>
      </x:c>
      <x:c r="T1635" s="22" t="str"/>
      <x:c r="U1635" s="23" t="str">
        <x:v>ISAC JUNIO RIHS VIEIRA</x:v>
      </x:c>
      <x:c r="V1635" s="22" t="str">
        <x:f>"131.920.766-90"</x:f>
        <x:v>131.920.766-90</x:v>
      </x:c>
      <x:c r="W1635" s="22" t="str">
        <x:f>"13192076690"</x:f>
        <x:v>13192076690</x:v>
      </x:c>
      <x:c r="X1635" s="23" t="str">
        <x:v>isacjunio.ijrv@gmail.com</x:v>
      </x:c>
      <x:c r="Y1635" s="22" t="str">
        <x:f>"35 99191-7740"</x:f>
        <x:v>35 99191-7740</x:v>
      </x:c>
      <x:c r="Z1635" s="30" t="n">
        <x:v>46533</x:v>
      </x:c>
    </x:row>
    <x:row r="1636" ht="18" customHeight="1">
      <x:c r="A1636" s="22" t="str">
        <x:f>"30666e6f-05d1-489f-ac85-be07b3e00460"</x:f>
        <x:v>30666e6f-05d1-489f-ac85-be07b3e00460</x:v>
      </x:c>
      <x:c r="B1636" s="23" t="str">
        <x:v>ISAIAS PACHECO DE SOUZA</x:v>
      </x:c>
      <x:c r="C1636" s="23" t="str">
        <x:v>isaias pacheco de souza</x:v>
      </x:c>
      <x:c r="D1636" s="22" t="str">
        <x:f>"37.117.543/0001-01"</x:f>
        <x:v>37.117.543/0001-01</x:v>
      </x:c>
      <x:c r="E1636" s="22" t="str">
        <x:f>"37117543000101"</x:f>
        <x:v>37117543000101</x:v>
      </x:c>
      <x:c r="F1636" s="22" t="str">
        <x:f>"156.234.687-30"</x:f>
        <x:v>156.234.687-30</x:v>
      </x:c>
      <x:c r="G1636" s="22" t="str">
        <x:f>"15623468730"</x:f>
        <x:v>15623468730</x:v>
      </x:c>
      <x:c r="H1636" s="23" t="str">
        <x:v>isaiasdarubis@gmail.com</x:v>
      </x:c>
      <x:c r="I1636" s="22" t="str">
        <x:f>"21986294666"</x:f>
        <x:v>21986294666</x:v>
      </x:c>
      <x:c r="J1636" s="23" t="str">
        <x:v>SPOT</x:v>
      </x:c>
      <x:c r="K1636" s="23" t="str">
        <x:v>favored_only</x:v>
      </x:c>
      <x:c r="L1636" s="24" t="b">
        <x:v>1</x:v>
      </x:c>
      <x:c r="M1636" s="23" t="n">
        <x:v>2</x:v>
      </x:c>
      <x:c r="N1636" s="28" t="n">
        <x:v>46219.812988715275</x:v>
      </x:c>
      <x:c r="O1636" s="28" t="n">
        <x:v>46219.812988715275</x:v>
      </x:c>
      <x:c r="P1636" s="23" t="str">
        <x:v>CORDOVIL</x:v>
      </x:c>
      <x:c r="Q1636" s="30" t="n">
        <x:v>34702</x:v>
      </x:c>
      <x:c r="R1636" s="22" t="str">
        <x:f>"285494688"</x:f>
        <x:v>285494688</x:v>
      </x:c>
      <x:c r="S1636" s="23" t="str">
        <x:v>masculino</x:v>
      </x:c>
      <x:c r="T1636" s="22" t="str">
        <x:f>"Lso8b35"</x:f>
        <x:v>Lso8b35</x:v>
      </x:c>
      <x:c r="U1636" s="23" t="str">
        <x:v>ISAIAS PACHECO DE SOUZA</x:v>
      </x:c>
      <x:c r="V1636" s="22" t="str">
        <x:f>"156.234.687-30"</x:f>
        <x:v>156.234.687-30</x:v>
      </x:c>
      <x:c r="W1636" s="22" t="str">
        <x:f>"15623468730"</x:f>
        <x:v>15623468730</x:v>
      </x:c>
      <x:c r="X1636" s="23" t="str">
        <x:v>isaiasdarubis@gmail.com</x:v>
      </x:c>
      <x:c r="Y1636" s="22" t="str">
        <x:f>"21986294666"</x:f>
        <x:v>21986294666</x:v>
      </x:c>
      <x:c r="Z1636" s="30" t="n">
        <x:v>46512</x:v>
      </x:c>
    </x:row>
    <x:row r="1637" ht="18" customHeight="1">
      <x:c r="A1637" s="22" t="str">
        <x:f>"bdd17d08-b4aa-4ff5-b2aa-19c7cc397d66"</x:f>
        <x:v>bdd17d08-b4aa-4ff5-b2aa-19c7cc397d66</x:v>
      </x:c>
      <x:c r="B1637" s="23" t="str">
        <x:v>ISAIAS PACHECO DE SOUZA</x:v>
      </x:c>
      <x:c r="C1637" s="23" t="str">
        <x:v>isaias pacheco de souza</x:v>
      </x:c>
      <x:c r="D1637" s="22" t="str">
        <x:f>"66.730.829/0001-58"</x:f>
        <x:v>66.730.829/0001-58</x:v>
      </x:c>
      <x:c r="E1637" s="22" t="str">
        <x:f>"66730829000158"</x:f>
        <x:v>66730829000158</x:v>
      </x:c>
      <x:c r="F1637" s="22" t="str">
        <x:f>"156.234.687-30"</x:f>
        <x:v>156.234.687-30</x:v>
      </x:c>
      <x:c r="G1637" s="22" t="str">
        <x:f>"15623468730"</x:f>
        <x:v>15623468730</x:v>
      </x:c>
      <x:c r="H1637" s="23" t="str">
        <x:v>isaiasdarubis@gmail.com</x:v>
      </x:c>
      <x:c r="I1637" s="22" t="str">
        <x:f>"21986294666"</x:f>
        <x:v>21986294666</x:v>
      </x:c>
      <x:c r="J1637" s="23" t="str">
        <x:v>spot</x:v>
      </x:c>
      <x:c r="K1637" s="23" t="str">
        <x:v>favored_only</x:v>
      </x:c>
      <x:c r="L1637" s="24" t="b">
        <x:v>1</x:v>
      </x:c>
      <x:c r="M1637" s="23" t="n">
        <x:v>1</x:v>
      </x:c>
      <x:c r="N1637" s="28" t="n">
        <x:v>46219.812988715275</x:v>
      </x:c>
      <x:c r="O1637" s="28" t="n">
        <x:v>46219.812988715275</x:v>
      </x:c>
      <x:c r="P1637" s="23" t="str">
        <x:v>SÃO JOAO DE MERITI</x:v>
      </x:c>
      <x:c r="Q1637" s="30" t="n">
        <x:v>34702</x:v>
      </x:c>
      <x:c r="R1637" s="22" t="str">
        <x:f>"285494688"</x:f>
        <x:v>285494688</x:v>
      </x:c>
      <x:c r="S1637" s="23" t="str">
        <x:v>masculino</x:v>
      </x:c>
      <x:c r="T1637" s="22" t="str">
        <x:f>"Lso8b35"</x:f>
        <x:v>Lso8b35</x:v>
      </x:c>
      <x:c r="U1637" s="23" t="str">
        <x:v>ISAIAS PACHECO DE SOUZA</x:v>
      </x:c>
      <x:c r="V1637" s="22" t="str">
        <x:f>"156.234.687-30"</x:f>
        <x:v>156.234.687-30</x:v>
      </x:c>
      <x:c r="W1637" s="22" t="str">
        <x:f>"15623468730"</x:f>
        <x:v>15623468730</x:v>
      </x:c>
      <x:c r="X1637" s="23" t="str">
        <x:v>isaiasdarubis@gmail.com</x:v>
      </x:c>
      <x:c r="Y1637" s="22" t="str">
        <x:f>"21986294666"</x:f>
        <x:v>21986294666</x:v>
      </x:c>
      <x:c r="Z1637" s="30" t="n">
        <x:v>46519</x:v>
      </x:c>
    </x:row>
    <x:row r="1638" ht="18" customHeight="1">
      <x:c r="A1638" s="22" t="str">
        <x:f>"8d2b1046-47f6-45eb-a99c-40e19af23731"</x:f>
        <x:v>8d2b1046-47f6-45eb-a99c-40e19af23731</x:v>
      </x:c>
      <x:c r="B1638" s="23" t="str">
        <x:v>ISAQUE DANIEL FEDRIGO</x:v>
      </x:c>
      <x:c r="C1638" s="23" t="str">
        <x:v>isaque daniel fedrigo</x:v>
      </x:c>
      <x:c r="D1638" s="22" t="str">
        <x:f>"65.855.671/0001-80"</x:f>
        <x:v>65.855.671/0001-80</x:v>
      </x:c>
      <x:c r="E1638" s="22" t="str">
        <x:f>"65855671000180"</x:f>
        <x:v>65855671000180</x:v>
      </x:c>
      <x:c r="F1638" s="22" t="str">
        <x:f>"244.577.268-00"</x:f>
        <x:v>244.577.268-00</x:v>
      </x:c>
      <x:c r="G1638" s="22" t="str">
        <x:f>"24457726800"</x:f>
        <x:v>24457726800</x:v>
      </x:c>
      <x:c r="H1638" s="23" t="str">
        <x:v>isaquedanielfedrigo49@gmail.com</x:v>
      </x:c>
      <x:c r="I1638" s="22" t="str">
        <x:f>"16993099327"</x:f>
        <x:v>16993099327</x:v>
      </x:c>
      <x:c r="J1638" s="23" t="str">
        <x:v>RENTAL</x:v>
      </x:c>
      <x:c r="K1638" s="23" t="str">
        <x:v>rental_company</x:v>
      </x:c>
      <x:c r="L1638" s="24" t="b">
        <x:v>1</x:v>
      </x:c>
      <x:c r="M1638" s="23" t="n">
        <x:v>1</x:v>
      </x:c>
      <x:c r="N1638" s="28" t="n">
        <x:v>46219.812988715275</x:v>
      </x:c>
      <x:c r="O1638" s="28" t="n">
        <x:v>46219.812988715275</x:v>
      </x:c>
      <x:c r="P1638" s="23" t="str">
        <x:v>RIBEIRAO PRETO</x:v>
      </x:c>
      <x:c r="Q1638" s="30" t="n">
        <x:v>37424</x:v>
      </x:c>
      <x:c r="R1638" s="22" t="str">
        <x:f>"55712797-x"</x:f>
        <x:v>55712797-x</x:v>
      </x:c>
      <x:c r="S1638" s="23" t="str">
        <x:v>masculino</x:v>
      </x:c>
      <x:c r="T1638" s="22" t="str"/>
      <x:c r="U1638" s="23" t="str">
        <x:v>ISAQUE DANIEL FEDRIGO</x:v>
      </x:c>
      <x:c r="V1638" s="22" t="str">
        <x:f>"244.577.268-00"</x:f>
        <x:v>244.577.268-00</x:v>
      </x:c>
      <x:c r="W1638" s="22" t="str">
        <x:f>"24457726800"</x:f>
        <x:v>24457726800</x:v>
      </x:c>
      <x:c r="X1638" s="23" t="str">
        <x:v>isaquedanielfedrigo49@gmail.com</x:v>
      </x:c>
      <x:c r="Y1638" s="22" t="str">
        <x:f>"16993099327"</x:f>
        <x:v>16993099327</x:v>
      </x:c>
      <x:c r="Z1638" s="30" t="n">
        <x:v>46471</x:v>
      </x:c>
    </x:row>
    <x:row r="1639" ht="18" customHeight="1">
      <x:c r="A1639" s="22" t="str">
        <x:f>"9ae633a7-d716-42bd-827b-6fd371aa69b9"</x:f>
        <x:v>9ae633a7-d716-42bd-827b-6fd371aa69b9</x:v>
      </x:c>
      <x:c r="B1639" s="23" t="str">
        <x:v>ISMA BRAZ PANDOLF</x:v>
      </x:c>
      <x:c r="C1639" s="23" t="str">
        <x:v>isma braz pandolf</x:v>
      </x:c>
      <x:c r="D1639" s="22" t="str">
        <x:f>"55.783.923/0001-59"</x:f>
        <x:v>55.783.923/0001-59</x:v>
      </x:c>
      <x:c r="E1639" s="22" t="str">
        <x:f>"55783923000159"</x:f>
        <x:v>55783923000159</x:v>
      </x:c>
      <x:c r="F1639" s="22" t="str">
        <x:f>"071.772.888-99"</x:f>
        <x:v>071.772.888-99</x:v>
      </x:c>
      <x:c r="G1639" s="22" t="str">
        <x:f>"07177288899"</x:f>
        <x:v>07177288899</x:v>
      </x:c>
      <x:c r="H1639" s="23" t="str">
        <x:v>ismarbraz373@gmail.com</x:v>
      </x:c>
      <x:c r="I1639" s="22" t="str">
        <x:f>"65981695365"</x:f>
        <x:v>65981695365</x:v>
      </x:c>
      <x:c r="J1639" s="23" t="str">
        <x:v>SPOT</x:v>
      </x:c>
      <x:c r="K1639" s="23" t="str">
        <x:v>favored_only</x:v>
      </x:c>
      <x:c r="L1639" s="24" t="b">
        <x:v>1</x:v>
      </x:c>
      <x:c r="M1639" s="23" t="n">
        <x:v>1</x:v>
      </x:c>
      <x:c r="N1639" s="28" t="n">
        <x:v>46205.60716878472</x:v>
      </x:c>
      <x:c r="O1639" s="28" t="n">
        <x:v>46219.812988715275</x:v>
      </x:c>
      <x:c r="P1639" s="23" t="str">
        <x:v>CÁCERES</x:v>
      </x:c>
      <x:c r="Q1639" s="30" t="n">
        <x:v>24507</x:v>
      </x:c>
      <x:c r="R1639" s="22" t="str">
        <x:f>"19790385"</x:f>
        <x:v>19790385</x:v>
      </x:c>
      <x:c r="S1639" s="23" t="str">
        <x:v>masculino</x:v>
      </x:c>
      <x:c r="T1639" s="22" t="str">
        <x:f>"AXR7H35"</x:f>
        <x:v>AXR7H35</x:v>
      </x:c>
      <x:c r="U1639" s="23" t="str">
        <x:v>CAIQUE HENRIQUE DA CRUZ</x:v>
      </x:c>
      <x:c r="V1639" s="22" t="str">
        <x:f>"058.062.901-58"</x:f>
        <x:v>058.062.901-58</x:v>
      </x:c>
      <x:c r="W1639" s="22" t="str">
        <x:f>"05806290158"</x:f>
        <x:v>05806290158</x:v>
      </x:c>
      <x:c r="X1639" s="23" t="str">
        <x:v>caiquehenrique112@gmail.com</x:v>
      </x:c>
      <x:c r="Y1639" s="22" t="str">
        <x:f>"65981695365"</x:f>
        <x:v>65981695365</x:v>
      </x:c>
      <x:c r="Z1639" s="30" t="n">
        <x:v>46401</x:v>
      </x:c>
    </x:row>
    <x:row r="1640" ht="18" customHeight="1">
      <x:c r="A1640" s="22" t="str">
        <x:f>"7f427ee8-0edf-40b5-9713-2fec7bd29395"</x:f>
        <x:v>7f427ee8-0edf-40b5-9713-2fec7bd29395</x:v>
      </x:c>
      <x:c r="B1640" s="23" t="str">
        <x:v>ISMAEL DE SOUZA SOARES</x:v>
      </x:c>
      <x:c r="C1640" s="23" t="str">
        <x:v>ismael de souza soares</x:v>
      </x:c>
      <x:c r="D1640" s="22" t="str">
        <x:f>"62.281.817/0001-32"</x:f>
        <x:v>62.281.817/0001-32</x:v>
      </x:c>
      <x:c r="E1640" s="22" t="str">
        <x:f>"62281817000132"</x:f>
        <x:v>62281817000132</x:v>
      </x:c>
      <x:c r="F1640" s="22" t="str">
        <x:f>"359.856.438-40"</x:f>
        <x:v>359.856.438-40</x:v>
      </x:c>
      <x:c r="G1640" s="22" t="str">
        <x:f>"35985643840"</x:f>
        <x:v>35985643840</x:v>
      </x:c>
      <x:c r="H1640" s="23" t="str">
        <x:v>ismaelsouzasoares32@gmail.com</x:v>
      </x:c>
      <x:c r="I1640" s="22" t="str">
        <x:f>"16 99326-3100"</x:f>
        <x:v>16 99326-3100</x:v>
      </x:c>
      <x:c r="J1640" s="23" t="str">
        <x:v>RENTAL</x:v>
      </x:c>
      <x:c r="K1640" s="23" t="str">
        <x:v>rental_company</x:v>
      </x:c>
      <x:c r="L1640" s="24" t="b">
        <x:v>1</x:v>
      </x:c>
      <x:c r="M1640" s="23" t="n">
        <x:v>1</x:v>
      </x:c>
      <x:c r="N1640" s="28" t="n">
        <x:v>46203.921852962965</x:v>
      </x:c>
      <x:c r="O1640" s="28" t="n">
        <x:v>46219.812988715275</x:v>
      </x:c>
      <x:c r="P1640" s="23" t="str">
        <x:v>RIBEIRAO PRETO</x:v>
      </x:c>
      <x:c r="Q1640" s="30" t="n">
        <x:v>31609</x:v>
      </x:c>
      <x:c r="R1640" s="22" t="str">
        <x:f>"46047895"</x:f>
        <x:v>46047895</x:v>
      </x:c>
      <x:c r="S1640" s="23" t="str">
        <x:v>masculino</x:v>
      </x:c>
      <x:c r="T1640" s="22" t="str"/>
      <x:c r="U1640" s="23" t="str">
        <x:v>ISMAEL DE SOUZA SOARES</x:v>
      </x:c>
      <x:c r="V1640" s="22" t="str">
        <x:f>"359.856.438-40"</x:f>
        <x:v>359.856.438-40</x:v>
      </x:c>
      <x:c r="W1640" s="22" t="str">
        <x:f>"35985643840"</x:f>
        <x:v>35985643840</x:v>
      </x:c>
      <x:c r="X1640" s="23" t="str">
        <x:v>ismaelsouzasoares32@gmail.com</x:v>
      </x:c>
      <x:c r="Y1640" s="22" t="str">
        <x:f>"16 99326-3100"</x:f>
        <x:v>16 99326-3100</x:v>
      </x:c>
      <x:c r="Z1640" s="30" t="n">
        <x:v>46246</x:v>
      </x:c>
    </x:row>
    <x:row r="1641" ht="18" customHeight="1">
      <x:c r="A1641" s="22" t="str">
        <x:f>"0a44cd03-0768-446a-a13e-3036309c62b1"</x:f>
        <x:v>0a44cd03-0768-446a-a13e-3036309c62b1</x:v>
      </x:c>
      <x:c r="B1641" s="23" t="str">
        <x:v>ISMAEL JOSE BATISTA CALDERARO</x:v>
      </x:c>
      <x:c r="C1641" s="23" t="str">
        <x:v>ismael jose batista calderaro</x:v>
      </x:c>
      <x:c r="D1641" s="22" t="str">
        <x:f>"61.117.757/0001-54"</x:f>
        <x:v>61.117.757/0001-54</x:v>
      </x:c>
      <x:c r="E1641" s="22" t="str">
        <x:f>"61117757000154"</x:f>
        <x:v>61117757000154</x:v>
      </x:c>
      <x:c r="F1641" s="22" t="str">
        <x:f>"122.447.998-08"</x:f>
        <x:v>122.447.998-08</x:v>
      </x:c>
      <x:c r="G1641" s="22" t="str">
        <x:f>"12244799808"</x:f>
        <x:v>12244799808</x:v>
      </x:c>
      <x:c r="H1641" s="23" t="str">
        <x:v>Ijbcalderaro@gmail.com</x:v>
      </x:c>
      <x:c r="I1641" s="22" t="str">
        <x:f>"17 98132-1071"</x:f>
        <x:v>17 98132-1071</x:v>
      </x:c>
      <x:c r="J1641" s="23" t="str">
        <x:v>SPOT</x:v>
      </x:c>
      <x:c r="K1641" s="23" t="str">
        <x:v>favored_only</x:v>
      </x:c>
      <x:c r="L1641" s="24" t="b">
        <x:v>1</x:v>
      </x:c>
      <x:c r="M1641" s="23" t="n">
        <x:v>1</x:v>
      </x:c>
      <x:c r="N1641" s="28" t="n">
        <x:v>46205.60302199074</x:v>
      </x:c>
      <x:c r="O1641" s="28" t="n">
        <x:v>46219.812988715275</x:v>
      </x:c>
      <x:c r="P1641" s="23" t="str">
        <x:v>BARRETOS</x:v>
      </x:c>
      <x:c r="Q1641" s="30" t="n">
        <x:v>26709</x:v>
      </x:c>
      <x:c r="R1641" s="22" t="str">
        <x:f>"22239894"</x:f>
        <x:v>22239894</x:v>
      </x:c>
      <x:c r="S1641" s="23" t="str">
        <x:v>masculino</x:v>
      </x:c>
      <x:c r="T1641" s="22" t="str">
        <x:f>"EDI3J56"</x:f>
        <x:v>EDI3J56</x:v>
      </x:c>
      <x:c r="U1641" s="23" t="str">
        <x:v>PEDRO LUCAS CALDERARO</x:v>
      </x:c>
      <x:c r="V1641" s="22" t="str">
        <x:f>"512.733.898-08"</x:f>
        <x:v>512.733.898-08</x:v>
      </x:c>
      <x:c r="W1641" s="22" t="str">
        <x:f>"51273389808"</x:f>
        <x:v>51273389808</x:v>
      </x:c>
      <x:c r="X1641" s="23" t="str">
        <x:v>pedrolucascalderaro86@gmail.com</x:v>
      </x:c>
      <x:c r="Y1641" s="22" t="str">
        <x:f>"17981321071"</x:f>
        <x:v>17981321071</x:v>
      </x:c>
      <x:c r="Z1641" s="30" t="n">
        <x:v>46357</x:v>
      </x:c>
    </x:row>
    <x:row r="1642" ht="18" customHeight="1">
      <x:c r="A1642" s="22" t="str">
        <x:f>"297844a5-2188-4e34-8580-6dc35a3abf46"</x:f>
        <x:v>297844a5-2188-4e34-8580-6dc35a3abf46</x:v>
      </x:c>
      <x:c r="B1642" s="23" t="str">
        <x:v>ISRAEL ANGELINO LIMA DE OLIVEIRA</x:v>
      </x:c>
      <x:c r="C1642" s="23" t="str">
        <x:v>israel angelino lima de oliveira</x:v>
      </x:c>
      <x:c r="D1642" s="22" t="str">
        <x:f>"59.297.625/0001-00"</x:f>
        <x:v>59.297.625/0001-00</x:v>
      </x:c>
      <x:c r="E1642" s="22" t="str">
        <x:f>"59297625000100"</x:f>
        <x:v>59297625000100</x:v>
      </x:c>
      <x:c r="F1642" s="22" t="str">
        <x:f>"462.387.368-44"</x:f>
        <x:v>462.387.368-44</x:v>
      </x:c>
      <x:c r="G1642" s="22" t="str">
        <x:f>"46238736844"</x:f>
        <x:v>46238736844</x:v>
      </x:c>
      <x:c r="H1642" s="23" t="str">
        <x:v>israellima983@gmail.com</x:v>
      </x:c>
      <x:c r="I1642" s="22" t="str">
        <x:f>"11994651283CNH"</x:f>
        <x:v>11994651283CNH</x:v>
      </x:c>
      <x:c r="J1642" s="23" t="str">
        <x:v>DESCONHECIDO</x:v>
      </x:c>
      <x:c r="K1642" s="23" t="str">
        <x:v>favored_only</x:v>
      </x:c>
      <x:c r="L1642" s="24" t="b">
        <x:v>1</x:v>
      </x:c>
      <x:c r="M1642" s="23" t="n">
        <x:v>1</x:v>
      </x:c>
      <x:c r="N1642" s="28" t="n">
        <x:v>46219.812988715275</x:v>
      </x:c>
      <x:c r="O1642" s="28" t="n">
        <x:v>46219.812988715275</x:v>
      </x:c>
      <x:c r="P1642" s="23" t="str">
        <x:v>BARUERI</x:v>
      </x:c>
      <x:c r="Q1642" s="30" t="str"/>
      <x:c r="R1642" s="22" t="str"/>
      <x:c r="S1642" s="23" t="str">
        <x:v>masculino</x:v>
      </x:c>
      <x:c r="T1642" s="22" t="str"/>
      <x:c r="U1642" s="23" t="str">
        <x:v>ISRAEL ANGELINO LIMA DE OLIVEIRA</x:v>
      </x:c>
      <x:c r="V1642" s="22" t="str">
        <x:f>"462.387.368-44"</x:f>
        <x:v>462.387.368-44</x:v>
      </x:c>
      <x:c r="W1642" s="22" t="str">
        <x:f>"46238736844"</x:f>
        <x:v>46238736844</x:v>
      </x:c>
      <x:c r="X1642" s="23" t="str">
        <x:v>israellima983@gmail.com</x:v>
      </x:c>
      <x:c r="Y1642" s="22" t="str">
        <x:f>"11994651283CNH"</x:f>
        <x:v>11994651283CNH</x:v>
      </x:c>
      <x:c r="Z1642" s="30" t="n">
        <x:v>46578</x:v>
      </x:c>
    </x:row>
    <x:row r="1643" ht="18" customHeight="1">
      <x:c r="A1643" s="22" t="str">
        <x:f>"20b42bbb-d775-4273-a28f-d67133447ea4"</x:f>
        <x:v>20b42bbb-d775-4273-a28f-d67133447ea4</x:v>
      </x:c>
      <x:c r="B1643" s="23" t="str">
        <x:v>ISRAEL DA SILVA OLIVEIRA</x:v>
      </x:c>
      <x:c r="C1643" s="23" t="str">
        <x:v>israel da silva oliveira</x:v>
      </x:c>
      <x:c r="D1643" s="22" t="str">
        <x:f>"38.123.197/0001-29"</x:f>
        <x:v>38.123.197/0001-29</x:v>
      </x:c>
      <x:c r="E1643" s="22" t="str">
        <x:f>"38123197000129"</x:f>
        <x:v>38123197000129</x:v>
      </x:c>
      <x:c r="F1643" s="22" t="str">
        <x:f>"137.550.817-25"</x:f>
        <x:v>137.550.817-25</x:v>
      </x:c>
      <x:c r="G1643" s="22" t="str">
        <x:f>"13755081725"</x:f>
        <x:v>13755081725</x:v>
      </x:c>
      <x:c r="H1643" s="23" t="str">
        <x:v>raelsilva009@gmail.com</x:v>
      </x:c>
      <x:c r="I1643" s="22" t="str">
        <x:f>"21994128634"</x:f>
        <x:v>21994128634</x:v>
      </x:c>
      <x:c r="J1643" s="23" t="str">
        <x:v>RENTAL</x:v>
      </x:c>
      <x:c r="K1643" s="23" t="str">
        <x:v>rental_company</x:v>
      </x:c>
      <x:c r="L1643" s="24" t="b">
        <x:v>1</x:v>
      </x:c>
      <x:c r="M1643" s="23" t="n">
        <x:v>1</x:v>
      </x:c>
      <x:c r="N1643" s="28" t="n">
        <x:v>46203.92188238426</x:v>
      </x:c>
      <x:c r="O1643" s="28" t="n">
        <x:v>46219.812988715275</x:v>
      </x:c>
      <x:c r="P1643" s="23" t="str">
        <x:v>QUEIMADOS</x:v>
      </x:c>
      <x:c r="Q1643" s="30" t="n">
        <x:v>33734</x:v>
      </x:c>
      <x:c r="R1643" s="22" t="str">
        <x:f>"233027739"</x:f>
        <x:v>233027739</x:v>
      </x:c>
      <x:c r="S1643" s="23" t="str">
        <x:v>masculino</x:v>
      </x:c>
      <x:c r="T1643" s="22" t="str">
        <x:f>"KZD9358"</x:f>
        <x:v>KZD9358</x:v>
      </x:c>
      <x:c r="U1643" s="23" t="str">
        <x:v>ISRAEL DA SILVA OLIVEIRA</x:v>
      </x:c>
      <x:c r="V1643" s="22" t="str">
        <x:f>"137.550.817-25"</x:f>
        <x:v>137.550.817-25</x:v>
      </x:c>
      <x:c r="W1643" s="22" t="str">
        <x:f>"13755081725"</x:f>
        <x:v>13755081725</x:v>
      </x:c>
      <x:c r="X1643" s="23" t="str">
        <x:v>raelsilva009@gmail.com</x:v>
      </x:c>
      <x:c r="Y1643" s="22" t="str">
        <x:f>"21994128634"</x:f>
        <x:v>21994128634</x:v>
      </x:c>
      <x:c r="Z1643" s="30" t="n">
        <x:v>46316</x:v>
      </x:c>
    </x:row>
    <x:row r="1644" ht="18" customHeight="1">
      <x:c r="A1644" s="22" t="str">
        <x:f>"e1b84e3e-5f87-4863-a1c2-ce1916d851fc"</x:f>
        <x:v>e1b84e3e-5f87-4863-a1c2-ce1916d851fc</x:v>
      </x:c>
      <x:c r="B1644" s="23" t="str">
        <x:v>ISRAEL ELIEZER SCHIRMER DE OLIVEIRA</x:v>
      </x:c>
      <x:c r="C1644" s="23" t="str">
        <x:v>israel eliezer schirmer de oliveira</x:v>
      </x:c>
      <x:c r="D1644" s="22" t="str">
        <x:f>"52.742.261/0001-80"</x:f>
        <x:v>52.742.261/0001-80</x:v>
      </x:c>
      <x:c r="E1644" s="22" t="str">
        <x:f>"52742261000180"</x:f>
        <x:v>52742261000180</x:v>
      </x:c>
      <x:c r="F1644" s="22" t="str">
        <x:f>"075.940.596-46"</x:f>
        <x:v>075.940.596-46</x:v>
      </x:c>
      <x:c r="G1644" s="22" t="str">
        <x:f>"07594059646"</x:f>
        <x:v>07594059646</x:v>
      </x:c>
      <x:c r="H1644" s="23" t="str">
        <x:v>israel.eliezer@yahoo.com.br</x:v>
      </x:c>
      <x:c r="I1644" s="22" t="str">
        <x:f>"31996984525"</x:f>
        <x:v>31996984525</x:v>
      </x:c>
      <x:c r="J1644" s="23" t="str">
        <x:v>SPOT</x:v>
      </x:c>
      <x:c r="K1644" s="23" t="str">
        <x:v>favored_only</x:v>
      </x:c>
      <x:c r="L1644" s="24" t="b">
        <x:v>1</x:v>
      </x:c>
      <x:c r="M1644" s="23" t="n">
        <x:v>1</x:v>
      </x:c>
      <x:c r="N1644" s="28" t="n">
        <x:v>46203.92183332176</x:v>
      </x:c>
      <x:c r="O1644" s="28" t="n">
        <x:v>46219.812988715275</x:v>
      </x:c>
      <x:c r="P1644" s="23" t="str">
        <x:v>CONTAGEM</x:v>
      </x:c>
      <x:c r="Q1644" s="30" t="n">
        <x:v>31147</x:v>
      </x:c>
      <x:c r="R1644" s="22" t="str">
        <x:f>"14218863"</x:f>
        <x:v>14218863</x:v>
      </x:c>
      <x:c r="S1644" s="23" t="str">
        <x:v>masculino</x:v>
      </x:c>
      <x:c r="T1644" s="22" t="str">
        <x:f>"OWZ0E96"</x:f>
        <x:v>OWZ0E96</x:v>
      </x:c>
      <x:c r="U1644" s="23" t="str">
        <x:v>ISRAEL ELIEZER SCHIRMER DE OLIVEIRA</x:v>
      </x:c>
      <x:c r="V1644" s="22" t="str">
        <x:f>"075.940.596-46"</x:f>
        <x:v>075.940.596-46</x:v>
      </x:c>
      <x:c r="W1644" s="22" t="str">
        <x:f>"07594059646"</x:f>
        <x:v>07594059646</x:v>
      </x:c>
      <x:c r="X1644" s="23" t="str">
        <x:v>israel.eliezer@yahoo.com.br</x:v>
      </x:c>
      <x:c r="Y1644" s="22" t="str">
        <x:f>"31996984525"</x:f>
        <x:v>31996984525</x:v>
      </x:c>
      <x:c r="Z1644" s="30" t="n">
        <x:v>46571</x:v>
      </x:c>
    </x:row>
    <x:row r="1645" ht="18" customHeight="1">
      <x:c r="A1645" s="22" t="str">
        <x:f>"8b50a6ee-df0b-4402-9e7e-e7206bd318af"</x:f>
        <x:v>8b50a6ee-df0b-4402-9e7e-e7206bd318af</x:v>
      </x:c>
      <x:c r="B1645" s="23" t="str">
        <x:v>ISRAEL FELIPE TABOR SILVA DE SANTANA</x:v>
      </x:c>
      <x:c r="C1645" s="23" t="str">
        <x:v>israel felipe tabor silva de santana</x:v>
      </x:c>
      <x:c r="D1645" s="22" t="str">
        <x:f>"22.966.635/0001-80"</x:f>
        <x:v>22.966.635/0001-80</x:v>
      </x:c>
      <x:c r="E1645" s="22" t="str">
        <x:f>"22966635000180"</x:f>
        <x:v>22966635000180</x:v>
      </x:c>
      <x:c r="F1645" s="22" t="str">
        <x:f>"484.886.548-47"</x:f>
        <x:v>484.886.548-47</x:v>
      </x:c>
      <x:c r="G1645" s="22" t="str">
        <x:f>"48488654847"</x:f>
        <x:v>48488654847</x:v>
      </x:c>
      <x:c r="H1645" s="23" t="str">
        <x:v>felipesilvamv2098@gmail.com</x:v>
      </x:c>
      <x:c r="I1645" s="22" t="str">
        <x:f>"11971669500"</x:f>
        <x:v>11971669500</x:v>
      </x:c>
      <x:c r="J1645" s="23" t="str">
        <x:v>SPOT</x:v>
      </x:c>
      <x:c r="K1645" s="23" t="str">
        <x:v>favored_only</x:v>
      </x:c>
      <x:c r="L1645" s="24" t="b">
        <x:v>1</x:v>
      </x:c>
      <x:c r="M1645" s="23" t="n">
        <x:v>1</x:v>
      </x:c>
      <x:c r="N1645" s="28" t="n">
        <x:v>46219.812988715275</x:v>
      </x:c>
      <x:c r="O1645" s="28" t="n">
        <x:v>46219.812988715275</x:v>
      </x:c>
      <x:c r="P1645" s="23" t="str">
        <x:v>RIBEIRAO PRETO</x:v>
      </x:c>
      <x:c r="Q1645" s="30" t="n">
        <x:v>36139</x:v>
      </x:c>
      <x:c r="R1645" s="22" t="str">
        <x:f>"37748577-9"</x:f>
        <x:v>37748577-9</x:v>
      </x:c>
      <x:c r="S1645" s="23" t="str">
        <x:v>masculino</x:v>
      </x:c>
      <x:c r="T1645" s="22" t="str">
        <x:f>"AYU4G56"</x:f>
        <x:v>AYU4G56</x:v>
      </x:c>
      <x:c r="U1645" s="23" t="str">
        <x:v>EVANDRO LUIZ DA SILVA</x:v>
      </x:c>
      <x:c r="V1645" s="22" t="str">
        <x:f>"335.194.878-61"</x:f>
        <x:v>335.194.878-61</x:v>
      </x:c>
      <x:c r="W1645" s="22" t="str">
        <x:f>"33519487861"</x:f>
        <x:v>33519487861</x:v>
      </x:c>
      <x:c r="X1645" s="23" t="str">
        <x:v>felipesilvamv2098@gmail.com</x:v>
      </x:c>
      <x:c r="Y1645" s="22" t="str">
        <x:f>"11971669500"</x:f>
        <x:v>11971669500</x:v>
      </x:c>
      <x:c r="Z1645" s="30" t="n">
        <x:v>46582</x:v>
      </x:c>
    </x:row>
    <x:row r="1646" ht="18" customHeight="1">
      <x:c r="A1646" s="22" t="str">
        <x:f>"f02ae560-5ecd-4ce5-8b12-737a93ca162f"</x:f>
        <x:v>f02ae560-5ecd-4ce5-8b12-737a93ca162f</x:v>
      </x:c>
      <x:c r="B1646" s="23" t="str">
        <x:v>ITALO ANDRE BARBOSA CUSTODIO</x:v>
      </x:c>
      <x:c r="C1646" s="23" t="str">
        <x:v>italo andre barbosa custodio</x:v>
      </x:c>
      <x:c r="D1646" s="22" t="str">
        <x:f>"60.872.191/0001-03"</x:f>
        <x:v>60.872.191/0001-03</x:v>
      </x:c>
      <x:c r="E1646" s="22" t="str">
        <x:f>"60872191000103"</x:f>
        <x:v>60872191000103</x:v>
      </x:c>
      <x:c r="F1646" s="22" t="str">
        <x:f>"093.313.296-44"</x:f>
        <x:v>093.313.296-44</x:v>
      </x:c>
      <x:c r="G1646" s="22" t="str">
        <x:f>"09331329644"</x:f>
        <x:v>09331329644</x:v>
      </x:c>
      <x:c r="H1646" s="23" t="str">
        <x:v>italoandre930@gmail.com</x:v>
      </x:c>
      <x:c r="I1646" s="22" t="str">
        <x:f>"31972089188"</x:f>
        <x:v>31972089188</x:v>
      </x:c>
      <x:c r="J1646" s="23" t="str">
        <x:v>SPOT</x:v>
      </x:c>
      <x:c r="K1646" s="23" t="str">
        <x:v>favored_only</x:v>
      </x:c>
      <x:c r="L1646" s="24" t="b">
        <x:v>1</x:v>
      </x:c>
      <x:c r="M1646" s="23" t="n">
        <x:v>1</x:v>
      </x:c>
      <x:c r="N1646" s="28" t="n">
        <x:v>46203.921858726855</x:v>
      </x:c>
      <x:c r="O1646" s="28" t="n">
        <x:v>46219.812988715275</x:v>
      </x:c>
      <x:c r="P1646" s="23" t="str">
        <x:v>CONTAGEM</x:v>
      </x:c>
      <x:c r="Q1646" s="30" t="n">
        <x:v>34944</x:v>
      </x:c>
      <x:c r="R1646" s="22" t="str">
        <x:f>"18343161"</x:f>
        <x:v>18343161</x:v>
      </x:c>
      <x:c r="S1646" s="23" t="str">
        <x:v>masculino</x:v>
      </x:c>
      <x:c r="T1646" s="22" t="str">
        <x:f>"RND1G08"</x:f>
        <x:v>RND1G08</x:v>
      </x:c>
      <x:c r="U1646" s="23" t="str">
        <x:v>ITALO ANDRE BARBOSA CUSTODIO</x:v>
      </x:c>
      <x:c r="V1646" s="22" t="str">
        <x:f>"093.313.296-44"</x:f>
        <x:v>093.313.296-44</x:v>
      </x:c>
      <x:c r="W1646" s="22" t="str">
        <x:f>"09331329644"</x:f>
        <x:v>09331329644</x:v>
      </x:c>
      <x:c r="X1646" s="23" t="str">
        <x:v>italoandre930@gmail.com</x:v>
      </x:c>
      <x:c r="Y1646" s="22" t="str">
        <x:f>"31972089188"</x:f>
        <x:v>31972089188</x:v>
      </x:c>
      <x:c r="Z1646" s="30" t="n">
        <x:v>46263</x:v>
      </x:c>
    </x:row>
    <x:row r="1647" ht="18" customHeight="1">
      <x:c r="A1647" s="22" t="str">
        <x:f>"55ff96a8-f214-4c3f-a2b7-549a99963f3c"</x:f>
        <x:v>55ff96a8-f214-4c3f-a2b7-549a99963f3c</x:v>
      </x:c>
      <x:c r="B1647" s="23" t="str">
        <x:v>ITALO DIAS NOGUEIRA</x:v>
      </x:c>
      <x:c r="C1647" s="23" t="str">
        <x:v>italo dias nogueira</x:v>
      </x:c>
      <x:c r="D1647" s="22" t="str">
        <x:f>"62.752.244/0001-88"</x:f>
        <x:v>62.752.244/0001-88</x:v>
      </x:c>
      <x:c r="E1647" s="22" t="str">
        <x:f>"62752244000188"</x:f>
        <x:v>62752244000188</x:v>
      </x:c>
      <x:c r="F1647" s="22" t="str">
        <x:f>"139.761.966-06"</x:f>
        <x:v>139.761.966-06</x:v>
      </x:c>
      <x:c r="G1647" s="22" t="str">
        <x:f>"13976196606"</x:f>
        <x:v>13976196606</x:v>
      </x:c>
      <x:c r="H1647" s="23" t="str">
        <x:v>italodias087@gmail.com</x:v>
      </x:c>
      <x:c r="I1647" s="22" t="str">
        <x:f>"034993201620"</x:f>
        <x:v>034993201620</x:v>
      </x:c>
      <x:c r="J1647" s="23" t="str">
        <x:v>SPOT</x:v>
      </x:c>
      <x:c r="K1647" s="23" t="str">
        <x:v>favored_only</x:v>
      </x:c>
      <x:c r="L1647" s="24" t="b">
        <x:v>1</x:v>
      </x:c>
      <x:c r="M1647" s="23" t="n">
        <x:v>1</x:v>
      </x:c>
      <x:c r="N1647" s="28" t="n">
        <x:v>46203.92186462963</x:v>
      </x:c>
      <x:c r="O1647" s="28" t="n">
        <x:v>46219.812988715275</x:v>
      </x:c>
      <x:c r="P1647" s="23" t="str">
        <x:v>ARAXÁ</x:v>
      </x:c>
      <x:c r="Q1647" s="30" t="n">
        <x:v>36598</x:v>
      </x:c>
      <x:c r="R1647" s="22" t="str">
        <x:f>"20965821"</x:f>
        <x:v>20965821</x:v>
      </x:c>
      <x:c r="S1647" s="23" t="str">
        <x:v>masculino</x:v>
      </x:c>
      <x:c r="T1647" s="22" t="str">
        <x:f>"ONO5449"</x:f>
        <x:v>ONO5449</x:v>
      </x:c>
      <x:c r="U1647" s="23" t="str">
        <x:v>ITALO DIAS NOGUEIRA</x:v>
      </x:c>
      <x:c r="V1647" s="22" t="str">
        <x:f>"139.761.966-06"</x:f>
        <x:v>139.761.966-06</x:v>
      </x:c>
      <x:c r="W1647" s="22" t="str">
        <x:f>"13976196606"</x:f>
        <x:v>13976196606</x:v>
      </x:c>
      <x:c r="X1647" s="23" t="str">
        <x:v>italodias087@gmail.com</x:v>
      </x:c>
      <x:c r="Y1647" s="22" t="str">
        <x:f>"034993201620"</x:f>
        <x:v>034993201620</x:v>
      </x:c>
      <x:c r="Z1647" s="30" t="n">
        <x:v>46285</x:v>
      </x:c>
    </x:row>
    <x:row r="1648" ht="18" customHeight="1">
      <x:c r="A1648" s="22" t="str">
        <x:f>"a22822dc-e043-4706-adb4-c89624f89f2a"</x:f>
        <x:v>a22822dc-e043-4706-adb4-c89624f89f2a</x:v>
      </x:c>
      <x:c r="B1648" s="23" t="str">
        <x:v>ITALO GUSTAVO DO NASCIMENTO</x:v>
      </x:c>
      <x:c r="C1648" s="23" t="str">
        <x:v>italo gustavo do nascimento</x:v>
      </x:c>
      <x:c r="D1648" s="22" t="str">
        <x:f>"60.654.276/0001-15"</x:f>
        <x:v>60.654.276/0001-15</x:v>
      </x:c>
      <x:c r="E1648" s="22" t="str">
        <x:f>"60654276000115"</x:f>
        <x:v>60654276000115</x:v>
      </x:c>
      <x:c r="F1648" s="22" t="str">
        <x:f>"117.090.746-63"</x:f>
        <x:v>117.090.746-63</x:v>
      </x:c>
      <x:c r="G1648" s="22" t="str">
        <x:f>"11709074663"</x:f>
        <x:v>11709074663</x:v>
      </x:c>
      <x:c r="H1648" s="23" t="str">
        <x:v>Italoangela1@outlook.com</x:v>
      </x:c>
      <x:c r="I1648" s="22" t="str">
        <x:f>"(35) 99814-9503"</x:f>
        <x:v>(35) 99814-9503</x:v>
      </x:c>
      <x:c r="J1648" s="23" t="str">
        <x:v>SPOT</x:v>
      </x:c>
      <x:c r="K1648" s="23" t="str">
        <x:v>favored_only</x:v>
      </x:c>
      <x:c r="L1648" s="24" t="b">
        <x:v>1</x:v>
      </x:c>
      <x:c r="M1648" s="23" t="n">
        <x:v>1</x:v>
      </x:c>
      <x:c r="N1648" s="28" t="n">
        <x:v>46219.812988715275</x:v>
      </x:c>
      <x:c r="O1648" s="28" t="n">
        <x:v>46219.812988715275</x:v>
      </x:c>
      <x:c r="P1648" s="23" t="str">
        <x:v>POUSO ALEGRE</x:v>
      </x:c>
      <x:c r="Q1648" s="30" t="n">
        <x:v>34035</x:v>
      </x:c>
      <x:c r="R1648" s="22" t="str">
        <x:f>"17687379 SSP MG"</x:f>
        <x:v>17687379 SSP MG</x:v>
      </x:c>
      <x:c r="S1648" s="23" t="str">
        <x:v>masculino</x:v>
      </x:c>
      <x:c r="T1648" s="22" t="str">
        <x:f>"ELS5G43"</x:f>
        <x:v>ELS5G43</x:v>
      </x:c>
      <x:c r="U1648" s="23" t="str">
        <x:v>ITALO GUSTAVO DO NASCIMENTO</x:v>
      </x:c>
      <x:c r="V1648" s="22" t="str">
        <x:f>"117.090.746-63"</x:f>
        <x:v>117.090.746-63</x:v>
      </x:c>
      <x:c r="W1648" s="22" t="str">
        <x:f>"11709074663"</x:f>
        <x:v>11709074663</x:v>
      </x:c>
      <x:c r="X1648" s="23" t="str">
        <x:v>Italoangela1@outlook.com</x:v>
      </x:c>
      <x:c r="Y1648" s="22" t="str">
        <x:f>"(35) 99814-9503"</x:f>
        <x:v>(35) 99814-9503</x:v>
      </x:c>
      <x:c r="Z1648" s="30" t="n">
        <x:v>46522</x:v>
      </x:c>
    </x:row>
    <x:row r="1649" ht="18" customHeight="1">
      <x:c r="A1649" s="22" t="str">
        <x:f>"e1eb055c-7560-4ff2-b903-97f3d9cdc9a7"</x:f>
        <x:v>e1eb055c-7560-4ff2-b903-97f3d9cdc9a7</x:v>
      </x:c>
      <x:c r="B1649" s="23" t="str">
        <x:v>ITALO MANOEL NUNES BARBOS</x:v>
      </x:c>
      <x:c r="C1649" s="23" t="str">
        <x:v>italo manoel nunes barbos</x:v>
      </x:c>
      <x:c r="D1649" s="22" t="str">
        <x:f>"55.708.711/0001-07"</x:f>
        <x:v>55.708.711/0001-07</x:v>
      </x:c>
      <x:c r="E1649" s="22" t="str">
        <x:f>"55708711000107"</x:f>
        <x:v>55708711000107</x:v>
      </x:c>
      <x:c r="F1649" s="22" t="str">
        <x:f>"165.432.656-98"</x:f>
        <x:v>165.432.656-98</x:v>
      </x:c>
      <x:c r="G1649" s="22" t="str">
        <x:f>"16543265698"</x:f>
        <x:v>16543265698</x:v>
      </x:c>
      <x:c r="H1649" s="23" t="str">
        <x:v>henriquealmeida9835@gmail.com</x:v>
      </x:c>
      <x:c r="I1649" s="22" t="str">
        <x:f>"31986640248"</x:f>
        <x:v>31986640248</x:v>
      </x:c>
      <x:c r="J1649" s="23" t="str">
        <x:v>RENTAL</x:v>
      </x:c>
      <x:c r="K1649" s="23" t="str">
        <x:v>rental_company</x:v>
      </x:c>
      <x:c r="L1649" s="24" t="b">
        <x:v>1</x:v>
      </x:c>
      <x:c r="M1649" s="23" t="n">
        <x:v>1</x:v>
      </x:c>
      <x:c r="N1649" s="28" t="n">
        <x:v>46203.92191240741</x:v>
      </x:c>
      <x:c r="O1649" s="28" t="n">
        <x:v>46219.812988715275</x:v>
      </x:c>
      <x:c r="P1649" s="23" t="str">
        <x:v>NOVA LIMA</x:v>
      </x:c>
      <x:c r="Q1649" s="30" t="n">
        <x:v>38573</x:v>
      </x:c>
      <x:c r="R1649" s="22" t="str">
        <x:f>"22204289"</x:f>
        <x:v>22204289</x:v>
      </x:c>
      <x:c r="S1649" s="23" t="str">
        <x:v>masculino</x:v>
      </x:c>
      <x:c r="T1649" s="22" t="str"/>
      <x:c r="U1649" s="23" t="str">
        <x:v>ITALO MANOEL NUNES BARBOS</x:v>
      </x:c>
      <x:c r="V1649" s="22" t="str">
        <x:f>"165.432.656-98"</x:f>
        <x:v>165.432.656-98</x:v>
      </x:c>
      <x:c r="W1649" s="22" t="str">
        <x:f>"16543265698"</x:f>
        <x:v>16543265698</x:v>
      </x:c>
      <x:c r="X1649" s="23" t="str">
        <x:v>henriquealmeida9835@gmail.com</x:v>
      </x:c>
      <x:c r="Y1649" s="22" t="str">
        <x:f>"31986640248"</x:f>
        <x:v>31986640248</x:v>
      </x:c>
      <x:c r="Z1649" s="30" t="n">
        <x:v>46289</x:v>
      </x:c>
    </x:row>
    <x:row r="1650" ht="18" customHeight="1">
      <x:c r="A1650" s="22" t="str">
        <x:f>"d9ef529d-5c07-4c1f-a6ca-e83864106061"</x:f>
        <x:v>d9ef529d-5c07-4c1f-a6ca-e83864106061</x:v>
      </x:c>
      <x:c r="B1650" s="23" t="str">
        <x:v>ITAMAR MARCIANO CORTES REAL</x:v>
      </x:c>
      <x:c r="C1650" s="23" t="str">
        <x:v>itamar marciano cortes real</x:v>
      </x:c>
      <x:c r="D1650" s="22" t="str">
        <x:f>"31.103.143/0001-52"</x:f>
        <x:v>31.103.143/0001-52</x:v>
      </x:c>
      <x:c r="E1650" s="22" t="str">
        <x:f>"31103143000152"</x:f>
        <x:v>31103143000152</x:v>
      </x:c>
      <x:c r="F1650" s="22" t="str">
        <x:f>"080.400.948-10"</x:f>
        <x:v>080.400.948-10</x:v>
      </x:c>
      <x:c r="G1650" s="22" t="str">
        <x:f>"08040094810"</x:f>
        <x:v>08040094810</x:v>
      </x:c>
      <x:c r="H1650" s="23" t="str">
        <x:v>itamarcoetes@gmail.com</x:v>
      </x:c>
      <x:c r="I1650" s="22" t="str">
        <x:f>"18996007391"</x:f>
        <x:v>18996007391</x:v>
      </x:c>
      <x:c r="J1650" s="23" t="str">
        <x:v>RENTAL</x:v>
      </x:c>
      <x:c r="K1650" s="23" t="str">
        <x:v>rental_company</x:v>
      </x:c>
      <x:c r="L1650" s="24" t="b">
        <x:v>1</x:v>
      </x:c>
      <x:c r="M1650" s="23" t="n">
        <x:v>1</x:v>
      </x:c>
      <x:c r="N1650" s="28" t="n">
        <x:v>46219.812988715275</x:v>
      </x:c>
      <x:c r="O1650" s="28" t="n">
        <x:v>46219.812988715275</x:v>
      </x:c>
      <x:c r="P1650" s="23" t="str">
        <x:v>PRESIDENTE PRUDENTE</x:v>
      </x:c>
      <x:c r="Q1650" s="30" t="n">
        <x:v>26873</x:v>
      </x:c>
      <x:c r="R1650" s="22" t="str">
        <x:f>"22015633"</x:f>
        <x:v>22015633</x:v>
      </x:c>
      <x:c r="S1650" s="23" t="str">
        <x:v>masculino</x:v>
      </x:c>
      <x:c r="T1650" s="22" t="str"/>
      <x:c r="U1650" s="23" t="str">
        <x:v>ITAMAR MARCIANO CORTES REAL</x:v>
      </x:c>
      <x:c r="V1650" s="22" t="str">
        <x:f>"080.400.948-10"</x:f>
        <x:v>080.400.948-10</x:v>
      </x:c>
      <x:c r="W1650" s="22" t="str">
        <x:f>"08040094810"</x:f>
        <x:v>08040094810</x:v>
      </x:c>
      <x:c r="X1650" s="23" t="str">
        <x:v>itamarcoetes@gmail.com</x:v>
      </x:c>
      <x:c r="Y1650" s="22" t="str">
        <x:f>"18996007391"</x:f>
        <x:v>18996007391</x:v>
      </x:c>
      <x:c r="Z1650" s="30" t="n">
        <x:v>46427</x:v>
      </x:c>
    </x:row>
    <x:row r="1651" ht="18" customHeight="1">
      <x:c r="A1651" s="22" t="str">
        <x:f>"1d0275c9-da89-4d56-9d67-1e0a44983639"</x:f>
        <x:v>1d0275c9-da89-4d56-9d67-1e0a44983639</x:v>
      </x:c>
      <x:c r="B1651" s="23" t="str">
        <x:v>ITAMAR PAULINO CORDEIRO</x:v>
      </x:c>
      <x:c r="C1651" s="23" t="str">
        <x:v>itamar paulino cordeiro</x:v>
      </x:c>
      <x:c r="D1651" s="22" t="str">
        <x:f>"51.307.337/0001-87"</x:f>
        <x:v>51.307.337/0001-87</x:v>
      </x:c>
      <x:c r="E1651" s="22" t="str">
        <x:f>"51307337000187"</x:f>
        <x:v>51307337000187</x:v>
      </x:c>
      <x:c r="F1651" s="22" t="str">
        <x:f>"153.847.046-24"</x:f>
        <x:v>153.847.046-24</x:v>
      </x:c>
      <x:c r="G1651" s="22" t="str">
        <x:f>"15384704624"</x:f>
        <x:v>15384704624</x:v>
      </x:c>
      <x:c r="H1651" s="23" t="str">
        <x:v>Itamarpaulinocordeiro@gamil.com</x:v>
      </x:c>
      <x:c r="I1651" s="22" t="str">
        <x:f>"38 9739-7843"</x:f>
        <x:v>38 9739-7843</x:v>
      </x:c>
      <x:c r="J1651" s="23" t="str">
        <x:v>SPOT</x:v>
      </x:c>
      <x:c r="K1651" s="23" t="str">
        <x:v>favored_only</x:v>
      </x:c>
      <x:c r="L1651" s="24" t="b">
        <x:v>1</x:v>
      </x:c>
      <x:c r="M1651" s="23" t="n">
        <x:v>1</x:v>
      </x:c>
      <x:c r="N1651" s="28" t="n">
        <x:v>46219.812988715275</x:v>
      </x:c>
      <x:c r="O1651" s="28" t="n">
        <x:v>46219.812988715275</x:v>
      </x:c>
      <x:c r="P1651" s="23" t="str">
        <x:v>PATOS DE MINAS</x:v>
      </x:c>
      <x:c r="Q1651" s="30" t="n">
        <x:v>38008</x:v>
      </x:c>
      <x:c r="R1651" s="22" t="str">
        <x:f>"MG 22019042"</x:f>
        <x:v>MG 22019042</x:v>
      </x:c>
      <x:c r="S1651" s="23" t="str">
        <x:v>masculino</x:v>
      </x:c>
      <x:c r="T1651" s="22" t="str">
        <x:f>"TCR9F19"</x:f>
        <x:v>TCR9F19</x:v>
      </x:c>
      <x:c r="U1651" s="23" t="str">
        <x:v>ITAMAR PAULINO CORDEIRO</x:v>
      </x:c>
      <x:c r="V1651" s="22" t="str">
        <x:f>"153.847.046-24"</x:f>
        <x:v>153.847.046-24</x:v>
      </x:c>
      <x:c r="W1651" s="22" t="str">
        <x:f>"15384704624"</x:f>
        <x:v>15384704624</x:v>
      </x:c>
      <x:c r="X1651" s="23" t="str">
        <x:v>Itamarpaulinocordeiro@gamil.com</x:v>
      </x:c>
      <x:c r="Y1651" s="22" t="str">
        <x:f>"38 9739-7843"</x:f>
        <x:v>38 9739-7843</x:v>
      </x:c>
      <x:c r="Z1651" s="30" t="n">
        <x:v>46410</x:v>
      </x:c>
    </x:row>
    <x:row r="1652" ht="18" customHeight="1">
      <x:c r="A1652" s="22" t="str">
        <x:f>"f96fbc4a-c9d6-4e51-82f6-3e3a33e3a5f7"</x:f>
        <x:v>f96fbc4a-c9d6-4e51-82f6-3e3a33e3a5f7</x:v>
      </x:c>
      <x:c r="B1652" s="23" t="str">
        <x:v>IURI CARDOSO SIQUEIRA AZEVEDO</x:v>
      </x:c>
      <x:c r="C1652" s="23" t="str">
        <x:v>iuri cardoso siqueira azevedo</x:v>
      </x:c>
      <x:c r="D1652" s="22" t="str">
        <x:f>"60.898.547/0001-88"</x:f>
        <x:v>60.898.547/0001-88</x:v>
      </x:c>
      <x:c r="E1652" s="22" t="str">
        <x:f>"60898547000188"</x:f>
        <x:v>60898547000188</x:v>
      </x:c>
      <x:c r="F1652" s="22" t="str">
        <x:f>"131.397.147-26"</x:f>
        <x:v>131.397.147-26</x:v>
      </x:c>
      <x:c r="G1652" s="22" t="str">
        <x:f>"13139714726"</x:f>
        <x:v>13139714726</x:v>
      </x:c>
      <x:c r="H1652" s="23" t="str">
        <x:v>iuriazevedo@yahoo.com.br</x:v>
      </x:c>
      <x:c r="I1652" s="22" t="str">
        <x:f>"22 997115783"</x:f>
        <x:v>22 997115783</x:v>
      </x:c>
      <x:c r="J1652" s="23" t="str">
        <x:v>SPOT</x:v>
      </x:c>
      <x:c r="K1652" s="23" t="str">
        <x:v>favored_only</x:v>
      </x:c>
      <x:c r="L1652" s="24" t="b">
        <x:v>1</x:v>
      </x:c>
      <x:c r="M1652" s="23" t="n">
        <x:v>1</x:v>
      </x:c>
      <x:c r="N1652" s="28" t="n">
        <x:v>46203.921887453704</x:v>
      </x:c>
      <x:c r="O1652" s="28" t="n">
        <x:v>46219.812988715275</x:v>
      </x:c>
      <x:c r="P1652" s="23" t="str">
        <x:v>CAMPOS DOS GOYTACAZES</x:v>
      </x:c>
      <x:c r="Q1652" s="30" t="n">
        <x:v>33171</x:v>
      </x:c>
      <x:c r="R1652" s="22" t="str">
        <x:f>"28437163"</x:f>
        <x:v>28437163</x:v>
      </x:c>
      <x:c r="S1652" s="23" t="str">
        <x:v>masculino</x:v>
      </x:c>
      <x:c r="T1652" s="22" t="str">
        <x:f>"LRO3C86"</x:f>
        <x:v>LRO3C86</x:v>
      </x:c>
      <x:c r="U1652" s="23" t="str">
        <x:v>IURI CARDOSO SIQUEIRA AZEVEDO</x:v>
      </x:c>
      <x:c r="V1652" s="22" t="str">
        <x:f>"131.397.147-26"</x:f>
        <x:v>131.397.147-26</x:v>
      </x:c>
      <x:c r="W1652" s="22" t="str">
        <x:f>"13139714726"</x:f>
        <x:v>13139714726</x:v>
      </x:c>
      <x:c r="X1652" s="23" t="str">
        <x:v>iuriazevedo@yahoo.com.br</x:v>
      </x:c>
      <x:c r="Y1652" s="22" t="str">
        <x:f>"22 997115783"</x:f>
        <x:v>22 997115783</x:v>
      </x:c>
      <x:c r="Z1652" s="30" t="n">
        <x:v>46330</x:v>
      </x:c>
    </x:row>
    <x:row r="1653" ht="18" customHeight="1">
      <x:c r="A1653" s="22" t="str">
        <x:f>"0afd729e-921e-4f98-ac59-7826d02bfbaa"</x:f>
        <x:v>0afd729e-921e-4f98-ac59-7826d02bfbaa</x:v>
      </x:c>
      <x:c r="B1653" s="23" t="str">
        <x:v>IURI DE SOUZA DA SILVA SIQUEIRA</x:v>
      </x:c>
      <x:c r="C1653" s="23" t="str">
        <x:v>iuri de souza da silva siqueira</x:v>
      </x:c>
      <x:c r="D1653" s="22" t="str">
        <x:f>"59.182.138/0001-00"</x:f>
        <x:v>59.182.138/0001-00</x:v>
      </x:c>
      <x:c r="E1653" s="22" t="str">
        <x:f>"59182138000100"</x:f>
        <x:v>59182138000100</x:v>
      </x:c>
      <x:c r="F1653" s="22" t="str">
        <x:f>"190.545.437-60"</x:f>
        <x:v>190.545.437-60</x:v>
      </x:c>
      <x:c r="G1653" s="22" t="str">
        <x:f>"19054543760"</x:f>
        <x:v>19054543760</x:v>
      </x:c>
      <x:c r="H1653" s="23" t="str">
        <x:v>iurisilv.a@icloud.com</x:v>
      </x:c>
      <x:c r="I1653" s="22" t="str">
        <x:f>"22992055328"</x:f>
        <x:v>22992055328</x:v>
      </x:c>
      <x:c r="J1653" s="23" t="str">
        <x:v>RENTAL</x:v>
      </x:c>
      <x:c r="K1653" s="23" t="str">
        <x:v>rental_company</x:v>
      </x:c>
      <x:c r="L1653" s="24" t="b">
        <x:v>1</x:v>
      </x:c>
      <x:c r="M1653" s="23" t="n">
        <x:v>1</x:v>
      </x:c>
      <x:c r="N1653" s="28" t="n">
        <x:v>46203.92186888889</x:v>
      </x:c>
      <x:c r="O1653" s="28" t="n">
        <x:v>46219.812988715275</x:v>
      </x:c>
      <x:c r="P1653" s="23" t="str">
        <x:v>CAMPOS DOS GOYTACAZES</x:v>
      </x:c>
      <x:c r="Q1653" s="30" t="n">
        <x:v>37602</x:v>
      </x:c>
      <x:c r="R1653" s="22" t="str">
        <x:f>"308257823"</x:f>
        <x:v>308257823</x:v>
      </x:c>
      <x:c r="S1653" s="23" t="str">
        <x:v>masculino</x:v>
      </x:c>
      <x:c r="T1653" s="22" t="str"/>
      <x:c r="U1653" s="23" t="str">
        <x:v>IURI DE SOUZA DA SILVA SIQUEIRA</x:v>
      </x:c>
      <x:c r="V1653" s="22" t="str">
        <x:f>"190.545.437-60"</x:f>
        <x:v>190.545.437-60</x:v>
      </x:c>
      <x:c r="W1653" s="22" t="str">
        <x:f>"19054543760"</x:f>
        <x:v>19054543760</x:v>
      </x:c>
      <x:c r="X1653" s="23" t="str">
        <x:v>iurisilv.a@icloud.com</x:v>
      </x:c>
      <x:c r="Y1653" s="22" t="str">
        <x:f>"22992055328"</x:f>
        <x:v>22992055328</x:v>
      </x:c>
      <x:c r="Z1653" s="30" t="n">
        <x:v>46294</x:v>
      </x:c>
    </x:row>
    <x:row r="1654" ht="18" customHeight="1">
      <x:c r="A1654" s="22" t="str">
        <x:f>"55119f99-1922-48b4-bda4-caeb68b86df2"</x:f>
        <x:v>55119f99-1922-48b4-bda4-caeb68b86df2</x:v>
      </x:c>
      <x:c r="B1654" s="23" t="str">
        <x:v>IURI HENRIQUE JULIO GERMANO</x:v>
      </x:c>
      <x:c r="C1654" s="23" t="str">
        <x:v>iuri henrique julio germano</x:v>
      </x:c>
      <x:c r="D1654" s="22" t="str">
        <x:f>"61.328.796/0001-09"</x:f>
        <x:v>61.328.796/0001-09</x:v>
      </x:c>
      <x:c r="E1654" s="22" t="str">
        <x:f>"61328796000109"</x:f>
        <x:v>61328796000109</x:v>
      </x:c>
      <x:c r="F1654" s="22" t="str">
        <x:f>"462.758.708-26"</x:f>
        <x:v>462.758.708-26</x:v>
      </x:c>
      <x:c r="G1654" s="22" t="str">
        <x:f>"46275870826"</x:f>
        <x:v>46275870826</x:v>
      </x:c>
      <x:c r="H1654" s="23" t="str">
        <x:v>hyuri1650@gmail.com</x:v>
      </x:c>
      <x:c r="I1654" s="22" t="str">
        <x:f>"(16)99622-4990"</x:f>
        <x:v>(16)99622-4990</x:v>
      </x:c>
      <x:c r="J1654" s="23" t="str">
        <x:v>RENTAL</x:v>
      </x:c>
      <x:c r="K1654" s="23" t="str">
        <x:v>rental_company</x:v>
      </x:c>
      <x:c r="L1654" s="24" t="b">
        <x:v>1</x:v>
      </x:c>
      <x:c r="M1654" s="23" t="n">
        <x:v>1</x:v>
      </x:c>
      <x:c r="N1654" s="28" t="n">
        <x:v>46203.92183332176</x:v>
      </x:c>
      <x:c r="O1654" s="28" t="n">
        <x:v>46219.812988715275</x:v>
      </x:c>
      <x:c r="P1654" s="23" t="str">
        <x:v>SÃO CARLOS</x:v>
      </x:c>
      <x:c r="Q1654" s="30" t="n">
        <x:v>35438</x:v>
      </x:c>
      <x:c r="R1654" s="22" t="str">
        <x:f>"498084589"</x:f>
        <x:v>498084589</x:v>
      </x:c>
      <x:c r="S1654" s="23" t="str">
        <x:v>masculino</x:v>
      </x:c>
      <x:c r="T1654" s="22" t="str"/>
      <x:c r="U1654" s="23" t="str">
        <x:v>IURI HENRIQUE JULIO GERMANO</x:v>
      </x:c>
      <x:c r="V1654" s="22" t="str">
        <x:f>"462.758.708-26"</x:f>
        <x:v>462.758.708-26</x:v>
      </x:c>
      <x:c r="W1654" s="22" t="str">
        <x:f>"46275870826"</x:f>
        <x:v>46275870826</x:v>
      </x:c>
      <x:c r="X1654" s="23" t="str">
        <x:v>hyuri1650@gmail.com</x:v>
      </x:c>
      <x:c r="Y1654" s="22" t="str">
        <x:f>"(16)99622-4990"</x:f>
        <x:v>(16)99622-4990</x:v>
      </x:c>
      <x:c r="Z1654" s="30" t="n">
        <x:v>46518</x:v>
      </x:c>
    </x:row>
    <x:row r="1655" ht="18" customHeight="1">
      <x:c r="A1655" s="22" t="str">
        <x:f>"df58e4dc-45a2-4df3-a645-222c16edf83f"</x:f>
        <x:v>df58e4dc-45a2-4df3-a645-222c16edf83f</x:v>
      </x:c>
      <x:c r="B1655" s="23" t="str">
        <x:v>IURI RAMOS DOS SANTOS</x:v>
      </x:c>
      <x:c r="C1655" s="23" t="str">
        <x:v>iuri ramos dos santos</x:v>
      </x:c>
      <x:c r="D1655" s="22" t="str">
        <x:f>"66.688.141/0001-57"</x:f>
        <x:v>66.688.141/0001-57</x:v>
      </x:c>
      <x:c r="E1655" s="22" t="str">
        <x:f>"66688141000157"</x:f>
        <x:v>66688141000157</x:v>
      </x:c>
      <x:c r="F1655" s="22" t="str">
        <x:f>"567.387.118-08"</x:f>
        <x:v>567.387.118-08</x:v>
      </x:c>
      <x:c r="G1655" s="22" t="str">
        <x:f>"56738711808"</x:f>
        <x:v>56738711808</x:v>
      </x:c>
      <x:c r="H1655" s="23" t="str">
        <x:v>yuriramossantos40@gmail.com</x:v>
      </x:c>
      <x:c r="I1655" s="22" t="str">
        <x:f>"18997122057"</x:f>
        <x:v>18997122057</x:v>
      </x:c>
      <x:c r="J1655" s="23" t="str">
        <x:v>RENTAL</x:v>
      </x:c>
      <x:c r="K1655" s="23" t="str">
        <x:v>rental_company</x:v>
      </x:c>
      <x:c r="L1655" s="24" t="b">
        <x:v>1</x:v>
      </x:c>
      <x:c r="M1655" s="23" t="n">
        <x:v>1</x:v>
      </x:c>
      <x:c r="N1655" s="28" t="n">
        <x:v>46219.812988715275</x:v>
      </x:c>
      <x:c r="O1655" s="28" t="n">
        <x:v>46219.812988715275</x:v>
      </x:c>
      <x:c r="P1655" s="23" t="str">
        <x:v>PRESIDENTE PRUDENTE</x:v>
      </x:c>
      <x:c r="Q1655" s="30" t="n">
        <x:v>36916</x:v>
      </x:c>
      <x:c r="R1655" s="22" t="str">
        <x:f>"56738711808"</x:f>
        <x:v>56738711808</x:v>
      </x:c>
      <x:c r="S1655" s="23" t="str">
        <x:v>masculino</x:v>
      </x:c>
      <x:c r="T1655" s="22" t="str"/>
      <x:c r="U1655" s="23" t="str">
        <x:v>IURI RAMOS DOS SANTOS</x:v>
      </x:c>
      <x:c r="V1655" s="22" t="str">
        <x:f>"567.387.118-08"</x:f>
        <x:v>567.387.118-08</x:v>
      </x:c>
      <x:c r="W1655" s="22" t="str">
        <x:f>"56738711808"</x:f>
        <x:v>56738711808</x:v>
      </x:c>
      <x:c r="X1655" s="23" t="str">
        <x:v>yuriramossantos40@gmail.com</x:v>
      </x:c>
      <x:c r="Y1655" s="22" t="str">
        <x:f>"18997122057"</x:f>
        <x:v>18997122057</x:v>
      </x:c>
      <x:c r="Z1655" s="30" t="n">
        <x:v>46518</x:v>
      </x:c>
    </x:row>
    <x:row r="1656" ht="18" customHeight="1">
      <x:c r="A1656" s="22" t="str">
        <x:f>"b6a1d4b7-739a-4544-84e0-cc3b50152966"</x:f>
        <x:v>b6a1d4b7-739a-4544-84e0-cc3b50152966</x:v>
      </x:c>
      <x:c r="B1656" s="23" t="str">
        <x:v>IURI SILVA FIRMINO DOS SANTOS</x:v>
      </x:c>
      <x:c r="C1656" s="23" t="str">
        <x:v>iuri silva firmino dos santos</x:v>
      </x:c>
      <x:c r="D1656" s="22" t="str">
        <x:f>"37.823.997/0001-90"</x:f>
        <x:v>37.823.997/0001-90</x:v>
      </x:c>
      <x:c r="E1656" s="22" t="str">
        <x:f>"37823997000190"</x:f>
        <x:v>37823997000190</x:v>
      </x:c>
      <x:c r="F1656" s="22" t="str">
        <x:f>"097.847.414-74"</x:f>
        <x:v>097.847.414-74</x:v>
      </x:c>
      <x:c r="G1656" s="22" t="str">
        <x:f>"09784741474"</x:f>
        <x:v>09784741474</x:v>
      </x:c>
      <x:c r="H1656" s="23" t="str">
        <x:v>iurisilva29091996@gmail.com</x:v>
      </x:c>
      <x:c r="I1656" s="22" t="str">
        <x:f>"67 9833-0832"</x:f>
        <x:v>67 9833-0832</x:v>
      </x:c>
      <x:c r="J1656" s="23" t="str">
        <x:v>SPOT</x:v>
      </x:c>
      <x:c r="K1656" s="23" t="str">
        <x:v>favored_only</x:v>
      </x:c>
      <x:c r="L1656" s="24" t="b">
        <x:v>1</x:v>
      </x:c>
      <x:c r="M1656" s="23" t="n">
        <x:v>1</x:v>
      </x:c>
      <x:c r="N1656" s="28" t="n">
        <x:v>46219.812988715275</x:v>
      </x:c>
      <x:c r="O1656" s="28" t="n">
        <x:v>46219.812988715275</x:v>
      </x:c>
      <x:c r="P1656" s="23" t="str">
        <x:v>CHAPADÃO DO SUL</x:v>
      </x:c>
      <x:c r="Q1656" s="30" t="n">
        <x:v>35337</x:v>
      </x:c>
      <x:c r="R1656" s="22" t="str">
        <x:f>"34884157"</x:f>
        <x:v>34884157</x:v>
      </x:c>
      <x:c r="S1656" s="23" t="str">
        <x:v>masculino</x:v>
      </x:c>
      <x:c r="T1656" s="22" t="str">
        <x:f>"OAY2J21"</x:f>
        <x:v>OAY2J21</x:v>
      </x:c>
      <x:c r="U1656" s="23" t="str">
        <x:v>RODOPRIME TRANSPORTES E CARGAS LTDA</x:v>
      </x:c>
      <x:c r="V1656" s="22" t="str">
        <x:f>"038.768.901-01"</x:f>
        <x:v>038.768.901-01</x:v>
      </x:c>
      <x:c r="W1656" s="22" t="str">
        <x:f>"03876890101"</x:f>
        <x:v>03876890101</x:v>
      </x:c>
      <x:c r="X1656" s="23" t="str">
        <x:v>rtp.cargas@gmail.com</x:v>
      </x:c>
      <x:c r="Y1656" s="22" t="str">
        <x:f>"62991277279"</x:f>
        <x:v>62991277279</x:v>
      </x:c>
      <x:c r="Z1656" s="30" t="n">
        <x:v>46414</x:v>
      </x:c>
    </x:row>
    <x:row r="1657" ht="18" customHeight="1">
      <x:c r="A1657" s="22" t="str">
        <x:f>"1e121912-0102-4d64-8536-6f066255f28b"</x:f>
        <x:v>1e121912-0102-4d64-8536-6f066255f28b</x:v>
      </x:c>
      <x:c r="B1657" s="23" t="str">
        <x:v>IURY FERREIRA PRACA</x:v>
      </x:c>
      <x:c r="C1657" s="23" t="str">
        <x:v>iury ferreira praca</x:v>
      </x:c>
      <x:c r="D1657" s="22" t="str">
        <x:f>"63.035.382/0001-09"</x:f>
        <x:v>63.035.382/0001-09</x:v>
      </x:c>
      <x:c r="E1657" s="22" t="str">
        <x:f>"63035382000109"</x:f>
        <x:v>63035382000109</x:v>
      </x:c>
      <x:c r="F1657" s="22" t="str">
        <x:f>"021.221.286-90"</x:f>
        <x:v>021.221.286-90</x:v>
      </x:c>
      <x:c r="G1657" s="22" t="str">
        <x:f>"02122128690"</x:f>
        <x:v>02122128690</x:v>
      </x:c>
      <x:c r="H1657" s="23" t="str">
        <x:v>iuryferreira67@gmail.com</x:v>
      </x:c>
      <x:c r="I1657" s="22" t="str">
        <x:f>"31997066244"</x:f>
        <x:v>31997066244</x:v>
      </x:c>
      <x:c r="J1657" s="23" t="str">
        <x:v>RENTAL</x:v>
      </x:c>
      <x:c r="K1657" s="23" t="str">
        <x:v>rental_company</x:v>
      </x:c>
      <x:c r="L1657" s="24" t="b">
        <x:v>1</x:v>
      </x:c>
      <x:c r="M1657" s="23" t="n">
        <x:v>1</x:v>
      </x:c>
      <x:c r="N1657" s="28" t="n">
        <x:v>46203.92186888889</x:v>
      </x:c>
      <x:c r="O1657" s="28" t="n">
        <x:v>46219.812988715275</x:v>
      </x:c>
      <x:c r="P1657" s="23" t="str">
        <x:v>CONTAGEM</x:v>
      </x:c>
      <x:c r="Q1657" s="30" t="n">
        <x:v>35489</x:v>
      </x:c>
      <x:c r="R1657" s="22" t="str">
        <x:f>"19239250"</x:f>
        <x:v>19239250</x:v>
      </x:c>
      <x:c r="S1657" s="23" t="str">
        <x:v>masculino</x:v>
      </x:c>
      <x:c r="T1657" s="22" t="str"/>
      <x:c r="U1657" s="23" t="str">
        <x:v>IURY FERREIRA PRACA</x:v>
      </x:c>
      <x:c r="V1657" s="22" t="str">
        <x:f>"021.221.286-90"</x:f>
        <x:v>021.221.286-90</x:v>
      </x:c>
      <x:c r="W1657" s="22" t="str">
        <x:f>"02122128690"</x:f>
        <x:v>02122128690</x:v>
      </x:c>
      <x:c r="X1657" s="23" t="str">
        <x:v>iuryferreira67@gmail.com</x:v>
      </x:c>
      <x:c r="Y1657" s="22" t="str">
        <x:f>"31997066244"</x:f>
        <x:v>31997066244</x:v>
      </x:c>
      <x:c r="Z1657" s="30" t="n">
        <x:v>46299</x:v>
      </x:c>
    </x:row>
    <x:row r="1658" ht="18" customHeight="1">
      <x:c r="A1658" s="22" t="str">
        <x:f>"31fcee1a-13ce-486f-b0f2-09bf70bf8471"</x:f>
        <x:v>31fcee1a-13ce-486f-b0f2-09bf70bf8471</x:v>
      </x:c>
      <x:c r="B1658" s="23" t="str">
        <x:v>IURY GABRIEL FERNANDES DE SOUZA SILVA</x:v>
      </x:c>
      <x:c r="C1658" s="23" t="str">
        <x:v>iury gabriel fernandes de souza silva</x:v>
      </x:c>
      <x:c r="D1658" s="22" t="str">
        <x:f>"63.156.126/0001-70"</x:f>
        <x:v>63.156.126/0001-70</x:v>
      </x:c>
      <x:c r="E1658" s="22" t="str">
        <x:f>"63156126000170"</x:f>
        <x:v>63156126000170</x:v>
      </x:c>
      <x:c r="F1658" s="22" t="str">
        <x:f>"020.136.626-61"</x:f>
        <x:v>020.136.626-61</x:v>
      </x:c>
      <x:c r="G1658" s="22" t="str">
        <x:f>"02013662661"</x:f>
        <x:v>02013662661</x:v>
      </x:c>
      <x:c r="H1658" s="23" t="str">
        <x:v>fernandzig1313@gmail.com</x:v>
      </x:c>
      <x:c r="I1658" s="22" t="str">
        <x:f>"64992857773"</x:f>
        <x:v>64992857773</x:v>
      </x:c>
      <x:c r="J1658" s="23" t="str">
        <x:v>SPOT</x:v>
      </x:c>
      <x:c r="K1658" s="23" t="str">
        <x:v>favored_only</x:v>
      </x:c>
      <x:c r="L1658" s="24" t="b">
        <x:v>1</x:v>
      </x:c>
      <x:c r="M1658" s="23" t="n">
        <x:v>1</x:v>
      </x:c>
      <x:c r="N1658" s="28" t="n">
        <x:v>46205.605980740744</x:v>
      </x:c>
      <x:c r="O1658" s="28" t="n">
        <x:v>46219.812988715275</x:v>
      </x:c>
      <x:c r="P1658" s="23" t="str">
        <x:v>RIO VERDE</x:v>
      </x:c>
      <x:c r="Q1658" s="30" t="n">
        <x:v>38045</x:v>
      </x:c>
      <x:c r="R1658" s="22" t="str">
        <x:f>"19982315"</x:f>
        <x:v>19982315</x:v>
      </x:c>
      <x:c r="S1658" s="23" t="str">
        <x:v>masculino</x:v>
      </x:c>
      <x:c r="T1658" s="22" t="str">
        <x:f>"GWK5H79"</x:f>
        <x:v>GWK5H79</x:v>
      </x:c>
      <x:c r="U1658" s="23" t="str">
        <x:v>EUDES JESUS RAMOS JUNIOR</x:v>
      </x:c>
      <x:c r="V1658" s="22" t="str">
        <x:f>"701.244.591-29"</x:f>
        <x:v>701.244.591-29</x:v>
      </x:c>
      <x:c r="W1658" s="22" t="str">
        <x:f>"70124459129"</x:f>
        <x:v>70124459129</x:v>
      </x:c>
      <x:c r="X1658" s="23" t="str">
        <x:v>eudesjrgyn@gmail.com</x:v>
      </x:c>
      <x:c r="Y1658" s="22" t="str">
        <x:f>"62 9459-0040"</x:f>
        <x:v>62 9459-0040</x:v>
      </x:c>
      <x:c r="Z1658" s="30" t="n">
        <x:v>46338</x:v>
      </x:c>
    </x:row>
    <x:row r="1659" ht="18" customHeight="1">
      <x:c r="A1659" s="22" t="str">
        <x:f>"9826862b-2ab0-4efb-ac36-c93f07b37bff"</x:f>
        <x:v>9826862b-2ab0-4efb-ac36-c93f07b37bff</x:v>
      </x:c>
      <x:c r="B1659" s="23" t="str">
        <x:v>IURY GABRIEL FERNANDES DE SOUZA SILVA</x:v>
      </x:c>
      <x:c r="C1659" s="23" t="str">
        <x:v>iury gabriel fernandes de souza silva</x:v>
      </x:c>
      <x:c r="D1659" s="22" t="str">
        <x:f>"50.659.692/0001-52"</x:f>
        <x:v>50.659.692/0001-52</x:v>
      </x:c>
      <x:c r="E1659" s="22" t="str">
        <x:f>"50659692000152"</x:f>
        <x:v>50659692000152</x:v>
      </x:c>
      <x:c r="F1659" s="22" t="str">
        <x:f>"020.136.626-61"</x:f>
        <x:v>020.136.626-61</x:v>
      </x:c>
      <x:c r="G1659" s="22" t="str">
        <x:f>"02013662661"</x:f>
        <x:v>02013662661</x:v>
      </x:c>
      <x:c r="H1659" s="23" t="str">
        <x:v>igfernandz1212@gmail.com</x:v>
      </x:c>
      <x:c r="I1659" s="22" t="str">
        <x:f>"64992857773"</x:f>
        <x:v>64992857773</x:v>
      </x:c>
      <x:c r="J1659" s="23" t="str">
        <x:v>SPOT</x:v>
      </x:c>
      <x:c r="K1659" s="23" t="str">
        <x:v>favored_only</x:v>
      </x:c>
      <x:c r="L1659" s="24" t="b">
        <x:v>1</x:v>
      </x:c>
      <x:c r="M1659" s="23" t="n">
        <x:v>1</x:v>
      </x:c>
      <x:c r="N1659" s="28" t="n">
        <x:v>46219.812988715275</x:v>
      </x:c>
      <x:c r="O1659" s="28" t="n">
        <x:v>46219.812988715275</x:v>
      </x:c>
      <x:c r="P1659" s="23" t="str">
        <x:v>RIO VERDE</x:v>
      </x:c>
      <x:c r="Q1659" s="30" t="n">
        <x:v>38045</x:v>
      </x:c>
      <x:c r="R1659" s="22" t="str">
        <x:f>"19982315"</x:f>
        <x:v>19982315</x:v>
      </x:c>
      <x:c r="S1659" s="23" t="str">
        <x:v>masculino</x:v>
      </x:c>
      <x:c r="T1659" s="22" t="str">
        <x:f>"MDO1B33"</x:f>
        <x:v>MDO1B33</x:v>
      </x:c>
      <x:c r="U1659" s="23" t="str">
        <x:v>IURY GABRIEL FERNANDES DE SOUZA SILVA</x:v>
      </x:c>
      <x:c r="V1659" s="22" t="str">
        <x:f>"020.136.626-61"</x:f>
        <x:v>020.136.626-61</x:v>
      </x:c>
      <x:c r="W1659" s="22" t="str">
        <x:f>"02013662661"</x:f>
        <x:v>02013662661</x:v>
      </x:c>
      <x:c r="X1659" s="23" t="str">
        <x:v>igfernandz1212@gmail.com</x:v>
      </x:c>
      <x:c r="Y1659" s="22" t="str">
        <x:f>"64992857773"</x:f>
        <x:v>64992857773</x:v>
      </x:c>
      <x:c r="Z1659" s="30" t="n">
        <x:v>46522</x:v>
      </x:c>
    </x:row>
    <x:row r="1660" ht="18" customHeight="1">
      <x:c r="A1660" s="22" t="str">
        <x:f>"3babffde-d943-4103-8813-4846de89d610"</x:f>
        <x:v>3babffde-d943-4103-8813-4846de89d610</x:v>
      </x:c>
      <x:c r="B1660" s="23" t="str">
        <x:v>IURY GABRIELL FERNANDES DE SOUZA SILVA</x:v>
      </x:c>
      <x:c r="C1660" s="23" t="str">
        <x:v>iury gabriell fernandes de souza silva</x:v>
      </x:c>
      <x:c r="D1660" s="22" t="str">
        <x:f>"63.115.650/0001-00"</x:f>
        <x:v>63.115.650/0001-00</x:v>
      </x:c>
      <x:c r="E1660" s="22" t="str">
        <x:f>"63115650000100"</x:f>
        <x:v>63115650000100</x:v>
      </x:c>
      <x:c r="F1660" s="22" t="str">
        <x:f>"020.136.626-61"</x:f>
        <x:v>020.136.626-61</x:v>
      </x:c>
      <x:c r="G1660" s="22" t="str">
        <x:f>"02013662661"</x:f>
        <x:v>02013662661</x:v>
      </x:c>
      <x:c r="H1660" s="23" t="str">
        <x:v>Fernandzig1313@gmail.com</x:v>
      </x:c>
      <x:c r="I1660" s="22" t="str">
        <x:f>"64 9285-7773"</x:f>
        <x:v>64 9285-7773</x:v>
      </x:c>
      <x:c r="J1660" s="23" t="str">
        <x:v>SPOT</x:v>
      </x:c>
      <x:c r="K1660" s="23" t="str">
        <x:v>favored_only</x:v>
      </x:c>
      <x:c r="L1660" s="24" t="b">
        <x:v>1</x:v>
      </x:c>
      <x:c r="M1660" s="23" t="n">
        <x:v>1</x:v>
      </x:c>
      <x:c r="N1660" s="28" t="n">
        <x:v>46205.6049630787</x:v>
      </x:c>
      <x:c r="O1660" s="28" t="n">
        <x:v>46219.812988715275</x:v>
      </x:c>
      <x:c r="P1660" s="23" t="str">
        <x:v>RIO VERDE</x:v>
      </x:c>
      <x:c r="Q1660" s="30" t="n">
        <x:v>38045</x:v>
      </x:c>
      <x:c r="R1660" s="22" t="str">
        <x:f>"19982315"</x:f>
        <x:v>19982315</x:v>
      </x:c>
      <x:c r="S1660" s="23" t="str">
        <x:v>masculino</x:v>
      </x:c>
      <x:c r="T1660" s="22" t="str">
        <x:f>"NWC1G17"</x:f>
        <x:v>NWC1G17</x:v>
      </x:c>
      <x:c r="U1660" s="23" t="str">
        <x:v>ORIVALDO SEVERINO MACEDO</x:v>
      </x:c>
      <x:c r="V1660" s="22" t="str">
        <x:f>"560.682.391-87"</x:f>
        <x:v>560.682.391-87</x:v>
      </x:c>
      <x:c r="W1660" s="22" t="str">
        <x:f>"56068239187"</x:f>
        <x:v>56068239187</x:v>
      </x:c>
      <x:c r="X1660" s="23" t="str">
        <x:v>eudesjrgyn@gmail.com</x:v>
      </x:c>
      <x:c r="Y1660" s="22" t="str">
        <x:f>"62 9459-0040"</x:f>
        <x:v>62 9459-0040</x:v>
      </x:c>
      <x:c r="Z1660" s="30" t="n">
        <x:v>46304</x:v>
      </x:c>
    </x:row>
    <x:row r="1661" ht="18" customHeight="1">
      <x:c r="A1661" s="22" t="str">
        <x:f>"bfe9dcc3-e3a3-4d4a-9848-07cfc13b75e6"</x:f>
        <x:v>bfe9dcc3-e3a3-4d4a-9848-07cfc13b75e6</x:v>
      </x:c>
      <x:c r="B1661" s="23" t="str">
        <x:v>IVAN ARAUJO JUNIIOR</x:v>
      </x:c>
      <x:c r="C1661" s="23" t="str">
        <x:v>ivan araujo juniior</x:v>
      </x:c>
      <x:c r="D1661" s="22" t="str">
        <x:f>"58.003.900/0001-72"</x:f>
        <x:v>58.003.900/0001-72</x:v>
      </x:c>
      <x:c r="E1661" s="22" t="str">
        <x:f>"58003900000172"</x:f>
        <x:v>58003900000172</x:v>
      </x:c>
      <x:c r="F1661" s="22" t="str">
        <x:f>"125.391.837-60"</x:f>
        <x:v>125.391.837-60</x:v>
      </x:c>
      <x:c r="G1661" s="22" t="str">
        <x:f>"12539183760"</x:f>
        <x:v>12539183760</x:v>
      </x:c>
      <x:c r="H1661" s="23" t="str">
        <x:v>juniorlovelu@hotmail.com</x:v>
      </x:c>
      <x:c r="I1661" s="22" t="str">
        <x:f>"22 998722261"</x:f>
        <x:v>22 998722261</x:v>
      </x:c>
      <x:c r="J1661" s="23" t="str">
        <x:v>SPOT</x:v>
      </x:c>
      <x:c r="K1661" s="23" t="str">
        <x:v>favored_only</x:v>
      </x:c>
      <x:c r="L1661" s="24" t="b">
        <x:v>1</x:v>
      </x:c>
      <x:c r="M1661" s="23" t="n">
        <x:v>1</x:v>
      </x:c>
      <x:c r="N1661" s="28" t="n">
        <x:v>46205.604935717594</x:v>
      </x:c>
      <x:c r="O1661" s="28" t="n">
        <x:v>46219.812988715275</x:v>
      </x:c>
      <x:c r="P1661" s="23" t="str">
        <x:v>CAMPOS DOS GOYTACAZES</x:v>
      </x:c>
      <x:c r="Q1661" s="30" t="n">
        <x:v>32222</x:v>
      </x:c>
      <x:c r="R1661" s="22" t="str">
        <x:f>"235676624"</x:f>
        <x:v>235676624</x:v>
      </x:c>
      <x:c r="S1661" s="23" t="str">
        <x:v>masculino</x:v>
      </x:c>
      <x:c r="T1661" s="22" t="str">
        <x:f>"LRF9C22"</x:f>
        <x:v>LRF9C22</x:v>
      </x:c>
      <x:c r="U1661" s="23" t="str">
        <x:v>JESSICA OLIVEIRA PEREIRA</x:v>
      </x:c>
      <x:c r="V1661" s="22" t="str">
        <x:f>"131.488.887-07"</x:f>
        <x:v>131.488.887-07</x:v>
      </x:c>
      <x:c r="W1661" s="22" t="str">
        <x:f>"13148888707"</x:f>
        <x:v>13148888707</x:v>
      </x:c>
      <x:c r="X1661" s="23" t="str">
        <x:v>jessicaoliveirais38@gmail.com</x:v>
      </x:c>
      <x:c r="Y1661" s="22" t="str">
        <x:f>"22 997510815"</x:f>
        <x:v>22 997510815</x:v>
      </x:c>
      <x:c r="Z1661" s="30" t="n">
        <x:v>46304</x:v>
      </x:c>
    </x:row>
    <x:row r="1662" ht="18" customHeight="1">
      <x:c r="A1662" s="22" t="str">
        <x:f>"e3c45d4a-b122-4789-ba76-b03577708279"</x:f>
        <x:v>e3c45d4a-b122-4789-ba76-b03577708279</x:v>
      </x:c>
      <x:c r="B1662" s="23" t="str">
        <x:v>IVANILDO RODRIGUES</x:v>
      </x:c>
      <x:c r="C1662" s="23" t="str">
        <x:v>ivanildo rodrigues</x:v>
      </x:c>
      <x:c r="D1662" s="22" t="str">
        <x:f>"61.265.788/0001-52"</x:f>
        <x:v>61.265.788/0001-52</x:v>
      </x:c>
      <x:c r="E1662" s="22" t="str">
        <x:f>"61265788000152"</x:f>
        <x:v>61265788000152</x:v>
      </x:c>
      <x:c r="F1662" s="22" t="str">
        <x:f>"621.482.491-34"</x:f>
        <x:v>621.482.491-34</x:v>
      </x:c>
      <x:c r="G1662" s="22" t="str">
        <x:f>"62148249134"</x:f>
        <x:v>62148249134</x:v>
      </x:c>
      <x:c r="H1662" s="23" t="str">
        <x:v>celsoeivanildo@hotmail.com</x:v>
      </x:c>
      <x:c r="I1662" s="22" t="str">
        <x:f>"65 9991-1944"</x:f>
        <x:v>65 9991-1944</x:v>
      </x:c>
      <x:c r="J1662" s="23" t="str">
        <x:v>SPOT</x:v>
      </x:c>
      <x:c r="K1662" s="23" t="str">
        <x:v>favored_only</x:v>
      </x:c>
      <x:c r="L1662" s="24" t="b">
        <x:v>1</x:v>
      </x:c>
      <x:c r="M1662" s="23" t="n">
        <x:v>1</x:v>
      </x:c>
      <x:c r="N1662" s="28" t="n">
        <x:v>46203.921858726855</x:v>
      </x:c>
      <x:c r="O1662" s="28" t="n">
        <x:v>46219.812988715275</x:v>
      </x:c>
      <x:c r="P1662" s="23" t="str">
        <x:v>ARAPUTANGA</x:v>
      </x:c>
      <x:c r="Q1662" s="30" t="n">
        <x:v>27160</x:v>
      </x:c>
      <x:c r="R1662" s="22" t="str">
        <x:f>"977004 SSP MT"</x:f>
        <x:v>977004 SSP MT</x:v>
      </x:c>
      <x:c r="S1662" s="23" t="str">
        <x:v>masculino</x:v>
      </x:c>
      <x:c r="T1662" s="22" t="str">
        <x:f>"NEH8669"</x:f>
        <x:v>NEH8669</x:v>
      </x:c>
      <x:c r="U1662" s="23" t="str">
        <x:v>IVANILDO RODRIGUES</x:v>
      </x:c>
      <x:c r="V1662" s="22" t="str">
        <x:f>"621.482.491-34"</x:f>
        <x:v>621.482.491-34</x:v>
      </x:c>
      <x:c r="W1662" s="22" t="str">
        <x:f>"62148249134"</x:f>
        <x:v>62148249134</x:v>
      </x:c>
      <x:c r="X1662" s="23" t="str">
        <x:v>celsoeivanildo@hotmail.com</x:v>
      </x:c>
      <x:c r="Y1662" s="22" t="str">
        <x:f>"65 9991-1944"</x:f>
        <x:v>65 9991-1944</x:v>
      </x:c>
      <x:c r="Z1662" s="30" t="n">
        <x:v>46264</x:v>
      </x:c>
    </x:row>
    <x:row r="1663" ht="18" customHeight="1">
      <x:c r="A1663" s="22" t="str">
        <x:f>"6a8a34ae-a0cf-4534-b9ed-463fd9977021"</x:f>
        <x:v>6a8a34ae-a0cf-4534-b9ed-463fd9977021</x:v>
      </x:c>
      <x:c r="B1663" s="23" t="str">
        <x:v>IVAN VILA DOS SANTOS</x:v>
      </x:c>
      <x:c r="C1663" s="23" t="str">
        <x:v>ivan vila dos santos</x:v>
      </x:c>
      <x:c r="D1663" s="22" t="str">
        <x:f>"06.377.856/3001-25"</x:f>
        <x:v>06.377.856/3001-25</x:v>
      </x:c>
      <x:c r="E1663" s="22" t="str">
        <x:f>"06377856300125"</x:f>
        <x:v>06377856300125</x:v>
      </x:c>
      <x:c r="F1663" s="22" t="str">
        <x:f>"027.477.114-47"</x:f>
        <x:v>027.477.114-47</x:v>
      </x:c>
      <x:c r="G1663" s="22" t="str">
        <x:f>"02747711447"</x:f>
        <x:v>02747711447</x:v>
      </x:c>
      <x:c r="H1663" s="23" t="str">
        <x:v>ivansantosvila2020@gmail.com</x:v>
      </x:c>
      <x:c r="I1663" s="22" t="str">
        <x:f>"17988256012"</x:f>
        <x:v>17988256012</x:v>
      </x:c>
      <x:c r="J1663" s="23" t="str">
        <x:v>SPOT</x:v>
      </x:c>
      <x:c r="K1663" s="23" t="str">
        <x:v>favored_only</x:v>
      </x:c>
      <x:c r="L1663" s="24" t="b">
        <x:v>1</x:v>
      </x:c>
      <x:c r="M1663" s="23" t="n">
        <x:v>1</x:v>
      </x:c>
      <x:c r="N1663" s="28" t="n">
        <x:v>46205.60628961805</x:v>
      </x:c>
      <x:c r="O1663" s="28" t="n">
        <x:v>46219.812988715275</x:v>
      </x:c>
      <x:c r="P1663" s="23" t="str">
        <x:v>CHAPADÃO DO SUL</x:v>
      </x:c>
      <x:c r="Q1663" s="30" t="n">
        <x:v>35504</x:v>
      </x:c>
      <x:c r="R1663" s="22" t="str">
        <x:f>"633184846"</x:f>
        <x:v>633184846</x:v>
      </x:c>
      <x:c r="S1663" s="23" t="str">
        <x:v>masculino</x:v>
      </x:c>
      <x:c r="T1663" s="22" t="str">
        <x:f>"EKV5C88"</x:f>
        <x:v>EKV5C88</x:v>
      </x:c>
      <x:c r="U1663" s="23" t="str">
        <x:v>ELIANE RODRIGUES ALVES DOS SANTOS</x:v>
      </x:c>
      <x:c r="V1663" s="22" t="str">
        <x:f>"053.982.874-27"</x:f>
        <x:v>053.982.874-27</x:v>
      </x:c>
      <x:c r="W1663" s="22" t="str">
        <x:f>"05398287427"</x:f>
        <x:v>05398287427</x:v>
      </x:c>
      <x:c r="X1663" s="23" t="str">
        <x:v>elianevila8@gmail.com</x:v>
      </x:c>
      <x:c r="Y1663" s="22" t="str">
        <x:f>"17992158339"</x:f>
        <x:v>17992158339</x:v>
      </x:c>
      <x:c r="Z1663" s="30" t="n">
        <x:v>46352</x:v>
      </x:c>
    </x:row>
    <x:row r="1664" ht="18" customHeight="1">
      <x:c r="A1664" s="22" t="str">
        <x:f>"6235ce4c-8798-459b-8a36-892314fdbcd7"</x:f>
        <x:v>6235ce4c-8798-459b-8a36-892314fdbcd7</x:v>
      </x:c>
      <x:c r="B1664" s="23" t="str">
        <x:v>IVETE BARRETO SIQUEIRA</x:v>
      </x:c>
      <x:c r="C1664" s="23" t="str">
        <x:v>ivete barreto siqueira</x:v>
      </x:c>
      <x:c r="D1664" s="22" t="str">
        <x:f>"17583497000110"</x:f>
        <x:v>17583497000110</x:v>
      </x:c>
      <x:c r="E1664" s="22" t="str">
        <x:f>"17583497000110"</x:f>
        <x:v>17583497000110</x:v>
      </x:c>
      <x:c r="F1664" s="22" t="str">
        <x:f>"01194225144"</x:f>
        <x:v>01194225144</x:v>
      </x:c>
      <x:c r="G1664" s="22" t="str">
        <x:f>"01194225144"</x:f>
        <x:v>01194225144</x:v>
      </x:c>
      <x:c r="H1664" s="23" t="str">
        <x:v>TRANSP.MD.BTG@GMAIL.COM</x:v>
      </x:c>
      <x:c r="I1664" s="22" t="str">
        <x:f>"6784767579"</x:f>
        <x:v>6784767579</x:v>
      </x:c>
      <x:c r="J1664" s="23" t="str">
        <x:v>RENTAL</x:v>
      </x:c>
      <x:c r="K1664" s="23" t="str">
        <x:v>rental_company</x:v>
      </x:c>
      <x:c r="L1664" s="24" t="b">
        <x:v>1</x:v>
      </x:c>
      <x:c r="M1664" s="23" t="n">
        <x:v>3</x:v>
      </x:c>
      <x:c r="N1664" s="28" t="n">
        <x:v>46203.92184908565</x:v>
      </x:c>
      <x:c r="O1664" s="28" t="n">
        <x:v>46203.92184908565</x:v>
      </x:c>
      <x:c r="P1664" s="23" t="str"/>
      <x:c r="Q1664" s="30" t="str"/>
      <x:c r="R1664" s="22" t="str"/>
      <x:c r="S1664" s="23" t="str"/>
      <x:c r="T1664" s="22" t="str"/>
      <x:c r="U1664" s="23" t="str">
        <x:v>IVETE BARRETO SIQUEIRA</x:v>
      </x:c>
      <x:c r="V1664" s="22" t="str">
        <x:f>"01194225144"</x:f>
        <x:v>01194225144</x:v>
      </x:c>
      <x:c r="W1664" s="22" t="str">
        <x:f>"01194225144"</x:f>
        <x:v>01194225144</x:v>
      </x:c>
      <x:c r="X1664" s="23" t="str">
        <x:v>ivetejanderson@gmail.com</x:v>
      </x:c>
      <x:c r="Y1664" s="22" t="str">
        <x:f>"67984828533"</x:f>
        <x:v>67984828533</x:v>
      </x:c>
      <x:c r="Z1664" s="30" t="str"/>
    </x:row>
    <x:row r="1665" ht="18" customHeight="1">
      <x:c r="A1665" s="22" t="str">
        <x:f>"9eb31395-72f2-44f6-aa29-e1298fc906e8"</x:f>
        <x:v>9eb31395-72f2-44f6-aa29-e1298fc906e8</x:v>
      </x:c>
      <x:c r="B1665" s="23" t="str">
        <x:v>IVO ANTONIO MILHOMEM DE CARVALHO</x:v>
      </x:c>
      <x:c r="C1665" s="23" t="str">
        <x:v>ivo antonio milhomem de carvalho</x:v>
      </x:c>
      <x:c r="D1665" s="22" t="str">
        <x:f>"67.599.350/0001-97"</x:f>
        <x:v>67.599.350/0001-97</x:v>
      </x:c>
      <x:c r="E1665" s="22" t="str">
        <x:f>"67599350000197"</x:f>
        <x:v>67599350000197</x:v>
      </x:c>
      <x:c r="F1665" s="22" t="str">
        <x:f>"703.483.141-67"</x:f>
        <x:v>703.483.141-67</x:v>
      </x:c>
      <x:c r="G1665" s="22" t="str">
        <x:f>"70348314167"</x:f>
        <x:v>70348314167</x:v>
      </x:c>
      <x:c r="H1665" s="23" t="str">
        <x:v>ivocarvalhocm@gmail.com</x:v>
      </x:c>
      <x:c r="I1665" s="22" t="str">
        <x:f>"62985290220"</x:f>
        <x:v>62985290220</x:v>
      </x:c>
      <x:c r="J1665" s="23" t="str">
        <x:v>SPOT</x:v>
      </x:c>
      <x:c r="K1665" s="23" t="str">
        <x:v>favored_only</x:v>
      </x:c>
      <x:c r="L1665" s="24" t="b">
        <x:v>1</x:v>
      </x:c>
      <x:c r="M1665" s="23" t="n">
        <x:v>1</x:v>
      </x:c>
      <x:c r="N1665" s="28" t="n">
        <x:v>46219.812988715275</x:v>
      </x:c>
      <x:c r="O1665" s="28" t="n">
        <x:v>46219.812988715275</x:v>
      </x:c>
      <x:c r="P1665" s="23" t="str">
        <x:v>GOIANIA</x:v>
      </x:c>
      <x:c r="Q1665" s="30" t="n">
        <x:v>32257</x:v>
      </x:c>
      <x:c r="R1665" s="22" t="str">
        <x:f>"5998439"</x:f>
        <x:v>5998439</x:v>
      </x:c>
      <x:c r="S1665" s="23" t="str">
        <x:v>masculino</x:v>
      </x:c>
      <x:c r="T1665" s="22" t="str">
        <x:f>"TFV8I86"</x:f>
        <x:v>TFV8I86</x:v>
      </x:c>
      <x:c r="U1665" s="23" t="str">
        <x:v>HARYEL KHIDER DA SILVA NUNES</x:v>
      </x:c>
      <x:c r="V1665" s="22" t="str">
        <x:f>"023.478.191-27"</x:f>
        <x:v>023.478.191-27</x:v>
      </x:c>
      <x:c r="W1665" s="22" t="str">
        <x:f>"02347819127"</x:f>
        <x:v>02347819127</x:v>
      </x:c>
      <x:c r="X1665" s="23" t="str">
        <x:v>Haryelkhider@gmail.com</x:v>
      </x:c>
      <x:c r="Y1665" s="22" t="str">
        <x:f>"62991371185"</x:f>
        <x:v>62991371185</x:v>
      </x:c>
      <x:c r="Z1665" s="30" t="n">
        <x:v>46575</x:v>
      </x:c>
    </x:row>
    <x:row r="1666" ht="18" customHeight="1">
      <x:c r="A1666" s="22" t="str">
        <x:f>"c523d09e-a226-4a11-8822-a9639e60466a"</x:f>
        <x:v>c523d09e-a226-4a11-8822-a9639e60466a</x:v>
      </x:c>
      <x:c r="B1666" s="23" t="str">
        <x:v>IVONALDO DA SILVA DOS SANTOS</x:v>
      </x:c>
      <x:c r="C1666" s="23" t="str">
        <x:v>ivonaldo da silva dos santos</x:v>
      </x:c>
      <x:c r="D1666" s="22" t="str">
        <x:f>"53.545.850/0001-31"</x:f>
        <x:v>53.545.850/0001-31</x:v>
      </x:c>
      <x:c r="E1666" s="22" t="str">
        <x:f>"53545850000131"</x:f>
        <x:v>53545850000131</x:v>
      </x:c>
      <x:c r="F1666" s="22" t="str">
        <x:f>"339.028.728-02"</x:f>
        <x:v>339.028.728-02</x:v>
      </x:c>
      <x:c r="G1666" s="22" t="str">
        <x:f>"33902872802"</x:f>
        <x:v>33902872802</x:v>
      </x:c>
      <x:c r="H1666" s="23" t="str">
        <x:v>Ivonaldosilva83@outlook.com</x:v>
      </x:c>
      <x:c r="I1666" s="22" t="str">
        <x:f>"18 99737-2092"</x:f>
        <x:v>18 99737-2092</x:v>
      </x:c>
      <x:c r="J1666" s="23" t="str">
        <x:v>SPOT</x:v>
      </x:c>
      <x:c r="K1666" s="23" t="str">
        <x:v>favored_only</x:v>
      </x:c>
      <x:c r="L1666" s="24" t="b">
        <x:v>1</x:v>
      </x:c>
      <x:c r="M1666" s="23" t="n">
        <x:v>1</x:v>
      </x:c>
      <x:c r="N1666" s="28" t="n">
        <x:v>46203.921858726855</x:v>
      </x:c>
      <x:c r="O1666" s="28" t="n">
        <x:v>46219.812988715275</x:v>
      </x:c>
      <x:c r="P1666" s="23" t="str">
        <x:v>ARAÇATUBA</x:v>
      </x:c>
      <x:c r="Q1666" s="30" t="n">
        <x:v>30493</x:v>
      </x:c>
      <x:c r="R1666" s="22" t="str">
        <x:f>"296145634"</x:f>
        <x:v>296145634</x:v>
      </x:c>
      <x:c r="S1666" s="23" t="str">
        <x:v>masculino</x:v>
      </x:c>
      <x:c r="T1666" s="22" t="str">
        <x:f>"BEL4A91"</x:f>
        <x:v>BEL4A91</x:v>
      </x:c>
      <x:c r="U1666" s="23" t="str">
        <x:v>IVONALDO DA SILVA DOS SANTOS</x:v>
      </x:c>
      <x:c r="V1666" s="22" t="str">
        <x:f>"339.028.728-02"</x:f>
        <x:v>339.028.728-02</x:v>
      </x:c>
      <x:c r="W1666" s="22" t="str">
        <x:f>"33902872802"</x:f>
        <x:v>33902872802</x:v>
      </x:c>
      <x:c r="X1666" s="23" t="str">
        <x:v>Ivonaldosilva83@outlook.com</x:v>
      </x:c>
      <x:c r="Y1666" s="22" t="str">
        <x:f>"18 99737-2092"</x:f>
        <x:v>18 99737-2092</x:v>
      </x:c>
      <x:c r="Z1666" s="30" t="n">
        <x:v>46263</x:v>
      </x:c>
    </x:row>
    <x:row r="1667" ht="18" customHeight="1">
      <x:c r="A1667" s="22" t="str">
        <x:f>"6bd8d2ad-313f-4027-9466-0c9c2328dae9"</x:f>
        <x:v>6bd8d2ad-313f-4027-9466-0c9c2328dae9</x:v>
      </x:c>
      <x:c r="B1667" s="23" t="str">
        <x:v>IZAEL SOUZA DA LUZ</x:v>
      </x:c>
      <x:c r="C1667" s="23" t="str">
        <x:v>izael souza da luz</x:v>
      </x:c>
      <x:c r="D1667" s="22" t="str">
        <x:f>"57.396.365/0001-02"</x:f>
        <x:v>57.396.365/0001-02</x:v>
      </x:c>
      <x:c r="E1667" s="22" t="str">
        <x:f>"57396365000102"</x:f>
        <x:v>57396365000102</x:v>
      </x:c>
      <x:c r="F1667" s="22" t="str">
        <x:f>"024.450.332-09"</x:f>
        <x:v>024.450.332-09</x:v>
      </x:c>
      <x:c r="G1667" s="22" t="str">
        <x:f>"02445033209"</x:f>
        <x:v>02445033209</x:v>
      </x:c>
      <x:c r="H1667" s="23" t="str">
        <x:v>izael12souza@gmail.com</x:v>
      </x:c>
      <x:c r="I1667" s="22" t="str">
        <x:f>"92 98470-4675"</x:f>
        <x:v>92 98470-4675</x:v>
      </x:c>
      <x:c r="J1667" s="23" t="str">
        <x:v>RENTAL</x:v>
      </x:c>
      <x:c r="K1667" s="23" t="str">
        <x:v>rental_company</x:v>
      </x:c>
      <x:c r="L1667" s="24" t="b">
        <x:v>1</x:v>
      </x:c>
      <x:c r="M1667" s="23" t="n">
        <x:v>1</x:v>
      </x:c>
      <x:c r="N1667" s="28" t="n">
        <x:v>46203.9218771875</x:v>
      </x:c>
      <x:c r="O1667" s="28" t="n">
        <x:v>46219.812988715275</x:v>
      </x:c>
      <x:c r="P1667" s="23" t="str">
        <x:v>GOIANIA</x:v>
      </x:c>
      <x:c r="Q1667" s="30" t="n">
        <x:v>35961</x:v>
      </x:c>
      <x:c r="R1667" s="22" t="str">
        <x:f>"26335026"</x:f>
        <x:v>26335026</x:v>
      </x:c>
      <x:c r="S1667" s="23" t="str">
        <x:v>masculino</x:v>
      </x:c>
      <x:c r="T1667" s="22" t="str"/>
      <x:c r="U1667" s="23" t="str">
        <x:v>IZAEL SOUZA DA LUZ</x:v>
      </x:c>
      <x:c r="V1667" s="22" t="str">
        <x:f>"024.450.332-09"</x:f>
        <x:v>024.450.332-09</x:v>
      </x:c>
      <x:c r="W1667" s="22" t="str">
        <x:f>"02445033209"</x:f>
        <x:v>02445033209</x:v>
      </x:c>
      <x:c r="X1667" s="23" t="str">
        <x:v>izael12souza@gmail.com</x:v>
      </x:c>
      <x:c r="Y1667" s="22" t="str">
        <x:f>"92 98470-4675"</x:f>
        <x:v>92 98470-4675</x:v>
      </x:c>
      <x:c r="Z1667" s="30" t="n">
        <x:v>46304</x:v>
      </x:c>
    </x:row>
    <x:row r="1668" ht="18" customHeight="1">
      <x:c r="A1668" s="22" t="str">
        <x:f>"e5a81302-3179-46fd-95b6-bf2eb5e950fa"</x:f>
        <x:v>e5a81302-3179-46fd-95b6-bf2eb5e950fa</x:v>
      </x:c>
      <x:c r="B1668" s="23" t="str">
        <x:v>IZIDORO RIBEIRO JUNIOR</x:v>
      </x:c>
      <x:c r="C1668" s="23" t="str">
        <x:v>izidoro ribeiro junior</x:v>
      </x:c>
      <x:c r="D1668" s="22" t="str">
        <x:f>"57.684.950/0001-08"</x:f>
        <x:v>57.684.950/0001-08</x:v>
      </x:c>
      <x:c r="E1668" s="22" t="str">
        <x:f>"57684950000108"</x:f>
        <x:v>57684950000108</x:v>
      </x:c>
      <x:c r="F1668" s="22" t="str">
        <x:f>"970.586.531-00"</x:f>
        <x:v>970.586.531-00</x:v>
      </x:c>
      <x:c r="G1668" s="22" t="str">
        <x:f>"97058653100"</x:f>
        <x:v>97058653100</x:v>
      </x:c>
      <x:c r="H1668" s="23" t="str">
        <x:v>rjmistercba@gmail.com</x:v>
      </x:c>
      <x:c r="I1668" s="22" t="str">
        <x:f>"65-999552577"</x:f>
        <x:v>65-999552577</x:v>
      </x:c>
      <x:c r="J1668" s="23" t="str">
        <x:v>SPOT</x:v>
      </x:c>
      <x:c r="K1668" s="23" t="str">
        <x:v>favored_only</x:v>
      </x:c>
      <x:c r="L1668" s="24" t="b">
        <x:v>1</x:v>
      </x:c>
      <x:c r="M1668" s="23" t="n">
        <x:v>1</x:v>
      </x:c>
      <x:c r="N1668" s="28" t="n">
        <x:v>46219.812988715275</x:v>
      </x:c>
      <x:c r="O1668" s="28" t="n">
        <x:v>46219.812988715275</x:v>
      </x:c>
      <x:c r="P1668" s="23" t="str">
        <x:v>CUIABA</x:v>
      </x:c>
      <x:c r="Q1668" s="30" t="n">
        <x:v>29990</x:v>
      </x:c>
      <x:c r="R1668" s="22" t="str">
        <x:f>"11839856"</x:f>
        <x:v>11839856</x:v>
      </x:c>
      <x:c r="S1668" s="23" t="str">
        <x:v>masculino</x:v>
      </x:c>
      <x:c r="T1668" s="22" t="str">
        <x:f>"RTU6D04"</x:f>
        <x:v>RTU6D04</x:v>
      </x:c>
      <x:c r="U1668" s="23" t="str">
        <x:v>THIAGO JUNIOR MEDEIROS RIBEIRO</x:v>
      </x:c>
      <x:c r="V1668" s="22" t="str">
        <x:f>"081.891.721-07"</x:f>
        <x:v>081.891.721-07</x:v>
      </x:c>
      <x:c r="W1668" s="22" t="str">
        <x:f>"08189172107"</x:f>
        <x:v>08189172107</x:v>
      </x:c>
      <x:c r="X1668" s="23" t="str">
        <x:v>Thiagocba1000@gmail.com</x:v>
      </x:c>
      <x:c r="Y1668" s="22" t="str">
        <x:f>"65993005648"</x:f>
        <x:v>65993005648</x:v>
      </x:c>
      <x:c r="Z1668" s="30" t="n">
        <x:v>46460</x:v>
      </x:c>
    </x:row>
    <x:row r="1669" ht="18" customHeight="1">
      <x:c r="A1669" s="22" t="str">
        <x:f>"3deddeb1-5a9f-4683-bcb6-875da6260180"</x:f>
        <x:v>3deddeb1-5a9f-4683-bcb6-875da6260180</x:v>
      </x:c>
      <x:c r="B1669" s="23" t="str">
        <x:v>JACIARA BEATRIZ ROSARIO DA SILVA</x:v>
      </x:c>
      <x:c r="C1669" s="23" t="str">
        <x:v>jaciara beatriz rosario da silva</x:v>
      </x:c>
      <x:c r="D1669" s="22" t="str">
        <x:f>"34.548.546/0001-01"</x:f>
        <x:v>34.548.546/0001-01</x:v>
      </x:c>
      <x:c r="E1669" s="22" t="str">
        <x:f>"34548546000101"</x:f>
        <x:v>34548546000101</x:v>
      </x:c>
      <x:c r="F1669" s="22" t="str">
        <x:f>"459.183.168-09"</x:f>
        <x:v>459.183.168-09</x:v>
      </x:c>
      <x:c r="G1669" s="22" t="str">
        <x:f>"45918316809"</x:f>
        <x:v>45918316809</x:v>
      </x:c>
      <x:c r="H1669" s="23" t="str">
        <x:v>jaciara-131@hotmail.com</x:v>
      </x:c>
      <x:c r="I1669" s="22" t="str">
        <x:f>"17997564642"</x:f>
        <x:v>17997564642</x:v>
      </x:c>
      <x:c r="J1669" s="23" t="str">
        <x:v>SPOT</x:v>
      </x:c>
      <x:c r="K1669" s="23" t="str">
        <x:v>favored_only</x:v>
      </x:c>
      <x:c r="L1669" s="24" t="b">
        <x:v>1</x:v>
      </x:c>
      <x:c r="M1669" s="23" t="n">
        <x:v>1</x:v>
      </x:c>
      <x:c r="N1669" s="28" t="n">
        <x:v>46205.60117400463</x:v>
      </x:c>
      <x:c r="O1669" s="28" t="n">
        <x:v>46219.812988715275</x:v>
      </x:c>
      <x:c r="P1669" s="23" t="str">
        <x:v>JALES</x:v>
      </x:c>
      <x:c r="Q1669" s="30" t="n">
        <x:v>35336</x:v>
      </x:c>
      <x:c r="R1669" s="22" t="str">
        <x:f>"45526807"</x:f>
        <x:v>45526807</x:v>
      </x:c>
      <x:c r="S1669" s="23" t="str">
        <x:v>feminino</x:v>
      </x:c>
      <x:c r="T1669" s="22" t="str">
        <x:f>"FFP2J81"</x:f>
        <x:v>FFP2J81</x:v>
      </x:c>
      <x:c r="U1669" s="23" t="str">
        <x:v>FERMINO E MOTA LTDA</x:v>
      </x:c>
      <x:c r="V1669" s="22" t="str">
        <x:f>"010.951.275-86"</x:f>
        <x:v>010.951.275-86</x:v>
      </x:c>
      <x:c r="W1669" s="22" t="str">
        <x:f>"01095127586"</x:f>
        <x:v>01095127586</x:v>
      </x:c>
      <x:c r="X1669" s="23" t="str">
        <x:v>almirrogeriomota@hotmail.com</x:v>
      </x:c>
      <x:c r="Y1669" s="22" t="str">
        <x:f>"34996654054"</x:f>
        <x:v>34996654054</x:v>
      </x:c>
      <x:c r="Z1669" s="30" t="n">
        <x:v>46294</x:v>
      </x:c>
    </x:row>
    <x:row r="1670" ht="18" customHeight="1">
      <x:c r="A1670" s="22" t="str">
        <x:f>"06bc49a3-3c16-40d4-b7e9-8ad123845018"</x:f>
        <x:v>06bc49a3-3c16-40d4-b7e9-8ad123845018</x:v>
      </x:c>
      <x:c r="B1670" s="23" t="str">
        <x:v>JACKELINE SCHAFER</x:v>
      </x:c>
      <x:c r="C1670" s="23" t="str">
        <x:v>jackeline schafer</x:v>
      </x:c>
      <x:c r="D1670" s="22" t="str">
        <x:f>"61.668.344/0001-68"</x:f>
        <x:v>61.668.344/0001-68</x:v>
      </x:c>
      <x:c r="E1670" s="22" t="str">
        <x:f>"61668344000168"</x:f>
        <x:v>61668344000168</x:v>
      </x:c>
      <x:c r="F1670" s="22" t="str">
        <x:f>"092.290.449-97"</x:f>
        <x:v>092.290.449-97</x:v>
      </x:c>
      <x:c r="G1670" s="22" t="str">
        <x:f>"09229044997"</x:f>
        <x:v>09229044997</x:v>
      </x:c>
      <x:c r="H1670" s="23" t="str">
        <x:v>jackelineschafer93@gmail.com</x:v>
      </x:c>
      <x:c r="I1670" s="22" t="str">
        <x:f>"31998991993"</x:f>
        <x:v>31998991993</x:v>
      </x:c>
      <x:c r="J1670" s="23" t="str">
        <x:v>SPOT</x:v>
      </x:c>
      <x:c r="K1670" s="23" t="str">
        <x:v>favored_only</x:v>
      </x:c>
      <x:c r="L1670" s="24" t="b">
        <x:v>1</x:v>
      </x:c>
      <x:c r="M1670" s="23" t="n">
        <x:v>1</x:v>
      </x:c>
      <x:c r="N1670" s="28" t="n">
        <x:v>46219.812988715275</x:v>
      </x:c>
      <x:c r="O1670" s="28" t="n">
        <x:v>46219.812988715275</x:v>
      </x:c>
      <x:c r="P1670" s="23" t="str">
        <x:v>VESPASIANO</x:v>
      </x:c>
      <x:c r="Q1670" s="30" t="n">
        <x:v>34110</x:v>
      </x:c>
      <x:c r="R1670" s="22" t="str">
        <x:f>"RG 5720550"</x:f>
        <x:v>RG 5720550</x:v>
      </x:c>
      <x:c r="S1670" s="23" t="str">
        <x:v>feminino</x:v>
      </x:c>
      <x:c r="T1670" s="22" t="str">
        <x:f>"TWZ6I49"</x:f>
        <x:v>TWZ6I49</x:v>
      </x:c>
      <x:c r="U1670" s="23" t="str">
        <x:v>MARCIO ALEXANDRE MOREIRA PINTO</x:v>
      </x:c>
      <x:c r="V1670" s="22" t="str">
        <x:f>"012.070.236-39"</x:f>
        <x:v>012.070.236-39</x:v>
      </x:c>
      <x:c r="W1670" s="22" t="str">
        <x:f>"01207023639"</x:f>
        <x:v>01207023639</x:v>
      </x:c>
      <x:c r="X1670" s="23" t="str">
        <x:v>marcioalexandremoreirapinto@gmail.com</x:v>
      </x:c>
      <x:c r="Y1670" s="22" t="str">
        <x:f>"31-971894380"</x:f>
        <x:v>31-971894380</x:v>
      </x:c>
      <x:c r="Z1670" s="30" t="n">
        <x:v>46403</x:v>
      </x:c>
    </x:row>
    <x:row r="1671" ht="18" customHeight="1">
      <x:c r="A1671" s="22" t="str">
        <x:f>"d747d238-50bd-4e0e-9da0-e386053db648"</x:f>
        <x:v>d747d238-50bd-4e0e-9da0-e386053db648</x:v>
      </x:c>
      <x:c r="B1671" s="23" t="str">
        <x:v>JACO JUNIOR LOPES</x:v>
      </x:c>
      <x:c r="C1671" s="23" t="str">
        <x:v>jaco junior lopes</x:v>
      </x:c>
      <x:c r="D1671" s="22" t="str">
        <x:f>"66.807.382/0001-78"</x:f>
        <x:v>66.807.382/0001-78</x:v>
      </x:c>
      <x:c r="E1671" s="22" t="str">
        <x:f>"66807382000178"</x:f>
        <x:v>66807382000178</x:v>
      </x:c>
      <x:c r="F1671" s="22" t="str">
        <x:f>"033.458.471-08"</x:f>
        <x:v>033.458.471-08</x:v>
      </x:c>
      <x:c r="G1671" s="22" t="str">
        <x:f>"03345847108"</x:f>
        <x:v>03345847108</x:v>
      </x:c>
      <x:c r="H1671" s="23" t="str">
        <x:v>jako-junior7@hotmail.com</x:v>
      </x:c>
      <x:c r="I1671" s="22" t="str">
        <x:f>"67981687491"</x:f>
        <x:v>67981687491</x:v>
      </x:c>
      <x:c r="J1671" s="23" t="str">
        <x:v>SPOT</x:v>
      </x:c>
      <x:c r="K1671" s="23" t="str">
        <x:v>favored_only</x:v>
      </x:c>
      <x:c r="L1671" s="24" t="b">
        <x:v>1</x:v>
      </x:c>
      <x:c r="M1671" s="23" t="n">
        <x:v>1</x:v>
      </x:c>
      <x:c r="N1671" s="28" t="n">
        <x:v>46219.812988715275</x:v>
      </x:c>
      <x:c r="O1671" s="28" t="n">
        <x:v>46219.812988715275</x:v>
      </x:c>
      <x:c r="P1671" s="23" t="str">
        <x:v>CHAPADÃO DO SUL</x:v>
      </x:c>
      <x:c r="Q1671" s="30" t="n">
        <x:v>32401</x:v>
      </x:c>
      <x:c r="R1671" s="22" t="str">
        <x:f>"1556739"</x:f>
        <x:v>1556739</x:v>
      </x:c>
      <x:c r="S1671" s="23" t="str">
        <x:v>masculino</x:v>
      </x:c>
      <x:c r="T1671" s="22" t="str">
        <x:f>"DYV3I58"</x:f>
        <x:v>DYV3I58</x:v>
      </x:c>
      <x:c r="U1671" s="23" t="str">
        <x:v>LEANDRO JUNIOR SOUZA DA SILVA</x:v>
      </x:c>
      <x:c r="V1671" s="22" t="str">
        <x:f>"026.959.001-39"</x:f>
        <x:v>026.959.001-39</x:v>
      </x:c>
      <x:c r="W1671" s="22" t="str">
        <x:f>"02695900139"</x:f>
        <x:v>02695900139</x:v>
      </x:c>
      <x:c r="X1671" s="23" t="str">
        <x:v>ramezfc10@gmail.com</x:v>
      </x:c>
      <x:c r="Y1671" s="22" t="str">
        <x:f>"67 9923-4528"</x:f>
        <x:v>67 9923-4528</x:v>
      </x:c>
      <x:c r="Z1671" s="30" t="n">
        <x:v>46581</x:v>
      </x:c>
    </x:row>
    <x:row r="1672" ht="18" customHeight="1">
      <x:c r="A1672" s="22" t="str">
        <x:f>"c78f5746-98fb-405f-a661-1aa71925561c"</x:f>
        <x:v>c78f5746-98fb-405f-a661-1aa71925561c</x:v>
      </x:c>
      <x:c r="B1672" s="23" t="str">
        <x:v>JACQUELINE SOARES DA SILVA</x:v>
      </x:c>
      <x:c r="C1672" s="23" t="str">
        <x:v>jacqueline soares da silva</x:v>
      </x:c>
      <x:c r="D1672" s="22" t="str">
        <x:f>"64.473.278/0001-69"</x:f>
        <x:v>64.473.278/0001-69</x:v>
      </x:c>
      <x:c r="E1672" s="22" t="str">
        <x:f>"64473278000169"</x:f>
        <x:v>64473278000169</x:v>
      </x:c>
      <x:c r="F1672" s="22" t="str">
        <x:f>"360.342.648-71"</x:f>
        <x:v>360.342.648-71</x:v>
      </x:c>
      <x:c r="G1672" s="22" t="str">
        <x:f>"36034264871"</x:f>
        <x:v>36034264871</x:v>
      </x:c>
      <x:c r="H1672" s="23" t="str">
        <x:v>Jacksoares38silva@gamil.com.br</x:v>
      </x:c>
      <x:c r="I1672" s="22" t="str">
        <x:f>"18991645513"</x:f>
        <x:v>18991645513</x:v>
      </x:c>
      <x:c r="J1672" s="23" t="str">
        <x:v>RENTAL</x:v>
      </x:c>
      <x:c r="K1672" s="23" t="str">
        <x:v>rental_company</x:v>
      </x:c>
      <x:c r="L1672" s="24" t="b">
        <x:v>1</x:v>
      </x:c>
      <x:c r="M1672" s="23" t="n">
        <x:v>1</x:v>
      </x:c>
      <x:c r="N1672" s="28" t="n">
        <x:v>46219.812988715275</x:v>
      </x:c>
      <x:c r="O1672" s="28" t="n">
        <x:v>46219.812988715275</x:v>
      </x:c>
      <x:c r="P1672" s="23" t="str">
        <x:v>PRESIDENTE PRUDENTE</x:v>
      </x:c>
      <x:c r="Q1672" s="30" t="n">
        <x:v>31927</x:v>
      </x:c>
      <x:c r="R1672" s="22" t="str">
        <x:f>"418310543"</x:f>
        <x:v>418310543</x:v>
      </x:c>
      <x:c r="S1672" s="23" t="str">
        <x:v>feminino</x:v>
      </x:c>
      <x:c r="T1672" s="22" t="str"/>
      <x:c r="U1672" s="23" t="str">
        <x:v>JACQUELINE SOARES DA SILVA</x:v>
      </x:c>
      <x:c r="V1672" s="22" t="str">
        <x:f>"360.342.648-71"</x:f>
        <x:v>360.342.648-71</x:v>
      </x:c>
      <x:c r="W1672" s="22" t="str">
        <x:f>"36034264871"</x:f>
        <x:v>36034264871</x:v>
      </x:c>
      <x:c r="X1672" s="23" t="str">
        <x:v>Jacksoares38silva@gamil.com.br</x:v>
      </x:c>
      <x:c r="Y1672" s="22" t="str">
        <x:f>"18991645513"</x:f>
        <x:v>18991645513</x:v>
      </x:c>
      <x:c r="Z1672" s="30" t="n">
        <x:v>46497</x:v>
      </x:c>
    </x:row>
    <x:row r="1673" ht="18" customHeight="1">
      <x:c r="A1673" s="22" t="str">
        <x:f>"7b87ed37-3149-49d6-b433-3a5c4d53eca3"</x:f>
        <x:v>7b87ed37-3149-49d6-b433-3a5c4d53eca3</x:v>
      </x:c>
      <x:c r="B1673" s="23" t="str">
        <x:v>JACSILEY PAIVA DE OLIVEIRA</x:v>
      </x:c>
      <x:c r="C1673" s="23" t="str">
        <x:v>jacsiley paiva de oliveira</x:v>
      </x:c>
      <x:c r="D1673" s="22" t="str">
        <x:f>"47.028.995/0001-62"</x:f>
        <x:v>47.028.995/0001-62</x:v>
      </x:c>
      <x:c r="E1673" s="22" t="str">
        <x:f>"47028995000162"</x:f>
        <x:v>47028995000162</x:v>
      </x:c>
      <x:c r="F1673" s="22" t="str">
        <x:f>"025.223.156-25"</x:f>
        <x:v>025.223.156-25</x:v>
      </x:c>
      <x:c r="G1673" s="22" t="str">
        <x:f>"02522315625"</x:f>
        <x:v>02522315625</x:v>
      </x:c>
      <x:c r="H1673" s="23" t="str">
        <x:v>jacsiley@gmail.com</x:v>
      </x:c>
      <x:c r="I1673" s="22" t="str">
        <x:f>"31 9 98807-1270"</x:f>
        <x:v>31 9 98807-1270</x:v>
      </x:c>
      <x:c r="J1673" s="23" t="str">
        <x:v>SPOT</x:v>
      </x:c>
      <x:c r="K1673" s="23" t="str">
        <x:v>favored_only</x:v>
      </x:c>
      <x:c r="L1673" s="24" t="b">
        <x:v>1</x:v>
      </x:c>
      <x:c r="M1673" s="23" t="n">
        <x:v>1</x:v>
      </x:c>
      <x:c r="N1673" s="28" t="n">
        <x:v>46203.9219084375</x:v>
      </x:c>
      <x:c r="O1673" s="28" t="n">
        <x:v>46219.812988715275</x:v>
      </x:c>
      <x:c r="P1673" s="23" t="str">
        <x:v>VESPASIANO</x:v>
      </x:c>
      <x:c r="Q1673" s="30" t="n">
        <x:v>27639</x:v>
      </x:c>
      <x:c r="R1673" s="22" t="str">
        <x:f>"M7686083"</x:f>
        <x:v>M7686083</x:v>
      </x:c>
      <x:c r="S1673" s="23" t="str">
        <x:v>masculino</x:v>
      </x:c>
      <x:c r="T1673" s="22" t="str">
        <x:f>"RNW0A06"</x:f>
        <x:v>RNW0A06</x:v>
      </x:c>
      <x:c r="U1673" s="23" t="str">
        <x:v>JACSILEY PAIVA DE OLIVEIRA</x:v>
      </x:c>
      <x:c r="V1673" s="22" t="str">
        <x:f>"025.223.156-25"</x:f>
        <x:v>025.223.156-25</x:v>
      </x:c>
      <x:c r="W1673" s="22" t="str">
        <x:f>"02522315625"</x:f>
        <x:v>02522315625</x:v>
      </x:c>
      <x:c r="X1673" s="23" t="str">
        <x:v>jacsiley@gmail.com</x:v>
      </x:c>
      <x:c r="Y1673" s="22" t="str">
        <x:f>"31 9 98807-1270"</x:f>
        <x:v>31 9 98807-1270</x:v>
      </x:c>
      <x:c r="Z1673" s="30" t="n">
        <x:v>46393</x:v>
      </x:c>
    </x:row>
    <x:row r="1674" ht="18" customHeight="1">
      <x:c r="A1674" s="22" t="str">
        <x:f>"5f6ce85a-faba-4ca0-b095-485d37c53a6f"</x:f>
        <x:v>5f6ce85a-faba-4ca0-b095-485d37c53a6f</x:v>
      </x:c>
      <x:c r="B1674" s="23" t="str">
        <x:v>JADHER ROSA DE SOUZA ALIVEIRA</x:v>
      </x:c>
      <x:c r="C1674" s="23" t="str">
        <x:v>jadher rosa de souza aliveira</x:v>
      </x:c>
      <x:c r="D1674" s="22" t="str">
        <x:f>"58.226.004/0001-72"</x:f>
        <x:v>58.226.004/0001-72</x:v>
      </x:c>
      <x:c r="E1674" s="22" t="str">
        <x:f>"58226004000172"</x:f>
        <x:v>58226004000172</x:v>
      </x:c>
      <x:c r="F1674" s="22" t="str">
        <x:f>"023.281.591-76"</x:f>
        <x:v>023.281.591-76</x:v>
      </x:c>
      <x:c r="G1674" s="22" t="str">
        <x:f>"02328159176"</x:f>
        <x:v>02328159176</x:v>
      </x:c>
      <x:c r="H1674" s="23" t="str">
        <x:v>jadherrosa.contato@gmail.com</x:v>
      </x:c>
      <x:c r="I1674" s="22" t="str">
        <x:f>"62998319474"</x:f>
        <x:v>62998319474</x:v>
      </x:c>
      <x:c r="J1674" s="23" t="str">
        <x:v>RENTAL</x:v>
      </x:c>
      <x:c r="K1674" s="23" t="str">
        <x:v>rental_company</x:v>
      </x:c>
      <x:c r="L1674" s="24" t="b">
        <x:v>1</x:v>
      </x:c>
      <x:c r="M1674" s="23" t="n">
        <x:v>1</x:v>
      </x:c>
      <x:c r="N1674" s="28" t="n">
        <x:v>46219.812988715275</x:v>
      </x:c>
      <x:c r="O1674" s="28" t="n">
        <x:v>46219.812988715275</x:v>
      </x:c>
      <x:c r="P1674" s="23" t="str">
        <x:v>GOIANIA</x:v>
      </x:c>
      <x:c r="Q1674" s="30" t="n">
        <x:v>32405</x:v>
      </x:c>
      <x:c r="R1674" s="22" t="str">
        <x:f>"4866734"</x:f>
        <x:v>4866734</x:v>
      </x:c>
      <x:c r="S1674" s="23" t="str">
        <x:v>masculino</x:v>
      </x:c>
      <x:c r="T1674" s="22" t="str"/>
      <x:c r="U1674" s="23" t="str">
        <x:v>JADHER ROSA DE SOUZA ALIVEIRA</x:v>
      </x:c>
      <x:c r="V1674" s="22" t="str">
        <x:f>"023.281.591-76"</x:f>
        <x:v>023.281.591-76</x:v>
      </x:c>
      <x:c r="W1674" s="22" t="str">
        <x:f>"02328159176"</x:f>
        <x:v>02328159176</x:v>
      </x:c>
      <x:c r="X1674" s="23" t="str">
        <x:v>jadherrosa.contato@gmail.com</x:v>
      </x:c>
      <x:c r="Y1674" s="22" t="str">
        <x:f>"62998319474"</x:f>
        <x:v>62998319474</x:v>
      </x:c>
      <x:c r="Z1674" s="30" t="n">
        <x:v>46438</x:v>
      </x:c>
    </x:row>
    <x:row r="1675" ht="18" customHeight="1">
      <x:c r="A1675" s="22" t="str">
        <x:f>"a6a9002c-3be3-49af-bb4f-ff52f2732db3"</x:f>
        <x:v>a6a9002c-3be3-49af-bb4f-ff52f2732db3</x:v>
      </x:c>
      <x:c r="B1675" s="23" t="str">
        <x:v>JAHIR SA NETO</x:v>
      </x:c>
      <x:c r="C1675" s="23" t="str">
        <x:v>jahir sa neto</x:v>
      </x:c>
      <x:c r="D1675" s="22" t="str">
        <x:f>"64.919.774/0001-01"</x:f>
        <x:v>64.919.774/0001-01</x:v>
      </x:c>
      <x:c r="E1675" s="22" t="str">
        <x:f>"64919774000101"</x:f>
        <x:v>64919774000101</x:v>
      </x:c>
      <x:c r="F1675" s="22" t="str">
        <x:f>"063.210.617-43"</x:f>
        <x:v>063.210.617-43</x:v>
      </x:c>
      <x:c r="G1675" s="22" t="str">
        <x:f>"06321061743"</x:f>
        <x:v>06321061743</x:v>
      </x:c>
      <x:c r="H1675" s="23" t="str">
        <x:v>jahirsa58@gmail.com</x:v>
      </x:c>
      <x:c r="I1675" s="22" t="str">
        <x:f>"22998581109"</x:f>
        <x:v>22998581109</x:v>
      </x:c>
      <x:c r="J1675" s="23" t="str">
        <x:v>SPOT</x:v>
      </x:c>
      <x:c r="K1675" s="23" t="str">
        <x:v>favored_only</x:v>
      </x:c>
      <x:c r="L1675" s="24" t="b">
        <x:v>1</x:v>
      </x:c>
      <x:c r="M1675" s="23" t="n">
        <x:v>1</x:v>
      </x:c>
      <x:c r="N1675" s="28" t="n">
        <x:v>46219.812988715275</x:v>
      </x:c>
      <x:c r="O1675" s="28" t="n">
        <x:v>46219.812988715275</x:v>
      </x:c>
      <x:c r="P1675" s="23" t="str">
        <x:v>CAMPOS DOS GOYTACAZES</x:v>
      </x:c>
      <x:c r="Q1675" s="30" t="n">
        <x:v>36130</x:v>
      </x:c>
      <x:c r="R1675" s="22" t="str">
        <x:f>"6998554720"</x:f>
        <x:v>6998554720</x:v>
      </x:c>
      <x:c r="S1675" s="23" t="str">
        <x:v>masculino</x:v>
      </x:c>
      <x:c r="T1675" s="22" t="str">
        <x:f>"PVA3G44"</x:f>
        <x:v>PVA3G44</x:v>
      </x:c>
      <x:c r="U1675" s="23" t="str">
        <x:v>MARCUS DA SILVA SA</x:v>
      </x:c>
      <x:c r="V1675" s="22" t="str">
        <x:f>"139.295.487-80"</x:f>
        <x:v>139.295.487-80</x:v>
      </x:c>
      <x:c r="W1675" s="22" t="str">
        <x:f>"13929548780"</x:f>
        <x:v>13929548780</x:v>
      </x:c>
      <x:c r="X1675" s="23" t="str">
        <x:v>marcussilvasa3@hotmail.com</x:v>
      </x:c>
      <x:c r="Y1675" s="22" t="str">
        <x:f>"22999499917"</x:f>
        <x:v>22999499917</x:v>
      </x:c>
      <x:c r="Z1675" s="30" t="n">
        <x:v>46537</x:v>
      </x:c>
    </x:row>
    <x:row r="1676" ht="18" customHeight="1">
      <x:c r="A1676" s="22" t="str">
        <x:f>"76fd1947-0789-45c4-a04b-5507ced0f3f5"</x:f>
        <x:v>76fd1947-0789-45c4-a04b-5507ced0f3f5</x:v>
      </x:c>
      <x:c r="B1676" s="23" t="str">
        <x:v>JAILSON DE JESUS SANTIAGO</x:v>
      </x:c>
      <x:c r="C1676" s="23" t="str">
        <x:v>jailson de jesus santiago</x:v>
      </x:c>
      <x:c r="D1676" s="22" t="str">
        <x:f>"33.780.724/0001-54"</x:f>
        <x:v>33.780.724/0001-54</x:v>
      </x:c>
      <x:c r="E1676" s="22" t="str">
        <x:f>"33780724000154"</x:f>
        <x:v>33780724000154</x:v>
      </x:c>
      <x:c r="F1676" s="22" t="str">
        <x:f>"087.370.916-03"</x:f>
        <x:v>087.370.916-03</x:v>
      </x:c>
      <x:c r="G1676" s="22" t="str">
        <x:f>"08737091603"</x:f>
        <x:v>08737091603</x:v>
      </x:c>
      <x:c r="H1676" s="23" t="str">
        <x:v>jesusjailson08@gmail.com</x:v>
      </x:c>
      <x:c r="I1676" s="22" t="str">
        <x:f>"31988400926"</x:f>
        <x:v>31988400926</x:v>
      </x:c>
      <x:c r="J1676" s="23" t="str">
        <x:v>SPOT</x:v>
      </x:c>
      <x:c r="K1676" s="23" t="str">
        <x:v>favored_only</x:v>
      </x:c>
      <x:c r="L1676" s="24" t="b">
        <x:v>1</x:v>
      </x:c>
      <x:c r="M1676" s="23" t="n">
        <x:v>1</x:v>
      </x:c>
      <x:c r="N1676" s="28" t="n">
        <x:v>46205.604645266205</x:v>
      </x:c>
      <x:c r="O1676" s="28" t="n">
        <x:v>46219.812988715275</x:v>
      </x:c>
      <x:c r="P1676" s="23" t="str">
        <x:v>CONTAGEM</x:v>
      </x:c>
      <x:c r="Q1676" s="30" t="n">
        <x:v>32707</x:v>
      </x:c>
      <x:c r="R1676" s="22" t="str">
        <x:f>"12269113"</x:f>
        <x:v>12269113</x:v>
      </x:c>
      <x:c r="S1676" s="23" t="str">
        <x:v>masculino</x:v>
      </x:c>
      <x:c r="T1676" s="22" t="str">
        <x:f>"RTF9B16"</x:f>
        <x:v>RTF9B16</x:v>
      </x:c>
      <x:c r="U1676" s="23" t="str">
        <x:v>LUIZ GUSTAVO ALVES DE MACEDO</x:v>
      </x:c>
      <x:c r="V1676" s="22" t="str">
        <x:f>"065.748.706-66"</x:f>
        <x:v>065.748.706-66</x:v>
      </x:c>
      <x:c r="W1676" s="22" t="str">
        <x:f>"06574870666"</x:f>
        <x:v>06574870666</x:v>
      </x:c>
      <x:c r="X1676" s="23" t="str">
        <x:v>emporiocaicarabh@gmail.com</x:v>
      </x:c>
      <x:c r="Y1676" s="22" t="str">
        <x:f>"31996421113"</x:f>
        <x:v>31996421113</x:v>
      </x:c>
      <x:c r="Z1676" s="30" t="n">
        <x:v>46288</x:v>
      </x:c>
    </x:row>
    <x:row r="1677" ht="18" customHeight="1">
      <x:c r="A1677" s="22" t="str">
        <x:f>"93cd6cfd-4598-4cec-be3f-0a8443117228"</x:f>
        <x:v>93cd6cfd-4598-4cec-be3f-0a8443117228</x:v>
      </x:c>
      <x:c r="B1677" s="23" t="str">
        <x:v>JAILSON DE JESUS SANTIAGO</x:v>
      </x:c>
      <x:c r="C1677" s="23" t="str">
        <x:v>jailson de jesus santiago</x:v>
      </x:c>
      <x:c r="D1677" s="22" t="str">
        <x:f>"62.877.179/0001-17"</x:f>
        <x:v>62.877.179/0001-17</x:v>
      </x:c>
      <x:c r="E1677" s="22" t="str">
        <x:f>"62877179000117"</x:f>
        <x:v>62877179000117</x:v>
      </x:c>
      <x:c r="F1677" s="22" t="str">
        <x:f>"087.370.916-03"</x:f>
        <x:v>087.370.916-03</x:v>
      </x:c>
      <x:c r="G1677" s="22" t="str">
        <x:f>"08737091603"</x:f>
        <x:v>08737091603</x:v>
      </x:c>
      <x:c r="H1677" s="23" t="str">
        <x:v>jesusjailson08@gmail.com</x:v>
      </x:c>
      <x:c r="I1677" s="22" t="str">
        <x:f>"31988400926"</x:f>
        <x:v>31988400926</x:v>
      </x:c>
      <x:c r="J1677" s="23" t="str">
        <x:v>RENTAL</x:v>
      </x:c>
      <x:c r="K1677" s="23" t="str">
        <x:v>favored_only</x:v>
      </x:c>
      <x:c r="L1677" s="24" t="b">
        <x:v>1</x:v>
      </x:c>
      <x:c r="M1677" s="23" t="n">
        <x:v>2</x:v>
      </x:c>
      <x:c r="N1677" s="28" t="n">
        <x:v>46203.9218771875</x:v>
      </x:c>
      <x:c r="O1677" s="28" t="n">
        <x:v>46219.812988715275</x:v>
      </x:c>
      <x:c r="P1677" s="23" t="str">
        <x:v>CONTAGEM</x:v>
      </x:c>
      <x:c r="Q1677" s="30" t="n">
        <x:v>32707</x:v>
      </x:c>
      <x:c r="R1677" s="22" t="str">
        <x:f>"MG12269113"</x:f>
        <x:v>MG12269113</x:v>
      </x:c>
      <x:c r="S1677" s="23" t="str">
        <x:v>masculino</x:v>
      </x:c>
      <x:c r="T1677" s="22" t="str">
        <x:f>"RTF9B16"</x:f>
        <x:v>RTF9B16</x:v>
      </x:c>
      <x:c r="U1677" s="23" t="str">
        <x:v>JAILSON DE JESUS SANTIAGO</x:v>
      </x:c>
      <x:c r="V1677" s="22" t="str">
        <x:f>"087.370.916-03"</x:f>
        <x:v>087.370.916-03</x:v>
      </x:c>
      <x:c r="W1677" s="22" t="str">
        <x:f>"08737091603"</x:f>
        <x:v>08737091603</x:v>
      </x:c>
      <x:c r="X1677" s="23" t="str">
        <x:v>jesusjailson08@gmail.com</x:v>
      </x:c>
      <x:c r="Y1677" s="22" t="str">
        <x:f>"31988400926"</x:f>
        <x:v>31988400926</x:v>
      </x:c>
      <x:c r="Z1677" s="30" t="n">
        <x:v>46407</x:v>
      </x:c>
    </x:row>
    <x:row r="1678" ht="18" customHeight="1">
      <x:c r="A1678" s="22" t="str">
        <x:f>"a28b8576-30cb-4926-939c-306541a7ac2d"</x:f>
        <x:v>a28b8576-30cb-4926-939c-306541a7ac2d</x:v>
      </x:c>
      <x:c r="B1678" s="23" t="str">
        <x:v>JAILSON IGLESSIA DA VEIGA</x:v>
      </x:c>
      <x:c r="C1678" s="23" t="str">
        <x:v>jailson iglessia da veiga</x:v>
      </x:c>
      <x:c r="D1678" s="22" t="str">
        <x:f>"67.858.192/0001-42"</x:f>
        <x:v>67.858.192/0001-42</x:v>
      </x:c>
      <x:c r="E1678" s="22" t="str">
        <x:f>"67858192000142"</x:f>
        <x:v>67858192000142</x:v>
      </x:c>
      <x:c r="F1678" s="22" t="str">
        <x:f>"041.968.911-79"</x:f>
        <x:v>041.968.911-79</x:v>
      </x:c>
      <x:c r="G1678" s="22" t="str">
        <x:f>"04196891179"</x:f>
        <x:v>04196891179</x:v>
      </x:c>
      <x:c r="H1678" s="23" t="str">
        <x:v>jaisoniglessia@gmail.com</x:v>
      </x:c>
      <x:c r="I1678" s="22" t="str">
        <x:f>"67 9833-3189"</x:f>
        <x:v>67 9833-3189</x:v>
      </x:c>
      <x:c r="J1678" s="23" t="str">
        <x:v>rental</x:v>
      </x:c>
      <x:c r="K1678" s="23" t="str">
        <x:v>rental_company</x:v>
      </x:c>
      <x:c r="L1678" s="24" t="b">
        <x:v>1</x:v>
      </x:c>
      <x:c r="M1678" s="23" t="n">
        <x:v>1</x:v>
      </x:c>
      <x:c r="N1678" s="28" t="n">
        <x:v>46219.812988715275</x:v>
      </x:c>
      <x:c r="O1678" s="28" t="n">
        <x:v>46219.812988715275</x:v>
      </x:c>
      <x:c r="P1678" s="23" t="str">
        <x:v>CHAPADÃO DO SUL</x:v>
      </x:c>
      <x:c r="Q1678" s="30" t="n">
        <x:v>33041</x:v>
      </x:c>
      <x:c r="R1678" s="22" t="str">
        <x:f>"4196891179"</x:f>
        <x:v>4196891179</x:v>
      </x:c>
      <x:c r="S1678" s="23" t="str">
        <x:v>masculino</x:v>
      </x:c>
      <x:c r="T1678" s="22" t="str"/>
      <x:c r="U1678" s="23" t="str">
        <x:v>JAILSON IGLESSIA DA VEIGA</x:v>
      </x:c>
      <x:c r="V1678" s="22" t="str">
        <x:f>"041.968.911-79"</x:f>
        <x:v>041.968.911-79</x:v>
      </x:c>
      <x:c r="W1678" s="22" t="str">
        <x:f>"04196891179"</x:f>
        <x:v>04196891179</x:v>
      </x:c>
      <x:c r="X1678" s="23" t="str">
        <x:v>jaisoniglessia@gmail.com</x:v>
      </x:c>
      <x:c r="Y1678" s="22" t="str">
        <x:f>"67 9833-3189"</x:f>
        <x:v>67 9833-3189</x:v>
      </x:c>
      <x:c r="Z1678" s="30" t="n">
        <x:v>46574</x:v>
      </x:c>
    </x:row>
    <x:row r="1679" ht="18" customHeight="1">
      <x:c r="A1679" s="22" t="str">
        <x:f>"0662aee1-1017-4a19-9bf2-adfad7293d07"</x:f>
        <x:v>0662aee1-1017-4a19-9bf2-adfad7293d07</x:v>
      </x:c>
      <x:c r="B1679" s="23" t="str">
        <x:v>JAIME MARQUES DE OLIVEIRA</x:v>
      </x:c>
      <x:c r="C1679" s="23" t="str">
        <x:v>jaime marques de oliveira</x:v>
      </x:c>
      <x:c r="D1679" s="22" t="str">
        <x:f>"47.989.167/0001-90"</x:f>
        <x:v>47.989.167/0001-90</x:v>
      </x:c>
      <x:c r="E1679" s="22" t="str">
        <x:f>"47989167000190"</x:f>
        <x:v>47989167000190</x:v>
      </x:c>
      <x:c r="F1679" s="22" t="str">
        <x:f>"092.260.126-79"</x:f>
        <x:v>092.260.126-79</x:v>
      </x:c>
      <x:c r="G1679" s="22" t="str">
        <x:f>"09226012679"</x:f>
        <x:v>09226012679</x:v>
      </x:c>
      <x:c r="H1679" s="23" t="str">
        <x:v>jaimemarques960@gmail.com</x:v>
      </x:c>
      <x:c r="I1679" s="22" t="str">
        <x:f>"(31)985281868"</x:f>
        <x:v>(31)985281868</x:v>
      </x:c>
      <x:c r="J1679" s="23" t="str">
        <x:v>RENTAL</x:v>
      </x:c>
      <x:c r="K1679" s="23" t="str">
        <x:v>rental_company</x:v>
      </x:c>
      <x:c r="L1679" s="24" t="b">
        <x:v>1</x:v>
      </x:c>
      <x:c r="M1679" s="23" t="n">
        <x:v>1</x:v>
      </x:c>
      <x:c r="N1679" s="28" t="n">
        <x:v>46203.92183332176</x:v>
      </x:c>
      <x:c r="O1679" s="28" t="n">
        <x:v>46219.812988715275</x:v>
      </x:c>
      <x:c r="P1679" s="23" t="str">
        <x:v>VESPASIANO</x:v>
      </x:c>
      <x:c r="Q1679" s="30" t="n">
        <x:v>32678</x:v>
      </x:c>
      <x:c r="R1679" s="22" t="str">
        <x:f>"MG15956999"</x:f>
        <x:v>MG15956999</x:v>
      </x:c>
      <x:c r="S1679" s="23" t="str">
        <x:v>masculino</x:v>
      </x:c>
      <x:c r="T1679" s="22" t="str"/>
      <x:c r="U1679" s="23" t="str">
        <x:v>JAIME MARQUES DE OLIVEIRA</x:v>
      </x:c>
      <x:c r="V1679" s="22" t="str">
        <x:f>"092.260.126-79"</x:f>
        <x:v>092.260.126-79</x:v>
      </x:c>
      <x:c r="W1679" s="22" t="str">
        <x:f>"09226012679"</x:f>
        <x:v>09226012679</x:v>
      </x:c>
      <x:c r="X1679" s="23" t="str">
        <x:v>jaimemarques960@gmail.com</x:v>
      </x:c>
      <x:c r="Y1679" s="22" t="str">
        <x:f>"(31)985281868"</x:f>
        <x:v>(31)985281868</x:v>
      </x:c>
      <x:c r="Z1679" s="30" t="n">
        <x:v>46533</x:v>
      </x:c>
    </x:row>
    <x:row r="1680" ht="18" customHeight="1">
      <x:c r="A1680" s="22" t="str">
        <x:f>"37706096-a777-47ac-8563-eb9ef717009c"</x:f>
        <x:v>37706096-a777-47ac-8563-eb9ef717009c</x:v>
      </x:c>
      <x:c r="B1680" s="23" t="str">
        <x:v>JAIME TEIXEIRA ROSA JUNIOR</x:v>
      </x:c>
      <x:c r="C1680" s="23" t="str">
        <x:v>jaime teixeira rosa junior</x:v>
      </x:c>
      <x:c r="D1680" s="22" t="str">
        <x:f>"65.178.787/0001-21"</x:f>
        <x:v>65.178.787/0001-21</x:v>
      </x:c>
      <x:c r="E1680" s="22" t="str">
        <x:f>"65178787000121"</x:f>
        <x:v>65178787000121</x:v>
      </x:c>
      <x:c r="F1680" s="22" t="str">
        <x:f>"061.242.961-01"</x:f>
        <x:v>061.242.961-01</x:v>
      </x:c>
      <x:c r="G1680" s="22" t="str">
        <x:f>"06124296101"</x:f>
        <x:v>06124296101</x:v>
      </x:c>
      <x:c r="H1680" s="23" t="str">
        <x:v>jaime0o0teixeira@gmail.com</x:v>
      </x:c>
      <x:c r="I1680" s="22" t="str">
        <x:f>"65996506237"</x:f>
        <x:v>65996506237</x:v>
      </x:c>
      <x:c r="J1680" s="23" t="str">
        <x:v>SPOT</x:v>
      </x:c>
      <x:c r="K1680" s="23" t="str">
        <x:v>favored_only</x:v>
      </x:c>
      <x:c r="L1680" s="24" t="b">
        <x:v>1</x:v>
      </x:c>
      <x:c r="M1680" s="23" t="n">
        <x:v>1</x:v>
      </x:c>
      <x:c r="N1680" s="28" t="n">
        <x:v>46219.812988715275</x:v>
      </x:c>
      <x:c r="O1680" s="28" t="n">
        <x:v>46219.812988715275</x:v>
      </x:c>
      <x:c r="P1680" s="23" t="str">
        <x:v>PONTES E LACERDA</x:v>
      </x:c>
      <x:c r="Q1680" s="30" t="n">
        <x:v>37664</x:v>
      </x:c>
      <x:c r="R1680" s="22" t="str">
        <x:f>"31703801"</x:f>
        <x:v>31703801</x:v>
      </x:c>
      <x:c r="S1680" s="23" t="str">
        <x:v>masculino</x:v>
      </x:c>
      <x:c r="T1680" s="22" t="str">
        <x:f>"OBM8J36"</x:f>
        <x:v>OBM8J36</x:v>
      </x:c>
      <x:c r="U1680" s="23" t="str">
        <x:v>JAIME TEIXEIRA ROSA JUNIOR</x:v>
      </x:c>
      <x:c r="V1680" s="22" t="str">
        <x:f>"061.242.961-01"</x:f>
        <x:v>061.242.961-01</x:v>
      </x:c>
      <x:c r="W1680" s="22" t="str">
        <x:f>"06124296101"</x:f>
        <x:v>06124296101</x:v>
      </x:c>
      <x:c r="X1680" s="23" t="str">
        <x:v>jaime0o0teixeira@gmail.com</x:v>
      </x:c>
      <x:c r="Y1680" s="22" t="str">
        <x:f>"65996506237"</x:f>
        <x:v>65996506237</x:v>
      </x:c>
      <x:c r="Z1680" s="30" t="n">
        <x:v>46452</x:v>
      </x:c>
    </x:row>
    <x:row r="1681" ht="18" customHeight="1">
      <x:c r="A1681" s="22" t="str">
        <x:f>"4086d336-e2ff-4458-8f5c-bbc0ef624198"</x:f>
        <x:v>4086d336-e2ff-4458-8f5c-bbc0ef624198</x:v>
      </x:c>
      <x:c r="B1681" s="23" t="str">
        <x:v>JAIR ANDRADE</x:v>
      </x:c>
      <x:c r="C1681" s="23" t="str">
        <x:v>jair andrade</x:v>
      </x:c>
      <x:c r="D1681" s="22" t="str">
        <x:f>"41.777.536/0001-03"</x:f>
        <x:v>41.777.536/0001-03</x:v>
      </x:c>
      <x:c r="E1681" s="22" t="str">
        <x:f>"41777536000103"</x:f>
        <x:v>41777536000103</x:v>
      </x:c>
      <x:c r="F1681" s="22" t="str">
        <x:f>"979.878.087-68"</x:f>
        <x:v>979.878.087-68</x:v>
      </x:c>
      <x:c r="G1681" s="22" t="str">
        <x:f>"97987808768"</x:f>
        <x:v>97987808768</x:v>
      </x:c>
      <x:c r="H1681" s="23" t="str">
        <x:v>Jair.andrade72@gmail.com</x:v>
      </x:c>
      <x:c r="I1681" s="22" t="str">
        <x:f>"21964387662"</x:f>
        <x:v>21964387662</x:v>
      </x:c>
      <x:c r="J1681" s="23" t="str">
        <x:v>SPOT</x:v>
      </x:c>
      <x:c r="K1681" s="23" t="str">
        <x:v>favored_only</x:v>
      </x:c>
      <x:c r="L1681" s="24" t="b">
        <x:v>1</x:v>
      </x:c>
      <x:c r="M1681" s="23" t="n">
        <x:v>1</x:v>
      </x:c>
      <x:c r="N1681" s="28" t="n">
        <x:v>46219.812988715275</x:v>
      </x:c>
      <x:c r="O1681" s="28" t="n">
        <x:v>46219.812988715275</x:v>
      </x:c>
      <x:c r="P1681" s="23" t="str">
        <x:v>ITABORAI</x:v>
      </x:c>
      <x:c r="Q1681" s="30" t="n">
        <x:v>24287</x:v>
      </x:c>
      <x:c r="R1681" s="22" t="str">
        <x:f>"5781159"</x:f>
        <x:v>5781159</x:v>
      </x:c>
      <x:c r="S1681" s="23" t="str">
        <x:v>masculino</x:v>
      </x:c>
      <x:c r="T1681" s="22" t="str">
        <x:f>"PYP3J93"</x:f>
        <x:v>PYP3J93</x:v>
      </x:c>
      <x:c r="U1681" s="23" t="str">
        <x:v>JAIR ANDRADE</x:v>
      </x:c>
      <x:c r="V1681" s="22" t="str">
        <x:f>"979.878.087-68"</x:f>
        <x:v>979.878.087-68</x:v>
      </x:c>
      <x:c r="W1681" s="22" t="str">
        <x:f>"97987808768"</x:f>
        <x:v>97987808768</x:v>
      </x:c>
      <x:c r="X1681" s="23" t="str">
        <x:v>Jair.andrade72@gmail.com</x:v>
      </x:c>
      <x:c r="Y1681" s="22" t="str">
        <x:f>"21964387662"</x:f>
        <x:v>21964387662</x:v>
      </x:c>
      <x:c r="Z1681" s="30" t="n">
        <x:v>46581</x:v>
      </x:c>
    </x:row>
    <x:row r="1682" ht="18" customHeight="1">
      <x:c r="A1682" s="22" t="str">
        <x:f>"8f9e8647-1437-4126-992c-c0b15ed7d073"</x:f>
        <x:v>8f9e8647-1437-4126-992c-c0b15ed7d073</x:v>
      </x:c>
      <x:c r="B1682" s="23" t="str">
        <x:v>JAIR DOMINGOS SIMOES FILHO</x:v>
      </x:c>
      <x:c r="C1682" s="23" t="str">
        <x:v>jair domingos simoes filho</x:v>
      </x:c>
      <x:c r="D1682" s="22" t="str">
        <x:f>"58.479.298/0001-44"</x:f>
        <x:v>58.479.298/0001-44</x:v>
      </x:c>
      <x:c r="E1682" s="22" t="str">
        <x:f>"58479298000144"</x:f>
        <x:v>58479298000144</x:v>
      </x:c>
      <x:c r="F1682" s="22" t="str">
        <x:f>"315.700.138-88"</x:f>
        <x:v>315.700.138-88</x:v>
      </x:c>
      <x:c r="G1682" s="22" t="str">
        <x:f>"31570013888"</x:f>
        <x:v>31570013888</x:v>
      </x:c>
      <x:c r="H1682" s="23" t="str">
        <x:v>jairsimoes_83@hotmail.com</x:v>
      </x:c>
      <x:c r="I1682" s="22" t="str">
        <x:f>"38 999607799"</x:f>
        <x:v>38 999607799</x:v>
      </x:c>
      <x:c r="J1682" s="23" t="str">
        <x:v>SPOT</x:v>
      </x:c>
      <x:c r="K1682" s="23" t="str">
        <x:v>favored_only</x:v>
      </x:c>
      <x:c r="L1682" s="24" t="b">
        <x:v>1</x:v>
      </x:c>
      <x:c r="M1682" s="23" t="n">
        <x:v>1</x:v>
      </x:c>
      <x:c r="N1682" s="28" t="n">
        <x:v>46203.921824756944</x:v>
      </x:c>
      <x:c r="O1682" s="28" t="n">
        <x:v>46219.812988715275</x:v>
      </x:c>
      <x:c r="P1682" s="23" t="str">
        <x:v>CONCEIÇÃO DO MATO DENTRO</x:v>
      </x:c>
      <x:c r="Q1682" s="30" t="n">
        <x:v>30747</x:v>
      </x:c>
      <x:c r="R1682" s="22" t="str">
        <x:f>"309294460"</x:f>
        <x:v>309294460</x:v>
      </x:c>
      <x:c r="S1682" s="23" t="str">
        <x:v>masculino</x:v>
      </x:c>
      <x:c r="T1682" s="22" t="str">
        <x:f>"QQZ1J46"</x:f>
        <x:v>QQZ1J46</x:v>
      </x:c>
      <x:c r="U1682" s="23" t="str">
        <x:v>JAIR DOMINGOS SIMOES FILHO</x:v>
      </x:c>
      <x:c r="V1682" s="22" t="str">
        <x:f>"315.700.138-88"</x:f>
        <x:v>315.700.138-88</x:v>
      </x:c>
      <x:c r="W1682" s="22" t="str">
        <x:f>"31570013888"</x:f>
        <x:v>31570013888</x:v>
      </x:c>
      <x:c r="X1682" s="23" t="str">
        <x:v>jairsimoes_83@hotmail.com</x:v>
      </x:c>
      <x:c r="Y1682" s="22" t="str">
        <x:f>"38 999607799"</x:f>
        <x:v>38 999607799</x:v>
      </x:c>
      <x:c r="Z1682" s="30" t="n">
        <x:v>46520</x:v>
      </x:c>
    </x:row>
    <x:row r="1683" ht="18" customHeight="1">
      <x:c r="A1683" s="22" t="str">
        <x:f>"c9c56b22-549a-4a9a-8bef-ac5372c0365d"</x:f>
        <x:v>c9c56b22-549a-4a9a-8bef-ac5372c0365d</x:v>
      </x:c>
      <x:c r="B1683" s="23" t="str">
        <x:v>JAIR MONTEIRO DE ALMEIDA JUNIOR</x:v>
      </x:c>
      <x:c r="C1683" s="23" t="str">
        <x:v>jair monteiro de almeida junior</x:v>
      </x:c>
      <x:c r="D1683" s="22" t="str">
        <x:f>"44.178.561/0001-50"</x:f>
        <x:v>44.178.561/0001-50</x:v>
      </x:c>
      <x:c r="E1683" s="22" t="str">
        <x:f>"44178561000150"</x:f>
        <x:v>44178561000150</x:v>
      </x:c>
      <x:c r="F1683" s="22" t="str">
        <x:f>"03228284735"</x:f>
        <x:v>03228284735</x:v>
      </x:c>
      <x:c r="G1683" s="22" t="str">
        <x:f>"03228284735"</x:f>
        <x:v>03228284735</x:v>
      </x:c>
      <x:c r="H1683" s="23" t="str">
        <x:v>jc10menezes@gmail.com</x:v>
      </x:c>
      <x:c r="I1683" s="22" t="str">
        <x:f>"+55 21 99570-6502"</x:f>
        <x:v>+55 21 99570-6502</x:v>
      </x:c>
      <x:c r="J1683" s="23" t="str">
        <x:v>SPOT</x:v>
      </x:c>
      <x:c r="K1683" s="23" t="str">
        <x:v>favored_only</x:v>
      </x:c>
      <x:c r="L1683" s="24" t="b">
        <x:v>1</x:v>
      </x:c>
      <x:c r="M1683" s="23" t="n">
        <x:v>1</x:v>
      </x:c>
      <x:c r="N1683" s="28" t="n">
        <x:v>46203.92189349537</x:v>
      </x:c>
      <x:c r="O1683" s="28" t="n">
        <x:v>46203.92189349537</x:v>
      </x:c>
      <x:c r="P1683" s="23" t="str"/>
      <x:c r="Q1683" s="30" t="str"/>
      <x:c r="R1683" s="22" t="str"/>
      <x:c r="S1683" s="23" t="str"/>
      <x:c r="T1683" s="22" t="str"/>
      <x:c r="U1683" s="23" t="str">
        <x:v>JAIR MONTEIRO DE ALMEIDA JUNIOR</x:v>
      </x:c>
      <x:c r="V1683" s="22" t="str">
        <x:f>"03228284735"</x:f>
        <x:v>03228284735</x:v>
      </x:c>
      <x:c r="W1683" s="22" t="str">
        <x:f>"03228284735"</x:f>
        <x:v>03228284735</x:v>
      </x:c>
      <x:c r="X1683" s="23" t="str">
        <x:v>jc10menezes@gmail.com</x:v>
      </x:c>
      <x:c r="Y1683" s="22" t="str">
        <x:f>"+55 21 99570-6502"</x:f>
        <x:v>+55 21 99570-6502</x:v>
      </x:c>
      <x:c r="Z1683" s="30" t="str"/>
    </x:row>
    <x:row r="1684" ht="18" customHeight="1">
      <x:c r="A1684" s="22" t="str">
        <x:f>"0a8402b8-a737-447d-901b-ce942ab69c6b"</x:f>
        <x:v>0a8402b8-a737-447d-901b-ce942ab69c6b</x:v>
      </x:c>
      <x:c r="B1684" s="23" t="str">
        <x:v>JAIRO ALVES DOS SANTOS</x:v>
      </x:c>
      <x:c r="C1684" s="23" t="str">
        <x:v>jairo alves dos santos</x:v>
      </x:c>
      <x:c r="D1684" s="22" t="str">
        <x:f>"22.126.165/0001-47"</x:f>
        <x:v>22.126.165/0001-47</x:v>
      </x:c>
      <x:c r="E1684" s="22" t="str">
        <x:f>"22126165000147"</x:f>
        <x:v>22126165000147</x:v>
      </x:c>
      <x:c r="F1684" s="22" t="str">
        <x:f>"113.212.497-21"</x:f>
        <x:v>113.212.497-21</x:v>
      </x:c>
      <x:c r="G1684" s="22" t="str">
        <x:f>"11321249721"</x:f>
        <x:v>11321249721</x:v>
      </x:c>
      <x:c r="H1684" s="23" t="str">
        <x:v>jairoasaf@gmail.com</x:v>
      </x:c>
      <x:c r="I1684" s="22" t="str">
        <x:f>"21 968173951"</x:f>
        <x:v>21 968173951</x:v>
      </x:c>
      <x:c r="J1684" s="23" t="str">
        <x:v>SPOT</x:v>
      </x:c>
      <x:c r="K1684" s="23" t="str">
        <x:v>favored_only</x:v>
      </x:c>
      <x:c r="L1684" s="24" t="b">
        <x:v>1</x:v>
      </x:c>
      <x:c r="M1684" s="23" t="n">
        <x:v>1</x:v>
      </x:c>
      <x:c r="N1684" s="28" t="n">
        <x:v>46219.812988715275</x:v>
      </x:c>
      <x:c r="O1684" s="28" t="n">
        <x:v>46219.812988715275</x:v>
      </x:c>
      <x:c r="P1684" s="23" t="str">
        <x:v>CAMPO GRANDE</x:v>
      </x:c>
      <x:c r="Q1684" s="30" t="n">
        <x:v>30159</x:v>
      </x:c>
      <x:c r="R1684" s="22" t="str">
        <x:f>"211077532"</x:f>
        <x:v>211077532</x:v>
      </x:c>
      <x:c r="S1684" s="23" t="str">
        <x:v>masculino</x:v>
      </x:c>
      <x:c r="T1684" s="22" t="str">
        <x:f>"KWX8451"</x:f>
        <x:v>KWX8451</x:v>
      </x:c>
      <x:c r="U1684" s="23" t="str">
        <x:v>JAIRO ALVES DOS SANTOS</x:v>
      </x:c>
      <x:c r="V1684" s="22" t="str">
        <x:f>"113.212.497-21"</x:f>
        <x:v>113.212.497-21</x:v>
      </x:c>
      <x:c r="W1684" s="22" t="str">
        <x:f>"11321249721"</x:f>
        <x:v>11321249721</x:v>
      </x:c>
      <x:c r="X1684" s="23" t="str">
        <x:v>jairoasaf@gmail.com</x:v>
      </x:c>
      <x:c r="Y1684" s="22" t="str">
        <x:f>"21 968173951"</x:f>
        <x:v>21 968173951</x:v>
      </x:c>
      <x:c r="Z1684" s="30" t="n">
        <x:v>46448</x:v>
      </x:c>
    </x:row>
    <x:row r="1685" ht="18" customHeight="1">
      <x:c r="A1685" s="22" t="str">
        <x:f>"3d5204f6-d7e5-4ba8-a0ad-92cdb462bad6"</x:f>
        <x:v>3d5204f6-d7e5-4ba8-a0ad-92cdb462bad6</x:v>
      </x:c>
      <x:c r="B1685" s="23" t="str">
        <x:v>JAIRO ANTONIO NOGUEIRA</x:v>
      </x:c>
      <x:c r="C1685" s="23" t="str">
        <x:v>jairo antonio nogueira</x:v>
      </x:c>
      <x:c r="D1685" s="22" t="str">
        <x:f>"62.453.906/0001-19"</x:f>
        <x:v>62.453.906/0001-19</x:v>
      </x:c>
      <x:c r="E1685" s="22" t="str">
        <x:f>"62453906000119"</x:f>
        <x:v>62453906000119</x:v>
      </x:c>
      <x:c r="F1685" s="22" t="str">
        <x:f>"696.112.036-91"</x:f>
        <x:v>696.112.036-91</x:v>
      </x:c>
      <x:c r="G1685" s="22" t="str">
        <x:f>"69611203691"</x:f>
        <x:v>69611203691</x:v>
      </x:c>
      <x:c r="H1685" s="23" t="str">
        <x:v>jaironogueira246@gmail.com</x:v>
      </x:c>
      <x:c r="I1685" s="22" t="str">
        <x:f>"31972129279"</x:f>
        <x:v>31972129279</x:v>
      </x:c>
      <x:c r="J1685" s="23" t="str">
        <x:v>SPOT</x:v>
      </x:c>
      <x:c r="K1685" s="23" t="str">
        <x:v>favored_only</x:v>
      </x:c>
      <x:c r="L1685" s="24" t="b">
        <x:v>1</x:v>
      </x:c>
      <x:c r="M1685" s="23" t="n">
        <x:v>1</x:v>
      </x:c>
      <x:c r="N1685" s="28" t="n">
        <x:v>46205.6044621412</x:v>
      </x:c>
      <x:c r="O1685" s="28" t="n">
        <x:v>46219.812988715275</x:v>
      </x:c>
      <x:c r="P1685" s="23" t="str">
        <x:v>CONCEIÇÃO DO MATO DENTRO</x:v>
      </x:c>
      <x:c r="Q1685" s="30" t="n">
        <x:v>24145</x:v>
      </x:c>
      <x:c r="R1685" s="22" t="str">
        <x:f>"M3670847"</x:f>
        <x:v>M3670847</x:v>
      </x:c>
      <x:c r="S1685" s="23" t="str">
        <x:v>masculino</x:v>
      </x:c>
      <x:c r="T1685" s="22" t="str">
        <x:f>"HKF6894"</x:f>
        <x:v>HKF6894</x:v>
      </x:c>
      <x:c r="U1685" s="23" t="str">
        <x:v>EDUARDA STEPHANE DINIZ BINDA</x:v>
      </x:c>
      <x:c r="V1685" s="22" t="str">
        <x:f>"135.818.586-73"</x:f>
        <x:v>135.818.586-73</x:v>
      </x:c>
      <x:c r="W1685" s="22" t="str">
        <x:f>"13581858673"</x:f>
        <x:v>13581858673</x:v>
      </x:c>
      <x:c r="X1685" s="23" t="str">
        <x:v>Silvanasilva9615@gmail.com</x:v>
      </x:c>
      <x:c r="Y1685" s="22" t="str">
        <x:f>"31999457916"</x:f>
        <x:v>31999457916</x:v>
      </x:c>
      <x:c r="Z1685" s="30" t="n">
        <x:v>46277</x:v>
      </x:c>
    </x:row>
    <x:row r="1686" ht="18" customHeight="1">
      <x:c r="A1686" s="22" t="str">
        <x:f>"da52e95a-fd19-47e5-b7b0-204e31869218"</x:f>
        <x:v>da52e95a-fd19-47e5-b7b0-204e31869218</x:v>
      </x:c>
      <x:c r="B1686" s="23" t="str">
        <x:v>JAIRO ASSIS ALVES</x:v>
      </x:c>
      <x:c r="C1686" s="23" t="str">
        <x:v>jairo assis alves</x:v>
      </x:c>
      <x:c r="D1686" s="22" t="str">
        <x:f>"64.244.686/0001-49"</x:f>
        <x:v>64.244.686/0001-49</x:v>
      </x:c>
      <x:c r="E1686" s="22" t="str">
        <x:f>"64244686000149"</x:f>
        <x:v>64244686000149</x:v>
      </x:c>
      <x:c r="F1686" s="22" t="str">
        <x:f>"091.362.526-46"</x:f>
        <x:v>091.362.526-46</x:v>
      </x:c>
      <x:c r="G1686" s="22" t="str">
        <x:f>"09136252646"</x:f>
        <x:v>09136252646</x:v>
      </x:c>
      <x:c r="H1686" s="23" t="str">
        <x:v>jairo.miguelalves2016@hotmail.com</x:v>
      </x:c>
      <x:c r="I1686" s="22" t="str">
        <x:f>"31985917368"</x:f>
        <x:v>31985917368</x:v>
      </x:c>
      <x:c r="J1686" s="23" t="str">
        <x:v>SPOT</x:v>
      </x:c>
      <x:c r="K1686" s="23" t="str">
        <x:v>favored_only</x:v>
      </x:c>
      <x:c r="L1686" s="24" t="b">
        <x:v>1</x:v>
      </x:c>
      <x:c r="M1686" s="23" t="n">
        <x:v>1</x:v>
      </x:c>
      <x:c r="N1686" s="28" t="n">
        <x:v>46203.9219084375</x:v>
      </x:c>
      <x:c r="O1686" s="28" t="n">
        <x:v>46219.812988715275</x:v>
      </x:c>
      <x:c r="P1686" s="23" t="str">
        <x:v>VESPASIANO</x:v>
      </x:c>
      <x:c r="Q1686" s="30" t="n">
        <x:v>32433</x:v>
      </x:c>
      <x:c r="R1686" s="22" t="str">
        <x:f>"14404361"</x:f>
        <x:v>14404361</x:v>
      </x:c>
      <x:c r="S1686" s="23" t="str">
        <x:v>masculino</x:v>
      </x:c>
      <x:c r="T1686" s="22" t="str">
        <x:f>"AOY9J63"</x:f>
        <x:v>AOY9J63</x:v>
      </x:c>
      <x:c r="U1686" s="23" t="str">
        <x:v>JAIRO ASSIS ALVES</x:v>
      </x:c>
      <x:c r="V1686" s="22" t="str">
        <x:f>"091.362.526-46"</x:f>
        <x:v>091.362.526-46</x:v>
      </x:c>
      <x:c r="W1686" s="22" t="str">
        <x:f>"09136252646"</x:f>
        <x:v>09136252646</x:v>
      </x:c>
      <x:c r="X1686" s="23" t="str">
        <x:v>jairo.miguelalves2016@hotmail.com</x:v>
      </x:c>
      <x:c r="Y1686" s="22" t="str">
        <x:f>"31985917368"</x:f>
        <x:v>31985917368</x:v>
      </x:c>
      <x:c r="Z1686" s="30" t="n">
        <x:v>46395</x:v>
      </x:c>
    </x:row>
    <x:row r="1687" ht="18" customHeight="1">
      <x:c r="A1687" s="22" t="str">
        <x:f>"94d2ed0b-62f6-416f-9081-211c5a610bff"</x:f>
        <x:v>94d2ed0b-62f6-416f-9081-211c5a610bff</x:v>
      </x:c>
      <x:c r="B1687" s="23" t="str">
        <x:v>JAKSON NEVES DOS SANTOS</x:v>
      </x:c>
      <x:c r="C1687" s="23" t="str">
        <x:v>jakson neves dos santos</x:v>
      </x:c>
      <x:c r="D1687" s="22" t="str">
        <x:f>"67.770.225/0001-06"</x:f>
        <x:v>67.770.225/0001-06</x:v>
      </x:c>
      <x:c r="E1687" s="22" t="str">
        <x:f>"67770225000106"</x:f>
        <x:v>67770225000106</x:v>
      </x:c>
      <x:c r="F1687" s="22" t="str">
        <x:f>"016.764.461-09"</x:f>
        <x:v>016.764.461-09</x:v>
      </x:c>
      <x:c r="G1687" s="22" t="str">
        <x:f>"01676446109"</x:f>
        <x:v>01676446109</x:v>
      </x:c>
      <x:c r="H1687" s="23" t="str">
        <x:v>Jaksonneves01@gmail.com</x:v>
      </x:c>
      <x:c r="I1687" s="22" t="str">
        <x:f>"62991300492"</x:f>
        <x:v>62991300492</x:v>
      </x:c>
      <x:c r="J1687" s="23" t="str">
        <x:v>RENTAL</x:v>
      </x:c>
      <x:c r="K1687" s="23" t="str">
        <x:v>rental_company</x:v>
      </x:c>
      <x:c r="L1687" s="24" t="b">
        <x:v>1</x:v>
      </x:c>
      <x:c r="M1687" s="23" t="n">
        <x:v>1</x:v>
      </x:c>
      <x:c r="N1687" s="28" t="n">
        <x:v>46219.812988715275</x:v>
      </x:c>
      <x:c r="O1687" s="28" t="n">
        <x:v>46219.812988715275</x:v>
      </x:c>
      <x:c r="P1687" s="23" t="str">
        <x:v>GOIANIA</x:v>
      </x:c>
      <x:c r="Q1687" s="30" t="n">
        <x:v>31361</x:v>
      </x:c>
      <x:c r="R1687" s="22" t="str">
        <x:f>"4906935"</x:f>
        <x:v>4906935</x:v>
      </x:c>
      <x:c r="S1687" s="23" t="str">
        <x:v>masculino</x:v>
      </x:c>
      <x:c r="T1687" s="22" t="str"/>
      <x:c r="U1687" s="23" t="str">
        <x:v>JAKSON NEVES DOS SANTOS</x:v>
      </x:c>
      <x:c r="V1687" s="22" t="str">
        <x:f>"016.764.461-09"</x:f>
        <x:v>016.764.461-09</x:v>
      </x:c>
      <x:c r="W1687" s="22" t="str">
        <x:f>"01676446109"</x:f>
        <x:v>01676446109</x:v>
      </x:c>
      <x:c r="X1687" s="23" t="str">
        <x:v>Jaksonneves01@gmail.com</x:v>
      </x:c>
      <x:c r="Y1687" s="22" t="str">
        <x:f>"62991300492"</x:f>
        <x:v>62991300492</x:v>
      </x:c>
      <x:c r="Z1687" s="30" t="n">
        <x:v>46569</x:v>
      </x:c>
    </x:row>
    <x:row r="1688" ht="18" customHeight="1">
      <x:c r="A1688" s="22" t="str">
        <x:f>"3a31ba89-ff01-4644-820a-d1bdb0ee8af8"</x:f>
        <x:v>3a31ba89-ff01-4644-820a-d1bdb0ee8af8</x:v>
      </x:c>
      <x:c r="B1688" s="23" t="str">
        <x:v>JAMES DANIEL DE ARAUJO</x:v>
      </x:c>
      <x:c r="C1688" s="23" t="str">
        <x:v>james daniel de araujo</x:v>
      </x:c>
      <x:c r="D1688" s="22" t="str">
        <x:f>"58.900.756/0001-77"</x:f>
        <x:v>58.900.756/0001-77</x:v>
      </x:c>
      <x:c r="E1688" s="22" t="str">
        <x:f>"58900756000177"</x:f>
        <x:v>58900756000177</x:v>
      </x:c>
      <x:c r="F1688" s="22" t="str">
        <x:f>"343.711.958-30"</x:f>
        <x:v>343.711.958-30</x:v>
      </x:c>
      <x:c r="G1688" s="22" t="str">
        <x:f>"34371195830"</x:f>
        <x:v>34371195830</x:v>
      </x:c>
      <x:c r="H1688" s="23" t="str">
        <x:v>Jamesdanieldearaujo2013@gmail.com</x:v>
      </x:c>
      <x:c r="I1688" s="22" t="str">
        <x:f>"1699713-0811"</x:f>
        <x:v>1699713-0811</x:v>
      </x:c>
      <x:c r="J1688" s="23" t="str">
        <x:v>RENTAL</x:v>
      </x:c>
      <x:c r="K1688" s="23" t="str">
        <x:v>rental_company</x:v>
      </x:c>
      <x:c r="L1688" s="24" t="b">
        <x:v>1</x:v>
      </x:c>
      <x:c r="M1688" s="23" t="n">
        <x:v>1</x:v>
      </x:c>
      <x:c r="N1688" s="28" t="n">
        <x:v>46219.812988715275</x:v>
      </x:c>
      <x:c r="O1688" s="28" t="n">
        <x:v>46219.812988715275</x:v>
      </x:c>
      <x:c r="P1688" s="23" t="str">
        <x:v>SÃO CARLOS</x:v>
      </x:c>
      <x:c r="Q1688" s="30" t="n">
        <x:v>31359</x:v>
      </x:c>
      <x:c r="R1688" s="22" t="str">
        <x:f>"43951969"</x:f>
        <x:v>43951969</x:v>
      </x:c>
      <x:c r="S1688" s="23" t="str">
        <x:v>masculino</x:v>
      </x:c>
      <x:c r="T1688" s="22" t="str"/>
      <x:c r="U1688" s="23" t="str">
        <x:v>JAMES DANIEL DE ARAUJO</x:v>
      </x:c>
      <x:c r="V1688" s="22" t="str">
        <x:f>"343.711.958-30"</x:f>
        <x:v>343.711.958-30</x:v>
      </x:c>
      <x:c r="W1688" s="22" t="str">
        <x:f>"34371195830"</x:f>
        <x:v>34371195830</x:v>
      </x:c>
      <x:c r="X1688" s="23" t="str">
        <x:v>Jamesdanieldearaujo2013@gmail.com</x:v>
      </x:c>
      <x:c r="Y1688" s="22" t="str">
        <x:f>"1699713-0811"</x:f>
        <x:v>1699713-0811</x:v>
      </x:c>
      <x:c r="Z1688" s="30" t="n">
        <x:v>46555</x:v>
      </x:c>
    </x:row>
    <x:row r="1689" ht="18" customHeight="1">
      <x:c r="A1689" s="22" t="str">
        <x:f>"fc2e5714-1cf7-401c-9d52-44bc465cc625"</x:f>
        <x:v>fc2e5714-1cf7-401c-9d52-44bc465cc625</x:v>
      </x:c>
      <x:c r="B1689" s="23" t="str">
        <x:v>JAMES JULIANO BERGARA</x:v>
      </x:c>
      <x:c r="C1689" s="23" t="str">
        <x:v>james juliano bergara</x:v>
      </x:c>
      <x:c r="D1689" s="22" t="str">
        <x:f>"65.400.759/0001-07"</x:f>
        <x:v>65.400.759/0001-07</x:v>
      </x:c>
      <x:c r="E1689" s="22" t="str">
        <x:f>"65400759000107"</x:f>
        <x:v>65400759000107</x:v>
      </x:c>
      <x:c r="F1689" s="22" t="str">
        <x:f>"369.576.628-02"</x:f>
        <x:v>369.576.628-02</x:v>
      </x:c>
      <x:c r="G1689" s="22" t="str">
        <x:f>"36957662802"</x:f>
        <x:v>36957662802</x:v>
      </x:c>
      <x:c r="H1689" s="23" t="str">
        <x:v>julianobergara@gmail.com</x:v>
      </x:c>
      <x:c r="I1689" s="22" t="str">
        <x:f>"18 98808-4193"</x:f>
        <x:v>18 98808-4193</x:v>
      </x:c>
      <x:c r="J1689" s="23" t="str">
        <x:v>RENTAL</x:v>
      </x:c>
      <x:c r="K1689" s="23" t="str">
        <x:v>rental_company</x:v>
      </x:c>
      <x:c r="L1689" s="24" t="b">
        <x:v>1</x:v>
      </x:c>
      <x:c r="M1689" s="23" t="n">
        <x:v>1</x:v>
      </x:c>
      <x:c r="N1689" s="28" t="n">
        <x:v>46219.812988715275</x:v>
      </x:c>
      <x:c r="O1689" s="28" t="n">
        <x:v>46219.812988715275</x:v>
      </x:c>
      <x:c r="P1689" s="23" t="str">
        <x:v>PRESIDENTE PRUDENTE</x:v>
      </x:c>
      <x:c r="Q1689" s="30" t="n">
        <x:v>32322</x:v>
      </x:c>
      <x:c r="R1689" s="22" t="str">
        <x:f>"457639726"</x:f>
        <x:v>457639726</x:v>
      </x:c>
      <x:c r="S1689" s="23" t="str">
        <x:v>masculino</x:v>
      </x:c>
      <x:c r="T1689" s="22" t="str"/>
      <x:c r="U1689" s="23" t="str">
        <x:v>JAMES JULIANO BERGARA</x:v>
      </x:c>
      <x:c r="V1689" s="22" t="str">
        <x:f>"369.576.628-02"</x:f>
        <x:v>369.576.628-02</x:v>
      </x:c>
      <x:c r="W1689" s="22" t="str">
        <x:f>"36957662802"</x:f>
        <x:v>36957662802</x:v>
      </x:c>
      <x:c r="X1689" s="23" t="str">
        <x:v>julianobergara@gmail.com</x:v>
      </x:c>
      <x:c r="Y1689" s="22" t="str">
        <x:f>"18 98808-4193"</x:f>
        <x:v>18 98808-4193</x:v>
      </x:c>
      <x:c r="Z1689" s="30" t="n">
        <x:v>46452</x:v>
      </x:c>
    </x:row>
    <x:row r="1690" ht="18" customHeight="1">
      <x:c r="A1690" s="22" t="str">
        <x:f>"59a1fe5a-c3a3-4626-a7b5-bceb652affd7"</x:f>
        <x:v>59a1fe5a-c3a3-4626-a7b5-bceb652affd7</x:v>
      </x:c>
      <x:c r="B1690" s="23" t="str">
        <x:v>JANAINA ALCENDINA COELHO PRATES</x:v>
      </x:c>
      <x:c r="C1690" s="23" t="str">
        <x:v>janaina alcendina coelho prates</x:v>
      </x:c>
      <x:c r="D1690" s="22" t="str">
        <x:f>"66.642.064/0001-02"</x:f>
        <x:v>66.642.064/0001-02</x:v>
      </x:c>
      <x:c r="E1690" s="22" t="str">
        <x:f>"66642064000102"</x:f>
        <x:v>66642064000102</x:v>
      </x:c>
      <x:c r="F1690" s="22" t="str">
        <x:f>"408.927.478-89"</x:f>
        <x:v>408.927.478-89</x:v>
      </x:c>
      <x:c r="G1690" s="22" t="str">
        <x:f>"40892747889"</x:f>
        <x:v>40892747889</x:v>
      </x:c>
      <x:c r="H1690" s="23" t="str">
        <x:v>janainaprates736@gmail.com</x:v>
      </x:c>
      <x:c r="I1690" s="22" t="str">
        <x:f>"18 99811-1555"</x:f>
        <x:v>18 99811-1555</x:v>
      </x:c>
      <x:c r="J1690" s="23" t="str">
        <x:v>RENTAL</x:v>
      </x:c>
      <x:c r="K1690" s="23" t="str">
        <x:v>rental_company</x:v>
      </x:c>
      <x:c r="L1690" s="24" t="b">
        <x:v>1</x:v>
      </x:c>
      <x:c r="M1690" s="23" t="n">
        <x:v>1</x:v>
      </x:c>
      <x:c r="N1690" s="28" t="n">
        <x:v>46219.812988715275</x:v>
      </x:c>
      <x:c r="O1690" s="28" t="n">
        <x:v>46219.812988715275</x:v>
      </x:c>
      <x:c r="P1690" s="23" t="str">
        <x:v>ARAÇATUBA</x:v>
      </x:c>
      <x:c r="Q1690" s="30" t="n">
        <x:v>33986</x:v>
      </x:c>
      <x:c r="R1690" s="22" t="str">
        <x:f>"492683761"</x:f>
        <x:v>492683761</x:v>
      </x:c>
      <x:c r="S1690" s="23" t="str">
        <x:v>feminino</x:v>
      </x:c>
      <x:c r="T1690" s="22" t="str"/>
      <x:c r="U1690" s="23" t="str">
        <x:v>JANAINA ALCENDINA COELHO PRATES</x:v>
      </x:c>
      <x:c r="V1690" s="22" t="str">
        <x:f>"408.927.478-89"</x:f>
        <x:v>408.927.478-89</x:v>
      </x:c>
      <x:c r="W1690" s="22" t="str">
        <x:f>"40892747889"</x:f>
        <x:v>40892747889</x:v>
      </x:c>
      <x:c r="X1690" s="23" t="str">
        <x:v>janainaprates736@gmail.com</x:v>
      </x:c>
      <x:c r="Y1690" s="22" t="str">
        <x:f>"18 99811-1555"</x:f>
        <x:v>18 99811-1555</x:v>
      </x:c>
      <x:c r="Z1690" s="30" t="n">
        <x:v>46582</x:v>
      </x:c>
    </x:row>
    <x:row r="1691" ht="18" customHeight="1">
      <x:c r="A1691" s="22" t="str">
        <x:f>"b092534c-1aba-42a6-a700-e2cdc1e75b1c"</x:f>
        <x:v>b092534c-1aba-42a6-a700-e2cdc1e75b1c</x:v>
      </x:c>
      <x:c r="B1691" s="23" t="str">
        <x:v>JANAINA APARECIDA NUNES</x:v>
      </x:c>
      <x:c r="C1691" s="23" t="str">
        <x:v>janaina aparecida nunes</x:v>
      </x:c>
      <x:c r="D1691" s="22" t="str">
        <x:f>"52.902.123/0001-11"</x:f>
        <x:v>52.902.123/0001-11</x:v>
      </x:c>
      <x:c r="E1691" s="22" t="str">
        <x:f>"52902123000111"</x:f>
        <x:v>52902123000111</x:v>
      </x:c>
      <x:c r="F1691" s="22" t="str">
        <x:f>"122.345.586-62"</x:f>
        <x:v>122.345.586-62</x:v>
      </x:c>
      <x:c r="G1691" s="22" t="str">
        <x:f>"12234558662"</x:f>
        <x:v>12234558662</x:v>
      </x:c>
      <x:c r="H1691" s="23" t="str">
        <x:v>janainanunesjan@outlook.com</x:v>
      </x:c>
      <x:c r="I1691" s="22" t="str">
        <x:f>"(34)991189251"</x:f>
        <x:v>(34)991189251</x:v>
      </x:c>
      <x:c r="J1691" s="23" t="str">
        <x:v>SPOT</x:v>
      </x:c>
      <x:c r="K1691" s="23" t="str">
        <x:v>favored_only</x:v>
      </x:c>
      <x:c r="L1691" s="24" t="b">
        <x:v>1</x:v>
      </x:c>
      <x:c r="M1691" s="23" t="n">
        <x:v>1</x:v>
      </x:c>
      <x:c r="N1691" s="28" t="n">
        <x:v>46203.921824756944</x:v>
      </x:c>
      <x:c r="O1691" s="28" t="n">
        <x:v>46219.812988715275</x:v>
      </x:c>
      <x:c r="P1691" s="23" t="str">
        <x:v>ARAXÁ</x:v>
      </x:c>
      <x:c r="Q1691" s="30" t="n">
        <x:v>34409</x:v>
      </x:c>
      <x:c r="R1691" s="22" t="str">
        <x:f>"18958957"</x:f>
        <x:v>18958957</x:v>
      </x:c>
      <x:c r="S1691" s="23" t="str">
        <x:v>feminino</x:v>
      </x:c>
      <x:c r="T1691" s="22" t="str">
        <x:f>"NFQ8506"</x:f>
        <x:v>NFQ8506</x:v>
      </x:c>
      <x:c r="U1691" s="23" t="str">
        <x:v>JANAINA APARECIDA NUNES</x:v>
      </x:c>
      <x:c r="V1691" s="22" t="str">
        <x:f>"122.345.586-62"</x:f>
        <x:v>122.345.586-62</x:v>
      </x:c>
      <x:c r="W1691" s="22" t="str">
        <x:f>"12234558662"</x:f>
        <x:v>12234558662</x:v>
      </x:c>
      <x:c r="X1691" s="23" t="str">
        <x:v>janainanunesjan@outlook.com</x:v>
      </x:c>
      <x:c r="Y1691" s="22" t="str">
        <x:f>"(34)991189251"</x:f>
        <x:v>(34)991189251</x:v>
      </x:c>
      <x:c r="Z1691" s="30" t="n">
        <x:v>46424</x:v>
      </x:c>
    </x:row>
    <x:row r="1692" ht="18" customHeight="1">
      <x:c r="A1692" s="22" t="str">
        <x:f>"dbcd0026-6f16-4657-af33-d2cb92f1e435"</x:f>
        <x:v>dbcd0026-6f16-4657-af33-d2cb92f1e435</x:v>
      </x:c>
      <x:c r="B1692" s="23" t="str">
        <x:v>Janaína Aparecida Silva de Oliveira</x:v>
      </x:c>
      <x:c r="C1692" s="23" t="str">
        <x:v>janaina aparecida silva de oliveira</x:v>
      </x:c>
      <x:c r="D1692" s="22" t="str">
        <x:f>"51.099.136/0001-31"</x:f>
        <x:v>51.099.136/0001-31</x:v>
      </x:c>
      <x:c r="E1692" s="22" t="str">
        <x:f>"51099136000131"</x:f>
        <x:v>51099136000131</x:v>
      </x:c>
      <x:c r="F1692" s="22" t="str">
        <x:f>"06532668630"</x:f>
        <x:v>06532668630</x:v>
      </x:c>
      <x:c r="G1692" s="22" t="str">
        <x:f>"06532668630"</x:f>
        <x:v>06532668630</x:v>
      </x:c>
      <x:c r="H1692" s="23" t="str">
        <x:v>Janainaapsilvaoliveira@gmail.com</x:v>
      </x:c>
      <x:c r="I1692" s="22" t="str">
        <x:f>"33988462113"</x:f>
        <x:v>33988462113</x:v>
      </x:c>
      <x:c r="J1692" s="23" t="str">
        <x:v>SPOT</x:v>
      </x:c>
      <x:c r="K1692" s="23" t="str">
        <x:v>favored_only</x:v>
      </x:c>
      <x:c r="L1692" s="24" t="b">
        <x:v>1</x:v>
      </x:c>
      <x:c r="M1692" s="23" t="n">
        <x:v>1</x:v>
      </x:c>
      <x:c r="N1692" s="28" t="n">
        <x:v>46203.92184908565</x:v>
      </x:c>
      <x:c r="O1692" s="28" t="n">
        <x:v>46203.92184908565</x:v>
      </x:c>
      <x:c r="P1692" s="23" t="str"/>
      <x:c r="Q1692" s="30" t="str"/>
      <x:c r="R1692" s="22" t="str"/>
      <x:c r="S1692" s="23" t="str"/>
      <x:c r="T1692" s="22" t="str"/>
      <x:c r="U1692" s="23" t="str">
        <x:v>Janaína Aparecida Silva de Oliveira</x:v>
      </x:c>
      <x:c r="V1692" s="22" t="str">
        <x:f>"06532668630"</x:f>
        <x:v>06532668630</x:v>
      </x:c>
      <x:c r="W1692" s="22" t="str">
        <x:f>"06532668630"</x:f>
        <x:v>06532668630</x:v>
      </x:c>
      <x:c r="X1692" s="23" t="str">
        <x:v>Janainaapsilvaoliveira@gmail.com</x:v>
      </x:c>
      <x:c r="Y1692" s="22" t="str">
        <x:f>"33988462113"</x:f>
        <x:v>33988462113</x:v>
      </x:c>
      <x:c r="Z1692" s="30" t="str"/>
    </x:row>
    <x:row r="1693" ht="18" customHeight="1">
      <x:c r="A1693" s="22" t="str">
        <x:f>"687a8fac-4303-42d6-8d2e-5b18b3ddca34"</x:f>
        <x:v>687a8fac-4303-42d6-8d2e-5b18b3ddca34</x:v>
      </x:c>
      <x:c r="B1693" s="23" t="str">
        <x:v>JANAINA DA SILVA FRANCA</x:v>
      </x:c>
      <x:c r="C1693" s="23" t="str">
        <x:v>janaina da silva franca</x:v>
      </x:c>
      <x:c r="D1693" s="22" t="str">
        <x:f>"63.261.970/0001-60"</x:f>
        <x:v>63.261.970/0001-60</x:v>
      </x:c>
      <x:c r="E1693" s="22" t="str">
        <x:f>"63261970000160"</x:f>
        <x:v>63261970000160</x:v>
      </x:c>
      <x:c r="F1693" s="22" t="str">
        <x:f>"053.466.317-63"</x:f>
        <x:v>053.466.317-63</x:v>
      </x:c>
      <x:c r="G1693" s="22" t="str">
        <x:f>"05346631763"</x:f>
        <x:v>05346631763</x:v>
      </x:c>
      <x:c r="H1693" s="23" t="str">
        <x:v>jana85.jr82@gmail.com</x:v>
      </x:c>
      <x:c r="I1693" s="22" t="str">
        <x:f>"21985458318"</x:f>
        <x:v>21985458318</x:v>
      </x:c>
      <x:c r="J1693" s="23" t="str">
        <x:v>SPOT</x:v>
      </x:c>
      <x:c r="K1693" s="23" t="str">
        <x:v>favored_only</x:v>
      </x:c>
      <x:c r="L1693" s="24" t="b">
        <x:v>1</x:v>
      </x:c>
      <x:c r="M1693" s="23" t="n">
        <x:v>1</x:v>
      </x:c>
      <x:c r="N1693" s="28" t="n">
        <x:v>46219.812988715275</x:v>
      </x:c>
      <x:c r="O1693" s="28" t="n">
        <x:v>46219.812988715275</x:v>
      </x:c>
      <x:c r="P1693" s="23" t="str">
        <x:v>CAMPO GRANDE</x:v>
      </x:c>
      <x:c r="Q1693" s="30" t="n">
        <x:v>31095</x:v>
      </x:c>
      <x:c r="R1693" s="22" t="str">
        <x:f>"5346631763"</x:f>
        <x:v>5346631763</x:v>
      </x:c>
      <x:c r="S1693" s="23" t="str">
        <x:v>feminino</x:v>
      </x:c>
      <x:c r="T1693" s="22" t="str">
        <x:f>"LLF6815"</x:f>
        <x:v>LLF6815</x:v>
      </x:c>
      <x:c r="U1693" s="23" t="str">
        <x:v>JANAINA DA SILVA FRANCA</x:v>
      </x:c>
      <x:c r="V1693" s="22" t="str">
        <x:f>"053.466.317-63"</x:f>
        <x:v>053.466.317-63</x:v>
      </x:c>
      <x:c r="W1693" s="22" t="str">
        <x:f>"05346631763"</x:f>
        <x:v>05346631763</x:v>
      </x:c>
      <x:c r="X1693" s="23" t="str">
        <x:v>jana85.jr82@gmail.com</x:v>
      </x:c>
      <x:c r="Y1693" s="22" t="str">
        <x:f>"21985458318"</x:f>
        <x:v>21985458318</x:v>
      </x:c>
      <x:c r="Z1693" s="30" t="n">
        <x:v>46485</x:v>
      </x:c>
    </x:row>
    <x:row r="1694" ht="18" customHeight="1">
      <x:c r="A1694" s="22" t="str">
        <x:f>"3747789d-5716-4a94-8dd4-2c8b99e2744a"</x:f>
        <x:v>3747789d-5716-4a94-8dd4-2c8b99e2744a</x:v>
      </x:c>
      <x:c r="B1694" s="23" t="str">
        <x:v>JANDERSON CORREA DA SILVA</x:v>
      </x:c>
      <x:c r="C1694" s="23" t="str">
        <x:v>janderson correa da silva</x:v>
      </x:c>
      <x:c r="D1694" s="22" t="str">
        <x:f>"17.583.497/0001-10"</x:f>
        <x:v>17.583.497/0001-10</x:v>
      </x:c>
      <x:c r="E1694" s="22" t="str">
        <x:f>"17583497000110"</x:f>
        <x:v>17583497000110</x:v>
      </x:c>
      <x:c r="F1694" s="22" t="str">
        <x:f>"801.248.951-15"</x:f>
        <x:v>801.248.951-15</x:v>
      </x:c>
      <x:c r="G1694" s="22" t="str">
        <x:f>"80124895115"</x:f>
        <x:v>80124895115</x:v>
      </x:c>
      <x:c r="H1694" s="23" t="str">
        <x:v>transp.md.btg@gmail.com</x:v>
      </x:c>
      <x:c r="I1694" s="22" t="str">
        <x:f>"67 84767579"</x:f>
        <x:v>67 84767579</x:v>
      </x:c>
      <x:c r="J1694" s="23" t="str">
        <x:v>SPOT</x:v>
      </x:c>
      <x:c r="K1694" s="23" t="str">
        <x:v>favored_only</x:v>
      </x:c>
      <x:c r="L1694" s="24" t="b">
        <x:v>1</x:v>
      </x:c>
      <x:c r="M1694" s="23" t="n">
        <x:v>2</x:v>
      </x:c>
      <x:c r="N1694" s="28" t="n">
        <x:v>46205.60377068287</x:v>
      </x:c>
      <x:c r="O1694" s="28" t="n">
        <x:v>46219.812988715275</x:v>
      </x:c>
      <x:c r="P1694" s="23" t="str">
        <x:v>PRESIDENTE PRUDENTE</x:v>
      </x:c>
      <x:c r="Q1694" s="30" t="n">
        <x:v>27737</x:v>
      </x:c>
      <x:c r="R1694" s="22" t="str">
        <x:f>"792295"</x:f>
        <x:v>792295</x:v>
      </x:c>
      <x:c r="S1694" s="23" t="str">
        <x:v>masculino</x:v>
      </x:c>
      <x:c r="T1694" s="22" t="str">
        <x:f>"AXE8A29"</x:f>
        <x:v>AXE8A29</x:v>
      </x:c>
      <x:c r="U1694" s="23" t="str">
        <x:v>IVETE BARRETO SIQUEIRA</x:v>
      </x:c>
      <x:c r="V1694" s="22" t="str">
        <x:f>"011.942.251-44"</x:f>
        <x:v>011.942.251-44</x:v>
      </x:c>
      <x:c r="W1694" s="22" t="str">
        <x:f>"01194225144"</x:f>
        <x:v>01194225144</x:v>
      </x:c>
      <x:c r="X1694" s="23" t="str">
        <x:v>transp.md.btg@gmail.com</x:v>
      </x:c>
      <x:c r="Y1694" s="22" t="str">
        <x:f>"67 84767579"</x:f>
        <x:v>67 84767579</x:v>
      </x:c>
      <x:c r="Z1694" s="30" t="n">
        <x:v>46242</x:v>
      </x:c>
    </x:row>
    <x:row r="1695" ht="18" customHeight="1">
      <x:c r="A1695" s="22" t="str">
        <x:f>"89f4cd52-af07-4164-a9b4-6fc602c2cddd"</x:f>
        <x:v>89f4cd52-af07-4164-a9b4-6fc602c2cddd</x:v>
      </x:c>
      <x:c r="B1695" s="23" t="str">
        <x:v>JANDERSON MACIEL</x:v>
      </x:c>
      <x:c r="C1695" s="23" t="str">
        <x:v>janderson maciel</x:v>
      </x:c>
      <x:c r="D1695" s="22" t="str">
        <x:f>"49.505.317/0001-79"</x:f>
        <x:v>49.505.317/0001-79</x:v>
      </x:c>
      <x:c r="E1695" s="22" t="str">
        <x:f>"49505317000179"</x:f>
        <x:v>49505317000179</x:v>
      </x:c>
      <x:c r="F1695" s="22" t="str">
        <x:f>"082.228.596-76"</x:f>
        <x:v>082.228.596-76</x:v>
      </x:c>
      <x:c r="G1695" s="22" t="str">
        <x:f>"08222859676"</x:f>
        <x:v>08222859676</x:v>
      </x:c>
      <x:c r="H1695" s="23" t="str">
        <x:v>jandersonmaciel.904@gmail.com</x:v>
      </x:c>
      <x:c r="I1695" s="22" t="str">
        <x:f>"35 99218-5603"</x:f>
        <x:v>35 99218-5603</x:v>
      </x:c>
      <x:c r="J1695" s="23" t="str">
        <x:v>SPOT</x:v>
      </x:c>
      <x:c r="K1695" s="23" t="str">
        <x:v>favored_only</x:v>
      </x:c>
      <x:c r="L1695" s="24" t="b">
        <x:v>1</x:v>
      </x:c>
      <x:c r="M1695" s="23" t="n">
        <x:v>1</x:v>
      </x:c>
      <x:c r="N1695" s="28" t="n">
        <x:v>46219.812988715275</x:v>
      </x:c>
      <x:c r="O1695" s="28" t="n">
        <x:v>46219.812988715275</x:v>
      </x:c>
      <x:c r="P1695" s="23" t="str">
        <x:v>POCOS DE CALDAS</x:v>
      </x:c>
      <x:c r="Q1695" s="30" t="n">
        <x:v>31446</x:v>
      </x:c>
      <x:c r="R1695" s="22" t="str">
        <x:f>"12660425"</x:f>
        <x:v>12660425</x:v>
      </x:c>
      <x:c r="S1695" s="23" t="str">
        <x:v>masculino</x:v>
      </x:c>
      <x:c r="T1695" s="22" t="str">
        <x:f>"RNX2C92"</x:f>
        <x:v>RNX2C92</x:v>
      </x:c>
      <x:c r="U1695" s="23" t="str">
        <x:v>JANDERSON MACIEL</x:v>
      </x:c>
      <x:c r="V1695" s="22" t="str">
        <x:f>"082.228.596-76"</x:f>
        <x:v>082.228.596-76</x:v>
      </x:c>
      <x:c r="W1695" s="22" t="str">
        <x:f>"08222859676"</x:f>
        <x:v>08222859676</x:v>
      </x:c>
      <x:c r="X1695" s="23" t="str">
        <x:v>jandersonmaciel.904@gmail.com</x:v>
      </x:c>
      <x:c r="Y1695" s="22" t="str">
        <x:f>"35 99218-5603"</x:f>
        <x:v>35 99218-5603</x:v>
      </x:c>
      <x:c r="Z1695" s="30" t="n">
        <x:v>46472</x:v>
      </x:c>
    </x:row>
    <x:row r="1696" ht="18" customHeight="1">
      <x:c r="A1696" s="22" t="str">
        <x:f>"62c2749f-0e07-4452-b70a-e1672874444c"</x:f>
        <x:v>62c2749f-0e07-4452-b70a-e1672874444c</x:v>
      </x:c>
      <x:c r="B1696" s="23" t="str">
        <x:v>JANDERSON OLIVEIRA DUARTE</x:v>
      </x:c>
      <x:c r="C1696" s="23" t="str">
        <x:v>janderson oliveira duarte</x:v>
      </x:c>
      <x:c r="D1696" s="22" t="str">
        <x:f>"53.264.533/0001-47"</x:f>
        <x:v>53.264.533/0001-47</x:v>
      </x:c>
      <x:c r="E1696" s="22" t="str">
        <x:f>"53264533000147"</x:f>
        <x:v>53264533000147</x:v>
      </x:c>
      <x:c r="F1696" s="22" t="str">
        <x:f>"064.838.541-88"</x:f>
        <x:v>064.838.541-88</x:v>
      </x:c>
      <x:c r="G1696" s="22" t="str">
        <x:f>"06483854188"</x:f>
        <x:v>06483854188</x:v>
      </x:c>
      <x:c r="H1696" s="23" t="str">
        <x:v>jandersonduart@gmail.com</x:v>
      </x:c>
      <x:c r="I1696" s="22" t="str">
        <x:f>"65 92564405"</x:f>
        <x:v>65 92564405</x:v>
      </x:c>
      <x:c r="J1696" s="23" t="str">
        <x:v>SPOT</x:v>
      </x:c>
      <x:c r="K1696" s="23" t="str">
        <x:v>favored_only</x:v>
      </x:c>
      <x:c r="L1696" s="24" t="b">
        <x:v>1</x:v>
      </x:c>
      <x:c r="M1696" s="23" t="n">
        <x:v>1</x:v>
      </x:c>
      <x:c r="N1696" s="28" t="n">
        <x:v>46219.812988715275</x:v>
      </x:c>
      <x:c r="O1696" s="28" t="n">
        <x:v>46219.812988715275</x:v>
      </x:c>
      <x:c r="P1696" s="23" t="str">
        <x:v>CUIABA</x:v>
      </x:c>
      <x:c r="Q1696" s="30" t="n">
        <x:v>37741</x:v>
      </x:c>
      <x:c r="R1696" s="22" t="str">
        <x:f>"27999467"</x:f>
        <x:v>27999467</x:v>
      </x:c>
      <x:c r="S1696" s="23" t="str">
        <x:v>masculino</x:v>
      </x:c>
      <x:c r="T1696" s="22" t="str">
        <x:f>"SPT4B81"</x:f>
        <x:v>SPT4B81</x:v>
      </x:c>
      <x:c r="U1696" s="23" t="str">
        <x:v>LEONIDAS DE PINHO E SILVA</x:v>
      </x:c>
      <x:c r="V1696" s="22" t="str">
        <x:f>"692.451.851-68"</x:f>
        <x:v>692.451.851-68</x:v>
      </x:c>
      <x:c r="W1696" s="22" t="str">
        <x:f>"69245185168"</x:f>
        <x:v>69245185168</x:v>
      </x:c>
      <x:c r="X1696" s="23" t="str">
        <x:v>veloxlogisticamt@gmail.com</x:v>
      </x:c>
      <x:c r="Y1696" s="22" t="str">
        <x:f>"(65) 99632-1030"</x:f>
        <x:v>(65) 99632-1030</x:v>
      </x:c>
      <x:c r="Z1696" s="30" t="n">
        <x:v>46416</x:v>
      </x:c>
    </x:row>
    <x:row r="1697" ht="18" customHeight="1">
      <x:c r="A1697" s="22" t="str">
        <x:f>"9bb7a4cf-ee97-42d5-acab-253b1da91c65"</x:f>
        <x:v>9bb7a4cf-ee97-42d5-acab-253b1da91c65</x:v>
      </x:c>
      <x:c r="B1697" s="23" t="str">
        <x:v>JANDERSON PEREIRA DOS SANTOS</x:v>
      </x:c>
      <x:c r="C1697" s="23" t="str">
        <x:v>janderson pereira dos santos</x:v>
      </x:c>
      <x:c r="D1697" s="22" t="str">
        <x:f>"62.318.648/0001-68"</x:f>
        <x:v>62.318.648/0001-68</x:v>
      </x:c>
      <x:c r="E1697" s="22" t="str">
        <x:f>"62318648000168"</x:f>
        <x:v>62318648000168</x:v>
      </x:c>
      <x:c r="F1697" s="22" t="str">
        <x:f>"560.076.018-38"</x:f>
        <x:v>560.076.018-38</x:v>
      </x:c>
      <x:c r="G1697" s="22" t="str">
        <x:f>"56007601838"</x:f>
        <x:v>56007601838</x:v>
      </x:c>
      <x:c r="H1697" s="23" t="str">
        <x:v>santosjanderson1554@gmail.com</x:v>
      </x:c>
      <x:c r="I1697" s="22" t="str">
        <x:f>"11) 93440-4747"</x:f>
        <x:v>11) 93440-4747</x:v>
      </x:c>
      <x:c r="J1697" s="23" t="str">
        <x:v>RENTAL</x:v>
      </x:c>
      <x:c r="K1697" s="23" t="str">
        <x:v>rental_company</x:v>
      </x:c>
      <x:c r="L1697" s="24" t="b">
        <x:v>1</x:v>
      </x:c>
      <x:c r="M1697" s="23" t="n">
        <x:v>1</x:v>
      </x:c>
      <x:c r="N1697" s="28" t="n">
        <x:v>46203.921887453704</x:v>
      </x:c>
      <x:c r="O1697" s="28" t="n">
        <x:v>46219.812988715275</x:v>
      </x:c>
      <x:c r="P1697" s="23" t="str">
        <x:v>MADEIRA MADEIRA</x:v>
      </x:c>
      <x:c r="Q1697" s="30" t="n">
        <x:v>37909</x:v>
      </x:c>
      <x:c r="R1697" s="22" t="str">
        <x:f>"39.195.458-1"</x:f>
        <x:v>39.195.458-1</x:v>
      </x:c>
      <x:c r="S1697" s="23" t="str">
        <x:v>masculino</x:v>
      </x:c>
      <x:c r="T1697" s="22" t="str"/>
      <x:c r="U1697" s="23" t="str">
        <x:v>JANDERSON PEREIRA DOS SANTOS</x:v>
      </x:c>
      <x:c r="V1697" s="22" t="str">
        <x:f>"560.076.018-38"</x:f>
        <x:v>560.076.018-38</x:v>
      </x:c>
      <x:c r="W1697" s="22" t="str">
        <x:f>"56007601838"</x:f>
        <x:v>56007601838</x:v>
      </x:c>
      <x:c r="X1697" s="23" t="str">
        <x:v>santosjanderson1554@gmail.com</x:v>
      </x:c>
      <x:c r="Y1697" s="22" t="str">
        <x:f>"11) 93440-4747"</x:f>
        <x:v>11) 93440-4747</x:v>
      </x:c>
      <x:c r="Z1697" s="30" t="n">
        <x:v>46325</x:v>
      </x:c>
    </x:row>
    <x:row r="1698" ht="18" customHeight="1">
      <x:c r="A1698" s="22" t="str">
        <x:f>"4d05bfc6-0778-400c-833d-60b5c7f11b48"</x:f>
        <x:v>4d05bfc6-0778-400c-833d-60b5c7f11b48</x:v>
      </x:c>
      <x:c r="B1698" s="23" t="str">
        <x:v>JANINE CAROLINE DE OLIVEIRA LONDE</x:v>
      </x:c>
      <x:c r="C1698" s="23" t="str">
        <x:v>janine caroline de oliveira londe</x:v>
      </x:c>
      <x:c r="D1698" s="22" t="str">
        <x:f>"31.095.678/0001-29"</x:f>
        <x:v>31.095.678/0001-29</x:v>
      </x:c>
      <x:c r="E1698" s="22" t="str">
        <x:f>"31095678000129"</x:f>
        <x:v>31095678000129</x:v>
      </x:c>
      <x:c r="F1698" s="22" t="str">
        <x:f>"108.186.836-86"</x:f>
        <x:v>108.186.836-86</x:v>
      </x:c>
      <x:c r="G1698" s="22" t="str">
        <x:f>"10818683686"</x:f>
        <x:v>10818683686</x:v>
      </x:c>
      <x:c r="H1698" s="23" t="str">
        <x:v>matheusbrana12@hotmail.com</x:v>
      </x:c>
      <x:c r="I1698" s="22" t="str">
        <x:f>"34988647339"</x:f>
        <x:v>34988647339</x:v>
      </x:c>
      <x:c r="J1698" s="23" t="str">
        <x:v>SPOT</x:v>
      </x:c>
      <x:c r="K1698" s="23" t="str">
        <x:v>favored_only</x:v>
      </x:c>
      <x:c r="L1698" s="24" t="b">
        <x:v>1</x:v>
      </x:c>
      <x:c r="M1698" s="23" t="n">
        <x:v>1</x:v>
      </x:c>
      <x:c r="N1698" s="28" t="n">
        <x:v>46219.812988715275</x:v>
      </x:c>
      <x:c r="O1698" s="28" t="n">
        <x:v>46219.812988715275</x:v>
      </x:c>
      <x:c r="P1698" s="23" t="str">
        <x:v>ARAXÁ</x:v>
      </x:c>
      <x:c r="Q1698" s="30" t="n">
        <x:v>33862</x:v>
      </x:c>
      <x:c r="R1698" s="22" t="str">
        <x:f>"MG16836646"</x:f>
        <x:v>MG16836646</x:v>
      </x:c>
      <x:c r="S1698" s="23" t="str">
        <x:v>feminino</x:v>
      </x:c>
      <x:c r="T1698" s="22" t="str">
        <x:f>"HAZ3105"</x:f>
        <x:v>HAZ3105</x:v>
      </x:c>
      <x:c r="U1698" s="23" t="str">
        <x:v>NATHALIA CAROLINE GOMES DA SILVA</x:v>
      </x:c>
      <x:c r="V1698" s="22" t="str">
        <x:f>"003.851.366-92"</x:f>
        <x:v>003.851.366-92</x:v>
      </x:c>
      <x:c r="W1698" s="22" t="str">
        <x:f>"00385136692"</x:f>
        <x:v>00385136692</x:v>
      </x:c>
      <x:c r="X1698" s="23" t="str">
        <x:v>nathaliasilvaclara13@outlook.com</x:v>
      </x:c>
      <x:c r="Y1698" s="22" t="str">
        <x:f>"34988647339"</x:f>
        <x:v>34988647339</x:v>
      </x:c>
      <x:c r="Z1698" s="30" t="n">
        <x:v>46438</x:v>
      </x:c>
    </x:row>
    <x:row r="1699" ht="18" customHeight="1">
      <x:c r="A1699" s="22" t="str">
        <x:f>"b359c900-129e-421c-a830-3c2c5fafec64"</x:f>
        <x:v>b359c900-129e-421c-a830-3c2c5fafec64</x:v>
      </x:c>
      <x:c r="B1699" s="23" t="str">
        <x:v>JANISCLEIA VIEIRA DOS SANTOS</x:v>
      </x:c>
      <x:c r="C1699" s="23" t="str">
        <x:v>janiscleia vieira dos santos</x:v>
      </x:c>
      <x:c r="D1699" s="22" t="str">
        <x:f>"60.295.317/0001-24"</x:f>
        <x:v>60.295.317/0001-24</x:v>
      </x:c>
      <x:c r="E1699" s="22" t="str">
        <x:f>"60295317000124"</x:f>
        <x:v>60295317000124</x:v>
      </x:c>
      <x:c r="F1699" s="22" t="str">
        <x:f>"015.466.371-92"</x:f>
        <x:v>015.466.371-92</x:v>
      </x:c>
      <x:c r="G1699" s="22" t="str">
        <x:f>"01546637192"</x:f>
        <x:v>01546637192</x:v>
      </x:c>
      <x:c r="H1699" s="23" t="str">
        <x:v>janevieira31@gmail.com</x:v>
      </x:c>
      <x:c r="I1699" s="22" t="str">
        <x:f>"64992097044"</x:f>
        <x:v>64992097044</x:v>
      </x:c>
      <x:c r="J1699" s="23" t="str">
        <x:v>RENTAL</x:v>
      </x:c>
      <x:c r="K1699" s="23" t="str">
        <x:v>rental_company</x:v>
      </x:c>
      <x:c r="L1699" s="24" t="b">
        <x:v>1</x:v>
      </x:c>
      <x:c r="M1699" s="23" t="n">
        <x:v>1</x:v>
      </x:c>
      <x:c r="N1699" s="28" t="n">
        <x:v>46203.921852962965</x:v>
      </x:c>
      <x:c r="O1699" s="28" t="n">
        <x:v>46203.921852962965</x:v>
      </x:c>
      <x:c r="P1699" s="23" t="str"/>
      <x:c r="Q1699" s="30" t="str"/>
      <x:c r="R1699" s="22" t="str"/>
      <x:c r="S1699" s="23" t="str"/>
      <x:c r="T1699" s="22" t="str"/>
      <x:c r="U1699" s="23" t="str">
        <x:v>JANISCLEIA VIEIRA DOS SANTOS</x:v>
      </x:c>
      <x:c r="V1699" s="22" t="str">
        <x:f>"015.466.371-92"</x:f>
        <x:v>015.466.371-92</x:v>
      </x:c>
      <x:c r="W1699" s="22" t="str">
        <x:f>"01546637192"</x:f>
        <x:v>01546637192</x:v>
      </x:c>
      <x:c r="X1699" s="23" t="str">
        <x:v>janevieira31@gmail.com</x:v>
      </x:c>
      <x:c r="Y1699" s="22" t="str">
        <x:f>"64992097044"</x:f>
        <x:v>64992097044</x:v>
      </x:c>
      <x:c r="Z1699" s="30" t="str"/>
    </x:row>
    <x:row r="1700" ht="18" customHeight="1">
      <x:c r="A1700" s="22" t="str">
        <x:f>"45e1dc94-d318-4e25-ae63-42d77bd091a0"</x:f>
        <x:v>45e1dc94-d318-4e25-ae63-42d77bd091a0</x:v>
      </x:c>
      <x:c r="B1700" s="23" t="str">
        <x:v>JANSEN GOMES LINHARES VICENTE</x:v>
      </x:c>
      <x:c r="C1700" s="23" t="str">
        <x:v>jansen gomes linhares vicente</x:v>
      </x:c>
      <x:c r="D1700" s="22" t="str">
        <x:f>"37.722.017/0001-62"</x:f>
        <x:v>37.722.017/0001-62</x:v>
      </x:c>
      <x:c r="E1700" s="22" t="str">
        <x:f>"37722017000162"</x:f>
        <x:v>37722017000162</x:v>
      </x:c>
      <x:c r="F1700" s="22" t="str">
        <x:f>"107.964.147-50"</x:f>
        <x:v>107.964.147-50</x:v>
      </x:c>
      <x:c r="G1700" s="22" t="str">
        <x:f>"10796414750"</x:f>
        <x:v>10796414750</x:v>
      </x:c>
      <x:c r="H1700" s="23" t="str">
        <x:v>jansengomes2015@gmail.com</x:v>
      </x:c>
      <x:c r="I1700" s="22" t="str">
        <x:f>"2192006-8548"</x:f>
        <x:v>2192006-8548</x:v>
      </x:c>
      <x:c r="J1700" s="23" t="str">
        <x:v>spot</x:v>
      </x:c>
      <x:c r="K1700" s="23" t="str">
        <x:v>favored_only</x:v>
      </x:c>
      <x:c r="L1700" s="24" t="b">
        <x:v>1</x:v>
      </x:c>
      <x:c r="M1700" s="23" t="n">
        <x:v>1</x:v>
      </x:c>
      <x:c r="N1700" s="28" t="n">
        <x:v>46219.812988715275</x:v>
      </x:c>
      <x:c r="O1700" s="28" t="n">
        <x:v>46219.812988715275</x:v>
      </x:c>
      <x:c r="P1700" s="23" t="str">
        <x:v>CAMPO GRANDE</x:v>
      </x:c>
      <x:c r="Q1700" s="30" t="n">
        <x:v>34247</x:v>
      </x:c>
      <x:c r="R1700" s="22" t="str">
        <x:f>"276579711"</x:f>
        <x:v>276579711</x:v>
      </x:c>
      <x:c r="S1700" s="23" t="str">
        <x:v>masculino</x:v>
      </x:c>
      <x:c r="T1700" s="22" t="str">
        <x:f>"RTB1H64"</x:f>
        <x:v>RTB1H64</x:v>
      </x:c>
      <x:c r="U1700" s="23" t="str">
        <x:v>JANSEN GOMES LINHARES VICENTE</x:v>
      </x:c>
      <x:c r="V1700" s="22" t="str">
        <x:f>"107.964.147-50"</x:f>
        <x:v>107.964.147-50</x:v>
      </x:c>
      <x:c r="W1700" s="22" t="str">
        <x:f>"10796414750"</x:f>
        <x:v>10796414750</x:v>
      </x:c>
      <x:c r="X1700" s="23" t="str">
        <x:v>jansengomes2015@gmail.com</x:v>
      </x:c>
      <x:c r="Y1700" s="22" t="str">
        <x:f>"2192006-8548"</x:f>
        <x:v>2192006-8548</x:v>
      </x:c>
      <x:c r="Z1700" s="30" t="n">
        <x:v>46557</x:v>
      </x:c>
    </x:row>
    <x:row r="1701" ht="18" customHeight="1">
      <x:c r="A1701" s="22" t="str">
        <x:f>"5b93d51f-f56c-45b7-97de-c7638f36bfc1"</x:f>
        <x:v>5b93d51f-f56c-45b7-97de-c7638f36bfc1</x:v>
      </x:c>
      <x:c r="B1701" s="23" t="str">
        <x:v>JAQUELINE DA SILVA OLIVEIRA</x:v>
      </x:c>
      <x:c r="C1701" s="23" t="str">
        <x:v>jaqueline da silva oliveira</x:v>
      </x:c>
      <x:c r="D1701" s="22" t="str">
        <x:f>"60.211.344/0001-71"</x:f>
        <x:v>60.211.344/0001-71</x:v>
      </x:c>
      <x:c r="E1701" s="22" t="str">
        <x:f>"60211344000171"</x:f>
        <x:v>60211344000171</x:v>
      </x:c>
      <x:c r="F1701" s="22" t="str">
        <x:f>"468.718.358-14"</x:f>
        <x:v>468.718.358-14</x:v>
      </x:c>
      <x:c r="G1701" s="22" t="str">
        <x:f>"46871835814"</x:f>
        <x:v>46871835814</x:v>
      </x:c>
      <x:c r="H1701" s="23" t="str">
        <x:v>jaque_oliveira1997@outlook.com</x:v>
      </x:c>
      <x:c r="I1701" s="22" t="str">
        <x:f>"11-959019390"</x:f>
        <x:v>11-959019390</x:v>
      </x:c>
      <x:c r="J1701" s="23" t="str">
        <x:v>RENTAL</x:v>
      </x:c>
      <x:c r="K1701" s="23" t="str">
        <x:v>rental_company</x:v>
      </x:c>
      <x:c r="L1701" s="24" t="b">
        <x:v>1</x:v>
      </x:c>
      <x:c r="M1701" s="23" t="n">
        <x:v>1</x:v>
      </x:c>
      <x:c r="N1701" s="28" t="n">
        <x:v>46203.9218771875</x:v>
      </x:c>
      <x:c r="O1701" s="28" t="n">
        <x:v>46219.812988715275</x:v>
      </x:c>
      <x:c r="P1701" s="23" t="str">
        <x:v>BARUERI</x:v>
      </x:c>
      <x:c r="Q1701" s="30" t="n">
        <x:v>35463</x:v>
      </x:c>
      <x:c r="R1701" s="22" t="str">
        <x:f>"37038464"</x:f>
        <x:v>37038464</x:v>
      </x:c>
      <x:c r="S1701" s="23" t="str">
        <x:v>feminino</x:v>
      </x:c>
      <x:c r="T1701" s="22" t="str"/>
      <x:c r="U1701" s="23" t="str">
        <x:v>JAQUELINE DA SILVA OLIVEIRA</x:v>
      </x:c>
      <x:c r="V1701" s="22" t="str">
        <x:f>"468.718.358-14"</x:f>
        <x:v>468.718.358-14</x:v>
      </x:c>
      <x:c r="W1701" s="22" t="str">
        <x:f>"46871835814"</x:f>
        <x:v>46871835814</x:v>
      </x:c>
      <x:c r="X1701" s="23" t="str">
        <x:v>jaque_oliveira1997@outlook.com</x:v>
      </x:c>
      <x:c r="Y1701" s="22" t="str">
        <x:f>"11-959019390"</x:f>
        <x:v>11-959019390</x:v>
      </x:c>
      <x:c r="Z1701" s="30" t="n">
        <x:v>46309</x:v>
      </x:c>
    </x:row>
    <x:row r="1702" ht="18" customHeight="1">
      <x:c r="A1702" s="22" t="str">
        <x:f>"89e7b952-4aa6-4f4b-81d9-b98994921f38"</x:f>
        <x:v>89e7b952-4aa6-4f4b-81d9-b98994921f38</x:v>
      </x:c>
      <x:c r="B1702" s="23" t="str">
        <x:v>JAQUELINE ROSA BONFIM</x:v>
      </x:c>
      <x:c r="C1702" s="23" t="str">
        <x:v>jaqueline rosa bonfim</x:v>
      </x:c>
      <x:c r="D1702" s="22" t="str">
        <x:f>"61.602.040/0001-06"</x:f>
        <x:v>61.602.040/0001-06</x:v>
      </x:c>
      <x:c r="E1702" s="22" t="str">
        <x:f>"61602040000106"</x:f>
        <x:v>61602040000106</x:v>
      </x:c>
      <x:c r="F1702" s="22" t="str">
        <x:f>"36047565883"</x:f>
        <x:v>36047565883</x:v>
      </x:c>
      <x:c r="G1702" s="22" t="str">
        <x:f>"36047565883"</x:f>
        <x:v>36047565883</x:v>
      </x:c>
      <x:c r="H1702" s="23" t="str">
        <x:v>Jaqueline.rosa1011@gmail.com</x:v>
      </x:c>
      <x:c r="I1702" s="22" t="str">
        <x:f>"17991355595"</x:f>
        <x:v>17991355595</x:v>
      </x:c>
      <x:c r="J1702" s="23" t="str">
        <x:v>SPOT</x:v>
      </x:c>
      <x:c r="K1702" s="23" t="str">
        <x:v>favored_only</x:v>
      </x:c>
      <x:c r="L1702" s="24" t="b">
        <x:v>1</x:v>
      </x:c>
      <x:c r="M1702" s="23" t="n">
        <x:v>1</x:v>
      </x:c>
      <x:c r="N1702" s="28" t="n">
        <x:v>46203.9219084375</x:v>
      </x:c>
      <x:c r="O1702" s="28" t="n">
        <x:v>46203.9219084375</x:v>
      </x:c>
      <x:c r="P1702" s="23" t="str"/>
      <x:c r="Q1702" s="30" t="str"/>
      <x:c r="R1702" s="22" t="str"/>
      <x:c r="S1702" s="23" t="str"/>
      <x:c r="T1702" s="22" t="str"/>
      <x:c r="U1702" s="23" t="str">
        <x:v>JAQUELINE ROSA BONFIM</x:v>
      </x:c>
      <x:c r="V1702" s="22" t="str">
        <x:f>"36047565883"</x:f>
        <x:v>36047565883</x:v>
      </x:c>
      <x:c r="W1702" s="22" t="str">
        <x:f>"36047565883"</x:f>
        <x:v>36047565883</x:v>
      </x:c>
      <x:c r="X1702" s="23" t="str">
        <x:v>Jaqueline.rosa1011@gmail.com</x:v>
      </x:c>
      <x:c r="Y1702" s="22" t="str">
        <x:f>"17991355595"</x:f>
        <x:v>17991355595</x:v>
      </x:c>
      <x:c r="Z1702" s="30" t="str"/>
    </x:row>
    <x:row r="1703" ht="18" customHeight="1">
      <x:c r="A1703" s="22" t="str">
        <x:f>"fbf19439-52e2-43b0-a583-9d53d91283d3"</x:f>
        <x:v>fbf19439-52e2-43b0-a583-9d53d91283d3</x:v>
      </x:c>
      <x:c r="B1703" s="23" t="str">
        <x:v>JAQUESON RIBEIRO RAMOS</x:v>
      </x:c>
      <x:c r="C1703" s="23" t="str">
        <x:v>jaqueson ribeiro ramos</x:v>
      </x:c>
      <x:c r="D1703" s="22" t="str">
        <x:f>"64.336.280/0001-96"</x:f>
        <x:v>64.336.280/0001-96</x:v>
      </x:c>
      <x:c r="E1703" s="22" t="str">
        <x:f>"64336280000196"</x:f>
        <x:v>64336280000196</x:v>
      </x:c>
      <x:c r="F1703" s="22" t="str">
        <x:f>"869.527.715-14"</x:f>
        <x:v>869.527.715-14</x:v>
      </x:c>
      <x:c r="G1703" s="22" t="str">
        <x:f>"86952771514"</x:f>
        <x:v>86952771514</x:v>
      </x:c>
      <x:c r="H1703" s="23" t="str">
        <x:v>jaquesonramos9@gmail.com</x:v>
      </x:c>
      <x:c r="I1703" s="22" t="str">
        <x:f>"64993179770"</x:f>
        <x:v>64993179770</x:v>
      </x:c>
      <x:c r="J1703" s="23" t="str">
        <x:v>RENTAL</x:v>
      </x:c>
      <x:c r="K1703" s="23" t="str">
        <x:v>rental_company</x:v>
      </x:c>
      <x:c r="L1703" s="24" t="b">
        <x:v>1</x:v>
      </x:c>
      <x:c r="M1703" s="23" t="n">
        <x:v>1</x:v>
      </x:c>
      <x:c r="N1703" s="28" t="n">
        <x:v>46219.812988715275</x:v>
      </x:c>
      <x:c r="O1703" s="28" t="n">
        <x:v>46219.812988715275</x:v>
      </x:c>
      <x:c r="P1703" s="23" t="str">
        <x:v>RIO VERDE</x:v>
      </x:c>
      <x:c r="Q1703" s="30" t="n">
        <x:v>36743</x:v>
      </x:c>
      <x:c r="R1703" s="22" t="str">
        <x:f>"656896218"</x:f>
        <x:v>656896218</x:v>
      </x:c>
      <x:c r="S1703" s="23" t="str">
        <x:v>masculino</x:v>
      </x:c>
      <x:c r="T1703" s="22" t="str"/>
      <x:c r="U1703" s="23" t="str">
        <x:v>JAQUESON RIBEIRO RAMOS</x:v>
      </x:c>
      <x:c r="V1703" s="22" t="str">
        <x:f>"869.527.715-14"</x:f>
        <x:v>869.527.715-14</x:v>
      </x:c>
      <x:c r="W1703" s="22" t="str">
        <x:f>"86952771514"</x:f>
        <x:v>86952771514</x:v>
      </x:c>
      <x:c r="X1703" s="23" t="str">
        <x:v>jaquesonramos9@gmail.com</x:v>
      </x:c>
      <x:c r="Y1703" s="22" t="str">
        <x:f>"64993179770"</x:f>
        <x:v>64993179770</x:v>
      </x:c>
      <x:c r="Z1703" s="30" t="n">
        <x:v>46582</x:v>
      </x:c>
    </x:row>
    <x:row r="1704" ht="18" customHeight="1">
      <x:c r="A1704" s="22" t="str">
        <x:f>"bba8cb99-7f43-452a-9eac-d62e867fc6f3"</x:f>
        <x:v>bba8cb99-7f43-452a-9eac-d62e867fc6f3</x:v>
      </x:c>
      <x:c r="B1704" s="23" t="str">
        <x:v>JARDEL JAIVONES DE NEIRA</x:v>
      </x:c>
      <x:c r="C1704" s="23" t="str">
        <x:v>jardel jaivones de neira</x:v>
      </x:c>
      <x:c r="D1704" s="22" t="str">
        <x:f>"50.073.217/0001-08"</x:f>
        <x:v>50.073.217/0001-08</x:v>
      </x:c>
      <x:c r="E1704" s="22" t="str">
        <x:f>"50073217000108"</x:f>
        <x:v>50073217000108</x:v>
      </x:c>
      <x:c r="F1704" s="22" t="str">
        <x:f>"019.909.251-62"</x:f>
        <x:v>019.909.251-62</x:v>
      </x:c>
      <x:c r="G1704" s="22" t="str">
        <x:f>"01990925162"</x:f>
        <x:v>01990925162</x:v>
      </x:c>
      <x:c r="H1704" s="23" t="str">
        <x:v>jardelneira081@gmail.com</x:v>
      </x:c>
      <x:c r="I1704" s="22" t="str">
        <x:f>"65998080870"</x:f>
        <x:v>65998080870</x:v>
      </x:c>
      <x:c r="J1704" s="23" t="str">
        <x:v>SPOT</x:v>
      </x:c>
      <x:c r="K1704" s="23" t="str">
        <x:v>favored_only</x:v>
      </x:c>
      <x:c r="L1704" s="24" t="b">
        <x:v>1</x:v>
      </x:c>
      <x:c r="M1704" s="23" t="n">
        <x:v>1</x:v>
      </x:c>
      <x:c r="N1704" s="28" t="n">
        <x:v>46205.606183310185</x:v>
      </x:c>
      <x:c r="O1704" s="28" t="n">
        <x:v>46219.812988715275</x:v>
      </x:c>
      <x:c r="P1704" s="23" t="str">
        <x:v>CÁCERES</x:v>
      </x:c>
      <x:c r="Q1704" s="30" t="n">
        <x:v>32779</x:v>
      </x:c>
      <x:c r="R1704" s="22" t="str">
        <x:f>"18898254"</x:f>
        <x:v>18898254</x:v>
      </x:c>
      <x:c r="S1704" s="23" t="str">
        <x:v>masculino</x:v>
      </x:c>
      <x:c r="T1704" s="22" t="str">
        <x:f>"RAL3G42"</x:f>
        <x:v>RAL3G42</x:v>
      </x:c>
      <x:c r="U1704" s="23" t="str">
        <x:v>EVANDRO DE OLIVEIRA LOURENCO</x:v>
      </x:c>
      <x:c r="V1704" s="22" t="str">
        <x:f>"012.957.851-70"</x:f>
        <x:v>012.957.851-70</x:v>
      </x:c>
      <x:c r="W1704" s="22" t="str">
        <x:f>"01295785170"</x:f>
        <x:v>01295785170</x:v>
      </x:c>
      <x:c r="X1704" s="23" t="str">
        <x:v>evandromsoliveira@gmail.com</x:v>
      </x:c>
      <x:c r="Y1704" s="22" t="str">
        <x:f>"65992188094"</x:f>
        <x:v>65992188094</x:v>
      </x:c>
      <x:c r="Z1704" s="30" t="n">
        <x:v>46347</x:v>
      </x:c>
    </x:row>
    <x:row r="1705" ht="18" customHeight="1">
      <x:c r="A1705" s="22" t="str">
        <x:f>"d38623f8-58f3-42e9-bd0e-49cb48a95d6f"</x:f>
        <x:v>d38623f8-58f3-42e9-bd0e-49cb48a95d6f</x:v>
      </x:c>
      <x:c r="B1705" s="23" t="str">
        <x:v>JAREDE JEAN DIAS</x:v>
      </x:c>
      <x:c r="C1705" s="23" t="str">
        <x:v>jarede jean dias</x:v>
      </x:c>
      <x:c r="D1705" s="22" t="str">
        <x:f>"60.982.939/0001-20"</x:f>
        <x:v>60.982.939/0001-20</x:v>
      </x:c>
      <x:c r="E1705" s="22" t="str">
        <x:f>"60982939000120"</x:f>
        <x:v>60982939000120</x:v>
      </x:c>
      <x:c r="F1705" s="22" t="str">
        <x:f>"707.786.851-60"</x:f>
        <x:v>707.786.851-60</x:v>
      </x:c>
      <x:c r="G1705" s="22" t="str">
        <x:f>"70778685160"</x:f>
        <x:v>70778685160</x:v>
      </x:c>
      <x:c r="H1705" s="23" t="str">
        <x:v>j.jeandias13@gmail.com</x:v>
      </x:c>
      <x:c r="I1705" s="22" t="str">
        <x:f>"64 99986-0802"</x:f>
        <x:v>64 99986-0802</x:v>
      </x:c>
      <x:c r="J1705" s="23" t="str">
        <x:v>RENTAL</x:v>
      </x:c>
      <x:c r="K1705" s="23" t="str">
        <x:v>rental_company</x:v>
      </x:c>
      <x:c r="L1705" s="24" t="b">
        <x:v>1</x:v>
      </x:c>
      <x:c r="M1705" s="23" t="n">
        <x:v>1</x:v>
      </x:c>
      <x:c r="N1705" s="28" t="n">
        <x:v>46219.812988715275</x:v>
      </x:c>
      <x:c r="O1705" s="28" t="n">
        <x:v>46219.812988715275</x:v>
      </x:c>
      <x:c r="P1705" s="23" t="str">
        <x:v>RIO VERDE</x:v>
      </x:c>
      <x:c r="Q1705" s="30" t="n">
        <x:v>37284</x:v>
      </x:c>
      <x:c r="R1705" s="22" t="str">
        <x:f>"6732456"</x:f>
        <x:v>6732456</x:v>
      </x:c>
      <x:c r="S1705" s="23" t="str">
        <x:v>masculino</x:v>
      </x:c>
      <x:c r="T1705" s="22" t="str"/>
      <x:c r="U1705" s="23" t="str">
        <x:v>JAREDE JEAN DIAS</x:v>
      </x:c>
      <x:c r="V1705" s="22" t="str">
        <x:f>"707.786.851-60"</x:f>
        <x:v>707.786.851-60</x:v>
      </x:c>
      <x:c r="W1705" s="22" t="str">
        <x:f>"70778685160"</x:f>
        <x:v>70778685160</x:v>
      </x:c>
      <x:c r="X1705" s="23" t="str">
        <x:v>j.jeandias13@gmail.com</x:v>
      </x:c>
      <x:c r="Y1705" s="22" t="str">
        <x:f>"64 99986-0802"</x:f>
        <x:v>64 99986-0802</x:v>
      </x:c>
      <x:c r="Z1705" s="30" t="n">
        <x:v>46439</x:v>
      </x:c>
    </x:row>
    <x:row r="1706" ht="18" customHeight="1">
      <x:c r="A1706" s="22" t="str">
        <x:f>"7d4ef50a-15d3-4849-a804-de30063340cf"</x:f>
        <x:v>7d4ef50a-15d3-4849-a804-de30063340cf</x:v>
      </x:c>
      <x:c r="B1706" s="23" t="str">
        <x:v>JEAN ANDRE VIEIRA PIMENTEL DE ALBUQUERQUE</x:v>
      </x:c>
      <x:c r="C1706" s="23" t="str">
        <x:v>jean andre vieira pimentel de albuquerque</x:v>
      </x:c>
      <x:c r="D1706" s="22" t="str">
        <x:f>"65.335.839/0001-26"</x:f>
        <x:v>65.335.839/0001-26</x:v>
      </x:c>
      <x:c r="E1706" s="22" t="str">
        <x:f>"65335839000126"</x:f>
        <x:v>65335839000126</x:v>
      </x:c>
      <x:c r="F1706" s="22" t="str">
        <x:f>"548.489.768-80"</x:f>
        <x:v>548.489.768-80</x:v>
      </x:c>
      <x:c r="G1706" s="22" t="str">
        <x:f>"54848976880"</x:f>
        <x:v>54848976880</x:v>
      </x:c>
      <x:c r="H1706" s="23" t="str">
        <x:v>jeanadrepimentel@gmail.com</x:v>
      </x:c>
      <x:c r="I1706" s="22" t="str">
        <x:f>"11 94031-9892"</x:f>
        <x:v>11 94031-9892</x:v>
      </x:c>
      <x:c r="J1706" s="23" t="str">
        <x:v>SPOT</x:v>
      </x:c>
      <x:c r="K1706" s="23" t="str">
        <x:v>favored_only</x:v>
      </x:c>
      <x:c r="L1706" s="24" t="b">
        <x:v>1</x:v>
      </x:c>
      <x:c r="M1706" s="23" t="n">
        <x:v>1</x:v>
      </x:c>
      <x:c r="N1706" s="28" t="n">
        <x:v>46219.812988715275</x:v>
      </x:c>
      <x:c r="O1706" s="28" t="n">
        <x:v>46219.812988715275</x:v>
      </x:c>
      <x:c r="P1706" s="23" t="str">
        <x:v>SÃO JOSE DO RIO PRETO</x:v>
      </x:c>
      <x:c r="Q1706" s="30" t="n">
        <x:v>37147</x:v>
      </x:c>
      <x:c r="R1706" s="22" t="str">
        <x:f>"541152956"</x:f>
        <x:v>541152956</x:v>
      </x:c>
      <x:c r="S1706" s="23" t="str">
        <x:v>masculino</x:v>
      </x:c>
      <x:c r="T1706" s="22" t="str">
        <x:f>"GAJ9H22"</x:f>
        <x:v>GAJ9H22</x:v>
      </x:c>
      <x:c r="U1706" s="23" t="str">
        <x:v>JEAN ANDRE VIEIRA PIMENTEL DE ALBUQUERQUE</x:v>
      </x:c>
      <x:c r="V1706" s="22" t="str">
        <x:f>"548.489.768-80"</x:f>
        <x:v>548.489.768-80</x:v>
      </x:c>
      <x:c r="W1706" s="22" t="str">
        <x:f>"54848976880"</x:f>
        <x:v>54848976880</x:v>
      </x:c>
      <x:c r="X1706" s="23" t="str">
        <x:v>jeanadrepimentel@gmail.com</x:v>
      </x:c>
      <x:c r="Y1706" s="22" t="str">
        <x:f>"11 94031-9892"</x:f>
        <x:v>11 94031-9892</x:v>
      </x:c>
      <x:c r="Z1706" s="30" t="n">
        <x:v>46449</x:v>
      </x:c>
    </x:row>
    <x:row r="1707" ht="18" customHeight="1">
      <x:c r="A1707" s="22" t="str">
        <x:f>"3d5c9201-de3d-4619-8b03-c086a8b8b0f7"</x:f>
        <x:v>3d5c9201-de3d-4619-8b03-c086a8b8b0f7</x:v>
      </x:c>
      <x:c r="B1707" s="23" t="str">
        <x:v>JEAN APARECIDO GALDINO DE SOUZA</x:v>
      </x:c>
      <x:c r="C1707" s="23" t="str">
        <x:v>jean aparecido galdino de souza</x:v>
      </x:c>
      <x:c r="D1707" s="22" t="str">
        <x:f>"66.806.337/0001-07"</x:f>
        <x:v>66.806.337/0001-07</x:v>
      </x:c>
      <x:c r="E1707" s="22" t="str">
        <x:f>"66806337000107"</x:f>
        <x:v>66806337000107</x:v>
      </x:c>
      <x:c r="F1707" s="22" t="str">
        <x:f>"340.325.248-58"</x:f>
        <x:v>340.325.248-58</x:v>
      </x:c>
      <x:c r="G1707" s="22" t="str">
        <x:f>"34032524858"</x:f>
        <x:v>34032524858</x:v>
      </x:c>
      <x:c r="H1707" s="23" t="str">
        <x:v>souzajeansouza13@gmail.com</x:v>
      </x:c>
      <x:c r="I1707" s="22" t="str">
        <x:f>"14 991570923"</x:f>
        <x:v>14 991570923</x:v>
      </x:c>
      <x:c r="J1707" s="23" t="str">
        <x:v>SPOT</x:v>
      </x:c>
      <x:c r="K1707" s="23" t="str">
        <x:v>favored_only</x:v>
      </x:c>
      <x:c r="L1707" s="24" t="b">
        <x:v>1</x:v>
      </x:c>
      <x:c r="M1707" s="23" t="n">
        <x:v>1</x:v>
      </x:c>
      <x:c r="N1707" s="28" t="n">
        <x:v>46219.812988715275</x:v>
      </x:c>
      <x:c r="O1707" s="28" t="n">
        <x:v>46219.812988715275</x:v>
      </x:c>
      <x:c r="P1707" s="23" t="str">
        <x:v>MARILIA</x:v>
      </x:c>
      <x:c r="Q1707" s="30" t="n">
        <x:v>31282</x:v>
      </x:c>
      <x:c r="R1707" s="22" t="str">
        <x:f>"40248578"</x:f>
        <x:v>40248578</x:v>
      </x:c>
      <x:c r="S1707" s="23" t="str">
        <x:v>masculino</x:v>
      </x:c>
      <x:c r="T1707" s="22" t="str">
        <x:f>"GEA8I20"</x:f>
        <x:v>GEA8I20</x:v>
      </x:c>
      <x:c r="U1707" s="23" t="str">
        <x:v>JEAN APARECIDO GALDINO DE SOUZA</x:v>
      </x:c>
      <x:c r="V1707" s="22" t="str">
        <x:f>"340.325.248-58"</x:f>
        <x:v>340.325.248-58</x:v>
      </x:c>
      <x:c r="W1707" s="22" t="str">
        <x:f>"34032524858"</x:f>
        <x:v>34032524858</x:v>
      </x:c>
      <x:c r="X1707" s="23" t="str">
        <x:v>souzajeansouza13@gmail.com</x:v>
      </x:c>
      <x:c r="Y1707" s="22" t="str">
        <x:f>"14 991570923"</x:f>
        <x:v>14 991570923</x:v>
      </x:c>
      <x:c r="Z1707" s="30" t="n">
        <x:v>46547</x:v>
      </x:c>
    </x:row>
    <x:row r="1708" ht="18" customHeight="1">
      <x:c r="A1708" s="22" t="str">
        <x:f>"be40b5b3-63d8-470d-b282-8f16de664836"</x:f>
        <x:v>be40b5b3-63d8-470d-b282-8f16de664836</x:v>
      </x:c>
      <x:c r="B1708" s="23" t="str">
        <x:v>JEAN CARLOS GIOVANINI</x:v>
      </x:c>
      <x:c r="C1708" s="23" t="str">
        <x:v>jean carlos giovanini</x:v>
      </x:c>
      <x:c r="D1708" s="22" t="str">
        <x:f>"63.121.267/0001-57"</x:f>
        <x:v>63.121.267/0001-57</x:v>
      </x:c>
      <x:c r="E1708" s="22" t="str">
        <x:f>"63121267000157"</x:f>
        <x:v>63121267000157</x:v>
      </x:c>
      <x:c r="F1708" s="22" t="str">
        <x:f>"407.013.068-31"</x:f>
        <x:v>407.013.068-31</x:v>
      </x:c>
      <x:c r="G1708" s="22" t="str">
        <x:f>"40701306831"</x:f>
        <x:v>40701306831</x:v>
      </x:c>
      <x:c r="H1708" s="23" t="str">
        <x:v>giovaninij@gmail.com</x:v>
      </x:c>
      <x:c r="I1708" s="22" t="str">
        <x:f>"18 997535149"</x:f>
        <x:v>18 997535149</x:v>
      </x:c>
      <x:c r="J1708" s="23" t="str">
        <x:v>SPOT</x:v>
      </x:c>
      <x:c r="K1708" s="23" t="str">
        <x:v>favored_only</x:v>
      </x:c>
      <x:c r="L1708" s="24" t="b">
        <x:v>1</x:v>
      </x:c>
      <x:c r="M1708" s="23" t="n">
        <x:v>1</x:v>
      </x:c>
      <x:c r="N1708" s="28" t="n">
        <x:v>46203.9218771875</x:v>
      </x:c>
      <x:c r="O1708" s="28" t="n">
        <x:v>46219.812988715275</x:v>
      </x:c>
      <x:c r="P1708" s="23" t="str">
        <x:v>PRESIDENTE PRUDENTE</x:v>
      </x:c>
      <x:c r="Q1708" s="30" t="n">
        <x:v>33858</x:v>
      </x:c>
      <x:c r="R1708" s="22" t="str">
        <x:f>"48451039"</x:f>
        <x:v>48451039</x:v>
      </x:c>
      <x:c r="S1708" s="23" t="str">
        <x:v>masculino</x:v>
      </x:c>
      <x:c r="T1708" s="22" t="str">
        <x:f>"BLB4C55"</x:f>
        <x:v>BLB4C55</x:v>
      </x:c>
      <x:c r="U1708" s="23" t="str">
        <x:v>JEAN CARLOS GIOVANINI</x:v>
      </x:c>
      <x:c r="V1708" s="22" t="str">
        <x:f>"407.013.068-31"</x:f>
        <x:v>407.013.068-31</x:v>
      </x:c>
      <x:c r="W1708" s="22" t="str">
        <x:f>"40701306831"</x:f>
        <x:v>40701306831</x:v>
      </x:c>
      <x:c r="X1708" s="23" t="str">
        <x:v>giovaninij@gmail.com</x:v>
      </x:c>
      <x:c r="Y1708" s="22" t="str">
        <x:f>"18 997535149"</x:f>
        <x:v>18 997535149</x:v>
      </x:c>
      <x:c r="Z1708" s="30" t="n">
        <x:v>46308</x:v>
      </x:c>
    </x:row>
    <x:row r="1709" ht="18" customHeight="1">
      <x:c r="A1709" s="22" t="str">
        <x:f>"95cec588-4e9b-4263-b5a2-4a8a220fc205"</x:f>
        <x:v>95cec588-4e9b-4263-b5a2-4a8a220fc205</x:v>
      </x:c>
      <x:c r="B1709" s="23" t="str">
        <x:v>JEAN CARLOS LEITE DOS SANTOS</x:v>
      </x:c>
      <x:c r="C1709" s="23" t="str">
        <x:v>jean carlos leite dos santos</x:v>
      </x:c>
      <x:c r="D1709" s="22" t="str">
        <x:f>"63.164.490/0001-81"</x:f>
        <x:v>63.164.490/0001-81</x:v>
      </x:c>
      <x:c r="E1709" s="22" t="str">
        <x:f>"63164490000181"</x:f>
        <x:v>63164490000181</x:v>
      </x:c>
      <x:c r="F1709" s="22" t="str">
        <x:f>"427.940.868-80"</x:f>
        <x:v>427.940.868-80</x:v>
      </x:c>
      <x:c r="G1709" s="22" t="str">
        <x:f>"42794086880"</x:f>
        <x:v>42794086880</x:v>
      </x:c>
      <x:c r="H1709" s="23" t="str">
        <x:v>jean01leite@gmail.com</x:v>
      </x:c>
      <x:c r="I1709" s="22" t="str">
        <x:f>"18 99791-7958"</x:f>
        <x:v>18 99791-7958</x:v>
      </x:c>
      <x:c r="J1709" s="23" t="str">
        <x:v>RENTAL</x:v>
      </x:c>
      <x:c r="K1709" s="23" t="str">
        <x:v>rental_company</x:v>
      </x:c>
      <x:c r="L1709" s="24" t="b">
        <x:v>1</x:v>
      </x:c>
      <x:c r="M1709" s="23" t="n">
        <x:v>1</x:v>
      </x:c>
      <x:c r="N1709" s="28" t="n">
        <x:v>46203.921887453704</x:v>
      </x:c>
      <x:c r="O1709" s="28" t="n">
        <x:v>46219.812988715275</x:v>
      </x:c>
      <x:c r="P1709" s="23" t="str">
        <x:v>PRESIDENTE PRUDENTE</x:v>
      </x:c>
      <x:c r="Q1709" s="30" t="n">
        <x:v>34500</x:v>
      </x:c>
      <x:c r="R1709" s="22" t="str">
        <x:f>"49.726.487.0"</x:f>
        <x:v>49.726.487.0</x:v>
      </x:c>
      <x:c r="S1709" s="23" t="str">
        <x:v>masculino</x:v>
      </x:c>
      <x:c r="T1709" s="22" t="str"/>
      <x:c r="U1709" s="23" t="str">
        <x:v>JEAN CARLOS LEITE DOS SANTOS</x:v>
      </x:c>
      <x:c r="V1709" s="22" t="str">
        <x:f>"427.940.868-80"</x:f>
        <x:v>427.940.868-80</x:v>
      </x:c>
      <x:c r="W1709" s="22" t="str">
        <x:f>"42794086880"</x:f>
        <x:v>42794086880</x:v>
      </x:c>
      <x:c r="X1709" s="23" t="str">
        <x:v>jean01leite@gmail.com</x:v>
      </x:c>
      <x:c r="Y1709" s="22" t="str">
        <x:f>"18 99791-7958"</x:f>
        <x:v>18 99791-7958</x:v>
      </x:c>
      <x:c r="Z1709" s="30" t="n">
        <x:v>46332</x:v>
      </x:c>
    </x:row>
    <x:row r="1710" ht="18" customHeight="1">
      <x:c r="A1710" s="22" t="str">
        <x:f>"f868b50a-7599-4060-b364-97c29ad527bf"</x:f>
        <x:v>f868b50a-7599-4060-b364-97c29ad527bf</x:v>
      </x:c>
      <x:c r="B1710" s="23" t="str">
        <x:v>JEAN CARLOS MILOME DA SILVA</x:v>
      </x:c>
      <x:c r="C1710" s="23" t="str">
        <x:v>jean carlos milome da silva</x:v>
      </x:c>
      <x:c r="D1710" s="22" t="str">
        <x:f>"39.394.789/0001-48"</x:f>
        <x:v>39.394.789/0001-48</x:v>
      </x:c>
      <x:c r="E1710" s="22" t="str">
        <x:f>"39394789000148"</x:f>
        <x:v>39394789000148</x:v>
      </x:c>
      <x:c r="F1710" s="22" t="str">
        <x:f>"016.098.371-18"</x:f>
        <x:v>016.098.371-18</x:v>
      </x:c>
      <x:c r="G1710" s="22" t="str">
        <x:f>"01609837118"</x:f>
        <x:v>01609837118</x:v>
      </x:c>
      <x:c r="H1710" s="23" t="str">
        <x:v>jeancarlos74376@gmail.com</x:v>
      </x:c>
      <x:c r="I1710" s="22" t="str">
        <x:f>"67 99606-8057"</x:f>
        <x:v>67 99606-8057</x:v>
      </x:c>
      <x:c r="J1710" s="23" t="str">
        <x:v>RENTAL</x:v>
      </x:c>
      <x:c r="K1710" s="23" t="str">
        <x:v>rental_company</x:v>
      </x:c>
      <x:c r="L1710" s="24" t="b">
        <x:v>1</x:v>
      </x:c>
      <x:c r="M1710" s="23" t="n">
        <x:v>1</x:v>
      </x:c>
      <x:c r="N1710" s="28" t="n">
        <x:v>46219.812988715275</x:v>
      </x:c>
      <x:c r="O1710" s="28" t="n">
        <x:v>46219.812988715275</x:v>
      </x:c>
      <x:c r="P1710" s="23" t="str">
        <x:v>CHAPADÃO DO SUL</x:v>
      </x:c>
      <x:c r="Q1710" s="30" t="n">
        <x:v>30417</x:v>
      </x:c>
      <x:c r="R1710" s="22" t="str">
        <x:f>"3818607"</x:f>
        <x:v>3818607</x:v>
      </x:c>
      <x:c r="S1710" s="23" t="str">
        <x:v>masculino</x:v>
      </x:c>
      <x:c r="T1710" s="22" t="str"/>
      <x:c r="U1710" s="23" t="str">
        <x:v>JEAN CARLOS MILOME DA SILVA</x:v>
      </x:c>
      <x:c r="V1710" s="22" t="str">
        <x:f>"016.098.371-18"</x:f>
        <x:v>016.098.371-18</x:v>
      </x:c>
      <x:c r="W1710" s="22" t="str">
        <x:f>"01609837118"</x:f>
        <x:v>01609837118</x:v>
      </x:c>
      <x:c r="X1710" s="23" t="str">
        <x:v>jeancarlos74376@gmail.com</x:v>
      </x:c>
      <x:c r="Y1710" s="22" t="str">
        <x:f>"67 99606-8057"</x:f>
        <x:v>67 99606-8057</x:v>
      </x:c>
      <x:c r="Z1710" s="30" t="n">
        <x:v>46515</x:v>
      </x:c>
    </x:row>
    <x:row r="1711" ht="18" customHeight="1">
      <x:c r="A1711" s="22" t="str">
        <x:f>"4724fd11-223c-4035-bbee-4dde915b2fa5"</x:f>
        <x:v>4724fd11-223c-4035-bbee-4dde915b2fa5</x:v>
      </x:c>
      <x:c r="B1711" s="23" t="str">
        <x:v>JEAN CLEITON DE ARAUJO</x:v>
      </x:c>
      <x:c r="C1711" s="23" t="str">
        <x:v>jean cleiton de araujo</x:v>
      </x:c>
      <x:c r="D1711" s="22" t="str">
        <x:f>"64.013.848/0001-38"</x:f>
        <x:v>64.013.848/0001-38</x:v>
      </x:c>
      <x:c r="E1711" s="22" t="str">
        <x:f>"64013848000138"</x:f>
        <x:v>64013848000138</x:v>
      </x:c>
      <x:c r="F1711" s="22" t="str">
        <x:f>"107.846.356-50"</x:f>
        <x:v>107.846.356-50</x:v>
      </x:c>
      <x:c r="G1711" s="22" t="str">
        <x:f>"10784635650"</x:f>
        <x:v>10784635650</x:v>
      </x:c>
      <x:c r="H1711" s="23" t="str">
        <x:v>araujo141191@gmail.com</x:v>
      </x:c>
      <x:c r="I1711" s="22" t="str">
        <x:f>"31994670287"</x:f>
        <x:v>31994670287</x:v>
      </x:c>
      <x:c r="J1711" s="23" t="str">
        <x:v>SPOT</x:v>
      </x:c>
      <x:c r="K1711" s="23" t="str">
        <x:v>favored_only</x:v>
      </x:c>
      <x:c r="L1711" s="24" t="b">
        <x:v>1</x:v>
      </x:c>
      <x:c r="M1711" s="23" t="n">
        <x:v>1</x:v>
      </x:c>
      <x:c r="N1711" s="28" t="n">
        <x:v>46219.812988715275</x:v>
      </x:c>
      <x:c r="O1711" s="28" t="n">
        <x:v>46219.812988715275</x:v>
      </x:c>
      <x:c r="P1711" s="23" t="str">
        <x:v>NOVA LIMA</x:v>
      </x:c>
      <x:c r="Q1711" s="30" t="n">
        <x:v>33557</x:v>
      </x:c>
      <x:c r="R1711" s="22" t="str">
        <x:f>"15851009"</x:f>
        <x:v>15851009</x:v>
      </x:c>
      <x:c r="S1711" s="23" t="str">
        <x:v>masculino</x:v>
      </x:c>
      <x:c r="T1711" s="22" t="str">
        <x:f>"BXD1F32"</x:f>
        <x:v>BXD1F32</x:v>
      </x:c>
      <x:c r="U1711" s="23" t="str">
        <x:v>JEAN CLEITON DE ARAUJO</x:v>
      </x:c>
      <x:c r="V1711" s="22" t="str">
        <x:f>"107.846.356-50"</x:f>
        <x:v>107.846.356-50</x:v>
      </x:c>
      <x:c r="W1711" s="22" t="str">
        <x:f>"10784635650"</x:f>
        <x:v>10784635650</x:v>
      </x:c>
      <x:c r="X1711" s="23" t="str">
        <x:v>araujo141191@gmail.com</x:v>
      </x:c>
      <x:c r="Y1711" s="22" t="str">
        <x:f>"31994670287"</x:f>
        <x:v>31994670287</x:v>
      </x:c>
      <x:c r="Z1711" s="30" t="n">
        <x:v>46574</x:v>
      </x:c>
    </x:row>
    <x:row r="1712" ht="18" customHeight="1">
      <x:c r="A1712" s="22" t="str">
        <x:f>"bf9b0c15-8ad1-4927-9020-f617c503977e"</x:f>
        <x:v>bf9b0c15-8ad1-4927-9020-f617c503977e</x:v>
      </x:c>
      <x:c r="B1712" s="23" t="str">
        <x:v>JEAN CONRADO FIGUEIREDO DA PENHA</x:v>
      </x:c>
      <x:c r="C1712" s="23" t="str">
        <x:v>jean conrado figueiredo da penha</x:v>
      </x:c>
      <x:c r="D1712" s="22" t="str">
        <x:f>"61.463.255/0001-85"</x:f>
        <x:v>61.463.255/0001-85</x:v>
      </x:c>
      <x:c r="E1712" s="22" t="str">
        <x:f>"61463255000185"</x:f>
        <x:v>61463255000185</x:v>
      </x:c>
      <x:c r="F1712" s="22" t="str">
        <x:f>"016.055.591-48"</x:f>
        <x:v>016.055.591-48</x:v>
      </x:c>
      <x:c r="G1712" s="22" t="str">
        <x:f>"01605559148"</x:f>
        <x:v>01605559148</x:v>
      </x:c>
      <x:c r="H1712" s="23" t="str">
        <x:v>jeanconrado86@gmail.com</x:v>
      </x:c>
      <x:c r="I1712" s="22" t="str">
        <x:f>"65998130657"</x:f>
        <x:v>65998130657</x:v>
      </x:c>
      <x:c r="J1712" s="23" t="str">
        <x:v>RENTAL</x:v>
      </x:c>
      <x:c r="K1712" s="23" t="str">
        <x:v>rental_company</x:v>
      </x:c>
      <x:c r="L1712" s="24" t="b">
        <x:v>1</x:v>
      </x:c>
      <x:c r="M1712" s="23" t="n">
        <x:v>1</x:v>
      </x:c>
      <x:c r="N1712" s="28" t="n">
        <x:v>46219.812988715275</x:v>
      </x:c>
      <x:c r="O1712" s="28" t="n">
        <x:v>46219.812988715275</x:v>
      </x:c>
      <x:c r="P1712" s="23" t="str">
        <x:v>CUIABA</x:v>
      </x:c>
      <x:c r="Q1712" s="30" t="n">
        <x:v>31911</x:v>
      </x:c>
      <x:c r="R1712" s="22" t="str">
        <x:f>"14782880"</x:f>
        <x:v>14782880</x:v>
      </x:c>
      <x:c r="S1712" s="23" t="str">
        <x:v>masculino</x:v>
      </x:c>
      <x:c r="T1712" s="22" t="str"/>
      <x:c r="U1712" s="23" t="str">
        <x:v>JEAN CONRADO FIGUEIREDO DA PENHA</x:v>
      </x:c>
      <x:c r="V1712" s="22" t="str">
        <x:f>"016.055.591-48"</x:f>
        <x:v>016.055.591-48</x:v>
      </x:c>
      <x:c r="W1712" s="22" t="str">
        <x:f>"01605559148"</x:f>
        <x:v>01605559148</x:v>
      </x:c>
      <x:c r="X1712" s="23" t="str">
        <x:v>jeanconrado86@gmail.com</x:v>
      </x:c>
      <x:c r="Y1712" s="22" t="str">
        <x:f>"65998130657"</x:f>
        <x:v>65998130657</x:v>
      </x:c>
      <x:c r="Z1712" s="30" t="n">
        <x:v>46483</x:v>
      </x:c>
    </x:row>
    <x:row r="1713" ht="18" customHeight="1">
      <x:c r="A1713" s="22" t="str">
        <x:f>"fe234ef8-2cb9-4fb3-9f3e-aa04dcc2adee"</x:f>
        <x:v>fe234ef8-2cb9-4fb3-9f3e-aa04dcc2adee</x:v>
      </x:c>
      <x:c r="B1713" s="23" t="str">
        <x:v>JEAN DA SILVEIRA GOMES</x:v>
      </x:c>
      <x:c r="C1713" s="23" t="str">
        <x:v>jean da silveira gomes</x:v>
      </x:c>
      <x:c r="D1713" s="22" t="str">
        <x:f>"56.228.088/0001-58"</x:f>
        <x:v>56.228.088/0001-58</x:v>
      </x:c>
      <x:c r="E1713" s="22" t="str">
        <x:f>"56228088000158"</x:f>
        <x:v>56228088000158</x:v>
      </x:c>
      <x:c r="F1713" s="22" t="str">
        <x:f>"108.209.046-86"</x:f>
        <x:v>108.209.046-86</x:v>
      </x:c>
      <x:c r="G1713" s="22" t="str">
        <x:f>"10820904686"</x:f>
        <x:v>10820904686</x:v>
      </x:c>
      <x:c r="H1713" s="23" t="str">
        <x:v>jeansilveirag22@gmail.com</x:v>
      </x:c>
      <x:c r="I1713" s="22" t="str">
        <x:f>"35 9180-6350"</x:f>
        <x:v>35 9180-6350</x:v>
      </x:c>
      <x:c r="J1713" s="23" t="str">
        <x:v>SPOT</x:v>
      </x:c>
      <x:c r="K1713" s="23" t="str">
        <x:v>favored_only</x:v>
      </x:c>
      <x:c r="L1713" s="24" t="b">
        <x:v>1</x:v>
      </x:c>
      <x:c r="M1713" s="23" t="n">
        <x:v>1</x:v>
      </x:c>
      <x:c r="N1713" s="28" t="n">
        <x:v>46219.812988715275</x:v>
      </x:c>
      <x:c r="O1713" s="28" t="n">
        <x:v>46219.812988715275</x:v>
      </x:c>
      <x:c r="P1713" s="23" t="str">
        <x:v>GUAXUPE</x:v>
      </x:c>
      <x:c r="Q1713" s="30" t="n">
        <x:v>34214</x:v>
      </x:c>
      <x:c r="R1713" s="22" t="str">
        <x:f>"17334051"</x:f>
        <x:v>17334051</x:v>
      </x:c>
      <x:c r="S1713" s="23" t="str">
        <x:v>masculino</x:v>
      </x:c>
      <x:c r="T1713" s="22" t="str">
        <x:f>"QQT3C55"</x:f>
        <x:v>QQT3C55</x:v>
      </x:c>
      <x:c r="U1713" s="23" t="str">
        <x:v>WANDERLEI HELENO REZENDE</x:v>
      </x:c>
      <x:c r="V1713" s="22" t="str">
        <x:f>"776.478.746-91"</x:f>
        <x:v>776.478.746-91</x:v>
      </x:c>
      <x:c r="W1713" s="22" t="str">
        <x:f>"77647874691"</x:f>
        <x:v>77647874691</x:v>
      </x:c>
      <x:c r="X1713" s="23" t="str">
        <x:v>lionrezende3172@gmail.com</x:v>
      </x:c>
      <x:c r="Y1713" s="22" t="str">
        <x:f>"35991053263"</x:f>
        <x:v>35991053263</x:v>
      </x:c>
      <x:c r="Z1713" s="30" t="n">
        <x:v>46582</x:v>
      </x:c>
    </x:row>
    <x:row r="1714" ht="18" customHeight="1">
      <x:c r="A1714" s="22" t="str">
        <x:f>"cbe0ec0a-17a8-4129-80cd-bb24eea6da2a"</x:f>
        <x:v>cbe0ec0a-17a8-4129-80cd-bb24eea6da2a</x:v>
      </x:c>
      <x:c r="B1714" s="23" t="str">
        <x:v>JEANE LARISSA BATISTA FONSECA</x:v>
      </x:c>
      <x:c r="C1714" s="23" t="str">
        <x:v>jeane larissa batista fonseca</x:v>
      </x:c>
      <x:c r="D1714" s="22" t="str">
        <x:f>"61.092.082/0001-36"</x:f>
        <x:v>61.092.082/0001-36</x:v>
      </x:c>
      <x:c r="E1714" s="22" t="str">
        <x:f>"61092082000136"</x:f>
        <x:v>61092082000136</x:v>
      </x:c>
      <x:c r="F1714" s="22" t="str">
        <x:f>"175.191.467-40"</x:f>
        <x:v>175.191.467-40</x:v>
      </x:c>
      <x:c r="G1714" s="22" t="str">
        <x:f>"17519146740"</x:f>
        <x:v>17519146740</x:v>
      </x:c>
      <x:c r="H1714" s="23" t="str">
        <x:v>jeanebatista433@gmail.com</x:v>
      </x:c>
      <x:c r="I1714" s="22" t="str">
        <x:f>"21990672682"</x:f>
        <x:v>21990672682</x:v>
      </x:c>
      <x:c r="J1714" s="23" t="str">
        <x:v>SPOT</x:v>
      </x:c>
      <x:c r="K1714" s="23" t="str">
        <x:v>favored_only</x:v>
      </x:c>
      <x:c r="L1714" s="24" t="b">
        <x:v>1</x:v>
      </x:c>
      <x:c r="M1714" s="23" t="n">
        <x:v>1</x:v>
      </x:c>
      <x:c r="N1714" s="28" t="n">
        <x:v>46203.921904421295</x:v>
      </x:c>
      <x:c r="O1714" s="28" t="n">
        <x:v>46219.812988715275</x:v>
      </x:c>
      <x:c r="P1714" s="23" t="str">
        <x:v>CORDOVIL</x:v>
      </x:c>
      <x:c r="Q1714" s="30" t="n">
        <x:v>36326</x:v>
      </x:c>
      <x:c r="R1714" s="22" t="str">
        <x:f>"303978217"</x:f>
        <x:v>303978217</x:v>
      </x:c>
      <x:c r="S1714" s="23" t="str">
        <x:v>feminino</x:v>
      </x:c>
      <x:c r="T1714" s="22" t="str">
        <x:f>"pwg3b62"</x:f>
        <x:v>pwg3b62</x:v>
      </x:c>
      <x:c r="U1714" s="23" t="str">
        <x:v>JEANE LARISSA BATISTA FONSECA</x:v>
      </x:c>
      <x:c r="V1714" s="22" t="str">
        <x:f>"175.191.467-40"</x:f>
        <x:v>175.191.467-40</x:v>
      </x:c>
      <x:c r="W1714" s="22" t="str">
        <x:f>"17519146740"</x:f>
        <x:v>17519146740</x:v>
      </x:c>
      <x:c r="X1714" s="23" t="str">
        <x:v>jeanebatista433@gmail.com</x:v>
      </x:c>
      <x:c r="Y1714" s="22" t="str">
        <x:f>"21990672682"</x:f>
        <x:v>21990672682</x:v>
      </x:c>
      <x:c r="Z1714" s="30" t="n">
        <x:v>46569</x:v>
      </x:c>
    </x:row>
    <x:row r="1715" ht="18" customHeight="1">
      <x:c r="A1715" s="22" t="str">
        <x:f>"0fef5840-ef7d-437b-aa9d-e079d273a9a8"</x:f>
        <x:v>0fef5840-ef7d-437b-aa9d-e079d273a9a8</x:v>
      </x:c>
      <x:c r="B1715" s="23" t="str">
        <x:v>JEAN HENRIQUE DA SILVA RAMOS</x:v>
      </x:c>
      <x:c r="C1715" s="23" t="str">
        <x:v>jean henrique da silva ramos</x:v>
      </x:c>
      <x:c r="D1715" s="22" t="str">
        <x:f>"56.894.248/0001-06"</x:f>
        <x:v>56.894.248/0001-06</x:v>
      </x:c>
      <x:c r="E1715" s="22" t="str">
        <x:f>"56894248000106"</x:f>
        <x:v>56894248000106</x:v>
      </x:c>
      <x:c r="F1715" s="22" t="str">
        <x:f>"182.463.027-10"</x:f>
        <x:v>182.463.027-10</x:v>
      </x:c>
      <x:c r="G1715" s="22" t="str">
        <x:f>"18246302710"</x:f>
        <x:v>18246302710</x:v>
      </x:c>
      <x:c r="H1715" s="23" t="str">
        <x:v>pgbmartial@gmail.com</x:v>
      </x:c>
      <x:c r="I1715" s="22" t="str">
        <x:f>"21966429732"</x:f>
        <x:v>21966429732</x:v>
      </x:c>
      <x:c r="J1715" s="23" t="str">
        <x:v>SPOT</x:v>
      </x:c>
      <x:c r="K1715" s="23" t="str">
        <x:v>favored_only</x:v>
      </x:c>
      <x:c r="L1715" s="24" t="b">
        <x:v>1</x:v>
      </x:c>
      <x:c r="M1715" s="23" t="n">
        <x:v>1</x:v>
      </x:c>
      <x:c r="N1715" s="28" t="n">
        <x:v>46219.812988715275</x:v>
      </x:c>
      <x:c r="O1715" s="28" t="n">
        <x:v>46219.812988715275</x:v>
      </x:c>
      <x:c r="P1715" s="23" t="str">
        <x:v>QUEIMADOS</x:v>
      </x:c>
      <x:c r="Q1715" s="30" t="n">
        <x:v>36201</x:v>
      </x:c>
      <x:c r="R1715" s="22" t="str">
        <x:f>"294743778"</x:f>
        <x:v>294743778</x:v>
      </x:c>
      <x:c r="S1715" s="23" t="str">
        <x:v>masculino</x:v>
      </x:c>
      <x:c r="T1715" s="22" t="str">
        <x:f>"KOX4F67"</x:f>
        <x:v>KOX4F67</x:v>
      </x:c>
      <x:c r="U1715" s="23" t="str">
        <x:v>RICHARD JOSEPHINO CRUZ</x:v>
      </x:c>
      <x:c r="V1715" s="22" t="str">
        <x:f>"171.945.817-01"</x:f>
        <x:v>171.945.817-01</x:v>
      </x:c>
      <x:c r="W1715" s="22" t="str">
        <x:f>"17194581701"</x:f>
        <x:v>17194581701</x:v>
      </x:c>
      <x:c r="X1715" s="23" t="str">
        <x:v>richardsophia1204@gmail.com</x:v>
      </x:c>
      <x:c r="Y1715" s="22" t="str">
        <x:f>"21982554144"</x:f>
        <x:v>21982554144</x:v>
      </x:c>
      <x:c r="Z1715" s="30" t="n">
        <x:v>46484</x:v>
      </x:c>
    </x:row>
    <x:row r="1716" ht="18" customHeight="1">
      <x:c r="A1716" s="22" t="str">
        <x:f>"72ed9918-3199-4fe9-9eb9-7e759ec2ebdd"</x:f>
        <x:v>72ed9918-3199-4fe9-9eb9-7e759ec2ebdd</x:v>
      </x:c>
      <x:c r="B1716" s="23" t="str">
        <x:v>JEAN MARCEL BRUSTELLO</x:v>
      </x:c>
      <x:c r="C1716" s="23" t="str">
        <x:v>jean marcel brustello</x:v>
      </x:c>
      <x:c r="D1716" s="22" t="str">
        <x:f>"50.899.787/0001-43"</x:f>
        <x:v>50.899.787/0001-43</x:v>
      </x:c>
      <x:c r="E1716" s="22" t="str">
        <x:f>"50899787000143"</x:f>
        <x:v>50899787000143</x:v>
      </x:c>
      <x:c r="F1716" s="22" t="str">
        <x:f>"393.285.358-08"</x:f>
        <x:v>393.285.358-08</x:v>
      </x:c>
      <x:c r="G1716" s="22" t="str">
        <x:f>"39328535808"</x:f>
        <x:v>39328535808</x:v>
      </x:c>
      <x:c r="H1716" s="23" t="str">
        <x:v>jeanbrustello9@gmail.com</x:v>
      </x:c>
      <x:c r="I1716" s="22" t="str">
        <x:f>"16 981264108"</x:f>
        <x:v>16 981264108</x:v>
      </x:c>
      <x:c r="J1716" s="23" t="str">
        <x:v>RENTAL</x:v>
      </x:c>
      <x:c r="K1716" s="23" t="str">
        <x:v>rental_company</x:v>
      </x:c>
      <x:c r="L1716" s="24" t="b">
        <x:v>1</x:v>
      </x:c>
      <x:c r="M1716" s="23" t="n">
        <x:v>1</x:v>
      </x:c>
      <x:c r="N1716" s="28" t="n">
        <x:v>46219.812988715275</x:v>
      </x:c>
      <x:c r="O1716" s="28" t="n">
        <x:v>46219.812988715275</x:v>
      </x:c>
      <x:c r="P1716" s="23" t="str">
        <x:v>RIBEIRAO PRETO</x:v>
      </x:c>
      <x:c r="Q1716" s="30" t="n">
        <x:v>32843</x:v>
      </x:c>
      <x:c r="R1716" s="22" t="str">
        <x:f>"46.312.655-5"</x:f>
        <x:v>46.312.655-5</x:v>
      </x:c>
      <x:c r="S1716" s="23" t="str">
        <x:v>masculino</x:v>
      </x:c>
      <x:c r="T1716" s="22" t="str"/>
      <x:c r="U1716" s="23" t="str">
        <x:v>JEAN MARCEL BRUSTELLO</x:v>
      </x:c>
      <x:c r="V1716" s="22" t="str">
        <x:f>"393.285.358-08"</x:f>
        <x:v>393.285.358-08</x:v>
      </x:c>
      <x:c r="W1716" s="22" t="str">
        <x:f>"39328535808"</x:f>
        <x:v>39328535808</x:v>
      </x:c>
      <x:c r="X1716" s="23" t="str">
        <x:v>jeanbrustello9@gmail.com</x:v>
      </x:c>
      <x:c r="Y1716" s="22" t="str">
        <x:f>"16 981264108"</x:f>
        <x:v>16 981264108</x:v>
      </x:c>
      <x:c r="Z1716" s="30" t="n">
        <x:v>46546</x:v>
      </x:c>
    </x:row>
    <x:row r="1717" ht="18" customHeight="1">
      <x:c r="A1717" s="22" t="str">
        <x:f>"53e31962-5612-447e-9c08-fae4027aa2a3"</x:f>
        <x:v>53e31962-5612-447e-9c08-fae4027aa2a3</x:v>
      </x:c>
      <x:c r="B1717" s="23" t="str">
        <x:v>JEAN MICHEL LIMA DA SILVA</x:v>
      </x:c>
      <x:c r="C1717" s="23" t="str">
        <x:v>jean michel lima da silva</x:v>
      </x:c>
      <x:c r="D1717" s="22" t="str">
        <x:f>"67.959.803/0001-49"</x:f>
        <x:v>67.959.803/0001-49</x:v>
      </x:c>
      <x:c r="E1717" s="22" t="str">
        <x:f>"67959803000149"</x:f>
        <x:v>67959803000149</x:v>
      </x:c>
      <x:c r="F1717" s="22" t="str">
        <x:f>"331.504.458-92"</x:f>
        <x:v>331.504.458-92</x:v>
      </x:c>
      <x:c r="G1717" s="22" t="str">
        <x:f>"33150445892"</x:f>
        <x:v>33150445892</x:v>
      </x:c>
      <x:c r="H1717" s="23" t="str">
        <x:v>jeanmichellimadasilva09@gmail.com</x:v>
      </x:c>
      <x:c r="I1717" s="22" t="str">
        <x:f>"(11)96940-0750"</x:f>
        <x:v>(11)96940-0750</x:v>
      </x:c>
      <x:c r="J1717" s="23" t="str">
        <x:v>RENTAL</x:v>
      </x:c>
      <x:c r="K1717" s="23" t="str">
        <x:v>rental_company</x:v>
      </x:c>
      <x:c r="L1717" s="24" t="b">
        <x:v>1</x:v>
      </x:c>
      <x:c r="M1717" s="23" t="n">
        <x:v>1</x:v>
      </x:c>
      <x:c r="N1717" s="28" t="n">
        <x:v>46219.812988715275</x:v>
      </x:c>
      <x:c r="O1717" s="28" t="n">
        <x:v>46219.812988715275</x:v>
      </x:c>
      <x:c r="P1717" s="23" t="str">
        <x:v>POUSO ALEGRE</x:v>
      </x:c>
      <x:c r="Q1717" s="30" t="n">
        <x:v>31185</x:v>
      </x:c>
      <x:c r="R1717" s="22" t="str">
        <x:f>"28693919 SSP SP"</x:f>
        <x:v>28693919 SSP SP</x:v>
      </x:c>
      <x:c r="S1717" s="23" t="str">
        <x:v>masculino</x:v>
      </x:c>
      <x:c r="T1717" s="22" t="str"/>
      <x:c r="U1717" s="23" t="str">
        <x:v>JEAN MICHEL LIMA DA SILVA</x:v>
      </x:c>
      <x:c r="V1717" s="22" t="str">
        <x:f>"331.504.458-92"</x:f>
        <x:v>331.504.458-92</x:v>
      </x:c>
      <x:c r="W1717" s="22" t="str">
        <x:f>"33150445892"</x:f>
        <x:v>33150445892</x:v>
      </x:c>
      <x:c r="X1717" s="23" t="str">
        <x:v>jeanmichellimadasilva09@gmail.com</x:v>
      </x:c>
      <x:c r="Y1717" s="22" t="str">
        <x:f>"(11)96940-0750"</x:f>
        <x:v>(11)96940-0750</x:v>
      </x:c>
      <x:c r="Z1717" s="30" t="n">
        <x:v>46581</x:v>
      </x:c>
    </x:row>
    <x:row r="1718" ht="18" customHeight="1">
      <x:c r="A1718" s="22" t="str">
        <x:f>"24c835a0-7423-4bb1-8670-c9e9d5bba081"</x:f>
        <x:v>24c835a0-7423-4bb1-8670-c9e9d5bba081</x:v>
      </x:c>
      <x:c r="B1718" s="23" t="str">
        <x:v>JEANNER LUIS PANSANI DE OLIVEIRA</x:v>
      </x:c>
      <x:c r="C1718" s="23" t="str">
        <x:v>jeanner luis pansani de oliveira</x:v>
      </x:c>
      <x:c r="D1718" s="22" t="str">
        <x:f>"64.701.685/0001-86"</x:f>
        <x:v>64.701.685/0001-86</x:v>
      </x:c>
      <x:c r="E1718" s="22" t="str">
        <x:f>"64701685000186"</x:f>
        <x:v>64701685000186</x:v>
      </x:c>
      <x:c r="F1718" s="22" t="str">
        <x:f>"947.056.666-15"</x:f>
        <x:v>947.056.666-15</x:v>
      </x:c>
      <x:c r="G1718" s="22" t="str">
        <x:f>"94705666615"</x:f>
        <x:v>94705666615</x:v>
      </x:c>
      <x:c r="H1718" s="23" t="str">
        <x:v>jeanner.pansani@hotmail.com</x:v>
      </x:c>
      <x:c r="I1718" s="22" t="str">
        <x:f>"(34) 9 9"</x:f>
        <x:v>(34) 9 9</x:v>
      </x:c>
      <x:c r="J1718" s="23" t="str">
        <x:v>SPOT</x:v>
      </x:c>
      <x:c r="K1718" s="23" t="str">
        <x:v>favored_only</x:v>
      </x:c>
      <x:c r="L1718" s="24" t="b">
        <x:v>1</x:v>
      </x:c>
      <x:c r="M1718" s="23" t="n">
        <x:v>1</x:v>
      </x:c>
      <x:c r="N1718" s="28" t="n">
        <x:v>46219.812988715275</x:v>
      </x:c>
      <x:c r="O1718" s="28" t="n">
        <x:v>46219.812988715275</x:v>
      </x:c>
      <x:c r="P1718" s="23" t="str">
        <x:v>UBERABA</x:v>
      </x:c>
      <x:c r="Q1718" s="30" t="n">
        <x:v>26908</x:v>
      </x:c>
      <x:c r="R1718" s="22" t="str">
        <x:f>"332372753"</x:f>
        <x:v>332372753</x:v>
      </x:c>
      <x:c r="S1718" s="23" t="str">
        <x:v>masculino</x:v>
      </x:c>
      <x:c r="T1718" s="22" t="str">
        <x:f>"QBB2G02"</x:f>
        <x:v>QBB2G02</x:v>
      </x:c>
      <x:c r="U1718" s="23" t="str">
        <x:v>JEANNER LUIS PANSANI DE OLIVEIRA</x:v>
      </x:c>
      <x:c r="V1718" s="22" t="str">
        <x:f>"947.056.666-15"</x:f>
        <x:v>947.056.666-15</x:v>
      </x:c>
      <x:c r="W1718" s="22" t="str">
        <x:f>"94705666615"</x:f>
        <x:v>94705666615</x:v>
      </x:c>
      <x:c r="X1718" s="23" t="str">
        <x:v>jeanner.pansani@hotmail.com</x:v>
      </x:c>
      <x:c r="Y1718" s="22" t="str">
        <x:f>"(34)9 9675 0029"</x:f>
        <x:v>(34)9 9675 0029</x:v>
      </x:c>
      <x:c r="Z1718" s="30" t="n">
        <x:v>46416</x:v>
      </x:c>
    </x:row>
    <x:row r="1719" ht="18" customHeight="1">
      <x:c r="A1719" s="22" t="str">
        <x:f>"053aaee7-b09f-4b32-a2a7-f1ac2adf2881"</x:f>
        <x:v>053aaee7-b09f-4b32-a2a7-f1ac2adf2881</x:v>
      </x:c>
      <x:c r="B1719" s="23" t="str">
        <x:v>JEAN OLIVEIRA DE SOUZA</x:v>
      </x:c>
      <x:c r="C1719" s="23" t="str">
        <x:v>jean oliveira de souza</x:v>
      </x:c>
      <x:c r="D1719" s="22" t="str">
        <x:f>"53.264.533/0001-47"</x:f>
        <x:v>53.264.533/0001-47</x:v>
      </x:c>
      <x:c r="E1719" s="22" t="str">
        <x:f>"53264533000147"</x:f>
        <x:v>53264533000147</x:v>
      </x:c>
      <x:c r="F1719" s="22" t="str">
        <x:f>"050.753.461-11"</x:f>
        <x:v>050.753.461-11</x:v>
      </x:c>
      <x:c r="G1719" s="22" t="str">
        <x:f>"05075346111"</x:f>
        <x:v>05075346111</x:v>
      </x:c>
      <x:c r="H1719" s="23" t="str">
        <x:v>jeanoliveiradesouza60@gmail.com</x:v>
      </x:c>
      <x:c r="I1719" s="22" t="str">
        <x:f>"6599947322"</x:f>
        <x:v>6599947322</x:v>
      </x:c>
      <x:c r="J1719" s="23" t="str">
        <x:v>SPOT</x:v>
      </x:c>
      <x:c r="K1719" s="23" t="str">
        <x:v>favored_only</x:v>
      </x:c>
      <x:c r="L1719" s="24" t="b">
        <x:v>1</x:v>
      </x:c>
      <x:c r="M1719" s="23" t="n">
        <x:v>1</x:v>
      </x:c>
      <x:c r="N1719" s="28" t="n">
        <x:v>46219.812988715275</x:v>
      </x:c>
      <x:c r="O1719" s="28" t="n">
        <x:v>46219.812988715275</x:v>
      </x:c>
      <x:c r="P1719" s="23" t="str">
        <x:v>PONTES E LACERDA</x:v>
      </x:c>
      <x:c r="Q1719" s="30" t="n">
        <x:v>34125</x:v>
      </x:c>
      <x:c r="R1719" s="22" t="str">
        <x:f>"38904"</x:f>
        <x:v>38904</x:v>
      </x:c>
      <x:c r="S1719" s="23" t="str">
        <x:v>masculino</x:v>
      </x:c>
      <x:c r="T1719" s="22" t="str">
        <x:f>"SPS1G91"</x:f>
        <x:v>SPS1G91</x:v>
      </x:c>
      <x:c r="U1719" s="23" t="str">
        <x:v>LEONIDAS DE PINHO E SILVA</x:v>
      </x:c>
      <x:c r="V1719" s="22" t="str">
        <x:f>"692.451.851-68"</x:f>
        <x:v>692.451.851-68</x:v>
      </x:c>
      <x:c r="W1719" s="22" t="str">
        <x:f>"69245185168"</x:f>
        <x:v>69245185168</x:v>
      </x:c>
      <x:c r="X1719" s="23" t="str">
        <x:v>veloxlogisticamt@gmail.com</x:v>
      </x:c>
      <x:c r="Y1719" s="22" t="str">
        <x:f>"65996790317"</x:f>
        <x:v>65996790317</x:v>
      </x:c>
      <x:c r="Z1719" s="30" t="n">
        <x:v>46414</x:v>
      </x:c>
    </x:row>
    <x:row r="1720" ht="18" customHeight="1">
      <x:c r="A1720" s="22" t="str">
        <x:f>"585dfe32-7892-43f2-acef-e1bf93109435"</x:f>
        <x:v>585dfe32-7892-43f2-acef-e1bf93109435</x:v>
      </x:c>
      <x:c r="B1720" s="23" t="str">
        <x:v>JEAN RICARDO DA SILVA SANTOS</x:v>
      </x:c>
      <x:c r="C1720" s="23" t="str">
        <x:v>jean ricardo da silva santos</x:v>
      </x:c>
      <x:c r="D1720" s="22" t="str">
        <x:f>"43.182.694/0001-38"</x:f>
        <x:v>43.182.694/0001-38</x:v>
      </x:c>
      <x:c r="E1720" s="22" t="str">
        <x:f>"43182694000138"</x:f>
        <x:v>43182694000138</x:v>
      </x:c>
      <x:c r="F1720" s="22" t="str">
        <x:f>"428.400.718-19"</x:f>
        <x:v>428.400.718-19</x:v>
      </x:c>
      <x:c r="G1720" s="22" t="str">
        <x:f>"42840071819"</x:f>
        <x:v>42840071819</x:v>
      </x:c>
      <x:c r="H1720" s="23" t="str">
        <x:v>jeanricardo135@gmail.com</x:v>
      </x:c>
      <x:c r="I1720" s="22" t="str">
        <x:f>"11 91120-9284"</x:f>
        <x:v>11 91120-9284</x:v>
      </x:c>
      <x:c r="J1720" s="23" t="str">
        <x:v>RENTAL</x:v>
      </x:c>
      <x:c r="K1720" s="23" t="str">
        <x:v>rental_company</x:v>
      </x:c>
      <x:c r="L1720" s="24" t="b">
        <x:v>1</x:v>
      </x:c>
      <x:c r="M1720" s="23" t="n">
        <x:v>1</x:v>
      </x:c>
      <x:c r="N1720" s="28" t="n">
        <x:v>46219.812988715275</x:v>
      </x:c>
      <x:c r="O1720" s="28" t="n">
        <x:v>46219.812988715275</x:v>
      </x:c>
      <x:c r="P1720" s="23" t="str">
        <x:v>BARUERI</x:v>
      </x:c>
      <x:c r="Q1720" s="30" t="n">
        <x:v>36663</x:v>
      </x:c>
      <x:c r="R1720" s="22" t="str">
        <x:f>"50445818"</x:f>
        <x:v>50445818</x:v>
      </x:c>
      <x:c r="S1720" s="23" t="str">
        <x:v>masculino</x:v>
      </x:c>
      <x:c r="T1720" s="22" t="str"/>
      <x:c r="U1720" s="23" t="str">
        <x:v>JEAN RICARDO DA SILVA SANTOS</x:v>
      </x:c>
      <x:c r="V1720" s="22" t="str">
        <x:f>"428.400.718-19"</x:f>
        <x:v>428.400.718-19</x:v>
      </x:c>
      <x:c r="W1720" s="22" t="str">
        <x:f>"42840071819"</x:f>
        <x:v>42840071819</x:v>
      </x:c>
      <x:c r="X1720" s="23" t="str">
        <x:v>jeanricardo135@gmail.com</x:v>
      </x:c>
      <x:c r="Y1720" s="22" t="str">
        <x:f>"11 91120-9284"</x:f>
        <x:v>11 91120-9284</x:v>
      </x:c>
      <x:c r="Z1720" s="30" t="n">
        <x:v>46578</x:v>
      </x:c>
    </x:row>
    <x:row r="1721" ht="18" customHeight="1">
      <x:c r="A1721" s="22" t="str">
        <x:f>"ae41c4ae-a292-44ba-bdd7-f5423911c069"</x:f>
        <x:v>ae41c4ae-a292-44ba-bdd7-f5423911c069</x:v>
      </x:c>
      <x:c r="B1721" s="23" t="str">
        <x:v>JEAN WARLEY SANTOS</x:v>
      </x:c>
      <x:c r="C1721" s="23" t="str">
        <x:v>jean warley santos</x:v>
      </x:c>
      <x:c r="D1721" s="22" t="str">
        <x:f>"58.856.274/0001-67"</x:f>
        <x:v>58.856.274/0001-67</x:v>
      </x:c>
      <x:c r="E1721" s="22" t="str">
        <x:f>"58856274000167"</x:f>
        <x:v>58856274000167</x:v>
      </x:c>
      <x:c r="F1721" s="22" t="str">
        <x:f>"047.550.046-67"</x:f>
        <x:v>047.550.046-67</x:v>
      </x:c>
      <x:c r="G1721" s="22" t="str">
        <x:f>"04755004667"</x:f>
        <x:v>04755004667</x:v>
      </x:c>
      <x:c r="H1721" s="23" t="str">
        <x:v>jeanwarley460@gmail.com</x:v>
      </x:c>
      <x:c r="I1721" s="22" t="str">
        <x:f>"(33) 99939-2747"</x:f>
        <x:v>(33) 99939-2747</x:v>
      </x:c>
      <x:c r="J1721" s="23" t="str">
        <x:v>SPOT</x:v>
      </x:c>
      <x:c r="K1721" s="23" t="str">
        <x:v>favored_only</x:v>
      </x:c>
      <x:c r="L1721" s="24" t="b">
        <x:v>1</x:v>
      </x:c>
      <x:c r="M1721" s="23" t="n">
        <x:v>1</x:v>
      </x:c>
      <x:c r="N1721" s="28" t="n">
        <x:v>46203.921904421295</x:v>
      </x:c>
      <x:c r="O1721" s="28" t="n">
        <x:v>46219.812988715275</x:v>
      </x:c>
      <x:c r="P1721" s="23" t="str">
        <x:v>TEOFILO OTONI</x:v>
      </x:c>
      <x:c r="Q1721" s="30" t="n">
        <x:v>29766</x:v>
      </x:c>
      <x:c r="R1721" s="22" t="str">
        <x:f>"11981130"</x:f>
        <x:v>11981130</x:v>
      </x:c>
      <x:c r="S1721" s="23" t="str">
        <x:v>masculino</x:v>
      </x:c>
      <x:c r="T1721" s="22" t="str">
        <x:f>"OQX4601"</x:f>
        <x:v>OQX4601</x:v>
      </x:c>
      <x:c r="U1721" s="23" t="str">
        <x:v>JEAN WARLEY SANTOS</x:v>
      </x:c>
      <x:c r="V1721" s="22" t="str">
        <x:f>"047.550.046-67"</x:f>
        <x:v>047.550.046-67</x:v>
      </x:c>
      <x:c r="W1721" s="22" t="str">
        <x:f>"04755004667"</x:f>
        <x:v>04755004667</x:v>
      </x:c>
      <x:c r="X1721" s="23" t="str">
        <x:v>jeanwarley460@gmail.com</x:v>
      </x:c>
      <x:c r="Y1721" s="22" t="str">
        <x:f>"(33) 99939-2747"</x:f>
        <x:v>(33) 99939-2747</x:v>
      </x:c>
      <x:c r="Z1721" s="30" t="n">
        <x:v>46374</x:v>
      </x:c>
    </x:row>
    <x:row r="1722" ht="18" customHeight="1">
      <x:c r="A1722" s="22" t="str">
        <x:f>"3a604bb3-3f81-4479-ba70-ed6342be5936"</x:f>
        <x:v>3a604bb3-3f81-4479-ba70-ed6342be5936</x:v>
      </x:c>
      <x:c r="B1722" s="23" t="str">
        <x:v>JEFERSON BATISTA GONCALVES</x:v>
      </x:c>
      <x:c r="C1722" s="23" t="str">
        <x:v>jeferson batista goncalves</x:v>
      </x:c>
      <x:c r="D1722" s="22" t="str">
        <x:f>"49.942.404/0001-93"</x:f>
        <x:v>49.942.404/0001-93</x:v>
      </x:c>
      <x:c r="E1722" s="22" t="str">
        <x:f>"49942404000193"</x:f>
        <x:v>49942404000193</x:v>
      </x:c>
      <x:c r="F1722" s="22" t="str">
        <x:f>"380.582.888-88"</x:f>
        <x:v>380.582.888-88</x:v>
      </x:c>
      <x:c r="G1722" s="22" t="str">
        <x:f>"38058288888"</x:f>
        <x:v>38058288888</x:v>
      </x:c>
      <x:c r="H1722" s="23" t="str">
        <x:v>jeferson.leader@hotmail.com</x:v>
      </x:c>
      <x:c r="I1722" s="22" t="str">
        <x:f>"11912897742"</x:f>
        <x:v>11912897742</x:v>
      </x:c>
      <x:c r="J1722" s="23" t="str">
        <x:v>SPOT</x:v>
      </x:c>
      <x:c r="K1722" s="23" t="str">
        <x:v>favored_only</x:v>
      </x:c>
      <x:c r="L1722" s="24" t="b">
        <x:v>1</x:v>
      </x:c>
      <x:c r="M1722" s="23" t="n">
        <x:v>1</x:v>
      </x:c>
      <x:c r="N1722" s="28" t="n">
        <x:v>46219.812988715275</x:v>
      </x:c>
      <x:c r="O1722" s="28" t="n">
        <x:v>46219.812988715275</x:v>
      </x:c>
      <x:c r="P1722" s="23" t="str">
        <x:v>BARUERI</x:v>
      </x:c>
      <x:c r="Q1722" s="30" t="n">
        <x:v>32661</x:v>
      </x:c>
      <x:c r="R1722" s="22" t="str">
        <x:f>"44705598"</x:f>
        <x:v>44705598</x:v>
      </x:c>
      <x:c r="S1722" s="23" t="str">
        <x:v>masculino</x:v>
      </x:c>
      <x:c r="T1722" s="22" t="str">
        <x:f>"FXH0J91"</x:f>
        <x:v>FXH0J91</x:v>
      </x:c>
      <x:c r="U1722" s="23" t="str">
        <x:v>MATHEUS BATISTA GONCALVES</x:v>
      </x:c>
      <x:c r="V1722" s="22" t="str">
        <x:f>"445.477.028-02"</x:f>
        <x:v>445.477.028-02</x:v>
      </x:c>
      <x:c r="W1722" s="22" t="str">
        <x:f>"44547702802"</x:f>
        <x:v>44547702802</x:v>
      </x:c>
      <x:c r="X1722" s="23" t="str">
        <x:v>matheuslhp13@gmail.com</x:v>
      </x:c>
      <x:c r="Y1722" s="22" t="str">
        <x:f>"(11) 971333748"</x:f>
        <x:v>(11) 971333748</x:v>
      </x:c>
      <x:c r="Z1722" s="30" t="n">
        <x:v>46443</x:v>
      </x:c>
    </x:row>
    <x:row r="1723" ht="18" customHeight="1">
      <x:c r="A1723" s="22" t="str">
        <x:f>"7253281c-5c19-432a-84bc-b5ccd1381830"</x:f>
        <x:v>7253281c-5c19-432a-84bc-b5ccd1381830</x:v>
      </x:c>
      <x:c r="B1723" s="23" t="str">
        <x:v>JEFERSON CAMARGO MENDES</x:v>
      </x:c>
      <x:c r="C1723" s="23" t="str">
        <x:v>jeferson camargo mendes</x:v>
      </x:c>
      <x:c r="D1723" s="22" t="str">
        <x:f>"30.345.922/0001-00"</x:f>
        <x:v>30.345.922/0001-00</x:v>
      </x:c>
      <x:c r="E1723" s="22" t="str">
        <x:f>"30345922000100"</x:f>
        <x:v>30345922000100</x:v>
      </x:c>
      <x:c r="F1723" s="22" t="str">
        <x:f>"336.175.798-33"</x:f>
        <x:v>336.175.798-33</x:v>
      </x:c>
      <x:c r="G1723" s="22" t="str">
        <x:f>"33617579833"</x:f>
        <x:v>33617579833</x:v>
      </x:c>
      <x:c r="H1723" s="23" t="str">
        <x:v>je_10cmendes@hotmail.com</x:v>
      </x:c>
      <x:c r="I1723" s="22" t="str">
        <x:f>"(11) 93393-4735"</x:f>
        <x:v>(11) 93393-4735</x:v>
      </x:c>
      <x:c r="J1723" s="23" t="str">
        <x:v>SPOT</x:v>
      </x:c>
      <x:c r="K1723" s="23" t="str">
        <x:v>favored_only</x:v>
      </x:c>
      <x:c r="L1723" s="24" t="b">
        <x:v>1</x:v>
      </x:c>
      <x:c r="M1723" s="23" t="n">
        <x:v>1</x:v>
      </x:c>
      <x:c r="N1723" s="28" t="n">
        <x:v>46203.92186462963</x:v>
      </x:c>
      <x:c r="O1723" s="28" t="n">
        <x:v>46219.812988715275</x:v>
      </x:c>
      <x:c r="P1723" s="23" t="str">
        <x:v>POUSO ALEGRE</x:v>
      </x:c>
      <x:c r="Q1723" s="30" t="n">
        <x:v>31007</x:v>
      </x:c>
      <x:c r="R1723" s="22" t="str">
        <x:f>"33221759 SSP SP"</x:f>
        <x:v>33221759 SSP SP</x:v>
      </x:c>
      <x:c r="S1723" s="23" t="str">
        <x:v>masculino</x:v>
      </x:c>
      <x:c r="T1723" s="22" t="str">
        <x:f>"GBP0F65"</x:f>
        <x:v>GBP0F65</x:v>
      </x:c>
      <x:c r="U1723" s="23" t="str">
        <x:v>JEFERSON CAMARGO MENDES</x:v>
      </x:c>
      <x:c r="V1723" s="22" t="str">
        <x:f>"336.175.798-33"</x:f>
        <x:v>336.175.798-33</x:v>
      </x:c>
      <x:c r="W1723" s="22" t="str">
        <x:f>"33617579833"</x:f>
        <x:v>33617579833</x:v>
      </x:c>
      <x:c r="X1723" s="23" t="str">
        <x:v>je_10cmendes@hotmail.com</x:v>
      </x:c>
      <x:c r="Y1723" s="22" t="str">
        <x:f>"(11) 93393-4735"</x:f>
        <x:v>(11) 93393-4735</x:v>
      </x:c>
      <x:c r="Z1723" s="30" t="n">
        <x:v>46274</x:v>
      </x:c>
    </x:row>
    <x:row r="1724" ht="18" customHeight="1">
      <x:c r="A1724" s="22" t="str">
        <x:f>"2bde60b0-a4d2-4565-99b5-d0f8ea5aee67"</x:f>
        <x:v>2bde60b0-a4d2-4565-99b5-d0f8ea5aee67</x:v>
      </x:c>
      <x:c r="B1724" s="23" t="str">
        <x:v>JEFERSON CARVALHO DA SILVA</x:v>
      </x:c>
      <x:c r="C1724" s="23" t="str">
        <x:v>jeferson carvalho da silva</x:v>
      </x:c>
      <x:c r="D1724" s="22" t="str">
        <x:f>"37.329.320/0001-08"</x:f>
        <x:v>37.329.320/0001-08</x:v>
      </x:c>
      <x:c r="E1724" s="22" t="str">
        <x:f>"37329320000108"</x:f>
        <x:v>37329320000108</x:v>
      </x:c>
      <x:c r="F1724" s="22" t="str">
        <x:f>"112.841.407-41"</x:f>
        <x:v>112.841.407-41</x:v>
      </x:c>
      <x:c r="G1724" s="22" t="str">
        <x:f>"11284140741"</x:f>
        <x:v>11284140741</x:v>
      </x:c>
      <x:c r="H1724" s="23" t="str">
        <x:v>jefersoncarvalhosilva22@gmail.com</x:v>
      </x:c>
      <x:c r="I1724" s="22" t="str">
        <x:f>"(21) 96501-3025"</x:f>
        <x:v>(21) 96501-3025</x:v>
      </x:c>
      <x:c r="J1724" s="23" t="str">
        <x:v>SPOT</x:v>
      </x:c>
      <x:c r="K1724" s="23" t="str">
        <x:v>favored_only</x:v>
      </x:c>
      <x:c r="L1724" s="24" t="b">
        <x:v>1</x:v>
      </x:c>
      <x:c r="M1724" s="23" t="n">
        <x:v>1</x:v>
      </x:c>
      <x:c r="N1724" s="28" t="n">
        <x:v>46219.812988715275</x:v>
      </x:c>
      <x:c r="O1724" s="28" t="n">
        <x:v>46219.812988715275</x:v>
      </x:c>
      <x:c r="P1724" s="23" t="str">
        <x:v>SÃO JOAO DE MERITI</x:v>
      </x:c>
      <x:c r="Q1724" s="30" t="n">
        <x:v>29898</x:v>
      </x:c>
      <x:c r="R1724" s="22" t="str">
        <x:f>"13.057.285-2"</x:f>
        <x:v>13.057.285-2</x:v>
      </x:c>
      <x:c r="S1724" s="23" t="str">
        <x:v>masculino</x:v>
      </x:c>
      <x:c r="T1724" s="22" t="str">
        <x:f>"PUK6I57"</x:f>
        <x:v>PUK6I57</x:v>
      </x:c>
      <x:c r="U1724" s="23" t="str">
        <x:v>JEFERSON CARVALHO DA SILVA</x:v>
      </x:c>
      <x:c r="V1724" s="22" t="str">
        <x:f>"112.841.407-41"</x:f>
        <x:v>112.841.407-41</x:v>
      </x:c>
      <x:c r="W1724" s="22" t="str">
        <x:f>"11284140741"</x:f>
        <x:v>11284140741</x:v>
      </x:c>
      <x:c r="X1724" s="23" t="str">
        <x:v>jefersoncarvalhosilva22@gmail.com</x:v>
      </x:c>
      <x:c r="Y1724" s="22" t="str">
        <x:f>"(21) 96501-3025"</x:f>
        <x:v>(21) 96501-3025</x:v>
      </x:c>
      <x:c r="Z1724" s="30" t="n">
        <x:v>46542</x:v>
      </x:c>
    </x:row>
    <x:row r="1725" ht="18" customHeight="1">
      <x:c r="A1725" s="22" t="str">
        <x:f>"6d1ccd70-5138-4ab9-b6a8-740261ee2113"</x:f>
        <x:v>6d1ccd70-5138-4ab9-b6a8-740261ee2113</x:v>
      </x:c>
      <x:c r="B1725" s="23" t="str">
        <x:v>JEFERSON CRISTIAN SAES DE AZEVEDO</x:v>
      </x:c>
      <x:c r="C1725" s="23" t="str">
        <x:v>jeferson cristian saes de azevedo</x:v>
      </x:c>
      <x:c r="D1725" s="22" t="str">
        <x:f>"63.511.842/0001-28"</x:f>
        <x:v>63.511.842/0001-28</x:v>
      </x:c>
      <x:c r="E1725" s="22" t="str">
        <x:f>"63511842000128"</x:f>
        <x:v>63511842000128</x:v>
      </x:c>
      <x:c r="F1725" s="22" t="str">
        <x:f>"469.769.668-97"</x:f>
        <x:v>469.769.668-97</x:v>
      </x:c>
      <x:c r="G1725" s="22" t="str">
        <x:f>"46976966897"</x:f>
        <x:v>46976966897</x:v>
      </x:c>
      <x:c r="H1725" s="23" t="str">
        <x:v>jefersonsaes66@gmail.com</x:v>
      </x:c>
      <x:c r="I1725" s="22" t="str">
        <x:f>"14-996121789"</x:f>
        <x:v>14-996121789</x:v>
      </x:c>
      <x:c r="J1725" s="23" t="str">
        <x:v>RENTAL</x:v>
      </x:c>
      <x:c r="K1725" s="23" t="str">
        <x:v>rental_company</x:v>
      </x:c>
      <x:c r="L1725" s="24" t="b">
        <x:v>1</x:v>
      </x:c>
      <x:c r="M1725" s="23" t="n">
        <x:v>1</x:v>
      </x:c>
      <x:c r="N1725" s="28" t="n">
        <x:v>46203.92189349537</x:v>
      </x:c>
      <x:c r="O1725" s="28" t="n">
        <x:v>46219.812988715275</x:v>
      </x:c>
      <x:c r="P1725" s="23" t="str">
        <x:v>BAURU</x:v>
      </x:c>
      <x:c r="Q1725" s="30" t="n">
        <x:v>35481</x:v>
      </x:c>
      <x:c r="R1725" s="22" t="str">
        <x:f>"46728352-7"</x:f>
        <x:v>46728352-7</x:v>
      </x:c>
      <x:c r="S1725" s="23" t="str">
        <x:v>feminino</x:v>
      </x:c>
      <x:c r="T1725" s="22" t="str"/>
      <x:c r="U1725" s="23" t="str">
        <x:v>JEFERSON CRISTIAN SAES DE AZEVEDO</x:v>
      </x:c>
      <x:c r="V1725" s="22" t="str">
        <x:f>"469.769.668-97"</x:f>
        <x:v>469.769.668-97</x:v>
      </x:c>
      <x:c r="W1725" s="22" t="str">
        <x:f>"46976966897"</x:f>
        <x:v>46976966897</x:v>
      </x:c>
      <x:c r="X1725" s="23" t="str">
        <x:v>jefersonsaes66@gmail.com</x:v>
      </x:c>
      <x:c r="Y1725" s="22" t="str">
        <x:f>"14-996121789"</x:f>
        <x:v>14-996121789</x:v>
      </x:c>
      <x:c r="Z1725" s="30" t="n">
        <x:v>46336</x:v>
      </x:c>
    </x:row>
    <x:row r="1726" ht="18" customHeight="1">
      <x:c r="A1726" s="22" t="str">
        <x:f>"abd59899-d573-4091-b47e-31654e4dbbdd"</x:f>
        <x:v>abd59899-d573-4091-b47e-31654e4dbbdd</x:v>
      </x:c>
      <x:c r="B1726" s="23" t="str">
        <x:v>JEFERSON DA SILVA COSTA</x:v>
      </x:c>
      <x:c r="C1726" s="23" t="str">
        <x:v>jeferson da silva costa</x:v>
      </x:c>
      <x:c r="D1726" s="22" t="str">
        <x:f>"61.074.691/0001-62"</x:f>
        <x:v>61.074.691/0001-62</x:v>
      </x:c>
      <x:c r="E1726" s="22" t="str">
        <x:f>"61074691000162"</x:f>
        <x:v>61074691000162</x:v>
      </x:c>
      <x:c r="F1726" s="22" t="str">
        <x:f>"229.637.188-45"</x:f>
        <x:v>229.637.188-45</x:v>
      </x:c>
      <x:c r="G1726" s="22" t="str">
        <x:f>"22963718845"</x:f>
        <x:v>22963718845</x:v>
      </x:c>
      <x:c r="H1726" s="23" t="str">
        <x:v>jefersondavy87@gmail.com</x:v>
      </x:c>
      <x:c r="I1726" s="22" t="str">
        <x:f>"11 96119-5993"</x:f>
        <x:v>11 96119-5993</x:v>
      </x:c>
      <x:c r="J1726" s="23" t="str">
        <x:v>RENTAL</x:v>
      </x:c>
      <x:c r="K1726" s="23" t="str">
        <x:v>rental_company</x:v>
      </x:c>
      <x:c r="L1726" s="24" t="b">
        <x:v>1</x:v>
      </x:c>
      <x:c r="M1726" s="23" t="n">
        <x:v>1</x:v>
      </x:c>
      <x:c r="N1726" s="28" t="n">
        <x:v>46219.812988715275</x:v>
      </x:c>
      <x:c r="O1726" s="28" t="n">
        <x:v>46219.812988715275</x:v>
      </x:c>
      <x:c r="P1726" s="23" t="str">
        <x:v>BARUERI</x:v>
      </x:c>
      <x:c r="Q1726" s="30" t="n">
        <x:v>31834</x:v>
      </x:c>
      <x:c r="R1726" s="22" t="str">
        <x:f>"437114651"</x:f>
        <x:v>437114651</x:v>
      </x:c>
      <x:c r="S1726" s="23" t="str">
        <x:v>masculino</x:v>
      </x:c>
      <x:c r="T1726" s="22" t="str"/>
      <x:c r="U1726" s="23" t="str">
        <x:v>JEFERSON DA SILVA COSTA</x:v>
      </x:c>
      <x:c r="V1726" s="22" t="str">
        <x:f>"229.637.188-45"</x:f>
        <x:v>229.637.188-45</x:v>
      </x:c>
      <x:c r="W1726" s="22" t="str">
        <x:f>"22963718845"</x:f>
        <x:v>22963718845</x:v>
      </x:c>
      <x:c r="X1726" s="23" t="str">
        <x:v>jefersondavy87@gmail.com</x:v>
      </x:c>
      <x:c r="Y1726" s="22" t="str">
        <x:f>"11 96119-5993"</x:f>
        <x:v>11 96119-5993</x:v>
      </x:c>
      <x:c r="Z1726" s="30" t="n">
        <x:v>46501</x:v>
      </x:c>
    </x:row>
    <x:row r="1727" ht="18" customHeight="1">
      <x:c r="A1727" s="22" t="str">
        <x:f>"0cb33f80-77c1-4c37-9767-3d6ee5fa7187"</x:f>
        <x:v>0cb33f80-77c1-4c37-9767-3d6ee5fa7187</x:v>
      </x:c>
      <x:c r="B1727" s="23" t="str">
        <x:v>JEFERSON DA SILVA SEGATO</x:v>
      </x:c>
      <x:c r="C1727" s="23" t="str">
        <x:v>jeferson da silva segato</x:v>
      </x:c>
      <x:c r="D1727" s="22" t="str">
        <x:f>"37.624.531/0001-65"</x:f>
        <x:v>37.624.531/0001-65</x:v>
      </x:c>
      <x:c r="E1727" s="22" t="str">
        <x:f>"37624531000165"</x:f>
        <x:v>37624531000165</x:v>
      </x:c>
      <x:c r="F1727" s="22" t="str">
        <x:f>"028.390.171-30"</x:f>
        <x:v>028.390.171-30</x:v>
      </x:c>
      <x:c r="G1727" s="22" t="str">
        <x:f>"02839017130"</x:f>
        <x:v>02839017130</x:v>
      </x:c>
      <x:c r="H1727" s="23" t="str">
        <x:v>Jefersonsilvasegattto@gmail.com</x:v>
      </x:c>
      <x:c r="I1727" s="22" t="str">
        <x:f>"65992759378"</x:f>
        <x:v>65992759378</x:v>
      </x:c>
      <x:c r="J1727" s="23" t="str">
        <x:v>SPOT</x:v>
      </x:c>
      <x:c r="K1727" s="23" t="str">
        <x:v>favored_only</x:v>
      </x:c>
      <x:c r="L1727" s="24" t="b">
        <x:v>1</x:v>
      </x:c>
      <x:c r="M1727" s="23" t="n">
        <x:v>1</x:v>
      </x:c>
      <x:c r="N1727" s="28" t="n">
        <x:v>46219.812988715275</x:v>
      </x:c>
      <x:c r="O1727" s="28" t="n">
        <x:v>46219.812988715275</x:v>
      </x:c>
      <x:c r="P1727" s="23" t="str">
        <x:v>PONTES E LACERDA</x:v>
      </x:c>
      <x:c r="Q1727" s="30" t="n">
        <x:v>32071</x:v>
      </x:c>
      <x:c r="R1727" s="22" t="str">
        <x:f>"20459521"</x:f>
        <x:v>20459521</x:v>
      </x:c>
      <x:c r="S1727" s="23" t="str">
        <x:v>masculino</x:v>
      </x:c>
      <x:c r="T1727" s="22" t="str">
        <x:f>"OOS7I91"</x:f>
        <x:v>OOS7I91</x:v>
      </x:c>
      <x:c r="U1727" s="23" t="str">
        <x:v>OLDAIR JOSE RIBEIRO MATOS</x:v>
      </x:c>
      <x:c r="V1727" s="22" t="str">
        <x:f>"901.012.430-49"</x:f>
        <x:v>901.012.430-49</x:v>
      </x:c>
      <x:c r="W1727" s="22" t="str">
        <x:f>"90101243049"</x:f>
        <x:v>90101243049</x:v>
      </x:c>
      <x:c r="X1727" s="23" t="str">
        <x:v>oldairmatos73@gmail.com</x:v>
      </x:c>
      <x:c r="Y1727" s="22" t="str">
        <x:f>"+55 67 9622-4877"</x:f>
        <x:v>+55 67 9622-4877</x:v>
      </x:c>
      <x:c r="Z1727" s="30" t="n">
        <x:v>46535</x:v>
      </x:c>
    </x:row>
    <x:row r="1728" ht="18" customHeight="1">
      <x:c r="A1728" s="22" t="str">
        <x:f>"8eca0d6a-151c-430e-beda-c5efb4151226"</x:f>
        <x:v>8eca0d6a-151c-430e-beda-c5efb4151226</x:v>
      </x:c>
      <x:c r="B1728" s="23" t="str">
        <x:v>JEFERSON DIAS JULIAO</x:v>
      </x:c>
      <x:c r="C1728" s="23" t="str">
        <x:v>jeferson dias juliao</x:v>
      </x:c>
      <x:c r="D1728" s="22" t="str">
        <x:f>"49.082.906/0001-91"</x:f>
        <x:v>49.082.906/0001-91</x:v>
      </x:c>
      <x:c r="E1728" s="22" t="str">
        <x:f>"49082906000191"</x:f>
        <x:v>49082906000191</x:v>
      </x:c>
      <x:c r="F1728" s="22" t="str">
        <x:f>"065.889.695-46"</x:f>
        <x:v>065.889.695-46</x:v>
      </x:c>
      <x:c r="G1728" s="22" t="str">
        <x:f>"06588969546"</x:f>
        <x:v>06588969546</x:v>
      </x:c>
      <x:c r="H1728" s="23" t="str">
        <x:v>diasjeferson236@gmail.com</x:v>
      </x:c>
      <x:c r="I1728" s="22" t="str">
        <x:f>"11976394057"</x:f>
        <x:v>11976394057</x:v>
      </x:c>
      <x:c r="J1728" s="23" t="str">
        <x:v>RENTAL</x:v>
      </x:c>
      <x:c r="K1728" s="23" t="str">
        <x:v>rental_company</x:v>
      </x:c>
      <x:c r="L1728" s="24" t="b">
        <x:v>1</x:v>
      </x:c>
      <x:c r="M1728" s="23" t="n">
        <x:v>1</x:v>
      </x:c>
      <x:c r="N1728" s="28" t="n">
        <x:v>46203.921852962965</x:v>
      </x:c>
      <x:c r="O1728" s="28" t="n">
        <x:v>46219.812988715275</x:v>
      </x:c>
      <x:c r="P1728" s="23" t="str">
        <x:v>MADEIRA MADEIRA</x:v>
      </x:c>
      <x:c r="Q1728" s="30" t="n">
        <x:v>34001</x:v>
      </x:c>
      <x:c r="R1728" s="22" t="str">
        <x:f>"625947824"</x:f>
        <x:v>625947824</x:v>
      </x:c>
      <x:c r="S1728" s="23" t="str">
        <x:v>masculino</x:v>
      </x:c>
      <x:c r="T1728" s="22" t="str"/>
      <x:c r="U1728" s="23" t="str">
        <x:v>JEFERSON DIAS JULIAO</x:v>
      </x:c>
      <x:c r="V1728" s="22" t="str">
        <x:f>"065.889.695-46"</x:f>
        <x:v>065.889.695-46</x:v>
      </x:c>
      <x:c r="W1728" s="22" t="str">
        <x:f>"06588969546"</x:f>
        <x:v>06588969546</x:v>
      </x:c>
      <x:c r="X1728" s="23" t="str">
        <x:v>diasjeferson236@gmail.com</x:v>
      </x:c>
      <x:c r="Y1728" s="22" t="str">
        <x:f>"11976394057"</x:f>
        <x:v>11976394057</x:v>
      </x:c>
      <x:c r="Z1728" s="30" t="n">
        <x:v>46249</x:v>
      </x:c>
    </x:row>
    <x:row r="1729" ht="18" customHeight="1">
      <x:c r="A1729" s="22" t="str">
        <x:f>"0590bb4b-dfdb-454f-9917-757188d5d22a"</x:f>
        <x:v>0590bb4b-dfdb-454f-9917-757188d5d22a</x:v>
      </x:c>
      <x:c r="B1729" s="23" t="str">
        <x:v>JEFERSON JOSE SILVA FERREIRA</x:v>
      </x:c>
      <x:c r="C1729" s="23" t="str">
        <x:v>jeferson jose silva ferreira</x:v>
      </x:c>
      <x:c r="D1729" s="22" t="str">
        <x:f>"59.115.775/0001-55"</x:f>
        <x:v>59.115.775/0001-55</x:v>
      </x:c>
      <x:c r="E1729" s="22" t="str">
        <x:f>"59115775000155"</x:f>
        <x:v>59115775000155</x:v>
      </x:c>
      <x:c r="F1729" s="22" t="str">
        <x:f>"420.462.228-30"</x:f>
        <x:v>420.462.228-30</x:v>
      </x:c>
      <x:c r="G1729" s="22" t="str">
        <x:f>"42046222830"</x:f>
        <x:v>42046222830</x:v>
      </x:c>
      <x:c r="H1729" s="23" t="str">
        <x:v>je99602236@gmail.com</x:v>
      </x:c>
      <x:c r="I1729" s="22" t="str">
        <x:f>"11916433122"</x:f>
        <x:v>11916433122</x:v>
      </x:c>
      <x:c r="J1729" s="23" t="str">
        <x:v>DESCONHECIDO</x:v>
      </x:c>
      <x:c r="K1729" s="23" t="str">
        <x:v>favored_only</x:v>
      </x:c>
      <x:c r="L1729" s="24" t="b">
        <x:v>1</x:v>
      </x:c>
      <x:c r="M1729" s="23" t="n">
        <x:v>1</x:v>
      </x:c>
      <x:c r="N1729" s="28" t="n">
        <x:v>46219.812988715275</x:v>
      </x:c>
      <x:c r="O1729" s="28" t="n">
        <x:v>46219.812988715275</x:v>
      </x:c>
      <x:c r="P1729" s="23" t="str">
        <x:v>POUSO ALEGRE</x:v>
      </x:c>
      <x:c r="Q1729" s="30" t="str"/>
      <x:c r="R1729" s="22" t="str">
        <x:f>"485183225"</x:f>
        <x:v>485183225</x:v>
      </x:c>
      <x:c r="S1729" s="23" t="str">
        <x:v>masculino</x:v>
      </x:c>
      <x:c r="T1729" s="22" t="str"/>
      <x:c r="U1729" s="23" t="str">
        <x:v>JEFERSON JOSE SILVA FERREIRA</x:v>
      </x:c>
      <x:c r="V1729" s="22" t="str">
        <x:f>"420.462.228-30"</x:f>
        <x:v>420.462.228-30</x:v>
      </x:c>
      <x:c r="W1729" s="22" t="str">
        <x:f>"42046222830"</x:f>
        <x:v>42046222830</x:v>
      </x:c>
      <x:c r="X1729" s="23" t="str">
        <x:v>je99602236@gmail.com</x:v>
      </x:c>
      <x:c r="Y1729" s="22" t="str">
        <x:f>"11916433122"</x:f>
        <x:v>11916433122</x:v>
      </x:c>
      <x:c r="Z1729" s="30" t="n">
        <x:v>46455</x:v>
      </x:c>
    </x:row>
    <x:row r="1730" ht="18" customHeight="1">
      <x:c r="A1730" s="22" t="str">
        <x:f>"878a5a6e-3b66-4681-8c78-df2c5667a0f4"</x:f>
        <x:v>878a5a6e-3b66-4681-8c78-df2c5667a0f4</x:v>
      </x:c>
      <x:c r="B1730" s="23" t="str">
        <x:v>JEFFERSON ALVES DOS SANTOS</x:v>
      </x:c>
      <x:c r="C1730" s="23" t="str">
        <x:v>jefferson alves dos santos</x:v>
      </x:c>
      <x:c r="D1730" s="22" t="str">
        <x:f>"56.635.347/0001-65"</x:f>
        <x:v>56.635.347/0001-65</x:v>
      </x:c>
      <x:c r="E1730" s="22" t="str">
        <x:f>"56635347000165"</x:f>
        <x:v>56635347000165</x:v>
      </x:c>
      <x:c r="F1730" s="22" t="str">
        <x:f>"11653782641"</x:f>
        <x:v>11653782641</x:v>
      </x:c>
      <x:c r="G1730" s="22" t="str">
        <x:f>"11653782641"</x:f>
        <x:v>11653782641</x:v>
      </x:c>
      <x:c r="H1730" s="23" t="str">
        <x:v>Jefferson.atc@outlook.com</x:v>
      </x:c>
      <x:c r="I1730" s="22" t="str">
        <x:f>"33 991408769"</x:f>
        <x:v>33 991408769</x:v>
      </x:c>
      <x:c r="J1730" s="23" t="str">
        <x:v>SPOT</x:v>
      </x:c>
      <x:c r="K1730" s="23" t="str">
        <x:v>favored_only</x:v>
      </x:c>
      <x:c r="L1730" s="24" t="b">
        <x:v>1</x:v>
      </x:c>
      <x:c r="M1730" s="23" t="n">
        <x:v>1</x:v>
      </x:c>
      <x:c r="N1730" s="28" t="n">
        <x:v>46218.62115420139</x:v>
      </x:c>
      <x:c r="O1730" s="28" t="n">
        <x:v>46218.62115420139</x:v>
      </x:c>
      <x:c r="P1730" s="23" t="str"/>
      <x:c r="Q1730" s="30" t="n">
        <x:v>34934</x:v>
      </x:c>
      <x:c r="R1730" s="22" t="str">
        <x:f>"17376970"</x:f>
        <x:v>17376970</x:v>
      </x:c>
      <x:c r="S1730" s="23" t="str">
        <x:v>Masculino</x:v>
      </x:c>
      <x:c r="T1730" s="22" t="str">
        <x:f>"QTR0A92"</x:f>
        <x:v>QTR0A92</x:v>
      </x:c>
      <x:c r="U1730" s="23" t="str">
        <x:v>Marcos Vinicios Souza Oliveira</x:v>
      </x:c>
      <x:c r="V1730" s="22" t="str">
        <x:f>"14795844798"</x:f>
        <x:v>14795844798</x:v>
      </x:c>
      <x:c r="W1730" s="22" t="str">
        <x:f>"14795844798"</x:f>
        <x:v>14795844798</x:v>
      </x:c>
      <x:c r="X1730" s="23" t="str">
        <x:v>viniciosnb724@gmail.com</x:v>
      </x:c>
      <x:c r="Y1730" s="22" t="str">
        <x:f>"27996151315"</x:f>
        <x:v>27996151315</x:v>
      </x:c>
      <x:c r="Z1730" s="30" t="n">
        <x:v>46266</x:v>
      </x:c>
    </x:row>
    <x:row r="1731" ht="18" customHeight="1">
      <x:c r="A1731" s="22" t="str">
        <x:f>"8aeaf4aa-fff9-4ec0-9939-9b1a95398745"</x:f>
        <x:v>8aeaf4aa-fff9-4ec0-9939-9b1a95398745</x:v>
      </x:c>
      <x:c r="B1731" s="23" t="str">
        <x:v>JEFFERSON DA SILVA MIRANDA</x:v>
      </x:c>
      <x:c r="C1731" s="23" t="str">
        <x:v>jefferson da silva miranda</x:v>
      </x:c>
      <x:c r="D1731" s="22" t="str">
        <x:f>"64.090.642/0001-01"</x:f>
        <x:v>64.090.642/0001-01</x:v>
      </x:c>
      <x:c r="E1731" s="22" t="str">
        <x:f>"64090642000101"</x:f>
        <x:v>64090642000101</x:v>
      </x:c>
      <x:c r="F1731" s="22" t="str">
        <x:f>"513.125.798-03"</x:f>
        <x:v>513.125.798-03</x:v>
      </x:c>
      <x:c r="G1731" s="22" t="str">
        <x:f>"51312579803"</x:f>
        <x:v>51312579803</x:v>
      </x:c>
      <x:c r="H1731" s="23" t="str">
        <x:v>jeffersonmirasilva12@gmail.com</x:v>
      </x:c>
      <x:c r="I1731" s="22" t="str">
        <x:f>"18 98135-8059"</x:f>
        <x:v>18 98135-8059</x:v>
      </x:c>
      <x:c r="J1731" s="23" t="str">
        <x:v>RENTAL</x:v>
      </x:c>
      <x:c r="K1731" s="23" t="str">
        <x:v>rental_company</x:v>
      </x:c>
      <x:c r="L1731" s="24" t="b">
        <x:v>1</x:v>
      </x:c>
      <x:c r="M1731" s="23" t="n">
        <x:v>1</x:v>
      </x:c>
      <x:c r="N1731" s="28" t="n">
        <x:v>46203.921904421295</x:v>
      </x:c>
      <x:c r="O1731" s="28" t="n">
        <x:v>46219.812988715275</x:v>
      </x:c>
      <x:c r="P1731" s="23" t="str">
        <x:v>ARAÇATUBA</x:v>
      </x:c>
      <x:c r="Q1731" s="30" t="n">
        <x:v>37092</x:v>
      </x:c>
      <x:c r="R1731" s="22" t="str">
        <x:f>"606916738 MG"</x:f>
        <x:v>606916738 MG</x:v>
      </x:c>
      <x:c r="S1731" s="23" t="str">
        <x:v>masculino</x:v>
      </x:c>
      <x:c r="T1731" s="22" t="str"/>
      <x:c r="U1731" s="23" t="str">
        <x:v>JEFFERSON DA SILVA MIRANDA</x:v>
      </x:c>
      <x:c r="V1731" s="22" t="str">
        <x:f>"513.125.798-03"</x:f>
        <x:v>513.125.798-03</x:v>
      </x:c>
      <x:c r="W1731" s="22" t="str">
        <x:f>"51312579803"</x:f>
        <x:v>51312579803</x:v>
      </x:c>
      <x:c r="X1731" s="23" t="str">
        <x:v>jeffersonmirasilva12@gmail.com</x:v>
      </x:c>
      <x:c r="Y1731" s="22" t="str">
        <x:f>"18 98135-8059"</x:f>
        <x:v>18 98135-8059</x:v>
      </x:c>
      <x:c r="Z1731" s="30" t="n">
        <x:v>46374</x:v>
      </x:c>
    </x:row>
    <x:row r="1732" ht="18" customHeight="1">
      <x:c r="A1732" s="22" t="str">
        <x:f>"2aa71b04-77f8-4a12-b191-9ef16a897dd5"</x:f>
        <x:v>2aa71b04-77f8-4a12-b191-9ef16a897dd5</x:v>
      </x:c>
      <x:c r="B1732" s="23" t="str">
        <x:v>JEFFERSON DE OLIVEIRA PEREIRA</x:v>
      </x:c>
      <x:c r="C1732" s="23" t="str">
        <x:v>jefferson de oliveira pereira</x:v>
      </x:c>
      <x:c r="D1732" s="22" t="str">
        <x:f>"61.671.149/0001-97"</x:f>
        <x:v>61.671.149/0001-97</x:v>
      </x:c>
      <x:c r="E1732" s="22" t="str">
        <x:f>"61671149000197"</x:f>
        <x:v>61671149000197</x:v>
      </x:c>
      <x:c r="F1732" s="22" t="str">
        <x:f>"654.193.591-20"</x:f>
        <x:v>654.193.591-20</x:v>
      </x:c>
      <x:c r="G1732" s="22" t="str">
        <x:f>"65419359120"</x:f>
        <x:v>65419359120</x:v>
      </x:c>
      <x:c r="H1732" s="23" t="str">
        <x:v>jeffersonoliveiracba2004@gmail.com</x:v>
      </x:c>
      <x:c r="I1732" s="22" t="str">
        <x:f>"65 984176641"</x:f>
        <x:v>65 984176641</x:v>
      </x:c>
      <x:c r="J1732" s="23" t="str">
        <x:v>SPOT</x:v>
      </x:c>
      <x:c r="K1732" s="23" t="str">
        <x:v>favored_only</x:v>
      </x:c>
      <x:c r="L1732" s="24" t="b">
        <x:v>1</x:v>
      </x:c>
      <x:c r="M1732" s="23" t="n">
        <x:v>1</x:v>
      </x:c>
      <x:c r="N1732" s="28" t="n">
        <x:v>46219.812988715275</x:v>
      </x:c>
      <x:c r="O1732" s="28" t="n">
        <x:v>46219.812988715275</x:v>
      </x:c>
      <x:c r="P1732" s="23" t="str">
        <x:v>CUIABA</x:v>
      </x:c>
      <x:c r="Q1732" s="30" t="n">
        <x:v>28724</x:v>
      </x:c>
      <x:c r="R1732" s="22" t="str">
        <x:f>"9958886"</x:f>
        <x:v>9958886</x:v>
      </x:c>
      <x:c r="S1732" s="23" t="str">
        <x:v>masculino</x:v>
      </x:c>
      <x:c r="T1732" s="22" t="str">
        <x:f>"QCY1801"</x:f>
        <x:v>QCY1801</x:v>
      </x:c>
      <x:c r="U1732" s="23" t="str">
        <x:v>JEFFERSON DE OLIVEIRA PEREIRA</x:v>
      </x:c>
      <x:c r="V1732" s="22" t="str">
        <x:f>"654.193.591-20"</x:f>
        <x:v>654.193.591-20</x:v>
      </x:c>
      <x:c r="W1732" s="22" t="str">
        <x:f>"65419359120"</x:f>
        <x:v>65419359120</x:v>
      </x:c>
      <x:c r="X1732" s="23" t="str">
        <x:v>jeffersonoliveiracba2004@gmail.com</x:v>
      </x:c>
      <x:c r="Y1732" s="22" t="str">
        <x:f>"65 984176641"</x:f>
        <x:v>65 984176641</x:v>
      </x:c>
      <x:c r="Z1732" s="30" t="n">
        <x:v>46445</x:v>
      </x:c>
    </x:row>
    <x:row r="1733" ht="18" customHeight="1">
      <x:c r="A1733" s="22" t="str">
        <x:f>"8cf63593-dff9-4fab-a2c6-f20834432edf"</x:f>
        <x:v>8cf63593-dff9-4fab-a2c6-f20834432edf</x:v>
      </x:c>
      <x:c r="B1733" s="23" t="str">
        <x:v>JEFFERSON DOS SANTOS GIAMMARINO</x:v>
      </x:c>
      <x:c r="C1733" s="23" t="str">
        <x:v>jefferson dos santos giammarino</x:v>
      </x:c>
      <x:c r="D1733" s="22" t="str">
        <x:f>"63.281.748/0001-20"</x:f>
        <x:v>63.281.748/0001-20</x:v>
      </x:c>
      <x:c r="E1733" s="22" t="str">
        <x:f>"63281748000120"</x:f>
        <x:v>63281748000120</x:v>
      </x:c>
      <x:c r="F1733" s="22" t="str">
        <x:f>"058.576.155-85"</x:f>
        <x:v>058.576.155-85</x:v>
      </x:c>
      <x:c r="G1733" s="22" t="str">
        <x:f>"05857615585"</x:f>
        <x:v>05857615585</x:v>
      </x:c>
      <x:c r="H1733" s="23" t="str">
        <x:v>jeffersongiammarino@gmail.com</x:v>
      </x:c>
      <x:c r="I1733" s="22" t="str">
        <x:f>"(11) 994726163"</x:f>
        <x:v>(11) 994726163</x:v>
      </x:c>
      <x:c r="J1733" s="23" t="str">
        <x:v>RENTAL</x:v>
      </x:c>
      <x:c r="K1733" s="23" t="str">
        <x:v>rental_company</x:v>
      </x:c>
      <x:c r="L1733" s="24" t="b">
        <x:v>1</x:v>
      </x:c>
      <x:c r="M1733" s="23" t="n">
        <x:v>1</x:v>
      </x:c>
      <x:c r="N1733" s="28" t="n">
        <x:v>46203.92188238426</x:v>
      </x:c>
      <x:c r="O1733" s="28" t="n">
        <x:v>46219.812988715275</x:v>
      </x:c>
      <x:c r="P1733" s="23" t="str">
        <x:v>BARUERI</x:v>
      </x:c>
      <x:c r="Q1733" s="30" t="n">
        <x:v>36375</x:v>
      </x:c>
      <x:c r="R1733" s="22" t="str">
        <x:f>"651715039"</x:f>
        <x:v>651715039</x:v>
      </x:c>
      <x:c r="S1733" s="23" t="str">
        <x:v>masculino</x:v>
      </x:c>
      <x:c r="T1733" s="22" t="str"/>
      <x:c r="U1733" s="23" t="str">
        <x:v>JEFFERSON DOS SANTOS GIAMMARINO</x:v>
      </x:c>
      <x:c r="V1733" s="22" t="str">
        <x:f>"058.576.155-85"</x:f>
        <x:v>058.576.155-85</x:v>
      </x:c>
      <x:c r="W1733" s="22" t="str">
        <x:f>"05857615585"</x:f>
        <x:v>05857615585</x:v>
      </x:c>
      <x:c r="X1733" s="23" t="str">
        <x:v>jeffersongiammarino@gmail.com</x:v>
      </x:c>
      <x:c r="Y1733" s="22" t="str">
        <x:f>"(11) 994726163"</x:f>
        <x:v>(11) 994726163</x:v>
      </x:c>
      <x:c r="Z1733" s="30" t="n">
        <x:v>46318</x:v>
      </x:c>
    </x:row>
    <x:row r="1734" ht="18" customHeight="1">
      <x:c r="A1734" s="22" t="str">
        <x:f>"72c95987-5dd8-46a3-8804-e3de4293eb4b"</x:f>
        <x:v>72c95987-5dd8-46a3-8804-e3de4293eb4b</x:v>
      </x:c>
      <x:c r="B1734" s="23" t="str">
        <x:v>Jefferson dos Santos Sena</x:v>
      </x:c>
      <x:c r="C1734" s="23" t="str">
        <x:v>jefferson dos santos sena</x:v>
      </x:c>
      <x:c r="D1734" s="22" t="str">
        <x:f>"56.097.135/0001-71"</x:f>
        <x:v>56.097.135/0001-71</x:v>
      </x:c>
      <x:c r="E1734" s="22" t="str">
        <x:f>"56097135000171"</x:f>
        <x:v>56097135000171</x:v>
      </x:c>
      <x:c r="F1734" s="22" t="str">
        <x:f>"342.180.348-00"</x:f>
        <x:v>342.180.348-00</x:v>
      </x:c>
      <x:c r="G1734" s="22" t="str">
        <x:f>"34218034800"</x:f>
        <x:v>34218034800</x:v>
      </x:c>
      <x:c r="H1734" s="23" t="str">
        <x:v>Jeffersonsantossena25061984@gmail.com</x:v>
      </x:c>
      <x:c r="I1734" s="22" t="str">
        <x:f>"11949309608"</x:f>
        <x:v>11949309608</x:v>
      </x:c>
      <x:c r="J1734" s="23" t="str">
        <x:v>RENTAL</x:v>
      </x:c>
      <x:c r="K1734" s="23" t="str">
        <x:v>rental_company</x:v>
      </x:c>
      <x:c r="L1734" s="24" t="b">
        <x:v>1</x:v>
      </x:c>
      <x:c r="M1734" s="23" t="n">
        <x:v>1</x:v>
      </x:c>
      <x:c r="N1734" s="28" t="n">
        <x:v>46203.92184908565</x:v>
      </x:c>
      <x:c r="O1734" s="28" t="n">
        <x:v>46205.60519105324</x:v>
      </x:c>
      <x:c r="P1734" s="23" t="str">
        <x:v>BARUERI</x:v>
      </x:c>
      <x:c r="Q1734" s="30" t="n">
        <x:v>30858</x:v>
      </x:c>
      <x:c r="R1734" s="22" t="str">
        <x:f>"4288098"</x:f>
        <x:v>4288098</x:v>
      </x:c>
      <x:c r="S1734" s="23" t="str">
        <x:v>Masculino</x:v>
      </x:c>
      <x:c r="T1734" s="22" t="str"/>
      <x:c r="U1734" s="23" t="str">
        <x:v>Jefferson dos Santos Sena</x:v>
      </x:c>
      <x:c r="V1734" s="22" t="str">
        <x:f>"342.180.348-00"</x:f>
        <x:v>342.180.348-00</x:v>
      </x:c>
      <x:c r="W1734" s="22" t="str">
        <x:f>"34218034800"</x:f>
        <x:v>34218034800</x:v>
      </x:c>
      <x:c r="X1734" s="23" t="str">
        <x:v>Jeffersonsantossena25061984@gmail.com</x:v>
      </x:c>
      <x:c r="Y1734" s="22" t="str">
        <x:f>"11949309608"</x:f>
        <x:v>11949309608</x:v>
      </x:c>
      <x:c r="Z1734" s="30" t="n">
        <x:v>46232</x:v>
      </x:c>
    </x:row>
    <x:row r="1735" ht="18" customHeight="1">
      <x:c r="A1735" s="22" t="str">
        <x:f>"42960242-0902-47dc-9775-f5d65a766567"</x:f>
        <x:v>42960242-0902-47dc-9775-f5d65a766567</x:v>
      </x:c>
      <x:c r="B1735" s="23" t="str">
        <x:v>JEFFERSON LUCIANO DE ASSIS PAZ</x:v>
      </x:c>
      <x:c r="C1735" s="23" t="str">
        <x:v>jefferson luciano de assis paz</x:v>
      </x:c>
      <x:c r="D1735" s="22" t="str">
        <x:f>"65.395.165/0001-55"</x:f>
        <x:v>65.395.165/0001-55</x:v>
      </x:c>
      <x:c r="E1735" s="22" t="str">
        <x:f>"65395165000155"</x:f>
        <x:v>65395165000155</x:v>
      </x:c>
      <x:c r="F1735" s="22" t="str">
        <x:f>"400.385.198-60"</x:f>
        <x:v>400.385.198-60</x:v>
      </x:c>
      <x:c r="G1735" s="22" t="str">
        <x:f>"40038519860"</x:f>
        <x:v>40038519860</x:v>
      </x:c>
      <x:c r="H1735" s="23" t="str">
        <x:v>lucianoassisbx@hotmail.com</x:v>
      </x:c>
      <x:c r="I1735" s="22" t="str">
        <x:f>"18996134557"</x:f>
        <x:v>18996134557</x:v>
      </x:c>
      <x:c r="J1735" s="23" t="str">
        <x:v>RENTAL</x:v>
      </x:c>
      <x:c r="K1735" s="23" t="str">
        <x:v>rental_company</x:v>
      </x:c>
      <x:c r="L1735" s="24" t="b">
        <x:v>1</x:v>
      </x:c>
      <x:c r="M1735" s="23" t="n">
        <x:v>1</x:v>
      </x:c>
      <x:c r="N1735" s="28" t="n">
        <x:v>46219.812988715275</x:v>
      </x:c>
      <x:c r="O1735" s="28" t="n">
        <x:v>46219.812988715275</x:v>
      </x:c>
      <x:c r="P1735" s="23" t="str">
        <x:v>PRESIDENTE PRUDENTE</x:v>
      </x:c>
      <x:c r="Q1735" s="30" t="n">
        <x:v>33991</x:v>
      </x:c>
      <x:c r="R1735" s="22" t="str">
        <x:f>"48965218"</x:f>
        <x:v>48965218</x:v>
      </x:c>
      <x:c r="S1735" s="23" t="str">
        <x:v>masculino</x:v>
      </x:c>
      <x:c r="T1735" s="22" t="str"/>
      <x:c r="U1735" s="23" t="str">
        <x:v>JEFFERSON LUCIANO DE ASSIS PAZ</x:v>
      </x:c>
      <x:c r="V1735" s="22" t="str">
        <x:f>"400.385.198-60"</x:f>
        <x:v>400.385.198-60</x:v>
      </x:c>
      <x:c r="W1735" s="22" t="str">
        <x:f>"40038519860"</x:f>
        <x:v>40038519860</x:v>
      </x:c>
      <x:c r="X1735" s="23" t="str">
        <x:v>lucianoassisbx@hotmail.com</x:v>
      </x:c>
      <x:c r="Y1735" s="22" t="str">
        <x:f>"18996134557"</x:f>
        <x:v>18996134557</x:v>
      </x:c>
      <x:c r="Z1735" s="30" t="n">
        <x:v>46448</x:v>
      </x:c>
    </x:row>
    <x:row r="1736" ht="18" customHeight="1">
      <x:c r="A1736" s="22" t="str">
        <x:f>"87fbcbd1-71c4-47cc-a522-16e1125cf9d8"</x:f>
        <x:v>87fbcbd1-71c4-47cc-a522-16e1125cf9d8</x:v>
      </x:c>
      <x:c r="B1736" s="23" t="str">
        <x:v>JEFFERSON LUIGI RAMOS</x:v>
      </x:c>
      <x:c r="C1736" s="23" t="str">
        <x:v>jefferson luigi ramos</x:v>
      </x:c>
      <x:c r="D1736" s="22" t="str">
        <x:f>"63.408.110/0001-07"</x:f>
        <x:v>63.408.110/0001-07</x:v>
      </x:c>
      <x:c r="E1736" s="22" t="str">
        <x:f>"63408110000107"</x:f>
        <x:v>63408110000107</x:v>
      </x:c>
      <x:c r="F1736" s="22" t="str">
        <x:f>"092.409.797-35"</x:f>
        <x:v>092.409.797-35</x:v>
      </x:c>
      <x:c r="G1736" s="22" t="str">
        <x:f>"09240979735"</x:f>
        <x:v>09240979735</x:v>
      </x:c>
      <x:c r="H1736" s="23" t="str">
        <x:v>jlreletrotecnico@gmail.com</x:v>
      </x:c>
      <x:c r="I1736" s="22" t="str">
        <x:f>"2196633 0844"</x:f>
        <x:v>2196633 0844</x:v>
      </x:c>
      <x:c r="J1736" s="23" t="str">
        <x:v>SPOT</x:v>
      </x:c>
      <x:c r="K1736" s="23" t="str">
        <x:v>favored_only</x:v>
      </x:c>
      <x:c r="L1736" s="24" t="b">
        <x:v>1</x:v>
      </x:c>
      <x:c r="M1736" s="23" t="n">
        <x:v>1</x:v>
      </x:c>
      <x:c r="N1736" s="28" t="n">
        <x:v>46219.812988715275</x:v>
      </x:c>
      <x:c r="O1736" s="28" t="n">
        <x:v>46219.812988715275</x:v>
      </x:c>
      <x:c r="P1736" s="23" t="str">
        <x:v>CAMPO GRANDE</x:v>
      </x:c>
      <x:c r="Q1736" s="30" t="n">
        <x:v>29838</x:v>
      </x:c>
      <x:c r="R1736" s="22" t="str">
        <x:f>"132200924"</x:f>
        <x:v>132200924</x:v>
      </x:c>
      <x:c r="S1736" s="23" t="str">
        <x:v>masculino</x:v>
      </x:c>
      <x:c r="T1736" s="22" t="str">
        <x:f>"KZM9D51"</x:f>
        <x:v>KZM9D51</x:v>
      </x:c>
      <x:c r="U1736" s="23" t="str">
        <x:v>JEFFERSON LUIGI RAMOS</x:v>
      </x:c>
      <x:c r="V1736" s="22" t="str">
        <x:f>"092.409.797-35"</x:f>
        <x:v>092.409.797-35</x:v>
      </x:c>
      <x:c r="W1736" s="22" t="str">
        <x:f>"09240979735"</x:f>
        <x:v>09240979735</x:v>
      </x:c>
      <x:c r="X1736" s="23" t="str">
        <x:v>jlreletrotecnico@gmail.com</x:v>
      </x:c>
      <x:c r="Y1736" s="22" t="str">
        <x:f>"2196633 0844"</x:f>
        <x:v>2196633 0844</x:v>
      </x:c>
      <x:c r="Z1736" s="30" t="n">
        <x:v>46407</x:v>
      </x:c>
    </x:row>
    <x:row r="1737" ht="18" customHeight="1">
      <x:c r="A1737" s="22" t="str">
        <x:f>"7d02cd13-7582-4543-a235-48fd2279d59c"</x:f>
        <x:v>7d02cd13-7582-4543-a235-48fd2279d59c</x:v>
      </x:c>
      <x:c r="B1737" s="23" t="str">
        <x:v>JEFFERSON MARTINS DE PAULO</x:v>
      </x:c>
      <x:c r="C1737" s="23" t="str">
        <x:v>jefferson martins de paulo</x:v>
      </x:c>
      <x:c r="D1737" s="22" t="str">
        <x:f>"28.273.128/0001-48"</x:f>
        <x:v>28.273.128/0001-48</x:v>
      </x:c>
      <x:c r="E1737" s="22" t="str">
        <x:f>"28273128000148"</x:f>
        <x:v>28273128000148</x:v>
      </x:c>
      <x:c r="F1737" s="22" t="str">
        <x:f>"008.598.231-80"</x:f>
        <x:v>008.598.231-80</x:v>
      </x:c>
      <x:c r="G1737" s="22" t="str">
        <x:f>"00859823180"</x:f>
        <x:v>00859823180</x:v>
      </x:c>
      <x:c r="H1737" s="23" t="str">
        <x:v>jeffersonmartinspaulo@outlook.com</x:v>
      </x:c>
      <x:c r="I1737" s="22" t="str">
        <x:f>"64981363560"</x:f>
        <x:v>64981363560</x:v>
      </x:c>
      <x:c r="J1737" s="23" t="str">
        <x:v>SPOT</x:v>
      </x:c>
      <x:c r="K1737" s="23" t="str">
        <x:v>favored_only</x:v>
      </x:c>
      <x:c r="L1737" s="24" t="b">
        <x:v>1</x:v>
      </x:c>
      <x:c r="M1737" s="23" t="n">
        <x:v>2</x:v>
      </x:c>
      <x:c r="N1737" s="28" t="n">
        <x:v>46203.921858726855</x:v>
      </x:c>
      <x:c r="O1737" s="28" t="n">
        <x:v>46219.812988715275</x:v>
      </x:c>
      <x:c r="P1737" s="23" t="str">
        <x:v>RIO VERDE</x:v>
      </x:c>
      <x:c r="Q1737" s="30" t="n">
        <x:v>31574</x:v>
      </x:c>
      <x:c r="R1737" s="22" t="str">
        <x:f>"4616724"</x:f>
        <x:v>4616724</x:v>
      </x:c>
      <x:c r="S1737" s="23" t="str">
        <x:v>masculino</x:v>
      </x:c>
      <x:c r="T1737" s="22" t="str">
        <x:f>"RCF9I36"</x:f>
        <x:v>RCF9I36</x:v>
      </x:c>
      <x:c r="U1737" s="23" t="str">
        <x:v>JEFFERSON MARTINS DE PAULO</x:v>
      </x:c>
      <x:c r="V1737" s="22" t="str">
        <x:f>"008.598.231-80"</x:f>
        <x:v>008.598.231-80</x:v>
      </x:c>
      <x:c r="W1737" s="22" t="str">
        <x:f>"00859823180"</x:f>
        <x:v>00859823180</x:v>
      </x:c>
      <x:c r="X1737" s="23" t="str">
        <x:v>jeffersonmartinspaulo@outlook.com</x:v>
      </x:c>
      <x:c r="Y1737" s="22" t="str">
        <x:f>"64981363560"</x:f>
        <x:v>64981363560</x:v>
      </x:c>
      <x:c r="Z1737" s="30" t="n">
        <x:v>46262</x:v>
      </x:c>
    </x:row>
    <x:row r="1738" ht="18" customHeight="1">
      <x:c r="A1738" s="22" t="str">
        <x:f>"fe50e0a0-d947-44df-8807-05e103920675"</x:f>
        <x:v>fe50e0a0-d947-44df-8807-05e103920675</x:v>
      </x:c>
      <x:c r="B1738" s="23" t="str">
        <x:v>JEFFERSON MILLER SILVA NASCIMENTO</x:v>
      </x:c>
      <x:c r="C1738" s="23" t="str">
        <x:v>jefferson miller silva nascimento</x:v>
      </x:c>
      <x:c r="D1738" s="22" t="str">
        <x:f>"37.823.997/0001-90"</x:f>
        <x:v>37.823.997/0001-90</x:v>
      </x:c>
      <x:c r="E1738" s="22" t="str">
        <x:f>"37823997000190"</x:f>
        <x:v>37823997000190</x:v>
      </x:c>
      <x:c r="F1738" s="22" t="str">
        <x:f>"032.403.641-82"</x:f>
        <x:v>032.403.641-82</x:v>
      </x:c>
      <x:c r="G1738" s="22" t="str">
        <x:f>"03240364182"</x:f>
        <x:v>03240364182</x:v>
      </x:c>
      <x:c r="H1738" s="23" t="str">
        <x:v>jeffersonmillersilvanascimento@gmail.com</x:v>
      </x:c>
      <x:c r="I1738" s="22" t="str">
        <x:f>"66 99218‑1668"</x:f>
        <x:v>66 99218‑1668</x:v>
      </x:c>
      <x:c r="J1738" s="23" t="str">
        <x:v>SPOT</x:v>
      </x:c>
      <x:c r="K1738" s="23" t="str">
        <x:v>favored_only</x:v>
      </x:c>
      <x:c r="L1738" s="24" t="b">
        <x:v>1</x:v>
      </x:c>
      <x:c r="M1738" s="23" t="n">
        <x:v>1</x:v>
      </x:c>
      <x:c r="N1738" s="28" t="n">
        <x:v>46205.60370900463</x:v>
      </x:c>
      <x:c r="O1738" s="28" t="n">
        <x:v>46219.812988715275</x:v>
      </x:c>
      <x:c r="P1738" s="23" t="str">
        <x:v>PONTES E LACERDA</x:v>
      </x:c>
      <x:c r="Q1738" s="30" t="n">
        <x:v>33054</x:v>
      </x:c>
      <x:c r="R1738" s="22" t="str">
        <x:f>"19796900"</x:f>
        <x:v>19796900</x:v>
      </x:c>
      <x:c r="S1738" s="23" t="str">
        <x:v>masculino</x:v>
      </x:c>
      <x:c r="T1738" s="22" t="str">
        <x:f>"MWZ1660"</x:f>
        <x:v>MWZ1660</x:v>
      </x:c>
      <x:c r="U1738" s="23" t="str">
        <x:v>DANILLO BACIEL ALMEIDA</x:v>
      </x:c>
      <x:c r="V1738" s="22" t="str">
        <x:f>"962.005.291-91"</x:f>
        <x:v>962.005.291-91</x:v>
      </x:c>
      <x:c r="W1738" s="22" t="str">
        <x:f>"96200529191"</x:f>
        <x:v>96200529191</x:v>
      </x:c>
      <x:c r="X1738" s="23" t="str">
        <x:v>RPT.cargas@gmail.com</x:v>
      </x:c>
      <x:c r="Y1738" s="22" t="str">
        <x:f>"(62) 99661-0607"</x:f>
        <x:v>(62) 99661-0607</x:v>
      </x:c>
      <x:c r="Z1738" s="30" t="n">
        <x:v>46234</x:v>
      </x:c>
    </x:row>
    <x:row r="1739" ht="18" customHeight="1">
      <x:c r="A1739" s="22" t="str">
        <x:f>"7ad30369-8ee6-4bdb-a767-4282bba8dd3a"</x:f>
        <x:v>7ad30369-8ee6-4bdb-a767-4282bba8dd3a</x:v>
      </x:c>
      <x:c r="B1739" s="23" t="str">
        <x:v>JEFFERSON OSSAKA DA SILVA</x:v>
      </x:c>
      <x:c r="C1739" s="23" t="str">
        <x:v>jefferson ossaka da silva</x:v>
      </x:c>
      <x:c r="D1739" s="22" t="str">
        <x:f>"57.760.773/0001-93"</x:f>
        <x:v>57.760.773/0001-93</x:v>
      </x:c>
      <x:c r="E1739" s="22" t="str">
        <x:f>"57760773000193"</x:f>
        <x:v>57760773000193</x:v>
      </x:c>
      <x:c r="F1739" s="22" t="str">
        <x:f>"045.905.091-56"</x:f>
        <x:v>045.905.091-56</x:v>
      </x:c>
      <x:c r="G1739" s="22" t="str">
        <x:f>"04590509156"</x:f>
        <x:v>04590509156</x:v>
      </x:c>
      <x:c r="H1739" s="23" t="str">
        <x:v>aleatorioimport@gmail.com</x:v>
      </x:c>
      <x:c r="I1739" s="22" t="str">
        <x:f>"6599255-7312"</x:f>
        <x:v>6599255-7312</x:v>
      </x:c>
      <x:c r="J1739" s="23" t="str">
        <x:v>RENTAL</x:v>
      </x:c>
      <x:c r="K1739" s="23" t="str">
        <x:v>rental_company</x:v>
      </x:c>
      <x:c r="L1739" s="24" t="b">
        <x:v>1</x:v>
      </x:c>
      <x:c r="M1739" s="23" t="n">
        <x:v>1</x:v>
      </x:c>
      <x:c r="N1739" s="28" t="n">
        <x:v>46203.9218771875</x:v>
      </x:c>
      <x:c r="O1739" s="28" t="n">
        <x:v>46219.812988715275</x:v>
      </x:c>
      <x:c r="P1739" s="23" t="str">
        <x:v>CUIABA</x:v>
      </x:c>
      <x:c r="Q1739" s="30" t="n">
        <x:v>33960</x:v>
      </x:c>
      <x:c r="R1739" s="22" t="str">
        <x:f>"21614601"</x:f>
        <x:v>21614601</x:v>
      </x:c>
      <x:c r="S1739" s="23" t="str">
        <x:v>masculino</x:v>
      </x:c>
      <x:c r="T1739" s="22" t="str"/>
      <x:c r="U1739" s="23" t="str">
        <x:v>JEFFERSON OSSAKA DA SILVA</x:v>
      </x:c>
      <x:c r="V1739" s="22" t="str">
        <x:f>"045.905.091-56"</x:f>
        <x:v>045.905.091-56</x:v>
      </x:c>
      <x:c r="W1739" s="22" t="str">
        <x:f>"04590509156"</x:f>
        <x:v>04590509156</x:v>
      </x:c>
      <x:c r="X1739" s="23" t="str">
        <x:v>aleatorioimport@gmail.com</x:v>
      </x:c>
      <x:c r="Y1739" s="22" t="str">
        <x:f>"6599255-7312"</x:f>
        <x:v>6599255-7312</x:v>
      </x:c>
      <x:c r="Z1739" s="30" t="n">
        <x:v>46308</x:v>
      </x:c>
    </x:row>
    <x:row r="1740" ht="18" customHeight="1">
      <x:c r="A1740" s="22" t="str">
        <x:f>"9df55009-3029-446b-990f-454d6f624caa"</x:f>
        <x:v>9df55009-3029-446b-990f-454d6f624caa</x:v>
      </x:c>
      <x:c r="B1740" s="23" t="str">
        <x:v>JEFFERSON RIBEIRO DA SILVA GONSALVES</x:v>
      </x:c>
      <x:c r="C1740" s="23" t="str">
        <x:v>jefferson ribeiro da silva gonsalves</x:v>
      </x:c>
      <x:c r="D1740" s="22" t="str">
        <x:f>"63.637.371/0001-07"</x:f>
        <x:v>63.637.371/0001-07</x:v>
      </x:c>
      <x:c r="E1740" s="22" t="str">
        <x:f>"63637371000107"</x:f>
        <x:v>63637371000107</x:v>
      </x:c>
      <x:c r="F1740" s="22" t="str">
        <x:f>"028.225.451-03"</x:f>
        <x:v>028.225.451-03</x:v>
      </x:c>
      <x:c r="G1740" s="22" t="str">
        <x:f>"02822545103"</x:f>
        <x:v>02822545103</x:v>
      </x:c>
      <x:c r="H1740" s="23" t="str">
        <x:v>jeffy@hotmail.com</x:v>
      </x:c>
      <x:c r="I1740" s="22" t="str">
        <x:f>"65992608098"</x:f>
        <x:v>65992608098</x:v>
      </x:c>
      <x:c r="J1740" s="23" t="str">
        <x:v>RENTAL</x:v>
      </x:c>
      <x:c r="K1740" s="23" t="str">
        <x:v>rental_company</x:v>
      </x:c>
      <x:c r="L1740" s="24" t="b">
        <x:v>1</x:v>
      </x:c>
      <x:c r="M1740" s="23" t="n">
        <x:v>1</x:v>
      </x:c>
      <x:c r="N1740" s="28" t="n">
        <x:v>46203.9219084375</x:v>
      </x:c>
      <x:c r="O1740" s="28" t="n">
        <x:v>46219.812988715275</x:v>
      </x:c>
      <x:c r="P1740" s="23" t="str">
        <x:v>CUIABA</x:v>
      </x:c>
      <x:c r="Q1740" s="30" t="n">
        <x:v>32774</x:v>
      </x:c>
      <x:c r="R1740" s="22" t="str">
        <x:f>"1967620-4"</x:f>
        <x:v>1967620-4</x:v>
      </x:c>
      <x:c r="S1740" s="23" t="str">
        <x:v>masculino</x:v>
      </x:c>
      <x:c r="T1740" s="22" t="str"/>
      <x:c r="U1740" s="23" t="str">
        <x:v>JEFFERSON RIBEIRO DA SILVA GONSALVES</x:v>
      </x:c>
      <x:c r="V1740" s="22" t="str">
        <x:f>"028.225.451-03"</x:f>
        <x:v>028.225.451-03</x:v>
      </x:c>
      <x:c r="W1740" s="22" t="str">
        <x:f>"02822545103"</x:f>
        <x:v>02822545103</x:v>
      </x:c>
      <x:c r="X1740" s="23" t="str">
        <x:v>jeffy@hotmail.com</x:v>
      </x:c>
      <x:c r="Y1740" s="22" t="str">
        <x:f>"65992608098"</x:f>
        <x:v>65992608098</x:v>
      </x:c>
      <x:c r="Z1740" s="30" t="n">
        <x:v>46389</x:v>
      </x:c>
    </x:row>
    <x:row r="1741" ht="18" customHeight="1">
      <x:c r="A1741" s="22" t="str">
        <x:f>"e7a72590-fe38-48e3-86fc-97ae228e67fa"</x:f>
        <x:v>e7a72590-fe38-48e3-86fc-97ae228e67fa</x:v>
      </x:c>
      <x:c r="B1741" s="23" t="str">
        <x:v>JEFFERSON ROBERTO BACALA</x:v>
      </x:c>
      <x:c r="C1741" s="23" t="str">
        <x:v>jefferson roberto bacala</x:v>
      </x:c>
      <x:c r="D1741" s="22" t="str">
        <x:f>"63.941.101/0001-87"</x:f>
        <x:v>63.941.101/0001-87</x:v>
      </x:c>
      <x:c r="E1741" s="22" t="str">
        <x:f>"63941101000187"</x:f>
        <x:v>63941101000187</x:v>
      </x:c>
      <x:c r="F1741" s="22" t="str">
        <x:f>"475.854.258-99"</x:f>
        <x:v>475.854.258-99</x:v>
      </x:c>
      <x:c r="G1741" s="22" t="str">
        <x:f>"47585425899"</x:f>
        <x:v>47585425899</x:v>
      </x:c>
      <x:c r="H1741" s="23" t="str">
        <x:v>JEFFERSONBACALA@ICLOUD.COM</x:v>
      </x:c>
      <x:c r="I1741" s="22" t="str">
        <x:f>"16997148025"</x:f>
        <x:v>16997148025</x:v>
      </x:c>
      <x:c r="J1741" s="23" t="str">
        <x:v>SPOT</x:v>
      </x:c>
      <x:c r="K1741" s="23" t="str">
        <x:v>favored_only</x:v>
      </x:c>
      <x:c r="L1741" s="24" t="b">
        <x:v>1</x:v>
      </x:c>
      <x:c r="M1741" s="23" t="n">
        <x:v>2</x:v>
      </x:c>
      <x:c r="N1741" s="28" t="n">
        <x:v>46219.812988715275</x:v>
      </x:c>
      <x:c r="O1741" s="28" t="n">
        <x:v>46219.812988715275</x:v>
      </x:c>
      <x:c r="P1741" s="23" t="str">
        <x:v>SÃO CARLOS</x:v>
      </x:c>
      <x:c r="Q1741" s="30" t="n">
        <x:v>36143</x:v>
      </x:c>
      <x:c r="R1741" s="22" t="str">
        <x:f>"538171145"</x:f>
        <x:v>538171145</x:v>
      </x:c>
      <x:c r="S1741" s="23" t="str">
        <x:v>masculino</x:v>
      </x:c>
      <x:c r="T1741" s="22" t="str">
        <x:f>"FSG5I00"</x:f>
        <x:v>FSG5I00</x:v>
      </x:c>
      <x:c r="U1741" s="23" t="str">
        <x:v>JEFFERSON ROBERTO BACALA</x:v>
      </x:c>
      <x:c r="V1741" s="22" t="str">
        <x:f>"475.854.258-99"</x:f>
        <x:v>475.854.258-99</x:v>
      </x:c>
      <x:c r="W1741" s="22" t="str">
        <x:f>"47585425899"</x:f>
        <x:v>47585425899</x:v>
      </x:c>
      <x:c r="X1741" s="23" t="str">
        <x:v>JEFFERSONBACALA@ICLOUD.COM</x:v>
      </x:c>
      <x:c r="Y1741" s="22" t="str">
        <x:f>"16997148025"</x:f>
        <x:v>16997148025</x:v>
      </x:c>
      <x:c r="Z1741" s="30" t="n">
        <x:v>46548</x:v>
      </x:c>
    </x:row>
    <x:row r="1742" ht="18" customHeight="1">
      <x:c r="A1742" s="22" t="str">
        <x:f>"58ebaaa9-195b-4861-b9dc-9d2918d1db38"</x:f>
        <x:v>58ebaaa9-195b-4861-b9dc-9d2918d1db38</x:v>
      </x:c>
      <x:c r="B1742" s="23" t="str">
        <x:v>JEFFERSON RUY DE OLIVEIRA</x:v>
      </x:c>
      <x:c r="C1742" s="23" t="str">
        <x:v>jefferson ruy de oliveira</x:v>
      </x:c>
      <x:c r="D1742" s="22" t="str">
        <x:f>"37.823.997/0001-90"</x:f>
        <x:v>37.823.997/0001-90</x:v>
      </x:c>
      <x:c r="E1742" s="22" t="str">
        <x:f>"37823997000190"</x:f>
        <x:v>37823997000190</x:v>
      </x:c>
      <x:c r="F1742" s="22" t="str">
        <x:f>"689.505.861-34"</x:f>
        <x:v>689.505.861-34</x:v>
      </x:c>
      <x:c r="G1742" s="22" t="str">
        <x:f>"68950586134"</x:f>
        <x:v>68950586134</x:v>
      </x:c>
      <x:c r="H1742" s="23" t="str">
        <x:v>Jeffersonruy492@gmail.com</x:v>
      </x:c>
      <x:c r="I1742" s="22" t="str">
        <x:f>"65 9207-5151"</x:f>
        <x:v>65 9207-5151</x:v>
      </x:c>
      <x:c r="J1742" s="23" t="str">
        <x:v>SPOT</x:v>
      </x:c>
      <x:c r="K1742" s="23" t="str">
        <x:v>favored_only</x:v>
      </x:c>
      <x:c r="L1742" s="24" t="b">
        <x:v>1</x:v>
      </x:c>
      <x:c r="M1742" s="23" t="n">
        <x:v>1</x:v>
      </x:c>
      <x:c r="N1742" s="28" t="n">
        <x:v>46205.60722179398</x:v>
      </x:c>
      <x:c r="O1742" s="28" t="n">
        <x:v>46219.812988715275</x:v>
      </x:c>
      <x:c r="P1742" s="23" t="str">
        <x:v>CÁCERES</x:v>
      </x:c>
      <x:c r="Q1742" s="30" t="n">
        <x:v>28986</x:v>
      </x:c>
      <x:c r="R1742" s="22" t="str">
        <x:f>"20532 MT"</x:f>
        <x:v>20532 MT</x:v>
      </x:c>
      <x:c r="S1742" s="23" t="str">
        <x:v>masculino</x:v>
      </x:c>
      <x:c r="T1742" s="22" t="str">
        <x:f>"EGK8E24"</x:f>
        <x:v>EGK8E24</x:v>
      </x:c>
      <x:c r="U1742" s="23" t="str">
        <x:v>DANILLO BACIEL ALMEIDA</x:v>
      </x:c>
      <x:c r="V1742" s="22" t="str">
        <x:f>"962.005.291-91"</x:f>
        <x:v>962.005.291-91</x:v>
      </x:c>
      <x:c r="W1742" s="22" t="str">
        <x:f>"96200529191"</x:f>
        <x:v>96200529191</x:v>
      </x:c>
      <x:c r="X1742" s="23" t="str">
        <x:v>RPT.cargas@gmail.com</x:v>
      </x:c>
      <x:c r="Y1742" s="22" t="str">
        <x:f>"(62) 99661-0607"</x:f>
        <x:v>(62) 99661-0607</x:v>
      </x:c>
      <x:c r="Z1742" s="30" t="n">
        <x:v>46288</x:v>
      </x:c>
    </x:row>
    <x:row r="1743" ht="18" customHeight="1">
      <x:c r="A1743" s="22" t="str">
        <x:f>"a7e53f1a-5997-4ae0-b729-47ffce033cdc"</x:f>
        <x:v>a7e53f1a-5997-4ae0-b729-47ffce033cdc</x:v>
      </x:c>
      <x:c r="B1743" s="23" t="str">
        <x:v>JEFFERSON SANTOS DA SILVA</x:v>
      </x:c>
      <x:c r="C1743" s="23" t="str">
        <x:v>jefferson santos da silva</x:v>
      </x:c>
      <x:c r="D1743" s="22" t="str">
        <x:f>"43.592.791/0001-07"</x:f>
        <x:v>43.592.791/0001-07</x:v>
      </x:c>
      <x:c r="E1743" s="22" t="str">
        <x:f>"43592791000107"</x:f>
        <x:v>43592791000107</x:v>
      </x:c>
      <x:c r="F1743" s="22" t="str">
        <x:f>"058.685.587-40"</x:f>
        <x:v>058.685.587-40</x:v>
      </x:c>
      <x:c r="G1743" s="22" t="str">
        <x:f>"05868558740"</x:f>
        <x:v>05868558740</x:v>
      </x:c>
      <x:c r="H1743" s="23" t="str">
        <x:v>negocios.jefferson21@gmail.com</x:v>
      </x:c>
      <x:c r="I1743" s="22" t="str">
        <x:f>"21 97935-6344"</x:f>
        <x:v>21 97935-6344</x:v>
      </x:c>
      <x:c r="J1743" s="23" t="str">
        <x:v>SPOT</x:v>
      </x:c>
      <x:c r="K1743" s="23" t="str">
        <x:v>favored_only</x:v>
      </x:c>
      <x:c r="L1743" s="24" t="b">
        <x:v>1</x:v>
      </x:c>
      <x:c r="M1743" s="23" t="n">
        <x:v>1</x:v>
      </x:c>
      <x:c r="N1743" s="28" t="n">
        <x:v>46219.812988715275</x:v>
      </x:c>
      <x:c r="O1743" s="28" t="n">
        <x:v>46219.812988715275</x:v>
      </x:c>
      <x:c r="P1743" s="23" t="str">
        <x:v>QUEIMADOS</x:v>
      </x:c>
      <x:c r="Q1743" s="30" t="n">
        <x:v>32073</x:v>
      </x:c>
      <x:c r="R1743" s="22" t="str">
        <x:f>"21.329.042-2"</x:f>
        <x:v>21.329.042-2</x:v>
      </x:c>
      <x:c r="S1743" s="23" t="str">
        <x:v>masculino</x:v>
      </x:c>
      <x:c r="T1743" s="22" t="str">
        <x:f>"KPY9J48"</x:f>
        <x:v>KPY9J48</x:v>
      </x:c>
      <x:c r="U1743" s="23" t="str">
        <x:v>THIAGO DA CAMARA MAGALHAES</x:v>
      </x:c>
      <x:c r="V1743" s="22" t="str">
        <x:f>"139.950.047-33"</x:f>
        <x:v>139.950.047-33</x:v>
      </x:c>
      <x:c r="W1743" s="22" t="str">
        <x:f>"13995004733"</x:f>
        <x:v>13995004733</x:v>
      </x:c>
      <x:c r="X1743" s="23" t="str">
        <x:v>thiagopizzashow@gmail.com</x:v>
      </x:c>
      <x:c r="Y1743" s="22" t="str">
        <x:f>"21 99095-3210"</x:f>
        <x:v>21 99095-3210</x:v>
      </x:c>
      <x:c r="Z1743" s="30" t="n">
        <x:v>46465</x:v>
      </x:c>
    </x:row>
    <x:row r="1744" ht="18" customHeight="1">
      <x:c r="A1744" s="22" t="str">
        <x:f>"00d29955-2908-425e-8644-6bf67452fd71"</x:f>
        <x:v>00d29955-2908-425e-8644-6bf67452fd71</x:v>
      </x:c>
      <x:c r="B1744" s="23" t="str">
        <x:v>JEFFERSON SERAFIM NUNES</x:v>
      </x:c>
      <x:c r="C1744" s="23" t="str">
        <x:v>jefferson serafim nunes</x:v>
      </x:c>
      <x:c r="D1744" s="22" t="str">
        <x:f>"05.283.278/5000-16"</x:f>
        <x:v>05.283.278/5000-16</x:v>
      </x:c>
      <x:c r="E1744" s="22" t="str">
        <x:f>"05283278500016"</x:f>
        <x:v>05283278500016</x:v>
      </x:c>
      <x:c r="F1744" s="22" t="str">
        <x:f>"083.361.606-47"</x:f>
        <x:v>083.361.606-47</x:v>
      </x:c>
      <x:c r="G1744" s="22" t="str">
        <x:f>"08336160647"</x:f>
        <x:v>08336160647</x:v>
      </x:c>
      <x:c r="H1744" s="23" t="str">
        <x:v>Jeffersonserafimnunes@gmail.com</x:v>
      </x:c>
      <x:c r="I1744" s="22" t="str">
        <x:f>"34999578782"</x:f>
        <x:v>34999578782</x:v>
      </x:c>
      <x:c r="J1744" s="23" t="str">
        <x:v>RENTALS</x:v>
      </x:c>
      <x:c r="K1744" s="23" t="str">
        <x:v>rental_company</x:v>
      </x:c>
      <x:c r="L1744" s="24" t="b">
        <x:v>1</x:v>
      </x:c>
      <x:c r="M1744" s="23" t="n">
        <x:v>1</x:v>
      </x:c>
      <x:c r="N1744" s="28" t="n">
        <x:v>46219.812988715275</x:v>
      </x:c>
      <x:c r="O1744" s="28" t="n">
        <x:v>46219.812988715275</x:v>
      </x:c>
      <x:c r="P1744" s="23" t="str">
        <x:v>UBERABA</x:v>
      </x:c>
      <x:c r="Q1744" s="30" t="n">
        <x:v>33573</x:v>
      </x:c>
      <x:c r="R1744" s="22" t="str">
        <x:f>"16126097"</x:f>
        <x:v>16126097</x:v>
      </x:c>
      <x:c r="S1744" s="23" t="str">
        <x:v>masculino</x:v>
      </x:c>
      <x:c r="T1744" s="22" t="str"/>
      <x:c r="U1744" s="23" t="str">
        <x:v>JEFFERSON SERAFIM NUNES</x:v>
      </x:c>
      <x:c r="V1744" s="22" t="str">
        <x:f>"083.361.606-47"</x:f>
        <x:v>083.361.606-47</x:v>
      </x:c>
      <x:c r="W1744" s="22" t="str">
        <x:f>"08336160647"</x:f>
        <x:v>08336160647</x:v>
      </x:c>
      <x:c r="X1744" s="23" t="str">
        <x:v>Jeffersonserafimnunes@gmail.com</x:v>
      </x:c>
      <x:c r="Y1744" s="22" t="str">
        <x:f>"34999578782"</x:f>
        <x:v>34999578782</x:v>
      </x:c>
      <x:c r="Z1744" s="30" t="n">
        <x:v>46492</x:v>
      </x:c>
    </x:row>
    <x:row r="1745" ht="18" customHeight="1">
      <x:c r="A1745" s="22" t="str">
        <x:f>"fb58ec56-3f22-455d-8f9d-426730d42a56"</x:f>
        <x:v>fb58ec56-3f22-455d-8f9d-426730d42a56</x:v>
      </x:c>
      <x:c r="B1745" s="23" t="str">
        <x:v>JEFFERSON SERAFIM NUNES</x:v>
      </x:c>
      <x:c r="C1745" s="23" t="str">
        <x:v>jefferson serafim nunes</x:v>
      </x:c>
      <x:c r="D1745" s="22" t="str">
        <x:f>"52.832.785/0001-62"</x:f>
        <x:v>52.832.785/0001-62</x:v>
      </x:c>
      <x:c r="E1745" s="22" t="str">
        <x:f>"52832785000162"</x:f>
        <x:v>52832785000162</x:v>
      </x:c>
      <x:c r="F1745" s="22" t="str">
        <x:f>"183636160647"</x:f>
        <x:v>183636160647</x:v>
      </x:c>
      <x:c r="G1745" s="22" t="str">
        <x:f>"183636160647"</x:f>
        <x:v>183636160647</x:v>
      </x:c>
      <x:c r="H1745" s="23" t="str">
        <x:v>Jeffersonserafimnunes@gmail.com</x:v>
      </x:c>
      <x:c r="I1745" s="22" t="str">
        <x:f>"34999578782"</x:f>
        <x:v>34999578782</x:v>
      </x:c>
      <x:c r="J1745" s="23" t="str">
        <x:v>RENTALS</x:v>
      </x:c>
      <x:c r="K1745" s="23" t="str">
        <x:v>rental_company</x:v>
      </x:c>
      <x:c r="L1745" s="24" t="b">
        <x:v>1</x:v>
      </x:c>
      <x:c r="M1745" s="23" t="n">
        <x:v>1</x:v>
      </x:c>
      <x:c r="N1745" s="28" t="n">
        <x:v>46219.812988715275</x:v>
      </x:c>
      <x:c r="O1745" s="28" t="n">
        <x:v>46219.812988715275</x:v>
      </x:c>
      <x:c r="P1745" s="23" t="str">
        <x:v>UBERABA</x:v>
      </x:c>
      <x:c r="Q1745" s="30" t="n">
        <x:v>33573</x:v>
      </x:c>
      <x:c r="R1745" s="22" t="str">
        <x:f>"16126097"</x:f>
        <x:v>16126097</x:v>
      </x:c>
      <x:c r="S1745" s="23" t="str">
        <x:v>masculino</x:v>
      </x:c>
      <x:c r="T1745" s="22" t="str"/>
      <x:c r="U1745" s="23" t="str">
        <x:v>JEFFERSON SERAFIM NUNES</x:v>
      </x:c>
      <x:c r="V1745" s="22" t="str">
        <x:f>"183636160647"</x:f>
        <x:v>183636160647</x:v>
      </x:c>
      <x:c r="W1745" s="22" t="str">
        <x:f>"183636160647"</x:f>
        <x:v>183636160647</x:v>
      </x:c>
      <x:c r="X1745" s="23" t="str">
        <x:v>Jeffersonserafimnunes@gmail.com</x:v>
      </x:c>
      <x:c r="Y1745" s="22" t="str">
        <x:f>"34999578782"</x:f>
        <x:v>34999578782</x:v>
      </x:c>
      <x:c r="Z1745" s="30" t="n">
        <x:v>46492</x:v>
      </x:c>
    </x:row>
    <x:row r="1746" ht="18" customHeight="1">
      <x:c r="A1746" s="22" t="str">
        <x:f>"8d065d77-91f1-47c6-a6c9-3273754696b3"</x:f>
        <x:v>8d065d77-91f1-47c6-a6c9-3273754696b3</x:v>
      </x:c>
      <x:c r="B1746" s="23" t="str">
        <x:v>JEFFERSON TEIXEIRA TEODORO</x:v>
      </x:c>
      <x:c r="C1746" s="23" t="str">
        <x:v>jefferson teixeira teodoro</x:v>
      </x:c>
      <x:c r="D1746" s="22" t="str">
        <x:f>"63.086.692/0001-52"</x:f>
        <x:v>63.086.692/0001-52</x:v>
      </x:c>
      <x:c r="E1746" s="22" t="str">
        <x:f>"63086692000152"</x:f>
        <x:v>63086692000152</x:v>
      </x:c>
      <x:c r="F1746" s="22" t="str">
        <x:f>"163.939.626-82"</x:f>
        <x:v>163.939.626-82</x:v>
      </x:c>
      <x:c r="G1746" s="22" t="str">
        <x:f>"16393962682"</x:f>
        <x:v>16393962682</x:v>
      </x:c>
      <x:c r="H1746" s="23" t="str">
        <x:v>teixeirajefferson74@gmail.com</x:v>
      </x:c>
      <x:c r="I1746" s="22" t="str">
        <x:f>"(35) 99819-6038"</x:f>
        <x:v>(35) 99819-6038</x:v>
      </x:c>
      <x:c r="J1746" s="23" t="str">
        <x:v>RENTAL</x:v>
      </x:c>
      <x:c r="K1746" s="23" t="str">
        <x:v>rental_company</x:v>
      </x:c>
      <x:c r="L1746" s="24" t="b">
        <x:v>1</x:v>
      </x:c>
      <x:c r="M1746" s="23" t="n">
        <x:v>1</x:v>
      </x:c>
      <x:c r="N1746" s="28" t="n">
        <x:v>46203.92188238426</x:v>
      </x:c>
      <x:c r="O1746" s="28" t="n">
        <x:v>46219.812988715275</x:v>
      </x:c>
      <x:c r="P1746" s="23" t="str">
        <x:v>POUSO ALEGRE</x:v>
      </x:c>
      <x:c r="Q1746" s="30" t="n">
        <x:v>38765</x:v>
      </x:c>
      <x:c r="R1746" s="22" t="str">
        <x:f>"22501243 PC MG"</x:f>
        <x:v>22501243 PC MG</x:v>
      </x:c>
      <x:c r="S1746" s="23" t="str">
        <x:v>masculino</x:v>
      </x:c>
      <x:c r="T1746" s="22" t="str"/>
      <x:c r="U1746" s="23" t="str">
        <x:v>JEFFERSON TEIXEIRA TEODORO</x:v>
      </x:c>
      <x:c r="V1746" s="22" t="str">
        <x:f>"163.939.626-82"</x:f>
        <x:v>163.939.626-82</x:v>
      </x:c>
      <x:c r="W1746" s="22" t="str">
        <x:f>"16393962682"</x:f>
        <x:v>16393962682</x:v>
      </x:c>
      <x:c r="X1746" s="23" t="str">
        <x:v>teixeirajefferson74@gmail.com</x:v>
      </x:c>
      <x:c r="Y1746" s="22" t="str">
        <x:f>"(35) 99819-6038"</x:f>
        <x:v>(35) 99819-6038</x:v>
      </x:c>
      <x:c r="Z1746" s="30" t="n">
        <x:v>46317</x:v>
      </x:c>
    </x:row>
    <x:row r="1747" ht="18" customHeight="1">
      <x:c r="A1747" s="22" t="str">
        <x:f>"8cba1a97-ffe7-4095-9b21-45f9d8dfd75e"</x:f>
        <x:v>8cba1a97-ffe7-4095-9b21-45f9d8dfd75e</x:v>
      </x:c>
      <x:c r="B1747" s="23" t="str">
        <x:v>JEFRSON JOSE DA COSTA SILVA</x:v>
      </x:c>
      <x:c r="C1747" s="23" t="str">
        <x:v>jefrson jose da costa silva</x:v>
      </x:c>
      <x:c r="D1747" s="22" t="str">
        <x:f>"67.222.875/0001-09"</x:f>
        <x:v>67.222.875/0001-09</x:v>
      </x:c>
      <x:c r="E1747" s="22" t="str">
        <x:f>"67222875000109"</x:f>
        <x:v>67222875000109</x:v>
      </x:c>
      <x:c r="F1747" s="22" t="str">
        <x:f>"354.696.798-45"</x:f>
        <x:v>354.696.798-45</x:v>
      </x:c>
      <x:c r="G1747" s="22" t="str">
        <x:f>"35469679845"</x:f>
        <x:v>35469679845</x:v>
      </x:c>
      <x:c r="H1747" s="23" t="str">
        <x:v>jefersonjoaesilva@gmail.com</x:v>
      </x:c>
      <x:c r="I1747" s="22" t="str">
        <x:f>"(16)99378-9519"</x:f>
        <x:v>(16)99378-9519</x:v>
      </x:c>
      <x:c r="J1747" s="23" t="str">
        <x:v>RENTAL</x:v>
      </x:c>
      <x:c r="K1747" s="23" t="str">
        <x:v>rental_company</x:v>
      </x:c>
      <x:c r="L1747" s="24" t="b">
        <x:v>1</x:v>
      </x:c>
      <x:c r="M1747" s="23" t="n">
        <x:v>1</x:v>
      </x:c>
      <x:c r="N1747" s="28" t="n">
        <x:v>46219.812988715275</x:v>
      </x:c>
      <x:c r="O1747" s="28" t="n">
        <x:v>46219.812988715275</x:v>
      </x:c>
      <x:c r="P1747" s="23" t="str">
        <x:v>SÃO CARLOS</x:v>
      </x:c>
      <x:c r="Q1747" s="30" t="n">
        <x:v>31944</x:v>
      </x:c>
      <x:c r="R1747" s="22" t="str">
        <x:f>"34079703"</x:f>
        <x:v>34079703</x:v>
      </x:c>
      <x:c r="S1747" s="23" t="str">
        <x:v>masculino</x:v>
      </x:c>
      <x:c r="T1747" s="22" t="str"/>
      <x:c r="U1747" s="23" t="str">
        <x:v>JEFRSON JOSE DA COSTA SILVA</x:v>
      </x:c>
      <x:c r="V1747" s="22" t="str">
        <x:f>"354.696.798-45"</x:f>
        <x:v>354.696.798-45</x:v>
      </x:c>
      <x:c r="W1747" s="22" t="str">
        <x:f>"35469679845"</x:f>
        <x:v>35469679845</x:v>
      </x:c>
      <x:c r="X1747" s="23" t="str">
        <x:v>jefersonjoaesilva@gmail.com</x:v>
      </x:c>
      <x:c r="Y1747" s="22" t="str">
        <x:f>"(16)99378-9519"</x:f>
        <x:v>(16)99378-9519</x:v>
      </x:c>
      <x:c r="Z1747" s="30" t="n">
        <x:v>46547</x:v>
      </x:c>
    </x:row>
    <x:row r="1748" ht="18" customHeight="1">
      <x:c r="A1748" s="22" t="str">
        <x:f>"dc1bda94-a266-42c1-baa4-5430e236c67c"</x:f>
        <x:v>dc1bda94-a266-42c1-baa4-5430e236c67c</x:v>
      </x:c>
      <x:c r="B1748" s="23" t="str">
        <x:v>JEHOSAFA BREIA FERNANDES</x:v>
      </x:c>
      <x:c r="C1748" s="23" t="str">
        <x:v>jehosafa breia fernandes</x:v>
      </x:c>
      <x:c r="D1748" s="22" t="str">
        <x:f>"61.063.708/0001-86"</x:f>
        <x:v>61.063.708/0001-86</x:v>
      </x:c>
      <x:c r="E1748" s="22" t="str">
        <x:f>"61063708000186"</x:f>
        <x:v>61063708000186</x:v>
      </x:c>
      <x:c r="F1748" s="22" t="str">
        <x:f>"117.786.967-59"</x:f>
        <x:v>117.786.967-59</x:v>
      </x:c>
      <x:c r="G1748" s="22" t="str">
        <x:f>"11778696759"</x:f>
        <x:v>11778696759</x:v>
      </x:c>
      <x:c r="H1748" s="23" t="str">
        <x:v>jehosafarock@gmail.com</x:v>
      </x:c>
      <x:c r="I1748" s="22" t="str">
        <x:f>"21973734922"</x:f>
        <x:v>21973734922</x:v>
      </x:c>
      <x:c r="J1748" s="23" t="str">
        <x:v>SPOT</x:v>
      </x:c>
      <x:c r="K1748" s="23" t="str">
        <x:v>favored_only</x:v>
      </x:c>
      <x:c r="L1748" s="24" t="b">
        <x:v>1</x:v>
      </x:c>
      <x:c r="M1748" s="23" t="n">
        <x:v>1</x:v>
      </x:c>
      <x:c r="N1748" s="28" t="n">
        <x:v>46205.603003703705</x:v>
      </x:c>
      <x:c r="O1748" s="28" t="n">
        <x:v>46219.812988715275</x:v>
      </x:c>
      <x:c r="P1748" s="23" t="str">
        <x:v>QUEIMADOS</x:v>
      </x:c>
      <x:c r="Q1748" s="30" t="n">
        <x:v>31163</x:v>
      </x:c>
      <x:c r="R1748" s="22" t="str">
        <x:f>"210360988"</x:f>
        <x:v>210360988</x:v>
      </x:c>
      <x:c r="S1748" s="23" t="str">
        <x:v>masculino</x:v>
      </x:c>
      <x:c r="T1748" s="22" t="str">
        <x:f>"LSQ5A24"</x:f>
        <x:v>LSQ5A24</x:v>
      </x:c>
      <x:c r="U1748" s="23" t="str">
        <x:v>RAYSSA PEREIRA DE OLIVEIRA BREIA</x:v>
      </x:c>
      <x:c r="V1748" s="22" t="str">
        <x:f>"173.076.387-11"</x:f>
        <x:v>173.076.387-11</x:v>
      </x:c>
      <x:c r="W1748" s="22" t="str">
        <x:f>"17307638711"</x:f>
        <x:v>17307638711</x:v>
      </x:c>
      <x:c r="X1748" s="23" t="str">
        <x:v>jehosafarock@gmail.com</x:v>
      </x:c>
      <x:c r="Y1748" s="22" t="str">
        <x:f>"21973734922"</x:f>
        <x:v>21973734922</x:v>
      </x:c>
      <x:c r="Z1748" s="30" t="n">
        <x:v>46294</x:v>
      </x:c>
    </x:row>
    <x:row r="1749" ht="18" customHeight="1">
      <x:c r="A1749" s="22" t="str">
        <x:f>"b766cfa5-79a9-46d8-8daf-315d683d7a95"</x:f>
        <x:v>b766cfa5-79a9-46d8-8daf-315d683d7a95</x:v>
      </x:c>
      <x:c r="B1749" s="23" t="str">
        <x:v>JENIFFER SILVA DE MIRANDA</x:v>
      </x:c>
      <x:c r="C1749" s="23" t="str">
        <x:v>jeniffer silva de miranda</x:v>
      </x:c>
      <x:c r="D1749" s="22" t="str">
        <x:f>"58.217.226/0001-29"</x:f>
        <x:v>58.217.226/0001-29</x:v>
      </x:c>
      <x:c r="E1749" s="22" t="str">
        <x:f>"58217226000129"</x:f>
        <x:v>58217226000129</x:v>
      </x:c>
      <x:c r="F1749" s="22" t="str">
        <x:f>"424.641.938-95"</x:f>
        <x:v>424.641.938-95</x:v>
      </x:c>
      <x:c r="G1749" s="22" t="str">
        <x:f>"42464193895"</x:f>
        <x:v>42464193895</x:v>
      </x:c>
      <x:c r="H1749" s="23" t="str">
        <x:v>jhennyloah@gmail.com</x:v>
      </x:c>
      <x:c r="I1749" s="22" t="str">
        <x:f>"(16) 99444-7099"</x:f>
        <x:v>(16) 99444-7099</x:v>
      </x:c>
      <x:c r="J1749" s="23" t="str">
        <x:v>RENTALS</x:v>
      </x:c>
      <x:c r="K1749" s="23" t="str">
        <x:v>rental_company</x:v>
      </x:c>
      <x:c r="L1749" s="24" t="b">
        <x:v>1</x:v>
      </x:c>
      <x:c r="M1749" s="23" t="n">
        <x:v>2</x:v>
      </x:c>
      <x:c r="N1749" s="28" t="n">
        <x:v>46219.812988715275</x:v>
      </x:c>
      <x:c r="O1749" s="28" t="n">
        <x:v>46219.812988715275</x:v>
      </x:c>
      <x:c r="P1749" s="23" t="str">
        <x:v>RIBEIRAO PRETO</x:v>
      </x:c>
      <x:c r="Q1749" s="30" t="n">
        <x:v>33114</x:v>
      </x:c>
      <x:c r="R1749" s="22" t="str">
        <x:f>"477705042"</x:f>
        <x:v>477705042</x:v>
      </x:c>
      <x:c r="S1749" s="23" t="str">
        <x:v>feminino</x:v>
      </x:c>
      <x:c r="T1749" s="22" t="str"/>
      <x:c r="U1749" s="23" t="str">
        <x:v>JENIFFER SILVA DE MIRANDA</x:v>
      </x:c>
      <x:c r="V1749" s="22" t="str">
        <x:f>"424.641.938-95"</x:f>
        <x:v>424.641.938-95</x:v>
      </x:c>
      <x:c r="W1749" s="22" t="str">
        <x:f>"42464193895"</x:f>
        <x:v>42464193895</x:v>
      </x:c>
      <x:c r="X1749" s="23" t="str">
        <x:v>jhennyloah@gmail.com</x:v>
      </x:c>
      <x:c r="Y1749" s="22" t="str">
        <x:f>"(16) 99444-7099"</x:f>
        <x:v>(16) 99444-7099</x:v>
      </x:c>
      <x:c r="Z1749" s="30" t="n">
        <x:v>46583</x:v>
      </x:c>
    </x:row>
    <x:row r="1750" ht="18" customHeight="1">
      <x:c r="A1750" s="22" t="str">
        <x:f>"9c5be1ab-10b6-4170-8b0e-a7979b5549c8"</x:f>
        <x:v>9c5be1ab-10b6-4170-8b0e-a7979b5549c8</x:v>
      </x:c>
      <x:c r="B1750" s="23" t="str">
        <x:v>JENNIFER ANGELO CASSIANO</x:v>
      </x:c>
      <x:c r="C1750" s="23" t="str">
        <x:v>jennifer angelo cassiano</x:v>
      </x:c>
      <x:c r="D1750" s="22" t="str">
        <x:f>"39.982.760/0001-87"</x:f>
        <x:v>39.982.760/0001-87</x:v>
      </x:c>
      <x:c r="E1750" s="22" t="str">
        <x:f>"39982760000187"</x:f>
        <x:v>39982760000187</x:v>
      </x:c>
      <x:c r="F1750" s="22" t="str">
        <x:f>"128.507.977-90"</x:f>
        <x:v>128.507.977-90</x:v>
      </x:c>
      <x:c r="G1750" s="22" t="str">
        <x:f>"12850797790"</x:f>
        <x:v>12850797790</x:v>
      </x:c>
      <x:c r="H1750" s="23" t="str">
        <x:v>jennifer.angelo56@gmail.com</x:v>
      </x:c>
      <x:c r="I1750" s="22" t="str">
        <x:f>"21994528178"</x:f>
        <x:v>21994528178</x:v>
      </x:c>
      <x:c r="J1750" s="23" t="str">
        <x:v>SPOT</x:v>
      </x:c>
      <x:c r="K1750" s="23" t="str">
        <x:v>favored_only</x:v>
      </x:c>
      <x:c r="L1750" s="24" t="b">
        <x:v>1</x:v>
      </x:c>
      <x:c r="M1750" s="23" t="n">
        <x:v>1</x:v>
      </x:c>
      <x:c r="N1750" s="28" t="n">
        <x:v>46219.812988715275</x:v>
      </x:c>
      <x:c r="O1750" s="28" t="n">
        <x:v>46219.812988715275</x:v>
      </x:c>
      <x:c r="P1750" s="23" t="str">
        <x:v>QUEIMADOS</x:v>
      </x:c>
      <x:c r="Q1750" s="30" t="n">
        <x:v>32938</x:v>
      </x:c>
      <x:c r="R1750" s="22" t="str">
        <x:f>"222686966"</x:f>
        <x:v>222686966</x:v>
      </x:c>
      <x:c r="S1750" s="23" t="str">
        <x:v>feminino</x:v>
      </x:c>
      <x:c r="T1750" s="22" t="str">
        <x:f>"QXB9G35"</x:f>
        <x:v>QXB9G35</x:v>
      </x:c>
      <x:c r="U1750" s="23" t="str">
        <x:v>JENNIFER ANGELO CASSIANO</x:v>
      </x:c>
      <x:c r="V1750" s="22" t="str">
        <x:f>"128.507.977-90"</x:f>
        <x:v>128.507.977-90</x:v>
      </x:c>
      <x:c r="W1750" s="22" t="str">
        <x:f>"12850797790"</x:f>
        <x:v>12850797790</x:v>
      </x:c>
      <x:c r="X1750" s="23" t="str">
        <x:v>jennifer.angelo56@gmail.com</x:v>
      </x:c>
      <x:c r="Y1750" s="22" t="str">
        <x:f>"21994528178"</x:f>
        <x:v>21994528178</x:v>
      </x:c>
      <x:c r="Z1750" s="30" t="n">
        <x:v>46483</x:v>
      </x:c>
    </x:row>
    <x:row r="1751" ht="18" customHeight="1">
      <x:c r="A1751" s="22" t="str">
        <x:f>"28d02fa0-5a4f-4989-b93e-949feafa58a8"</x:f>
        <x:v>28d02fa0-5a4f-4989-b93e-949feafa58a8</x:v>
      </x:c>
      <x:c r="B1751" s="23" t="str">
        <x:v>JENNIFFER MARIA DE SOUZA PESSANHA</x:v>
      </x:c>
      <x:c r="C1751" s="23" t="str">
        <x:v>jenniffer maria de souza pessanha</x:v>
      </x:c>
      <x:c r="D1751" s="22" t="str">
        <x:f>"54.936.872/0001-95"</x:f>
        <x:v>54.936.872/0001-95</x:v>
      </x:c>
      <x:c r="E1751" s="22" t="str">
        <x:f>"54936872000195"</x:f>
        <x:v>54936872000195</x:v>
      </x:c>
      <x:c r="F1751" s="22" t="str">
        <x:f>"139.625.217-71"</x:f>
        <x:v>139.625.217-71</x:v>
      </x:c>
      <x:c r="G1751" s="22" t="str">
        <x:f>"13962521771"</x:f>
        <x:v>13962521771</x:v>
      </x:c>
      <x:c r="H1751" s="23" t="str">
        <x:v>jhennyveland@gmail.com</x:v>
      </x:c>
      <x:c r="I1751" s="22" t="str">
        <x:f>"22997369294"</x:f>
        <x:v>22997369294</x:v>
      </x:c>
      <x:c r="J1751" s="23" t="str">
        <x:v>SPOT</x:v>
      </x:c>
      <x:c r="K1751" s="23" t="str">
        <x:v>favored_only</x:v>
      </x:c>
      <x:c r="L1751" s="24" t="b">
        <x:v>1</x:v>
      </x:c>
      <x:c r="M1751" s="23" t="n">
        <x:v>1</x:v>
      </x:c>
      <x:c r="N1751" s="28" t="n">
        <x:v>46205.604491875</x:v>
      </x:c>
      <x:c r="O1751" s="28" t="n">
        <x:v>46219.812988715275</x:v>
      </x:c>
      <x:c r="P1751" s="23" t="str">
        <x:v>CAMPOS DOS GOYTACAZES</x:v>
      </x:c>
      <x:c r="Q1751" s="30" t="n">
        <x:v>34296</x:v>
      </x:c>
      <x:c r="R1751" s="22" t="str">
        <x:f>"271258733"</x:f>
        <x:v>271258733</x:v>
      </x:c>
      <x:c r="S1751" s="23" t="str">
        <x:v>feminino</x:v>
      </x:c>
      <x:c r="T1751" s="22" t="str">
        <x:f>"KVL3I87"</x:f>
        <x:v>KVL3I87</x:v>
      </x:c>
      <x:c r="U1751" s="23" t="str">
        <x:v>RODOLFO DA MATA TOLINTO</x:v>
      </x:c>
      <x:c r="V1751" s="22" t="str">
        <x:f>"137.463.317-81"</x:f>
        <x:v>137.463.317-81</x:v>
      </x:c>
      <x:c r="W1751" s="22" t="str">
        <x:f>"13746331781"</x:f>
        <x:v>13746331781</x:v>
      </x:c>
      <x:c r="X1751" s="23" t="str">
        <x:v>tolintomata@gmail.com</x:v>
      </x:c>
      <x:c r="Y1751" s="22" t="str">
        <x:f>"22998318613"</x:f>
        <x:v>22998318613</x:v>
      </x:c>
      <x:c r="Z1751" s="30" t="n">
        <x:v>46280</x:v>
      </x:c>
    </x:row>
    <x:row r="1752" ht="18" customHeight="1">
      <x:c r="A1752" s="22" t="str">
        <x:f>"d6a9f33c-b8f5-4e44-9f3d-e4e39dfa4cf6"</x:f>
        <x:v>d6a9f33c-b8f5-4e44-9f3d-e4e39dfa4cf6</x:v>
      </x:c>
      <x:c r="B1752" s="23" t="str">
        <x:v>JEOVANI SANTOS DE CASTRO JUNIOR</x:v>
      </x:c>
      <x:c r="C1752" s="23" t="str">
        <x:v>jeovani santos de castro junior</x:v>
      </x:c>
      <x:c r="D1752" s="22" t="str">
        <x:f>"63.170.869/0001-02"</x:f>
        <x:v>63.170.869/0001-02</x:v>
      </x:c>
      <x:c r="E1752" s="22" t="str">
        <x:f>"63170869000102"</x:f>
        <x:v>63170869000102</x:v>
      </x:c>
      <x:c r="F1752" s="22" t="str">
        <x:f>"122.237.906-66"</x:f>
        <x:v>122.237.906-66</x:v>
      </x:c>
      <x:c r="G1752" s="22" t="str">
        <x:f>"12223790666"</x:f>
        <x:v>12223790666</x:v>
      </x:c>
      <x:c r="H1752" s="23" t="str">
        <x:v>jeovane.scj@gmail.com</x:v>
      </x:c>
      <x:c r="I1752" s="22" t="str">
        <x:f>"34998378132"</x:f>
        <x:v>34998378132</x:v>
      </x:c>
      <x:c r="J1752" s="23" t="str">
        <x:v>SPOT</x:v>
      </x:c>
      <x:c r="K1752" s="23" t="str">
        <x:v>favored_only</x:v>
      </x:c>
      <x:c r="L1752" s="24" t="b">
        <x:v>1</x:v>
      </x:c>
      <x:c r="M1752" s="23" t="n">
        <x:v>2</x:v>
      </x:c>
      <x:c r="N1752" s="28" t="n">
        <x:v>46203.9218771875</x:v>
      </x:c>
      <x:c r="O1752" s="28" t="n">
        <x:v>46219.812988715275</x:v>
      </x:c>
      <x:c r="P1752" s="23" t="str">
        <x:v>PATOS DE MINAS</x:v>
      </x:c>
      <x:c r="Q1752" s="30" t="n">
        <x:v>36502</x:v>
      </x:c>
      <x:c r="R1752" s="22" t="str">
        <x:f>"MG 19511445"</x:f>
        <x:v>MG 19511445</x:v>
      </x:c>
      <x:c r="S1752" s="23" t="str">
        <x:v>masculino</x:v>
      </x:c>
      <x:c r="T1752" s="22" t="str">
        <x:f>"RCJ1J15"</x:f>
        <x:v>RCJ1J15</x:v>
      </x:c>
      <x:c r="U1752" s="23" t="str">
        <x:v>JEOVANI SANTOS DE CASTRO JUNIOR</x:v>
      </x:c>
      <x:c r="V1752" s="22" t="str">
        <x:f>"122.237.906-66"</x:f>
        <x:v>122.237.906-66</x:v>
      </x:c>
      <x:c r="W1752" s="22" t="str">
        <x:f>"12223790666"</x:f>
        <x:v>12223790666</x:v>
      </x:c>
      <x:c r="X1752" s="23" t="str">
        <x:v>jeovane.scj@gmail.com</x:v>
      </x:c>
      <x:c r="Y1752" s="22" t="str">
        <x:f>"34998378132"</x:f>
        <x:v>34998378132</x:v>
      </x:c>
      <x:c r="Z1752" s="30" t="n">
        <x:v>46504</x:v>
      </x:c>
    </x:row>
    <x:row r="1753" ht="18" customHeight="1">
      <x:c r="A1753" s="22" t="str">
        <x:f>"e9a9911b-5508-4177-b591-bcaaab450281"</x:f>
        <x:v>e9a9911b-5508-4177-b591-bcaaab450281</x:v>
      </x:c>
      <x:c r="B1753" s="23" t="str">
        <x:v>JERRY EDERSON DA SILVA RIBEIRO</x:v>
      </x:c>
      <x:c r="C1753" s="23" t="str">
        <x:v>jerry ederson da silva ribeiro</x:v>
      </x:c>
      <x:c r="D1753" s="22" t="str">
        <x:f>"63.293.326/0001-74"</x:f>
        <x:v>63.293.326/0001-74</x:v>
      </x:c>
      <x:c r="E1753" s="22" t="str">
        <x:f>"63293326000174"</x:f>
        <x:v>63293326000174</x:v>
      </x:c>
      <x:c r="F1753" s="22" t="str">
        <x:f>"048.795.071-21"</x:f>
        <x:v>048.795.071-21</x:v>
      </x:c>
      <x:c r="G1753" s="22" t="str">
        <x:f>"04879507121"</x:f>
        <x:v>04879507121</x:v>
      </x:c>
      <x:c r="H1753" s="23" t="str">
        <x:v>Jerryribeiro321@gmail.com</x:v>
      </x:c>
      <x:c r="I1753" s="22" t="str">
        <x:f>"65 99206-0347"</x:f>
        <x:v>65 99206-0347</x:v>
      </x:c>
      <x:c r="J1753" s="23" t="str">
        <x:v>SPOT</x:v>
      </x:c>
      <x:c r="K1753" s="23" t="str">
        <x:v>favored_only</x:v>
      </x:c>
      <x:c r="L1753" s="24" t="b">
        <x:v>1</x:v>
      </x:c>
      <x:c r="M1753" s="23" t="n">
        <x:v>1</x:v>
      </x:c>
      <x:c r="N1753" s="28" t="n">
        <x:v>46205.60687998842</x:v>
      </x:c>
      <x:c r="O1753" s="28" t="n">
        <x:v>46219.812988715275</x:v>
      </x:c>
      <x:c r="P1753" s="23" t="str">
        <x:v>ARAPUTANGA</x:v>
      </x:c>
      <x:c r="Q1753" s="30" t="n">
        <x:v>36563</x:v>
      </x:c>
      <x:c r="R1753" s="22" t="str">
        <x:f>"29080401  SSP MT"</x:f>
        <x:v>29080401  SSP MT</x:v>
      </x:c>
      <x:c r="S1753" s="23" t="str">
        <x:v>masculino</x:v>
      </x:c>
      <x:c r="T1753" s="22" t="str">
        <x:f>"OBN7E46"</x:f>
        <x:v>OBN7E46</x:v>
      </x:c>
      <x:c r="U1753" s="23" t="str">
        <x:v>LUCIMAR GOMES HARTHCOPF</x:v>
      </x:c>
      <x:c r="V1753" s="22" t="str">
        <x:f>"050.840.511-45"</x:f>
        <x:v>050.840.511-45</x:v>
      </x:c>
      <x:c r="W1753" s="22" t="str">
        <x:f>"05084051145"</x:f>
        <x:v>05084051145</x:v>
      </x:c>
      <x:c r="X1753" s="23" t="str">
        <x:v>lucimar_harthcopf@hotmail.com</x:v>
      </x:c>
      <x:c r="Y1753" s="22" t="str">
        <x:f>"65 984050346"</x:f>
        <x:v>65 984050346</x:v>
      </x:c>
      <x:c r="Z1753" s="30" t="n">
        <x:v>46385</x:v>
      </x:c>
    </x:row>
    <x:row r="1754" ht="18" customHeight="1">
      <x:c r="A1754" s="22" t="str">
        <x:f>"4e2d2fd0-f784-447c-9323-12d4805f89e0"</x:f>
        <x:v>4e2d2fd0-f784-447c-9323-12d4805f89e0</x:v>
      </x:c>
      <x:c r="B1754" s="23" t="str">
        <x:v>JESISCLEI VIEIRA DO SANTOS</x:v>
      </x:c>
      <x:c r="C1754" s="23" t="str">
        <x:v>jesisclei vieira do santos</x:v>
      </x:c>
      <x:c r="D1754" s="22" t="str">
        <x:f>"64.695.696/0001-09"</x:f>
        <x:v>64.695.696/0001-09</x:v>
      </x:c>
      <x:c r="E1754" s="22" t="str">
        <x:f>"64695696000109"</x:f>
        <x:v>64695696000109</x:v>
      </x:c>
      <x:c r="F1754" s="22" t="str">
        <x:f>"935.758.581-87"</x:f>
        <x:v>935.758.581-87</x:v>
      </x:c>
      <x:c r="G1754" s="22" t="str">
        <x:f>"93575858187"</x:f>
        <x:v>93575858187</x:v>
      </x:c>
      <x:c r="H1754" s="23" t="str">
        <x:v>kekey_rioverde@hotmail.com</x:v>
      </x:c>
      <x:c r="I1754" s="22" t="str">
        <x:f>"64992340247"</x:f>
        <x:v>64992340247</x:v>
      </x:c>
      <x:c r="J1754" s="23" t="str">
        <x:v>SPOT</x:v>
      </x:c>
      <x:c r="K1754" s="23" t="str">
        <x:v>favored_only</x:v>
      </x:c>
      <x:c r="L1754" s="24" t="b">
        <x:v>1</x:v>
      </x:c>
      <x:c r="M1754" s="23" t="n">
        <x:v>1</x:v>
      </x:c>
      <x:c r="N1754" s="28" t="n">
        <x:v>46219.812988715275</x:v>
      </x:c>
      <x:c r="O1754" s="28" t="n">
        <x:v>46219.812988715275</x:v>
      </x:c>
      <x:c r="P1754" s="23" t="str">
        <x:v>RIO VERDE</x:v>
      </x:c>
      <x:c r="Q1754" s="30" t="n">
        <x:v>29755</x:v>
      </x:c>
      <x:c r="R1754" s="22" t="str">
        <x:f>"4329084"</x:f>
        <x:v>4329084</x:v>
      </x:c>
      <x:c r="S1754" s="23" t="str">
        <x:v>masculino</x:v>
      </x:c>
      <x:c r="T1754" s="22" t="str">
        <x:f>"SIZ1G80"</x:f>
        <x:v>SIZ1G80</x:v>
      </x:c>
      <x:c r="U1754" s="23" t="str">
        <x:v>JESISCLEI VIEIRA DO SANTOS</x:v>
      </x:c>
      <x:c r="V1754" s="22" t="str">
        <x:f>"935.758.581-87"</x:f>
        <x:v>935.758.581-87</x:v>
      </x:c>
      <x:c r="W1754" s="22" t="str">
        <x:f>"93575858187"</x:f>
        <x:v>93575858187</x:v>
      </x:c>
      <x:c r="X1754" s="23" t="str">
        <x:v>kekey_rioverde@hotmail.com</x:v>
      </x:c>
      <x:c r="Y1754" s="22" t="str">
        <x:f>"64992340247"</x:f>
        <x:v>64992340247</x:v>
      </x:c>
      <x:c r="Z1754" s="30" t="n">
        <x:v>46449</x:v>
      </x:c>
    </x:row>
    <x:row r="1755" ht="18" customHeight="1">
      <x:c r="A1755" s="22" t="str">
        <x:f>"beb236d6-3482-460e-bb53-f6ef1d0c5a69"</x:f>
        <x:v>beb236d6-3482-460e-bb53-f6ef1d0c5a69</x:v>
      </x:c>
      <x:c r="B1755" s="23" t="str">
        <x:v>JESISCLEI VIEIRA DO SANTOS</x:v>
      </x:c>
      <x:c r="C1755" s="23" t="str">
        <x:v>jesisclei vieira do santos</x:v>
      </x:c>
      <x:c r="D1755" s="22" t="str">
        <x:f>"60.295.317/0001-24"</x:f>
        <x:v>60.295.317/0001-24</x:v>
      </x:c>
      <x:c r="E1755" s="22" t="str">
        <x:f>"60295317000124"</x:f>
        <x:v>60295317000124</x:v>
      </x:c>
      <x:c r="F1755" s="22" t="str">
        <x:f>"935.758.581-87"</x:f>
        <x:v>935.758.581-87</x:v>
      </x:c>
      <x:c r="G1755" s="22" t="str">
        <x:f>"93575858187"</x:f>
        <x:v>93575858187</x:v>
      </x:c>
      <x:c r="H1755" s="23" t="str">
        <x:v>kekey_rioverde@hotmail.com</x:v>
      </x:c>
      <x:c r="I1755" s="22" t="str">
        <x:f>"64992340247"</x:f>
        <x:v>64992340247</x:v>
      </x:c>
      <x:c r="J1755" s="23" t="str">
        <x:v>RENTAL</x:v>
      </x:c>
      <x:c r="K1755" s="23" t="str">
        <x:v>rental_company</x:v>
      </x:c>
      <x:c r="L1755" s="24" t="b">
        <x:v>1</x:v>
      </x:c>
      <x:c r="M1755" s="23" t="n">
        <x:v>1</x:v>
      </x:c>
      <x:c r="N1755" s="28" t="n">
        <x:v>46205.60404533565</x:v>
      </x:c>
      <x:c r="O1755" s="28" t="n">
        <x:v>46219.812988715275</x:v>
      </x:c>
      <x:c r="P1755" s="23" t="str">
        <x:v>RIO VERDE</x:v>
      </x:c>
      <x:c r="Q1755" s="30" t="n">
        <x:v>29755</x:v>
      </x:c>
      <x:c r="R1755" s="22" t="str">
        <x:f>"4329084"</x:f>
        <x:v>4329084</x:v>
      </x:c>
      <x:c r="S1755" s="23" t="str">
        <x:v>masculino</x:v>
      </x:c>
      <x:c r="T1755" s="22" t="str">
        <x:f>"SIZ1G80"</x:f>
        <x:v>SIZ1G80</x:v>
      </x:c>
      <x:c r="U1755" s="23" t="str">
        <x:v>JANISCLEIA VIEIRA DOS SANTOS</x:v>
      </x:c>
      <x:c r="V1755" s="22" t="str">
        <x:f>"015.466.371-92"</x:f>
        <x:v>015.466.371-92</x:v>
      </x:c>
      <x:c r="W1755" s="22" t="str">
        <x:f>"01546637192"</x:f>
        <x:v>01546637192</x:v>
      </x:c>
      <x:c r="X1755" s="23" t="str">
        <x:v>janevieira31@gmail.com</x:v>
      </x:c>
      <x:c r="Y1755" s="22" t="str">
        <x:f>"64992097044"</x:f>
        <x:v>64992097044</x:v>
      </x:c>
      <x:c r="Z1755" s="30" t="n">
        <x:v>46254</x:v>
      </x:c>
    </x:row>
    <x:row r="1756" ht="18" customHeight="1">
      <x:c r="A1756" s="22" t="str">
        <x:f>"00ffd110-2bd2-4894-8b4e-58321b9e98ce"</x:f>
        <x:v>00ffd110-2bd2-4894-8b4e-58321b9e98ce</x:v>
      </x:c>
      <x:c r="B1756" s="23" t="str">
        <x:v>JESSICA APARECIDA GERMANO ROSA</x:v>
      </x:c>
      <x:c r="C1756" s="23" t="str">
        <x:v>jessica aparecida germano rosa</x:v>
      </x:c>
      <x:c r="D1756" s="22" t="str">
        <x:f>"61.047.471/0001-40"</x:f>
        <x:v>61.047.471/0001-40</x:v>
      </x:c>
      <x:c r="E1756" s="22" t="str">
        <x:f>"61047471000140"</x:f>
        <x:v>61047471000140</x:v>
      </x:c>
      <x:c r="F1756" s="22" t="str">
        <x:f>"396.144.318-14"</x:f>
        <x:v>396.144.318-14</x:v>
      </x:c>
      <x:c r="G1756" s="22" t="str">
        <x:f>"39614431814"</x:f>
        <x:v>39614431814</x:v>
      </x:c>
      <x:c r="H1756" s="23" t="str">
        <x:v>jessica.germano.16@gmail.com</x:v>
      </x:c>
      <x:c r="I1756" s="22" t="str">
        <x:f>"+55 14 99772-7496"</x:f>
        <x:v>+55 14 99772-7496</x:v>
      </x:c>
      <x:c r="J1756" s="23" t="str">
        <x:v>spot</x:v>
      </x:c>
      <x:c r="K1756" s="23" t="str">
        <x:v>favored_only</x:v>
      </x:c>
      <x:c r="L1756" s="24" t="b">
        <x:v>1</x:v>
      </x:c>
      <x:c r="M1756" s="23" t="n">
        <x:v>1</x:v>
      </x:c>
      <x:c r="N1756" s="28" t="n">
        <x:v>46219.812988715275</x:v>
      </x:c>
      <x:c r="O1756" s="28" t="n">
        <x:v>46219.812988715275</x:v>
      </x:c>
      <x:c r="P1756" s="23" t="str">
        <x:v>MARILIA</x:v>
      </x:c>
      <x:c r="Q1756" s="30" t="n">
        <x:v>33397</x:v>
      </x:c>
      <x:c r="R1756" s="22" t="str">
        <x:f>"35505092"</x:f>
        <x:v>35505092</x:v>
      </x:c>
      <x:c r="S1756" s="23" t="str">
        <x:v>feminino</x:v>
      </x:c>
      <x:c r="T1756" s="22" t="str">
        <x:f>"FDA0C37"</x:f>
        <x:v>FDA0C37</x:v>
      </x:c>
      <x:c r="U1756" s="23" t="str">
        <x:v>JESSICA APARECIDA GERMANO ROSA</x:v>
      </x:c>
      <x:c r="V1756" s="22" t="str">
        <x:f>"396.144.318-14"</x:f>
        <x:v>396.144.318-14</x:v>
      </x:c>
      <x:c r="W1756" s="22" t="str">
        <x:f>"39614431814"</x:f>
        <x:v>39614431814</x:v>
      </x:c>
      <x:c r="X1756" s="23" t="str">
        <x:v>jessica.germano.16@gmail.com</x:v>
      </x:c>
      <x:c r="Y1756" s="22" t="str">
        <x:f>"+55 14 99772-7496"</x:f>
        <x:v>+55 14 99772-7496</x:v>
      </x:c>
      <x:c r="Z1756" s="30" t="n">
        <x:v>46539</x:v>
      </x:c>
    </x:row>
    <x:row r="1757" ht="18" customHeight="1">
      <x:c r="A1757" s="22" t="str">
        <x:f>"0f560542-9e70-4e58-9a09-608d8bc573c3"</x:f>
        <x:v>0f560542-9e70-4e58-9a09-608d8bc573c3</x:v>
      </x:c>
      <x:c r="B1757" s="23" t="str">
        <x:v>JESSICA CAIXETA RIBEIRO</x:v>
      </x:c>
      <x:c r="C1757" s="23" t="str">
        <x:v>jessica caixeta ribeiro</x:v>
      </x:c>
      <x:c r="D1757" s="22" t="str">
        <x:f>"19.783.578/0001-90"</x:f>
        <x:v>19.783.578/0001-90</x:v>
      </x:c>
      <x:c r="E1757" s="22" t="str">
        <x:f>"19783578000190"</x:f>
        <x:v>19783578000190</x:v>
      </x:c>
      <x:c r="F1757" s="22" t="str">
        <x:f>"10757675638"</x:f>
        <x:v>10757675638</x:v>
      </x:c>
      <x:c r="G1757" s="22" t="str">
        <x:f>"10757675638"</x:f>
        <x:v>10757675638</x:v>
      </x:c>
      <x:c r="H1757" s="23" t="str">
        <x:v>jeccykaribeiro@gmail.com</x:v>
      </x:c>
      <x:c r="I1757" s="22" t="str">
        <x:f>"34999970363"</x:f>
        <x:v>34999970363</x:v>
      </x:c>
      <x:c r="J1757" s="23" t="str">
        <x:v>SPOT</x:v>
      </x:c>
      <x:c r="K1757" s="23" t="str">
        <x:v>favored_only</x:v>
      </x:c>
      <x:c r="L1757" s="24" t="b">
        <x:v>1</x:v>
      </x:c>
      <x:c r="M1757" s="23" t="n">
        <x:v>1</x:v>
      </x:c>
      <x:c r="N1757" s="28" t="n">
        <x:v>46203.921904421295</x:v>
      </x:c>
      <x:c r="O1757" s="28" t="n">
        <x:v>46203.921904421295</x:v>
      </x:c>
      <x:c r="P1757" s="23" t="str"/>
      <x:c r="Q1757" s="30" t="str"/>
      <x:c r="R1757" s="22" t="str"/>
      <x:c r="S1757" s="23" t="str"/>
      <x:c r="T1757" s="22" t="str"/>
      <x:c r="U1757" s="23" t="str">
        <x:v>JESSICA CAIXETA RIBEIRO</x:v>
      </x:c>
      <x:c r="V1757" s="22" t="str">
        <x:f>"10757675638"</x:f>
        <x:v>10757675638</x:v>
      </x:c>
      <x:c r="W1757" s="22" t="str">
        <x:f>"10757675638"</x:f>
        <x:v>10757675638</x:v>
      </x:c>
      <x:c r="X1757" s="23" t="str">
        <x:v>jeccykaribeiro@gmail.com</x:v>
      </x:c>
      <x:c r="Y1757" s="22" t="str">
        <x:f>"34999970363"</x:f>
        <x:v>34999970363</x:v>
      </x:c>
      <x:c r="Z1757" s="30" t="str"/>
    </x:row>
    <x:row r="1758" ht="18" customHeight="1">
      <x:c r="A1758" s="22" t="str">
        <x:f>"08a95ab7-abd9-43b7-befc-b70b86fcc14f"</x:f>
        <x:v>08a95ab7-abd9-43b7-befc-b70b86fcc14f</x:v>
      </x:c>
      <x:c r="B1758" s="23" t="str">
        <x:v>JESSICA DA SILVA DIAS</x:v>
      </x:c>
      <x:c r="C1758" s="23" t="str">
        <x:v>jessica da silva dias</x:v>
      </x:c>
      <x:c r="D1758" s="22" t="str">
        <x:f>"26.508.429/0001-88"</x:f>
        <x:v>26.508.429/0001-88</x:v>
      </x:c>
      <x:c r="E1758" s="22" t="str">
        <x:f>"26508429000188"</x:f>
        <x:v>26508429000188</x:v>
      </x:c>
      <x:c r="F1758" s="22" t="str">
        <x:f>"049.442.031-60"</x:f>
        <x:v>049.442.031-60</x:v>
      </x:c>
      <x:c r="G1758" s="22" t="str">
        <x:f>"04944203160"</x:f>
        <x:v>04944203160</x:v>
      </x:c>
      <x:c r="H1758" s="23" t="str">
        <x:v>jeejessica911@gmail.com</x:v>
      </x:c>
      <x:c r="I1758" s="22" t="str">
        <x:f>"(67)  8140-1627"</x:f>
        <x:v>(67)  8140-1627</x:v>
      </x:c>
      <x:c r="J1758" s="23" t="str">
        <x:v>SPOT</x:v>
      </x:c>
      <x:c r="K1758" s="23" t="str">
        <x:v>favored_only</x:v>
      </x:c>
      <x:c r="L1758" s="24" t="b">
        <x:v>1</x:v>
      </x:c>
      <x:c r="M1758" s="23" t="n">
        <x:v>1</x:v>
      </x:c>
      <x:c r="N1758" s="28" t="n">
        <x:v>46205.60678582176</x:v>
      </x:c>
      <x:c r="O1758" s="28" t="n">
        <x:v>46219.812988715275</x:v>
      </x:c>
      <x:c r="P1758" s="23" t="str">
        <x:v>CHAPADÃO DO SUL</x:v>
      </x:c>
      <x:c r="Q1758" s="30" t="n">
        <x:v>34778</x:v>
      </x:c>
      <x:c r="R1758" s="22" t="str">
        <x:f>"193493"</x:f>
        <x:v>193493</x:v>
      </x:c>
      <x:c r="S1758" s="23" t="str">
        <x:v>feminino</x:v>
      </x:c>
      <x:c r="T1758" s="22" t="str">
        <x:f>"FHA2H96"</x:f>
        <x:v>FHA2H96</x:v>
      </x:c>
      <x:c r="U1758" s="23" t="str">
        <x:v>JOAO GOMES DE OLIVEIRA</x:v>
      </x:c>
      <x:c r="V1758" s="22" t="str">
        <x:f>"233.891.331-00"</x:f>
        <x:v>233.891.331-00</x:v>
      </x:c>
      <x:c r="W1758" s="22" t="str">
        <x:f>"23389133100"</x:f>
        <x:v>23389133100</x:v>
      </x:c>
      <x:c r="X1758" s="23" t="str">
        <x:v>jeejessica911@gmail.com</x:v>
      </x:c>
      <x:c r="Y1758" s="22" t="str">
        <x:f>"67 8210-7304"</x:f>
        <x:v>67 8210-7304</x:v>
      </x:c>
      <x:c r="Z1758" s="30" t="n">
        <x:v>46375</x:v>
      </x:c>
    </x:row>
    <x:row r="1759" ht="18" customHeight="1">
      <x:c r="A1759" s="22" t="str">
        <x:f>"215b2b31-ed34-4331-9660-b65c0f57eeab"</x:f>
        <x:v>215b2b31-ed34-4331-9660-b65c0f57eeab</x:v>
      </x:c>
      <x:c r="B1759" s="23" t="str">
        <x:v>JESSICA GALTER DE SOUZA</x:v>
      </x:c>
      <x:c r="C1759" s="23" t="str">
        <x:v>jessica galter de souza</x:v>
      </x:c>
      <x:c r="D1759" s="22" t="str">
        <x:f>"40.797.190/0001-34"</x:f>
        <x:v>40.797.190/0001-34</x:v>
      </x:c>
      <x:c r="E1759" s="22" t="str">
        <x:f>"40797190000134"</x:f>
        <x:v>40797190000134</x:v>
      </x:c>
      <x:c r="F1759" s="22" t="str">
        <x:f>"098.986.057-40"</x:f>
        <x:v>098.986.057-40</x:v>
      </x:c>
      <x:c r="G1759" s="22" t="str">
        <x:f>"09898605740"</x:f>
        <x:v>09898605740</x:v>
      </x:c>
      <x:c r="H1759" s="23" t="str">
        <x:v>jessicagaltersouza@gmail.com</x:v>
      </x:c>
      <x:c r="I1759" s="22" t="str">
        <x:f>"21989497626"</x:f>
        <x:v>21989497626</x:v>
      </x:c>
      <x:c r="J1759" s="23" t="str">
        <x:v>SPOT</x:v>
      </x:c>
      <x:c r="K1759" s="23" t="str">
        <x:v>favored_only</x:v>
      </x:c>
      <x:c r="L1759" s="24" t="b">
        <x:v>1</x:v>
      </x:c>
      <x:c r="M1759" s="23" t="n">
        <x:v>1</x:v>
      </x:c>
      <x:c r="N1759" s="28" t="n">
        <x:v>46219.812988715275</x:v>
      </x:c>
      <x:c r="O1759" s="28" t="n">
        <x:v>46219.812988715275</x:v>
      </x:c>
      <x:c r="P1759" s="23" t="str">
        <x:v>CAMPO GRANDE</x:v>
      </x:c>
      <x:c r="Q1759" s="30" t="n">
        <x:v>30942</x:v>
      </x:c>
      <x:c r="R1759" s="22" t="str">
        <x:f>"202553673"</x:f>
        <x:v>202553673</x:v>
      </x:c>
      <x:c r="S1759" s="23" t="str">
        <x:v>feminino</x:v>
      </x:c>
      <x:c r="T1759" s="22" t="str">
        <x:f>"RFF9C68"</x:f>
        <x:v>RFF9C68</x:v>
      </x:c>
      <x:c r="U1759" s="23" t="str">
        <x:v>JACKSON CEZAR LIMA DA SILVA</x:v>
      </x:c>
      <x:c r="V1759" s="22" t="str">
        <x:f>"099.124.477-00"</x:f>
        <x:v>099.124.477-00</x:v>
      </x:c>
      <x:c r="W1759" s="22" t="str">
        <x:f>"09912447700"</x:f>
        <x:v>09912447700</x:v>
      </x:c>
      <x:c r="X1759" s="23" t="str">
        <x:v>cezar1501@hotmail.com</x:v>
      </x:c>
      <x:c r="Y1759" s="22" t="str">
        <x:f>"21986148554"</x:f>
        <x:v>21986148554</x:v>
      </x:c>
      <x:c r="Z1759" s="30" t="n">
        <x:v>46556</x:v>
      </x:c>
    </x:row>
    <x:row r="1760" ht="18" customHeight="1">
      <x:c r="A1760" s="22" t="str">
        <x:f>"12884421-d741-4810-ad66-3229da0c9e6e"</x:f>
        <x:v>12884421-d741-4810-ad66-3229da0c9e6e</x:v>
      </x:c>
      <x:c r="B1760" s="23" t="str">
        <x:v>JESSICA JUNIA RODRIGUES GENEROSO</x:v>
      </x:c>
      <x:c r="C1760" s="23" t="str">
        <x:v>jessica junia rodrigues generoso</x:v>
      </x:c>
      <x:c r="D1760" s="22" t="str">
        <x:f>"62.334.037/0001-03"</x:f>
        <x:v>62.334.037/0001-03</x:v>
      </x:c>
      <x:c r="E1760" s="22" t="str">
        <x:f>"62334037000103"</x:f>
        <x:v>62334037000103</x:v>
      </x:c>
      <x:c r="F1760" s="22" t="str">
        <x:f>"130.668.166-99"</x:f>
        <x:v>130.668.166-99</x:v>
      </x:c>
      <x:c r="G1760" s="22" t="str">
        <x:f>"13066816699"</x:f>
        <x:v>13066816699</x:v>
      </x:c>
      <x:c r="H1760" s="23" t="str">
        <x:v>jessicajuniajjc@gmail.com</x:v>
      </x:c>
      <x:c r="I1760" s="22" t="str">
        <x:f>"3198425876"</x:f>
        <x:v>3198425876</x:v>
      </x:c>
      <x:c r="J1760" s="23" t="str">
        <x:v>SPOT</x:v>
      </x:c>
      <x:c r="K1760" s="23" t="str">
        <x:v>favored_only</x:v>
      </x:c>
      <x:c r="L1760" s="24" t="b">
        <x:v>1</x:v>
      </x:c>
      <x:c r="M1760" s="23" t="n">
        <x:v>1</x:v>
      </x:c>
      <x:c r="N1760" s="28" t="n">
        <x:v>46203.92186462963</x:v>
      </x:c>
      <x:c r="O1760" s="28" t="n">
        <x:v>46203.92186462963</x:v>
      </x:c>
      <x:c r="P1760" s="23" t="str"/>
      <x:c r="Q1760" s="30" t="str"/>
      <x:c r="R1760" s="22" t="str"/>
      <x:c r="S1760" s="23" t="str"/>
      <x:c r="T1760" s="22" t="str"/>
      <x:c r="U1760" s="23" t="str">
        <x:v>JESSICA JUNIA RODRIGUES GENEROSO</x:v>
      </x:c>
      <x:c r="V1760" s="22" t="str">
        <x:f>"130.668.166-99"</x:f>
        <x:v>130.668.166-99</x:v>
      </x:c>
      <x:c r="W1760" s="22" t="str">
        <x:f>"13066816699"</x:f>
        <x:v>13066816699</x:v>
      </x:c>
      <x:c r="X1760" s="23" t="str">
        <x:v>jessicajuniajjc@gmail.com</x:v>
      </x:c>
      <x:c r="Y1760" s="22" t="str">
        <x:f>"3198425876"</x:f>
        <x:v>3198425876</x:v>
      </x:c>
      <x:c r="Z1760" s="30" t="str"/>
    </x:row>
    <x:row r="1761" ht="18" customHeight="1">
      <x:c r="A1761" s="22" t="str">
        <x:f>"e8de3b16-fa52-4470-a93d-f469e56f2ad4"</x:f>
        <x:v>e8de3b16-fa52-4470-a93d-f469e56f2ad4</x:v>
      </x:c>
      <x:c r="B1761" s="23" t="str">
        <x:v>JESSICA MARTINS SANTOS</x:v>
      </x:c>
      <x:c r="C1761" s="23" t="str">
        <x:v>jessica martins santos</x:v>
      </x:c>
      <x:c r="D1761" s="22" t="str">
        <x:f>"53.718.772/0001-20"</x:f>
        <x:v>53.718.772/0001-20</x:v>
      </x:c>
      <x:c r="E1761" s="22" t="str">
        <x:f>"53718772000120"</x:f>
        <x:v>53718772000120</x:v>
      </x:c>
      <x:c r="F1761" s="22" t="str">
        <x:f>"117.866.606-95"</x:f>
        <x:v>117.866.606-95</x:v>
      </x:c>
      <x:c r="G1761" s="22" t="str">
        <x:f>"11786660695"</x:f>
        <x:v>11786660695</x:v>
      </x:c>
      <x:c r="H1761" s="23" t="str">
        <x:v>jessikmartins167@hotmail.com</x:v>
      </x:c>
      <x:c r="I1761" s="22" t="str">
        <x:f>"31988382029"</x:f>
        <x:v>31988382029</x:v>
      </x:c>
      <x:c r="J1761" s="23" t="str">
        <x:v>SPOT</x:v>
      </x:c>
      <x:c r="K1761" s="23" t="str">
        <x:v>favored_only</x:v>
      </x:c>
      <x:c r="L1761" s="24" t="b">
        <x:v>1</x:v>
      </x:c>
      <x:c r="M1761" s="23" t="n">
        <x:v>1</x:v>
      </x:c>
      <x:c r="N1761" s="28" t="n">
        <x:v>46203.92191240741</x:v>
      </x:c>
      <x:c r="O1761" s="28" t="n">
        <x:v>46219.812988715275</x:v>
      </x:c>
      <x:c r="P1761" s="23" t="str">
        <x:v>CONCEIÇÃO DO MATO DENTRO</x:v>
      </x:c>
      <x:c r="Q1761" s="30" t="n">
        <x:v>33973</x:v>
      </x:c>
      <x:c r="R1761" s="22" t="str">
        <x:f>"18246969"</x:f>
        <x:v>18246969</x:v>
      </x:c>
      <x:c r="S1761" s="23" t="str">
        <x:v>feminino</x:v>
      </x:c>
      <x:c r="T1761" s="22" t="str">
        <x:f>"PSD58C86"</x:f>
        <x:v>PSD58C86</x:v>
      </x:c>
      <x:c r="U1761" s="23" t="str">
        <x:v>JESSICA MARTINS SANTOS</x:v>
      </x:c>
      <x:c r="V1761" s="22" t="str">
        <x:f>"117.866.606-95"</x:f>
        <x:v>117.866.606-95</x:v>
      </x:c>
      <x:c r="W1761" s="22" t="str">
        <x:f>"11786660695"</x:f>
        <x:v>11786660695</x:v>
      </x:c>
      <x:c r="X1761" s="23" t="str">
        <x:v>jessikmartins167@hotmail.com</x:v>
      </x:c>
      <x:c r="Y1761" s="22" t="str">
        <x:f>"31988382029"</x:f>
        <x:v>31988382029</x:v>
      </x:c>
      <x:c r="Z1761" s="30" t="n">
        <x:v>46400</x:v>
      </x:c>
    </x:row>
    <x:row r="1762" ht="18" customHeight="1">
      <x:c r="A1762" s="22" t="str">
        <x:f>"c805bc20-6229-435f-9a2f-65fdddfed42b"</x:f>
        <x:v>c805bc20-6229-435f-9a2f-65fdddfed42b</x:v>
      </x:c>
      <x:c r="B1762" s="23" t="str">
        <x:v>JESSICA MELLO DA SILVA</x:v>
      </x:c>
      <x:c r="C1762" s="23" t="str">
        <x:v>jessica mello da silva</x:v>
      </x:c>
      <x:c r="D1762" s="22" t="str">
        <x:f>"43.254.040/0001-72"</x:f>
        <x:v>43.254.040/0001-72</x:v>
      </x:c>
      <x:c r="E1762" s="22" t="str">
        <x:f>"43254040000172"</x:f>
        <x:v>43254040000172</x:v>
      </x:c>
      <x:c r="F1762" s="22" t="str">
        <x:f>"108.911.286-62"</x:f>
        <x:v>108.911.286-62</x:v>
      </x:c>
      <x:c r="G1762" s="22" t="str">
        <x:f>"10891128662"</x:f>
        <x:v>10891128662</x:v>
      </x:c>
      <x:c r="H1762" s="23" t="str">
        <x:v>jessmello160420@gmail.com</x:v>
      </x:c>
      <x:c r="I1762" s="22" t="str">
        <x:f>"31992740705"</x:f>
        <x:v>31992740705</x:v>
      </x:c>
      <x:c r="J1762" s="23" t="str">
        <x:v>RENTAL</x:v>
      </x:c>
      <x:c r="K1762" s="23" t="str">
        <x:v>rental_company</x:v>
      </x:c>
      <x:c r="L1762" s="24" t="b">
        <x:v>1</x:v>
      </x:c>
      <x:c r="M1762" s="23" t="n">
        <x:v>1</x:v>
      </x:c>
      <x:c r="N1762" s="28" t="n">
        <x:v>46203.92186462963</x:v>
      </x:c>
      <x:c r="O1762" s="28" t="n">
        <x:v>46219.812988715275</x:v>
      </x:c>
      <x:c r="P1762" s="23" t="str">
        <x:v>CONTAGEM</x:v>
      </x:c>
      <x:c r="Q1762" s="30" t="n">
        <x:v>33344</x:v>
      </x:c>
      <x:c r="R1762" s="22" t="str">
        <x:f>"17205214"</x:f>
        <x:v>17205214</x:v>
      </x:c>
      <x:c r="S1762" s="23" t="str">
        <x:v>feminino</x:v>
      </x:c>
      <x:c r="T1762" s="22" t="str"/>
      <x:c r="U1762" s="23" t="str">
        <x:v>JESSICA MELLO DA SILVA</x:v>
      </x:c>
      <x:c r="V1762" s="22" t="str">
        <x:f>"108.911.286-62"</x:f>
        <x:v>108.911.286-62</x:v>
      </x:c>
      <x:c r="W1762" s="22" t="str">
        <x:f>"10891128662"</x:f>
        <x:v>10891128662</x:v>
      </x:c>
      <x:c r="X1762" s="23" t="str">
        <x:v>jessmello160420@gmail.com</x:v>
      </x:c>
      <x:c r="Y1762" s="22" t="str">
        <x:f>"31992740705"</x:f>
        <x:v>31992740705</x:v>
      </x:c>
      <x:c r="Z1762" s="30" t="n">
        <x:v>46280</x:v>
      </x:c>
    </x:row>
    <x:row r="1763" ht="18" customHeight="1">
      <x:c r="A1763" s="22" t="str">
        <x:f>"d32e3158-973f-42bd-8ae0-8f682609f66c"</x:f>
        <x:v>d32e3158-973f-42bd-8ae0-8f682609f66c</x:v>
      </x:c>
      <x:c r="B1763" s="23" t="str">
        <x:v>JESSICA OLIVEIRA PEREIRA</x:v>
      </x:c>
      <x:c r="C1763" s="23" t="str">
        <x:v>jessica oliveira pereira</x:v>
      </x:c>
      <x:c r="D1763" s="22" t="str">
        <x:f>"58.003.900/0001-72"</x:f>
        <x:v>58.003.900/0001-72</x:v>
      </x:c>
      <x:c r="E1763" s="22" t="str">
        <x:f>"58003900000172"</x:f>
        <x:v>58003900000172</x:v>
      </x:c>
      <x:c r="F1763" s="22" t="str">
        <x:f>"131.488.887-07"</x:f>
        <x:v>131.488.887-07</x:v>
      </x:c>
      <x:c r="G1763" s="22" t="str">
        <x:f>"13148888707"</x:f>
        <x:v>13148888707</x:v>
      </x:c>
      <x:c r="H1763" s="23" t="str">
        <x:v>jessicaoliveirais38@gmail.com</x:v>
      </x:c>
      <x:c r="I1763" s="22" t="str">
        <x:f>"22 997510815"</x:f>
        <x:v>22 997510815</x:v>
      </x:c>
      <x:c r="J1763" s="23" t="str">
        <x:v>SPOT</x:v>
      </x:c>
      <x:c r="K1763" s="23" t="str">
        <x:v>favored_only</x:v>
      </x:c>
      <x:c r="L1763" s="24" t="b">
        <x:v>1</x:v>
      </x:c>
      <x:c r="M1763" s="23" t="n">
        <x:v>1</x:v>
      </x:c>
      <x:c r="N1763" s="28" t="n">
        <x:v>46203.92186888889</x:v>
      </x:c>
      <x:c r="O1763" s="28" t="n">
        <x:v>46203.92186888889</x:v>
      </x:c>
      <x:c r="P1763" s="23" t="str"/>
      <x:c r="Q1763" s="30" t="str"/>
      <x:c r="R1763" s="22" t="str"/>
      <x:c r="S1763" s="23" t="str"/>
      <x:c r="T1763" s="22" t="str"/>
      <x:c r="U1763" s="23" t="str">
        <x:v>JESSICA OLIVEIRA PEREIRA</x:v>
      </x:c>
      <x:c r="V1763" s="22" t="str">
        <x:f>"131.488.887-07"</x:f>
        <x:v>131.488.887-07</x:v>
      </x:c>
      <x:c r="W1763" s="22" t="str">
        <x:f>"13148888707"</x:f>
        <x:v>13148888707</x:v>
      </x:c>
      <x:c r="X1763" s="23" t="str">
        <x:v>jessicaoliveirais38@gmail.com</x:v>
      </x:c>
      <x:c r="Y1763" s="22" t="str">
        <x:f>"22 997510815"</x:f>
        <x:v>22 997510815</x:v>
      </x:c>
      <x:c r="Z1763" s="30" t="str"/>
    </x:row>
    <x:row r="1764" ht="18" customHeight="1">
      <x:c r="A1764" s="22" t="str">
        <x:f>"1d7f3669-871e-41dd-90fc-fecb2575c6a9"</x:f>
        <x:v>1d7f3669-871e-41dd-90fc-fecb2575c6a9</x:v>
      </x:c>
      <x:c r="B1764" s="23" t="str">
        <x:v>JESSICA SOUSA SILVA</x:v>
      </x:c>
      <x:c r="C1764" s="23" t="str">
        <x:v>jessica sousa silva</x:v>
      </x:c>
      <x:c r="D1764" s="22" t="str">
        <x:f>"49.520.095/0001-63"</x:f>
        <x:v>49.520.095/0001-63</x:v>
      </x:c>
      <x:c r="E1764" s="22" t="str">
        <x:f>"49520095000163"</x:f>
        <x:v>49520095000163</x:v>
      </x:c>
      <x:c r="F1764" s="22" t="str">
        <x:f>"412.217.598-41"</x:f>
        <x:v>412.217.598-41</x:v>
      </x:c>
      <x:c r="G1764" s="22" t="str">
        <x:f>"41221759841"</x:f>
        <x:v>41221759841</x:v>
      </x:c>
      <x:c r="H1764" s="23" t="str">
        <x:v>jessica.jady23@gmail.com</x:v>
      </x:c>
      <x:c r="I1764" s="22" t="str">
        <x:f>"11 97057-4059"</x:f>
        <x:v>11 97057-4059</x:v>
      </x:c>
      <x:c r="J1764" s="23" t="str">
        <x:v>SPOT</x:v>
      </x:c>
      <x:c r="K1764" s="23" t="str">
        <x:v>favored_only</x:v>
      </x:c>
      <x:c r="L1764" s="24" t="b">
        <x:v>1</x:v>
      </x:c>
      <x:c r="M1764" s="23" t="n">
        <x:v>1</x:v>
      </x:c>
      <x:c r="N1764" s="28" t="n">
        <x:v>46203.921852962965</x:v>
      </x:c>
      <x:c r="O1764" s="28" t="n">
        <x:v>46219.812988715275</x:v>
      </x:c>
      <x:c r="P1764" s="23" t="str">
        <x:v>BARUERI</x:v>
      </x:c>
      <x:c r="Q1764" s="30" t="n">
        <x:v>33657</x:v>
      </x:c>
      <x:c r="R1764" s="22" t="str">
        <x:f>"48615160"</x:f>
        <x:v>48615160</x:v>
      </x:c>
      <x:c r="S1764" s="23" t="str">
        <x:v>feminino</x:v>
      </x:c>
      <x:c r="T1764" s="22" t="str">
        <x:f>"QNM5J51"</x:f>
        <x:v>QNM5J51</x:v>
      </x:c>
      <x:c r="U1764" s="23" t="str">
        <x:v>JESSICA SOUSA SILVA</x:v>
      </x:c>
      <x:c r="V1764" s="22" t="str">
        <x:f>"412.217.598-41"</x:f>
        <x:v>412.217.598-41</x:v>
      </x:c>
      <x:c r="W1764" s="22" t="str">
        <x:f>"41221759841"</x:f>
        <x:v>41221759841</x:v>
      </x:c>
      <x:c r="X1764" s="23" t="str">
        <x:v>jessica.jady23@gmail.com</x:v>
      </x:c>
      <x:c r="Y1764" s="22" t="str">
        <x:f>"11 97057-4059"</x:f>
        <x:v>11 97057-4059</x:v>
      </x:c>
      <x:c r="Z1764" s="30" t="n">
        <x:v>46241</x:v>
      </x:c>
    </x:row>
    <x:row r="1765" ht="18" customHeight="1">
      <x:c r="A1765" s="22" t="str">
        <x:f>"525e33b8-0bb9-4fcc-916e-d18b85b3b414"</x:f>
        <x:v>525e33b8-0bb9-4fcc-916e-d18b85b3b414</x:v>
      </x:c>
      <x:c r="B1765" s="23" t="str">
        <x:v>JESSICA VIEIRA EMIDIO DA SILVA</x:v>
      </x:c>
      <x:c r="C1765" s="23" t="str">
        <x:v>jessica vieira emidio da silva</x:v>
      </x:c>
      <x:c r="D1765" s="22" t="str">
        <x:f>"62.854.205/0001-91"</x:f>
        <x:v>62.854.205/0001-91</x:v>
      </x:c>
      <x:c r="E1765" s="22" t="str">
        <x:f>"62854205000191"</x:f>
        <x:v>62854205000191</x:v>
      </x:c>
      <x:c r="F1765" s="22" t="str">
        <x:f>"151.667.517-79"</x:f>
        <x:v>151.667.517-79</x:v>
      </x:c>
      <x:c r="G1765" s="22" t="str">
        <x:f>"15166751779"</x:f>
        <x:v>15166751779</x:v>
      </x:c>
      <x:c r="H1765" s="23" t="str">
        <x:v>Emidio207vie@hotmail.com</x:v>
      </x:c>
      <x:c r="I1765" s="22" t="str">
        <x:f>"21 97838-0146"</x:f>
        <x:v>21 97838-0146</x:v>
      </x:c>
      <x:c r="J1765" s="23" t="str">
        <x:v>SPOT</x:v>
      </x:c>
      <x:c r="K1765" s="23" t="str">
        <x:v>favored_only</x:v>
      </x:c>
      <x:c r="L1765" s="24" t="b">
        <x:v>1</x:v>
      </x:c>
      <x:c r="M1765" s="23" t="n">
        <x:v>1</x:v>
      </x:c>
      <x:c r="N1765" s="28" t="n">
        <x:v>46203.92189349537</x:v>
      </x:c>
      <x:c r="O1765" s="28" t="n">
        <x:v>46219.812988715275</x:v>
      </x:c>
      <x:c r="P1765" s="23" t="str">
        <x:v>CORDOVIL</x:v>
      </x:c>
      <x:c r="Q1765" s="30" t="n">
        <x:v>34270</x:v>
      </x:c>
      <x:c r="R1765" s="22" t="str">
        <x:f>"216960914"</x:f>
        <x:v>216960914</x:v>
      </x:c>
      <x:c r="S1765" s="23" t="str">
        <x:v>feminino</x:v>
      </x:c>
      <x:c r="T1765" s="22" t="str">
        <x:f>"RIZ1F43"</x:f>
        <x:v>RIZ1F43</x:v>
      </x:c>
      <x:c r="U1765" s="23" t="str">
        <x:v>JESSICA VIEIRA EMIDIO DA SILVA</x:v>
      </x:c>
      <x:c r="V1765" s="22" t="str">
        <x:f>"151.667.517-79"</x:f>
        <x:v>151.667.517-79</x:v>
      </x:c>
      <x:c r="W1765" s="22" t="str">
        <x:f>"15166751779"</x:f>
        <x:v>15166751779</x:v>
      </x:c>
      <x:c r="X1765" s="23" t="str">
        <x:v>Emidio207vie@hotmail.com</x:v>
      </x:c>
      <x:c r="Y1765" s="22" t="str">
        <x:f>"21 97838-0146"</x:f>
        <x:v>21 97838-0146</x:v>
      </x:c>
      <x:c r="Z1765" s="30" t="n">
        <x:v>46467</x:v>
      </x:c>
    </x:row>
    <x:row r="1766" ht="18" customHeight="1">
      <x:c r="A1766" s="22" t="str">
        <x:f>"a37f9fbf-c723-4dca-ace8-ae14bb1af9ab"</x:f>
        <x:v>a37f9fbf-c723-4dca-ace8-ae14bb1af9ab</x:v>
      </x:c>
      <x:c r="B1766" s="23" t="str">
        <x:v>JESSYCA EDUARDA DE OLIVEIRA PRIMO</x:v>
      </x:c>
      <x:c r="C1766" s="23" t="str">
        <x:v>jessyca eduarda de oliveira primo</x:v>
      </x:c>
      <x:c r="D1766" s="22" t="str">
        <x:f>"53.401.969/0001-30"</x:f>
        <x:v>53.401.969/0001-30</x:v>
      </x:c>
      <x:c r="E1766" s="22" t="str">
        <x:f>"53401969000130"</x:f>
        <x:v>53401969000130</x:v>
      </x:c>
      <x:c r="F1766" s="22" t="str">
        <x:f>"401.408.698-40"</x:f>
        <x:v>401.408.698-40</x:v>
      </x:c>
      <x:c r="G1766" s="22" t="str">
        <x:f>"40140869840"</x:f>
        <x:v>40140869840</x:v>
      </x:c>
      <x:c r="H1766" s="23" t="str">
        <x:v>jessyca_eduarda01@hotmail.com</x:v>
      </x:c>
      <x:c r="I1766" s="22" t="str">
        <x:f>"17981268378"</x:f>
        <x:v>17981268378</x:v>
      </x:c>
      <x:c r="J1766" s="23" t="str">
        <x:v>SPOT</x:v>
      </x:c>
      <x:c r="K1766" s="23" t="str">
        <x:v>favored_only</x:v>
      </x:c>
      <x:c r="L1766" s="24" t="b">
        <x:v>1</x:v>
      </x:c>
      <x:c r="M1766" s="23" t="n">
        <x:v>1</x:v>
      </x:c>
      <x:c r="N1766" s="28" t="n">
        <x:v>46219.812988715275</x:v>
      </x:c>
      <x:c r="O1766" s="28" t="n">
        <x:v>46219.812988715275</x:v>
      </x:c>
      <x:c r="P1766" s="23" t="str">
        <x:v>JALES</x:v>
      </x:c>
      <x:c r="Q1766" s="30" t="n">
        <x:v>35987</x:v>
      </x:c>
      <x:c r="R1766" s="22" t="str">
        <x:f>"39987586"</x:f>
        <x:v>39987586</x:v>
      </x:c>
      <x:c r="S1766" s="23" t="str">
        <x:v>feminino</x:v>
      </x:c>
      <x:c r="T1766" s="22" t="str">
        <x:f>"FNE2I79"</x:f>
        <x:v>FNE2I79</x:v>
      </x:c>
      <x:c r="U1766" s="23" t="str">
        <x:v>JESSYCA EDUARDA DE OLIVEIRA PRIMO</x:v>
      </x:c>
      <x:c r="V1766" s="22" t="str">
        <x:f>"401.408.698-40"</x:f>
        <x:v>401.408.698-40</x:v>
      </x:c>
      <x:c r="W1766" s="22" t="str">
        <x:f>"40140869840"</x:f>
        <x:v>40140869840</x:v>
      </x:c>
      <x:c r="X1766" s="23" t="str">
        <x:v>jessyca_eduarda01@hotmail.com</x:v>
      </x:c>
      <x:c r="Y1766" s="22" t="str">
        <x:f>"17981268378"</x:f>
        <x:v>17981268378</x:v>
      </x:c>
      <x:c r="Z1766" s="30" t="n">
        <x:v>46484</x:v>
      </x:c>
    </x:row>
    <x:row r="1767" ht="18" customHeight="1">
      <x:c r="A1767" s="22" t="str">
        <x:f>"9df52d4e-9f83-413c-8ac0-37d197dce224"</x:f>
        <x:v>9df52d4e-9f83-413c-8ac0-37d197dce224</x:v>
      </x:c>
      <x:c r="B1767" s="23" t="str">
        <x:v>JESSYKA RIGONI SANDRI</x:v>
      </x:c>
      <x:c r="C1767" s="23" t="str">
        <x:v>jessyka rigoni sandri</x:v>
      </x:c>
      <x:c r="D1767" s="22" t="str">
        <x:f>"37.004.527/0001-02"</x:f>
        <x:v>37.004.527/0001-02</x:v>
      </x:c>
      <x:c r="E1767" s="22" t="str">
        <x:f>"37004527000102"</x:f>
        <x:v>37004527000102</x:v>
      </x:c>
      <x:c r="F1767" s="22" t="str">
        <x:f>"391.956.568-12"</x:f>
        <x:v>391.956.568-12</x:v>
      </x:c>
      <x:c r="G1767" s="22" t="str">
        <x:f>"39195656812"</x:f>
        <x:v>39195656812</x:v>
      </x:c>
      <x:c r="H1767" s="23" t="str">
        <x:v>santaliniafrs@gmail.com</x:v>
      </x:c>
      <x:c r="I1767" s="22" t="str">
        <x:f>"11 968822692"</x:f>
        <x:v>11 968822692</x:v>
      </x:c>
      <x:c r="J1767" s="23" t="str">
        <x:v>SPOT</x:v>
      </x:c>
      <x:c r="K1767" s="23" t="str">
        <x:v>favored_only</x:v>
      </x:c>
      <x:c r="L1767" s="24" t="b">
        <x:v>1</x:v>
      </x:c>
      <x:c r="M1767" s="23" t="n">
        <x:v>1</x:v>
      </x:c>
      <x:c r="N1767" s="28" t="n">
        <x:v>46219.812988715275</x:v>
      </x:c>
      <x:c r="O1767" s="28" t="n">
        <x:v>46219.812988715275</x:v>
      </x:c>
      <x:c r="P1767" s="23" t="str">
        <x:v>BARUERI</x:v>
      </x:c>
      <x:c r="Q1767" s="30" t="n">
        <x:v>33320</x:v>
      </x:c>
      <x:c r="R1767" s="22" t="str">
        <x:f>"47854585"</x:f>
        <x:v>47854585</x:v>
      </x:c>
      <x:c r="S1767" s="23" t="str">
        <x:v>feminino</x:v>
      </x:c>
      <x:c r="T1767" s="22" t="str">
        <x:f>"GBR5J61"</x:f>
        <x:v>GBR5J61</x:v>
      </x:c>
      <x:c r="U1767" s="23" t="str">
        <x:v>SANTALINIA FRANCA RIGONI SANDRI</x:v>
      </x:c>
      <x:c r="V1767" s="22" t="str">
        <x:f>"288.523.538-10"</x:f>
        <x:v>288.523.538-10</x:v>
      </x:c>
      <x:c r="W1767" s="22" t="str">
        <x:f>"28852353810"</x:f>
        <x:v>28852353810</x:v>
      </x:c>
      <x:c r="X1767" s="23" t="str">
        <x:v>santaliniafrs@gmail.com</x:v>
      </x:c>
      <x:c r="Y1767" s="22" t="str">
        <x:f>"13 991574436"</x:f>
        <x:v>13 991574436</x:v>
      </x:c>
      <x:c r="Z1767" s="30" t="n">
        <x:v>46575</x:v>
      </x:c>
    </x:row>
    <x:row r="1768" ht="18" customHeight="1">
      <x:c r="A1768" s="22" t="str">
        <x:f>"47f11a27-6c8d-4a6d-9ece-146c0ecead5b"</x:f>
        <x:v>47f11a27-6c8d-4a6d-9ece-146c0ecead5b</x:v>
      </x:c>
      <x:c r="B1768" s="23" t="str">
        <x:v>JESUS JUSTINO DOS SANTOS FILHO</x:v>
      </x:c>
      <x:c r="C1768" s="23" t="str">
        <x:v>jesus justino dos santos filho</x:v>
      </x:c>
      <x:c r="D1768" s="22" t="str">
        <x:f>"33.052.393/0001-36"</x:f>
        <x:v>33.052.393/0001-36</x:v>
      </x:c>
      <x:c r="E1768" s="22" t="str">
        <x:f>"33052393000136"</x:f>
        <x:v>33052393000136</x:v>
      </x:c>
      <x:c r="F1768" s="22" t="str">
        <x:f>"218.337.218-45"</x:f>
        <x:v>218.337.218-45</x:v>
      </x:c>
      <x:c r="G1768" s="22" t="str">
        <x:f>"21833721845"</x:f>
        <x:v>21833721845</x:v>
      </x:c>
      <x:c r="H1768" s="23" t="str">
        <x:v>jesusjustinodossantosfilhodoss@gmail.com</x:v>
      </x:c>
      <x:c r="I1768" s="22" t="str">
        <x:f>"18 997576343"</x:f>
        <x:v>18 997576343</x:v>
      </x:c>
      <x:c r="J1768" s="23" t="str">
        <x:v>RENTAL</x:v>
      </x:c>
      <x:c r="K1768" s="23" t="str">
        <x:v>rental_company</x:v>
      </x:c>
      <x:c r="L1768" s="24" t="b">
        <x:v>1</x:v>
      </x:c>
      <x:c r="M1768" s="23" t="n">
        <x:v>1</x:v>
      </x:c>
      <x:c r="N1768" s="28" t="n">
        <x:v>46203.92189349537</x:v>
      </x:c>
      <x:c r="O1768" s="28" t="n">
        <x:v>46219.812988715275</x:v>
      </x:c>
      <x:c r="P1768" s="23" t="str">
        <x:v>PRESIDENTE PRUDENTE</x:v>
      </x:c>
      <x:c r="Q1768" s="30" t="n">
        <x:v>29199</x:v>
      </x:c>
      <x:c r="R1768" s="22" t="str">
        <x:f>"44660595"</x:f>
        <x:v>44660595</x:v>
      </x:c>
      <x:c r="S1768" s="23" t="str">
        <x:v>masculino</x:v>
      </x:c>
      <x:c r="T1768" s="22" t="str"/>
      <x:c r="U1768" s="23" t="str">
        <x:v>JESUS JUSTINO DOS SANTOS FILHO</x:v>
      </x:c>
      <x:c r="V1768" s="22" t="str">
        <x:f>"218.337.218-45"</x:f>
        <x:v>218.337.218-45</x:v>
      </x:c>
      <x:c r="W1768" s="22" t="str">
        <x:f>"21833721845"</x:f>
        <x:v>21833721845</x:v>
      </x:c>
      <x:c r="X1768" s="23" t="str">
        <x:v>jesusjustinodossantosfilhodoss@gmail.com</x:v>
      </x:c>
      <x:c r="Y1768" s="22" t="str">
        <x:f>"18 997576343"</x:f>
        <x:v>18 997576343</x:v>
      </x:c>
      <x:c r="Z1768" s="30" t="n">
        <x:v>46337</x:v>
      </x:c>
    </x:row>
    <x:row r="1769" ht="18" customHeight="1">
      <x:c r="A1769" s="22" t="str">
        <x:f>"24c616b9-cbdb-4cc7-b2c4-a7decdc0b566"</x:f>
        <x:v>24c616b9-cbdb-4cc7-b2c4-a7decdc0b566</x:v>
      </x:c>
      <x:c r="B1769" s="23" t="str">
        <x:v>JEUDE LOPES</x:v>
      </x:c>
      <x:c r="C1769" s="23" t="str">
        <x:v>jeude lopes</x:v>
      </x:c>
      <x:c r="D1769" s="22" t="str">
        <x:f>"26.051.322/0001-53"</x:f>
        <x:v>26.051.322/0001-53</x:v>
      </x:c>
      <x:c r="E1769" s="22" t="str">
        <x:f>"26051322000153"</x:f>
        <x:v>26051322000153</x:v>
      </x:c>
      <x:c r="F1769" s="22" t="str">
        <x:f>"092.551.126-94"</x:f>
        <x:v>092.551.126-94</x:v>
      </x:c>
      <x:c r="G1769" s="22" t="str">
        <x:f>"09255112694"</x:f>
        <x:v>09255112694</x:v>
      </x:c>
      <x:c r="H1769" s="23" t="str">
        <x:v>jeudelopes@hotmail.com</x:v>
      </x:c>
      <x:c r="I1769" s="22" t="str">
        <x:f>"35999487334"</x:f>
        <x:v>35999487334</x:v>
      </x:c>
      <x:c r="J1769" s="23" t="str">
        <x:v>RENTAL</x:v>
      </x:c>
      <x:c r="K1769" s="23" t="str">
        <x:v>rental_company</x:v>
      </x:c>
      <x:c r="L1769" s="24" t="b">
        <x:v>1</x:v>
      </x:c>
      <x:c r="M1769" s="23" t="n">
        <x:v>1</x:v>
      </x:c>
      <x:c r="N1769" s="28" t="n">
        <x:v>46203.921852962965</x:v>
      </x:c>
      <x:c r="O1769" s="28" t="n">
        <x:v>46219.812988715275</x:v>
      </x:c>
      <x:c r="P1769" s="23" t="str">
        <x:v>POUSO ALEGRE</x:v>
      </x:c>
      <x:c r="Q1769" s="30" t="n">
        <x:v>32515</x:v>
      </x:c>
      <x:c r="R1769" s="22" t="str">
        <x:f>"16235370"</x:f>
        <x:v>16235370</x:v>
      </x:c>
      <x:c r="S1769" s="23" t="str">
        <x:v>masculino</x:v>
      </x:c>
      <x:c r="T1769" s="22" t="str"/>
      <x:c r="U1769" s="23" t="str">
        <x:v>JEUDE LOPES</x:v>
      </x:c>
      <x:c r="V1769" s="22" t="str">
        <x:f>"092.551.126-94"</x:f>
        <x:v>092.551.126-94</x:v>
      </x:c>
      <x:c r="W1769" s="22" t="str">
        <x:f>"09255112694"</x:f>
        <x:v>09255112694</x:v>
      </x:c>
      <x:c r="X1769" s="23" t="str">
        <x:v>jeudelopes@hotmail.com</x:v>
      </x:c>
      <x:c r="Y1769" s="22" t="str">
        <x:f>"35999487334"</x:f>
        <x:v>35999487334</x:v>
      </x:c>
      <x:c r="Z1769" s="30" t="n">
        <x:v>46241</x:v>
      </x:c>
    </x:row>
    <x:row r="1770" ht="18" customHeight="1">
      <x:c r="A1770" s="22" t="str">
        <x:f>"92947203-19c1-4d62-9e6d-a554e1ba80aa"</x:f>
        <x:v>92947203-19c1-4d62-9e6d-a554e1ba80aa</x:v>
      </x:c>
      <x:c r="B1770" s="23" t="str">
        <x:v>JEVERSON RICARDO DE OLIVEIRA GALVAO</x:v>
      </x:c>
      <x:c r="C1770" s="23" t="str">
        <x:v>jeverson ricardo de oliveira galvao</x:v>
      </x:c>
      <x:c r="D1770" s="22" t="str">
        <x:f>"37.823.997/0001-90"</x:f>
        <x:v>37.823.997/0001-90</x:v>
      </x:c>
      <x:c r="E1770" s="22" t="str">
        <x:f>"37823997000190"</x:f>
        <x:v>37823997000190</x:v>
      </x:c>
      <x:c r="F1770" s="22" t="str">
        <x:f>"019.475.111-22"</x:f>
        <x:v>019.475.111-22</x:v>
      </x:c>
      <x:c r="G1770" s="22" t="str">
        <x:f>"01947511122"</x:f>
        <x:v>01947511122</x:v>
      </x:c>
      <x:c r="H1770" s="23" t="str">
        <x:v>ricardoliveira1910@gmail.com</x:v>
      </x:c>
      <x:c r="I1770" s="22" t="str">
        <x:f>"65 9225-9591"</x:f>
        <x:v>65 9225-9591</x:v>
      </x:c>
      <x:c r="J1770" s="23" t="str">
        <x:v>SPOT</x:v>
      </x:c>
      <x:c r="K1770" s="23" t="str">
        <x:v>favored_only</x:v>
      </x:c>
      <x:c r="L1770" s="24" t="b">
        <x:v>1</x:v>
      </x:c>
      <x:c r="M1770" s="23" t="n">
        <x:v>1</x:v>
      </x:c>
      <x:c r="N1770" s="28" t="n">
        <x:v>46205.606735416666</x:v>
      </x:c>
      <x:c r="O1770" s="28" t="n">
        <x:v>46219.812988715275</x:v>
      </x:c>
      <x:c r="P1770" s="23" t="str">
        <x:v>PONTES E LACERDA</x:v>
      </x:c>
      <x:c r="Q1770" s="30" t="n">
        <x:v>32431</x:v>
      </x:c>
      <x:c r="R1770" s="22" t="str">
        <x:f>"17993202"</x:f>
        <x:v>17993202</x:v>
      </x:c>
      <x:c r="S1770" s="23" t="str">
        <x:v>masculino</x:v>
      </x:c>
      <x:c r="T1770" s="22" t="str">
        <x:f>"NTY7C67"</x:f>
        <x:v>NTY7C67</x:v>
      </x:c>
      <x:c r="U1770" s="23" t="str">
        <x:v>DANILLO BACIEL ALMEIDA</x:v>
      </x:c>
      <x:c r="V1770" s="22" t="str">
        <x:f>"962.005.291-91"</x:f>
        <x:v>962.005.291-91</x:v>
      </x:c>
      <x:c r="W1770" s="22" t="str">
        <x:f>"96200529191"</x:f>
        <x:v>96200529191</x:v>
      </x:c>
      <x:c r="X1770" s="23" t="str">
        <x:v>rpt.cargas@gmail.com</x:v>
      </x:c>
      <x:c r="Y1770" s="22" t="str">
        <x:f>"(62) 99661-0607"</x:f>
        <x:v>(62) 99661-0607</x:v>
      </x:c>
      <x:c r="Z1770" s="30" t="n">
        <x:v>46373</x:v>
      </x:c>
    </x:row>
    <x:row r="1771" ht="18" customHeight="1">
      <x:c r="A1771" s="22" t="str">
        <x:f>"c0526ce1-b878-4967-9e1a-732c909353e5"</x:f>
        <x:v>c0526ce1-b878-4967-9e1a-732c909353e5</x:v>
      </x:c>
      <x:c r="B1771" s="23" t="str">
        <x:v>JHENIFER MONISE BENZATTI DO NASCIMENTO</x:v>
      </x:c>
      <x:c r="C1771" s="23" t="str">
        <x:v>jhenifer monise benzatti do nascimento</x:v>
      </x:c>
      <x:c r="D1771" s="22" t="str">
        <x:f>"57.162.537/0001-75"</x:f>
        <x:v>57.162.537/0001-75</x:v>
      </x:c>
      <x:c r="E1771" s="22" t="str">
        <x:f>"57162537000175"</x:f>
        <x:v>57162537000175</x:v>
      </x:c>
      <x:c r="F1771" s="22" t="str">
        <x:f>"457.540.318-07"</x:f>
        <x:v>457.540.318-07</x:v>
      </x:c>
      <x:c r="G1771" s="22" t="str">
        <x:f>"45754031807"</x:f>
        <x:v>45754031807</x:v>
      </x:c>
      <x:c r="H1771" s="23" t="str">
        <x:v>jheniferbenzatti@icloud.com</x:v>
      </x:c>
      <x:c r="I1771" s="22" t="str">
        <x:f>"17997212408"</x:f>
        <x:v>17997212408</x:v>
      </x:c>
      <x:c r="J1771" s="23" t="str">
        <x:v>SPOT</x:v>
      </x:c>
      <x:c r="K1771" s="23" t="str">
        <x:v>favored_only</x:v>
      </x:c>
      <x:c r="L1771" s="24" t="b">
        <x:v>1</x:v>
      </x:c>
      <x:c r="M1771" s="23" t="n">
        <x:v>1</x:v>
      </x:c>
      <x:c r="N1771" s="28" t="n">
        <x:v>46219.812988715275</x:v>
      </x:c>
      <x:c r="O1771" s="28" t="n">
        <x:v>46219.812988715275</x:v>
      </x:c>
      <x:c r="P1771" s="23" t="str">
        <x:v>JALES</x:v>
      </x:c>
      <x:c r="Q1771" s="30" t="n">
        <x:v>36498</x:v>
      </x:c>
      <x:c r="R1771" s="22" t="str">
        <x:f>"45359541"</x:f>
        <x:v>45359541</x:v>
      </x:c>
      <x:c r="S1771" s="23" t="str">
        <x:v>feminino</x:v>
      </x:c>
      <x:c r="T1771" s="22" t="str">
        <x:f>"FLT7063"</x:f>
        <x:v>FLT7063</x:v>
      </x:c>
      <x:c r="U1771" s="23" t="str">
        <x:v>JHENIFER MONISE BENZATTI DO NASCIMENTO</x:v>
      </x:c>
      <x:c r="V1771" s="22" t="str">
        <x:f>"457.540.318-07"</x:f>
        <x:v>457.540.318-07</x:v>
      </x:c>
      <x:c r="W1771" s="22" t="str">
        <x:f>"45754031807"</x:f>
        <x:v>45754031807</x:v>
      </x:c>
      <x:c r="X1771" s="23" t="str">
        <x:v>jheniferbenzatti@icloud.com</x:v>
      </x:c>
      <x:c r="Y1771" s="22" t="str">
        <x:f>"17997212408"</x:f>
        <x:v>17997212408</x:v>
      </x:c>
      <x:c r="Z1771" s="30" t="n">
        <x:v>46514</x:v>
      </x:c>
    </x:row>
    <x:row r="1772" ht="18" customHeight="1">
      <x:c r="A1772" s="22" t="str">
        <x:f>"8fc4e51c-2d79-4ce6-ae11-2d4787bfe91a"</x:f>
        <x:v>8fc4e51c-2d79-4ce6-ae11-2d4787bfe91a</x:v>
      </x:c>
      <x:c r="B1772" s="23" t="str">
        <x:v>JHENNEFER ESTORINO DE OLIVEIRA</x:v>
      </x:c>
      <x:c r="C1772" s="23" t="str">
        <x:v>jhennefer estorino de oliveira</x:v>
      </x:c>
      <x:c r="D1772" s="22" t="str">
        <x:f>"47.008.307/0001-00"</x:f>
        <x:v>47.008.307/0001-00</x:v>
      </x:c>
      <x:c r="E1772" s="22" t="str">
        <x:f>"47008307000100"</x:f>
        <x:v>47008307000100</x:v>
      </x:c>
      <x:c r="F1772" s="22" t="str">
        <x:f>"115.172.176-01"</x:f>
        <x:v>115.172.176-01</x:v>
      </x:c>
      <x:c r="G1772" s="22" t="str">
        <x:f>"11517217601"</x:f>
        <x:v>11517217601</x:v>
      </x:c>
      <x:c r="H1772" s="23" t="str">
        <x:v>juninho_gdb@yahoo.com.br</x:v>
      </x:c>
      <x:c r="I1772" s="22" t="str">
        <x:f>"31 988214929"</x:f>
        <x:v>31 988214929</x:v>
      </x:c>
      <x:c r="J1772" s="23" t="str">
        <x:v>SPOT</x:v>
      </x:c>
      <x:c r="K1772" s="23" t="str">
        <x:v>favored_only</x:v>
      </x:c>
      <x:c r="L1772" s="24" t="b">
        <x:v>1</x:v>
      </x:c>
      <x:c r="M1772" s="23" t="n">
        <x:v>1</x:v>
      </x:c>
      <x:c r="N1772" s="28" t="n">
        <x:v>46219.812988715275</x:v>
      </x:c>
      <x:c r="O1772" s="28" t="n">
        <x:v>46219.812988715275</x:v>
      </x:c>
      <x:c r="P1772" s="23" t="str">
        <x:v>ARAXÁ</x:v>
      </x:c>
      <x:c r="Q1772" s="30" t="n">
        <x:v>34383</x:v>
      </x:c>
      <x:c r="R1772" s="22" t="str">
        <x:f>"MG17981599"</x:f>
        <x:v>MG17981599</x:v>
      </x:c>
      <x:c r="S1772" s="23" t="str">
        <x:v>feminino</x:v>
      </x:c>
      <x:c r="T1772" s="22" t="str">
        <x:f>"OXK6I64"</x:f>
        <x:v>OXK6I64</x:v>
      </x:c>
      <x:c r="U1772" s="23" t="str">
        <x:v>MAURICIO RODRIGUES DOS SANTOS JUNIOR</x:v>
      </x:c>
      <x:c r="V1772" s="22" t="str">
        <x:f>"098.920.416-23"</x:f>
        <x:v>098.920.416-23</x:v>
      </x:c>
      <x:c r="W1772" s="22" t="str">
        <x:f>"09892041623"</x:f>
        <x:v>09892041623</x:v>
      </x:c>
      <x:c r="X1772" s="23" t="str">
        <x:v>juninho_gdb@yahoo.com.br</x:v>
      </x:c>
      <x:c r="Y1772" s="22" t="str">
        <x:f>"31 988214929"</x:f>
        <x:v>31 988214929</x:v>
      </x:c>
      <x:c r="Z1772" s="30" t="n">
        <x:v>46449</x:v>
      </x:c>
    </x:row>
    <x:row r="1773" ht="18" customHeight="1">
      <x:c r="A1773" s="22" t="str">
        <x:f>"00a163cb-87ba-4251-bec2-1510dab3ea0c"</x:f>
        <x:v>00a163cb-87ba-4251-bec2-1510dab3ea0c</x:v>
      </x:c>
      <x:c r="B1773" s="23" t="str">
        <x:v>JHONATA MARTINS DA SILVA</x:v>
      </x:c>
      <x:c r="C1773" s="23" t="str">
        <x:v>jhonata martins da silva</x:v>
      </x:c>
      <x:c r="D1773" s="22" t="str">
        <x:f>"55.395.472/0001-82"</x:f>
        <x:v>55.395.472/0001-82</x:v>
      </x:c>
      <x:c r="E1773" s="22" t="str">
        <x:f>"55395472000182"</x:f>
        <x:v>55395472000182</x:v>
      </x:c>
      <x:c r="F1773" s="22" t="str">
        <x:f>"399.119.158-08"</x:f>
        <x:v>399.119.158-08</x:v>
      </x:c>
      <x:c r="G1773" s="22" t="str">
        <x:f>"39911915808"</x:f>
        <x:v>39911915808</x:v>
      </x:c>
      <x:c r="H1773" s="23" t="str">
        <x:v>jhonataribspx@gmail.com</x:v>
      </x:c>
      <x:c r="I1773" s="22" t="str">
        <x:f>"(16) 98824-7372"</x:f>
        <x:v>(16) 98824-7372</x:v>
      </x:c>
      <x:c r="J1773" s="23" t="str">
        <x:v>RENTAL</x:v>
      </x:c>
      <x:c r="K1773" s="23" t="str">
        <x:v>rental_company</x:v>
      </x:c>
      <x:c r="L1773" s="24" t="b">
        <x:v>1</x:v>
      </x:c>
      <x:c r="M1773" s="23" t="n">
        <x:v>1</x:v>
      </x:c>
      <x:c r="N1773" s="28" t="n">
        <x:v>46219.812988715275</x:v>
      </x:c>
      <x:c r="O1773" s="28" t="n">
        <x:v>46219.812988715275</x:v>
      </x:c>
      <x:c r="P1773" s="23" t="str">
        <x:v>RIBEIRAO PRETO</x:v>
      </x:c>
      <x:c r="Q1773" s="30" t="n">
        <x:v>34343</x:v>
      </x:c>
      <x:c r="R1773" s="22" t="str">
        <x:f>"42.103.150-5"</x:f>
        <x:v>42.103.150-5</x:v>
      </x:c>
      <x:c r="S1773" s="23" t="str">
        <x:v>masculino</x:v>
      </x:c>
      <x:c r="T1773" s="22" t="str"/>
      <x:c r="U1773" s="23" t="str">
        <x:v>JHONATA MARTINS DA SILVA</x:v>
      </x:c>
      <x:c r="V1773" s="22" t="str">
        <x:f>"399.119.158-08"</x:f>
        <x:v>399.119.158-08</x:v>
      </x:c>
      <x:c r="W1773" s="22" t="str">
        <x:f>"39911915808"</x:f>
        <x:v>39911915808</x:v>
      </x:c>
      <x:c r="X1773" s="23" t="str">
        <x:v>jhonataribspx@gmail.com</x:v>
      </x:c>
      <x:c r="Y1773" s="22" t="str">
        <x:f>"(16) 98824-7372"</x:f>
        <x:v>(16) 98824-7372</x:v>
      </x:c>
      <x:c r="Z1773" s="30" t="n">
        <x:v>46528</x:v>
      </x:c>
    </x:row>
    <x:row r="1774" ht="18" customHeight="1">
      <x:c r="A1774" s="22" t="str">
        <x:f>"c8896e5e-237f-44d4-86a3-c23b78198bc0"</x:f>
        <x:v>c8896e5e-237f-44d4-86a3-c23b78198bc0</x:v>
      </x:c>
      <x:c r="B1774" s="23" t="str">
        <x:v>JHONATAN BENEDITO OLBACH SANTANA</x:v>
      </x:c>
      <x:c r="C1774" s="23" t="str">
        <x:v>jhonatan benedito olbach santana</x:v>
      </x:c>
      <x:c r="D1774" s="22" t="str">
        <x:f>"63.364.971/0001-30"</x:f>
        <x:v>63.364.971/0001-30</x:v>
      </x:c>
      <x:c r="E1774" s="22" t="str">
        <x:f>"63364971000130"</x:f>
        <x:v>63364971000130</x:v>
      </x:c>
      <x:c r="F1774" s="22" t="str">
        <x:f>"055.759.031-09"</x:f>
        <x:v>055.759.031-09</x:v>
      </x:c>
      <x:c r="G1774" s="22" t="str">
        <x:f>"05575903109"</x:f>
        <x:v>05575903109</x:v>
      </x:c>
      <x:c r="H1774" s="23" t="str">
        <x:v>jhonathanolbach007@gmail.com</x:v>
      </x:c>
      <x:c r="I1774" s="22" t="str">
        <x:f>"65999269736"</x:f>
        <x:v>65999269736</x:v>
      </x:c>
      <x:c r="J1774" s="23" t="str">
        <x:v>RENTAL</x:v>
      </x:c>
      <x:c r="K1774" s="23" t="str">
        <x:v>rental_company</x:v>
      </x:c>
      <x:c r="L1774" s="24" t="b">
        <x:v>1</x:v>
      </x:c>
      <x:c r="M1774" s="23" t="n">
        <x:v>1</x:v>
      </x:c>
      <x:c r="N1774" s="28" t="n">
        <x:v>46203.921887453704</x:v>
      </x:c>
      <x:c r="O1774" s="28" t="n">
        <x:v>46219.812988715275</x:v>
      </x:c>
      <x:c r="P1774" s="23" t="str">
        <x:v>CUIABA</x:v>
      </x:c>
      <x:c r="Q1774" s="30" t="n">
        <x:v>37225</x:v>
      </x:c>
      <x:c r="R1774" s="22" t="str">
        <x:f>"5575903109"</x:f>
        <x:v>5575903109</x:v>
      </x:c>
      <x:c r="S1774" s="23" t="str">
        <x:v>masculino</x:v>
      </x:c>
      <x:c r="T1774" s="22" t="str"/>
      <x:c r="U1774" s="23" t="str">
        <x:v>JHONATAN BENEDITO OLBACH SANTANA</x:v>
      </x:c>
      <x:c r="V1774" s="22" t="str">
        <x:f>"055.759.031-09"</x:f>
        <x:v>055.759.031-09</x:v>
      </x:c>
      <x:c r="W1774" s="22" t="str">
        <x:f>"05575903109"</x:f>
        <x:v>05575903109</x:v>
      </x:c>
      <x:c r="X1774" s="23" t="str">
        <x:v>jhonathanolbach007@gmail.com</x:v>
      </x:c>
      <x:c r="Y1774" s="22" t="str">
        <x:f>"65999269736"</x:f>
        <x:v>65999269736</x:v>
      </x:c>
      <x:c r="Z1774" s="30" t="n">
        <x:v>46325</x:v>
      </x:c>
    </x:row>
    <x:row r="1775" ht="18" customHeight="1">
      <x:c r="A1775" s="22" t="str">
        <x:f>"86898197-7846-4a31-ada1-3e87d2db3abb"</x:f>
        <x:v>86898197-7846-4a31-ada1-3e87d2db3abb</x:v>
      </x:c>
      <x:c r="B1775" s="23" t="str">
        <x:v>Jhonatan Francisco Pereira</x:v>
      </x:c>
      <x:c r="C1775" s="23" t="str">
        <x:v>jhonatan francisco pereira</x:v>
      </x:c>
      <x:c r="D1775" s="22" t="str">
        <x:f>"49899505000129"</x:f>
        <x:v>49899505000129</x:v>
      </x:c>
      <x:c r="E1775" s="22" t="str">
        <x:f>"49899505000129"</x:f>
        <x:v>49899505000129</x:v>
      </x:c>
      <x:c r="F1775" s="22" t="str">
        <x:f>"11080163670"</x:f>
        <x:v>11080163670</x:v>
      </x:c>
      <x:c r="G1775" s="22" t="str">
        <x:f>"11080163670"</x:f>
        <x:v>11080163670</x:v>
      </x:c>
      <x:c r="H1775" s="23" t="str">
        <x:v>jhonatanfranciscopereira@gmail.com</x:v>
      </x:c>
      <x:c r="I1775" s="22" t="str">
        <x:f>"31983738049"</x:f>
        <x:v>31983738049</x:v>
      </x:c>
      <x:c r="J1775" s="23" t="str">
        <x:v>SPOT</x:v>
      </x:c>
      <x:c r="K1775" s="23" t="str">
        <x:v>favored_only</x:v>
      </x:c>
      <x:c r="L1775" s="24" t="b">
        <x:v>1</x:v>
      </x:c>
      <x:c r="M1775" s="23" t="n">
        <x:v>1</x:v>
      </x:c>
      <x:c r="N1775" s="28" t="n">
        <x:v>46203.92191240741</x:v>
      </x:c>
      <x:c r="O1775" s="28" t="n">
        <x:v>46203.92191240741</x:v>
      </x:c>
      <x:c r="P1775" s="23" t="str"/>
      <x:c r="Q1775" s="30" t="str"/>
      <x:c r="R1775" s="22" t="str"/>
      <x:c r="S1775" s="23" t="str"/>
      <x:c r="T1775" s="22" t="str"/>
      <x:c r="U1775" s="23" t="str">
        <x:v>Jhonatan Francisco Pereira</x:v>
      </x:c>
      <x:c r="V1775" s="22" t="str">
        <x:f>"11080163670"</x:f>
        <x:v>11080163670</x:v>
      </x:c>
      <x:c r="W1775" s="22" t="str">
        <x:f>"11080163670"</x:f>
        <x:v>11080163670</x:v>
      </x:c>
      <x:c r="X1775" s="23" t="str">
        <x:v>jhonatanfranciscopereira@gmail.com</x:v>
      </x:c>
      <x:c r="Y1775" s="22" t="str">
        <x:f>"31983738049"</x:f>
        <x:v>31983738049</x:v>
      </x:c>
      <x:c r="Z1775" s="30" t="str"/>
    </x:row>
    <x:row r="1776" ht="18" customHeight="1">
      <x:c r="A1776" s="22" t="str">
        <x:f>"a7841a99-3bab-4120-b159-1cbc1da79e81"</x:f>
        <x:v>a7841a99-3bab-4120-b159-1cbc1da79e81</x:v>
      </x:c>
      <x:c r="B1776" s="23" t="str">
        <x:v>JHONATAN MORAIS DO NASCIMENTO</x:v>
      </x:c>
      <x:c r="C1776" s="23" t="str">
        <x:v>jhonatan morais do nascimento</x:v>
      </x:c>
      <x:c r="D1776" s="22" t="str">
        <x:f>"26.272.965/0001-27"</x:f>
        <x:v>26.272.965/0001-27</x:v>
      </x:c>
      <x:c r="E1776" s="22" t="str">
        <x:f>"26272965000127"</x:f>
        <x:v>26272965000127</x:v>
      </x:c>
      <x:c r="F1776" s="22" t="str">
        <x:f>"025.639.931-05"</x:f>
        <x:v>025.639.931-05</x:v>
      </x:c>
      <x:c r="G1776" s="22" t="str">
        <x:f>"02563993105"</x:f>
        <x:v>02563993105</x:v>
      </x:c>
      <x:c r="H1776" s="23" t="str">
        <x:v>jhonatanpalestra@gmail.com</x:v>
      </x:c>
      <x:c r="I1776" s="22" t="str">
        <x:f>"64981329798"</x:f>
        <x:v>64981329798</x:v>
      </x:c>
      <x:c r="J1776" s="23" t="str">
        <x:v>SPOT</x:v>
      </x:c>
      <x:c r="K1776" s="23" t="str">
        <x:v>favored_only</x:v>
      </x:c>
      <x:c r="L1776" s="24" t="b">
        <x:v>1</x:v>
      </x:c>
      <x:c r="M1776" s="23" t="n">
        <x:v>1</x:v>
      </x:c>
      <x:c r="N1776" s="28" t="n">
        <x:v>46219.812988715275</x:v>
      </x:c>
      <x:c r="O1776" s="28" t="n">
        <x:v>46219.812988715275</x:v>
      </x:c>
      <x:c r="P1776" s="23" t="str">
        <x:v>RIO VERDE</x:v>
      </x:c>
      <x:c r="Q1776" s="30" t="n">
        <x:v>32837</x:v>
      </x:c>
      <x:c r="R1776" s="22" t="str">
        <x:f>"5199955"</x:f>
        <x:v>5199955</x:v>
      </x:c>
      <x:c r="S1776" s="23" t="str">
        <x:v>masculino</x:v>
      </x:c>
      <x:c r="T1776" s="22" t="str">
        <x:f>"tfk2i31"</x:f>
        <x:v>tfk2i31</x:v>
      </x:c>
      <x:c r="U1776" s="23" t="str">
        <x:v>SERGIO DOS SANTOS SAMPAIO</x:v>
      </x:c>
      <x:c r="V1776" s="22" t="str">
        <x:f>"598.303.521-53"</x:f>
        <x:v>598.303.521-53</x:v>
      </x:c>
      <x:c r="W1776" s="22" t="str">
        <x:f>"59830352153"</x:f>
        <x:v>59830352153</x:v>
      </x:c>
      <x:c r="X1776" s="23" t="str">
        <x:v>sampaiohomecenter@gmail.com</x:v>
      </x:c>
      <x:c r="Y1776" s="22" t="str">
        <x:f>"64992545036"</x:f>
        <x:v>64992545036</x:v>
      </x:c>
      <x:c r="Z1776" s="30" t="n">
        <x:v>46506</x:v>
      </x:c>
    </x:row>
    <x:row r="1777" ht="18" customHeight="1">
      <x:c r="A1777" s="22" t="str">
        <x:f>"1492963e-55ef-4c40-9274-9a469dd243d2"</x:f>
        <x:v>1492963e-55ef-4c40-9274-9a469dd243d2</x:v>
      </x:c>
      <x:c r="B1777" s="23" t="str">
        <x:v>JHONATAN OLIVEIRA DA CONCEICAO</x:v>
      </x:c>
      <x:c r="C1777" s="23" t="str">
        <x:v>jhonatan oliveira da conceicao</x:v>
      </x:c>
      <x:c r="D1777" s="22" t="str">
        <x:f>"64.778.122/0001-96"</x:f>
        <x:v>64.778.122/0001-96</x:v>
      </x:c>
      <x:c r="E1777" s="22" t="str">
        <x:f>"64778122000196"</x:f>
        <x:v>64778122000196</x:v>
      </x:c>
      <x:c r="F1777" s="22" t="str">
        <x:f>"542.541.988-09"</x:f>
        <x:v>542.541.988-09</x:v>
      </x:c>
      <x:c r="G1777" s="22" t="str">
        <x:f>"54254198809"</x:f>
        <x:v>54254198809</x:v>
      </x:c>
      <x:c r="H1777" s="23" t="str">
        <x:v>jhoow0310@gmail.com</x:v>
      </x:c>
      <x:c r="I1777" s="22" t="str">
        <x:f>"11958806622"</x:f>
        <x:v>11958806622</x:v>
      </x:c>
      <x:c r="J1777" s="23" t="str">
        <x:v>RENTALS</x:v>
      </x:c>
      <x:c r="K1777" s="23" t="str">
        <x:v>rental_company</x:v>
      </x:c>
      <x:c r="L1777" s="24" t="b">
        <x:v>1</x:v>
      </x:c>
      <x:c r="M1777" s="23" t="n">
        <x:v>1</x:v>
      </x:c>
      <x:c r="N1777" s="28" t="n">
        <x:v>46219.812988715275</x:v>
      </x:c>
      <x:c r="O1777" s="28" t="n">
        <x:v>46219.812988715275</x:v>
      </x:c>
      <x:c r="P1777" s="23" t="str">
        <x:v>BARUERI</x:v>
      </x:c>
      <x:c r="Q1777" s="30" t="n">
        <x:v>37532</x:v>
      </x:c>
      <x:c r="R1777" s="22" t="str">
        <x:f>"383135278"</x:f>
        <x:v>383135278</x:v>
      </x:c>
      <x:c r="S1777" s="23" t="str">
        <x:v>masculino</x:v>
      </x:c>
      <x:c r="T1777" s="22" t="str"/>
      <x:c r="U1777" s="23" t="str">
        <x:v>JHONATAN OLIVEIRA DA CONCEICAO</x:v>
      </x:c>
      <x:c r="V1777" s="22" t="str">
        <x:f>"542.541.988-09"</x:f>
        <x:v>542.541.988-09</x:v>
      </x:c>
      <x:c r="W1777" s="22" t="str">
        <x:f>"54254198809"</x:f>
        <x:v>54254198809</x:v>
      </x:c>
      <x:c r="X1777" s="23" t="str">
        <x:v>jhoow0310@gmail.com</x:v>
      </x:c>
      <x:c r="Y1777" s="22" t="str">
        <x:f>"11958806622"</x:f>
        <x:v>11958806622</x:v>
      </x:c>
      <x:c r="Z1777" s="30" t="n">
        <x:v>46417</x:v>
      </x:c>
    </x:row>
    <x:row r="1778" ht="18" customHeight="1">
      <x:c r="A1778" s="22" t="str">
        <x:f>"4a1c12f4-3daf-4e73-b98c-09bb30e357d9"</x:f>
        <x:v>4a1c12f4-3daf-4e73-b98c-09bb30e357d9</x:v>
      </x:c>
      <x:c r="B1778" s="23" t="str">
        <x:v>JHONATAS PALMER DE ANDRADES</x:v>
      </x:c>
      <x:c r="C1778" s="23" t="str">
        <x:v>jhonatas palmer de andrades</x:v>
      </x:c>
      <x:c r="D1778" s="22" t="str">
        <x:f>"62.496.464/0001-98"</x:f>
        <x:v>62.496.464/0001-98</x:v>
      </x:c>
      <x:c r="E1778" s="22" t="str">
        <x:f>"62496464000198"</x:f>
        <x:v>62496464000198</x:v>
      </x:c>
      <x:c r="F1778" s="22" t="str">
        <x:f>"410.944.858-10"</x:f>
        <x:v>410.944.858-10</x:v>
      </x:c>
      <x:c r="G1778" s="22" t="str">
        <x:f>"41094485810"</x:f>
        <x:v>41094485810</x:v>
      </x:c>
      <x:c r="H1778" s="23" t="str">
        <x:v>jhonataspalmer944@gmail.com</x:v>
      </x:c>
      <x:c r="I1778" s="22" t="str">
        <x:f>"35910021907"</x:f>
        <x:v>35910021907</x:v>
      </x:c>
      <x:c r="J1778" s="23" t="str">
        <x:v>SPOT</x:v>
      </x:c>
      <x:c r="K1778" s="23" t="str">
        <x:v>favored_only</x:v>
      </x:c>
      <x:c r="L1778" s="24" t="b">
        <x:v>1</x:v>
      </x:c>
      <x:c r="M1778" s="23" t="n">
        <x:v>1</x:v>
      </x:c>
      <x:c r="N1778" s="28" t="n">
        <x:v>46203.92186462963</x:v>
      </x:c>
      <x:c r="O1778" s="28" t="n">
        <x:v>46219.812988715275</x:v>
      </x:c>
      <x:c r="P1778" s="23" t="str">
        <x:v>POUSO ALEGRE</x:v>
      </x:c>
      <x:c r="Q1778" s="30" t="n">
        <x:v>33883</x:v>
      </x:c>
      <x:c r="R1778" s="22" t="str">
        <x:f>"37823032"</x:f>
        <x:v>37823032</x:v>
      </x:c>
      <x:c r="S1778" s="23" t="str">
        <x:v>masculino</x:v>
      </x:c>
      <x:c r="T1778" s="22" t="str"/>
      <x:c r="U1778" s="23" t="str">
        <x:v>JHONATAS PALMER DE ANDRADES</x:v>
      </x:c>
      <x:c r="V1778" s="22" t="str">
        <x:f>"410.944.858-10"</x:f>
        <x:v>410.944.858-10</x:v>
      </x:c>
      <x:c r="W1778" s="22" t="str">
        <x:f>"41094485810"</x:f>
        <x:v>41094485810</x:v>
      </x:c>
      <x:c r="X1778" s="23" t="str">
        <x:v>jhonataspalmer944@gmail.com</x:v>
      </x:c>
      <x:c r="Y1778" s="22" t="str">
        <x:f>"35910021907"</x:f>
        <x:v>35910021907</x:v>
      </x:c>
      <x:c r="Z1778" s="30" t="n">
        <x:v>46277</x:v>
      </x:c>
    </x:row>
    <x:row r="1779" ht="18" customHeight="1">
      <x:c r="A1779" s="22" t="str">
        <x:f>"c1f41aec-bd59-4002-acd9-5db879629402"</x:f>
        <x:v>c1f41aec-bd59-4002-acd9-5db879629402</x:v>
      </x:c>
      <x:c r="B1779" s="23" t="str">
        <x:v>JHONATHAN PEREIRA VIERA</x:v>
      </x:c>
      <x:c r="C1779" s="23" t="str">
        <x:v>jhonathan pereira viera</x:v>
      </x:c>
      <x:c r="D1779" s="22" t="str">
        <x:f>"55.793.642/0001-87"</x:f>
        <x:v>55.793.642/0001-87</x:v>
      </x:c>
      <x:c r="E1779" s="22" t="str">
        <x:f>"55793642000187"</x:f>
        <x:v>55793642000187</x:v>
      </x:c>
      <x:c r="F1779" s="22" t="str">
        <x:f>"044.979.831-37"</x:f>
        <x:v>044.979.831-37</x:v>
      </x:c>
      <x:c r="G1779" s="22" t="str">
        <x:f>"04497983137"</x:f>
        <x:v>04497983137</x:v>
      </x:c>
      <x:c r="H1779" s="23" t="str">
        <x:v>jhonathanpviera@gmail.com</x:v>
      </x:c>
      <x:c r="I1779" s="22" t="str">
        <x:f>"65992006452"</x:f>
        <x:v>65992006452</x:v>
      </x:c>
      <x:c r="J1779" s="23" t="str">
        <x:v>RENTAL</x:v>
      </x:c>
      <x:c r="K1779" s="23" t="str">
        <x:v>rental_company</x:v>
      </x:c>
      <x:c r="L1779" s="24" t="b">
        <x:v>1</x:v>
      </x:c>
      <x:c r="M1779" s="23" t="n">
        <x:v>1</x:v>
      </x:c>
      <x:c r="N1779" s="28" t="n">
        <x:v>46219.812988715275</x:v>
      </x:c>
      <x:c r="O1779" s="28" t="n">
        <x:v>46219.812988715275</x:v>
      </x:c>
      <x:c r="P1779" s="23" t="str">
        <x:v>CUIABA</x:v>
      </x:c>
      <x:c r="Q1779" s="30" t="n">
        <x:v>34641</x:v>
      </x:c>
      <x:c r="R1779" s="22" t="str">
        <x:f>"2119710-5"</x:f>
        <x:v>2119710-5</x:v>
      </x:c>
      <x:c r="S1779" s="23" t="str">
        <x:v>masculino</x:v>
      </x:c>
      <x:c r="T1779" s="22" t="str"/>
      <x:c r="U1779" s="23" t="str">
        <x:v>JHONATHAN PEREIRA VIERA</x:v>
      </x:c>
      <x:c r="V1779" s="22" t="str">
        <x:f>"044.979.831-37"</x:f>
        <x:v>044.979.831-37</x:v>
      </x:c>
      <x:c r="W1779" s="22" t="str">
        <x:f>"04497983137"</x:f>
        <x:v>04497983137</x:v>
      </x:c>
      <x:c r="X1779" s="23" t="str">
        <x:v>jhonathanpviera@gmail.com</x:v>
      </x:c>
      <x:c r="Y1779" s="22" t="str">
        <x:f>"65992006452"</x:f>
        <x:v>65992006452</x:v>
      </x:c>
      <x:c r="Z1779" s="30" t="n">
        <x:v>46539</x:v>
      </x:c>
    </x:row>
    <x:row r="1780" ht="18" customHeight="1">
      <x:c r="A1780" s="22" t="str">
        <x:f>"4fa5525e-f693-405a-8222-e0dbd262e8eb"</x:f>
        <x:v>4fa5525e-f693-405a-8222-e0dbd262e8eb</x:v>
      </x:c>
      <x:c r="B1780" s="23" t="str">
        <x:v>JHON CLEY COSTA LOPES</x:v>
      </x:c>
      <x:c r="C1780" s="23" t="str">
        <x:v>jhon cley costa lopes</x:v>
      </x:c>
      <x:c r="D1780" s="22" t="str">
        <x:f>"65.210.344/0001-70"</x:f>
        <x:v>65.210.344/0001-70</x:v>
      </x:c>
      <x:c r="E1780" s="22" t="str">
        <x:f>"65210344000170"</x:f>
        <x:v>65210344000170</x:v>
      </x:c>
      <x:c r="F1780" s="22" t="str">
        <x:f>"044.617.441-67"</x:f>
        <x:v>044.617.441-67</x:v>
      </x:c>
      <x:c r="G1780" s="22" t="str">
        <x:f>"04461744167"</x:f>
        <x:v>04461744167</x:v>
      </x:c>
      <x:c r="H1780" s="23" t="str">
        <x:v>jhoncley091@gmail.com</x:v>
      </x:c>
      <x:c r="I1780" s="22" t="str">
        <x:f>"65984699038"</x:f>
        <x:v>65984699038</x:v>
      </x:c>
      <x:c r="J1780" s="23" t="str">
        <x:v>SPOT</x:v>
      </x:c>
      <x:c r="K1780" s="23" t="str">
        <x:v>favored_only</x:v>
      </x:c>
      <x:c r="L1780" s="24" t="b">
        <x:v>1</x:v>
      </x:c>
      <x:c r="M1780" s="23" t="n">
        <x:v>1</x:v>
      </x:c>
      <x:c r="N1780" s="28" t="n">
        <x:v>46219.812988715275</x:v>
      </x:c>
      <x:c r="O1780" s="28" t="n">
        <x:v>46219.812988715275</x:v>
      </x:c>
      <x:c r="P1780" s="23" t="str">
        <x:v>CUIABA</x:v>
      </x:c>
      <x:c r="Q1780" s="30" t="n">
        <x:v>33511</x:v>
      </x:c>
      <x:c r="R1780" s="22" t="str">
        <x:f>"20648944"</x:f>
        <x:v>20648944</x:v>
      </x:c>
      <x:c r="S1780" s="23" t="str">
        <x:v>masculino</x:v>
      </x:c>
      <x:c r="T1780" s="22" t="str">
        <x:f>"QBQ9E73"</x:f>
        <x:v>QBQ9E73</x:v>
      </x:c>
      <x:c r="U1780" s="23" t="str">
        <x:v>JHON CLEY COSTA LOPES</x:v>
      </x:c>
      <x:c r="V1780" s="22" t="str">
        <x:f>"044.617.441-67"</x:f>
        <x:v>044.617.441-67</x:v>
      </x:c>
      <x:c r="W1780" s="22" t="str">
        <x:f>"04461744167"</x:f>
        <x:v>04461744167</x:v>
      </x:c>
      <x:c r="X1780" s="23" t="str">
        <x:v>jhoncley091@gmail.com</x:v>
      </x:c>
      <x:c r="Y1780" s="22" t="str">
        <x:f>"65984699038"</x:f>
        <x:v>65984699038</x:v>
      </x:c>
      <x:c r="Z1780" s="30" t="n">
        <x:v>46448</x:v>
      </x:c>
    </x:row>
    <x:row r="1781" ht="18" customHeight="1">
      <x:c r="A1781" s="22" t="str">
        <x:f>"ade8d6fa-bba1-476b-970a-8053b262425b"</x:f>
        <x:v>ade8d6fa-bba1-476b-970a-8053b262425b</x:v>
      </x:c>
      <x:c r="B1781" s="23" t="str">
        <x:v>JHONE LOURENCO DA SILVA</x:v>
      </x:c>
      <x:c r="C1781" s="23" t="str">
        <x:v>jhone lourenco da silva</x:v>
      </x:c>
      <x:c r="D1781" s="22" t="str">
        <x:f>"56.283.464/0001-07"</x:f>
        <x:v>56.283.464/0001-07</x:v>
      </x:c>
      <x:c r="E1781" s="22" t="str">
        <x:f>"56283464000107"</x:f>
        <x:v>56283464000107</x:v>
      </x:c>
      <x:c r="F1781" s="22" t="str">
        <x:f>"463.079.148-58"</x:f>
        <x:v>463.079.148-58</x:v>
      </x:c>
      <x:c r="G1781" s="22" t="str">
        <x:f>"46307914858"</x:f>
        <x:v>46307914858</x:v>
      </x:c>
      <x:c r="H1781" s="23" t="str">
        <x:v>jhonesilvabr@gmail.com</x:v>
      </x:c>
      <x:c r="I1781" s="22" t="str">
        <x:f>"11976873425"</x:f>
        <x:v>11976873425</x:v>
      </x:c>
      <x:c r="J1781" s="23" t="str">
        <x:v>RENTAL</x:v>
      </x:c>
      <x:c r="K1781" s="23" t="str">
        <x:v>rental_company</x:v>
      </x:c>
      <x:c r="L1781" s="24" t="b">
        <x:v>1</x:v>
      </x:c>
      <x:c r="M1781" s="23" t="n">
        <x:v>1</x:v>
      </x:c>
      <x:c r="N1781" s="28" t="n">
        <x:v>46219.812988715275</x:v>
      </x:c>
      <x:c r="O1781" s="28" t="n">
        <x:v>46219.812988715275</x:v>
      </x:c>
      <x:c r="P1781" s="23" t="str">
        <x:v>BARUERI</x:v>
      </x:c>
      <x:c r="Q1781" s="30" t="n">
        <x:v>37304</x:v>
      </x:c>
      <x:c r="R1781" s="22" t="str">
        <x:f>"556817655"</x:f>
        <x:v>556817655</x:v>
      </x:c>
      <x:c r="S1781" s="23" t="str">
        <x:v>masculino</x:v>
      </x:c>
      <x:c r="T1781" s="22" t="str"/>
      <x:c r="U1781" s="23" t="str">
        <x:v>JHONE LOURENCO DA SILVA</x:v>
      </x:c>
      <x:c r="V1781" s="22" t="str">
        <x:f>"463.079.148-58"</x:f>
        <x:v>463.079.148-58</x:v>
      </x:c>
      <x:c r="W1781" s="22" t="str">
        <x:f>"46307914858"</x:f>
        <x:v>46307914858</x:v>
      </x:c>
      <x:c r="X1781" s="23" t="str">
        <x:v>jhonesilvabr@gmail.com</x:v>
      </x:c>
      <x:c r="Y1781" s="22" t="str">
        <x:f>"11976873425"</x:f>
        <x:v>11976873425</x:v>
      </x:c>
      <x:c r="Z1781" s="30" t="n">
        <x:v>46553</x:v>
      </x:c>
    </x:row>
    <x:row r="1782" ht="18" customHeight="1">
      <x:c r="A1782" s="22" t="str">
        <x:f>"16ec77d4-d365-453f-ac2a-f218f62435b6"</x:f>
        <x:v>16ec77d4-d365-453f-ac2a-f218f62435b6</x:v>
      </x:c>
      <x:c r="B1782" s="23" t="str">
        <x:v>JHON ELVIS PAES BARBOSA</x:v>
      </x:c>
      <x:c r="C1782" s="23" t="str">
        <x:v>jhon elvis paes barbosa</x:v>
      </x:c>
      <x:c r="D1782" s="22" t="str">
        <x:f>"66.225.227/0001-43"</x:f>
        <x:v>66.225.227/0001-43</x:v>
      </x:c>
      <x:c r="E1782" s="22" t="str">
        <x:f>"66225227000143"</x:f>
        <x:v>66225227000143</x:v>
      </x:c>
      <x:c r="F1782" s="22" t="str">
        <x:f>"006.082.412-37"</x:f>
        <x:v>006.082.412-37</x:v>
      </x:c>
      <x:c r="G1782" s="22" t="str">
        <x:f>"00608241237"</x:f>
        <x:v>00608241237</x:v>
      </x:c>
      <x:c r="H1782" s="23" t="str">
        <x:v>jhonelvispaesbarbosa@gmail.com</x:v>
      </x:c>
      <x:c r="I1782" s="22" t="str">
        <x:f>"(31)98235-9444"</x:f>
        <x:v>(31)98235-9444</x:v>
      </x:c>
      <x:c r="J1782" s="23" t="str">
        <x:v>SPOT</x:v>
      </x:c>
      <x:c r="K1782" s="23" t="str">
        <x:v>favored_only</x:v>
      </x:c>
      <x:c r="L1782" s="24" t="b">
        <x:v>1</x:v>
      </x:c>
      <x:c r="M1782" s="23" t="n">
        <x:v>1</x:v>
      </x:c>
      <x:c r="N1782" s="28" t="n">
        <x:v>46219.812988715275</x:v>
      </x:c>
      <x:c r="O1782" s="28" t="n">
        <x:v>46219.812988715275</x:v>
      </x:c>
      <x:c r="P1782" s="23" t="str">
        <x:v>CONCEIÇÃO DO MATO DENTRO</x:v>
      </x:c>
      <x:c r="Q1782" s="30" t="n">
        <x:v>32602</x:v>
      </x:c>
      <x:c r="R1782" s="22" t="str">
        <x:f>"6369267"</x:f>
        <x:v>6369267</x:v>
      </x:c>
      <x:c r="S1782" s="23" t="str">
        <x:v>masculino</x:v>
      </x:c>
      <x:c r="T1782" s="22" t="str">
        <x:f>"HHG1F53"</x:f>
        <x:v>HHG1F53</x:v>
      </x:c>
      <x:c r="U1782" s="23" t="str">
        <x:v>JHON ELVIS PAES BARBOSA</x:v>
      </x:c>
      <x:c r="V1782" s="22" t="str">
        <x:f>"006.082.412-37"</x:f>
        <x:v>006.082.412-37</x:v>
      </x:c>
      <x:c r="W1782" s="22" t="str">
        <x:f>"00608241237"</x:f>
        <x:v>00608241237</x:v>
      </x:c>
      <x:c r="X1782" s="23" t="str">
        <x:v>jhonelvispaesbarbosa@gmail.com</x:v>
      </x:c>
      <x:c r="Y1782" s="22" t="str">
        <x:f>"(31)98235-9444"</x:f>
        <x:v>(31)98235-9444</x:v>
      </x:c>
      <x:c r="Z1782" s="30" t="n">
        <x:v>46497</x:v>
      </x:c>
    </x:row>
    <x:row r="1783" ht="18" customHeight="1">
      <x:c r="A1783" s="22" t="str">
        <x:f>"a1ea67d7-049b-47ab-8e83-a7ca03cafed0"</x:f>
        <x:v>a1ea67d7-049b-47ab-8e83-a7ca03cafed0</x:v>
      </x:c>
      <x:c r="B1783" s="23" t="str">
        <x:v>JHONES RIBEIRO DA SILVA</x:v>
      </x:c>
      <x:c r="C1783" s="23" t="str">
        <x:v>jhones ribeiro da silva</x:v>
      </x:c>
      <x:c r="D1783" s="22" t="str">
        <x:f>"37.565.567/0001-15"</x:f>
        <x:v>37.565.567/0001-15</x:v>
      </x:c>
      <x:c r="E1783" s="22" t="str">
        <x:f>"37565567000115"</x:f>
        <x:v>37565567000115</x:v>
      </x:c>
      <x:c r="F1783" s="22" t="str">
        <x:f>"496.091.358-46"</x:f>
        <x:v>496.091.358-46</x:v>
      </x:c>
      <x:c r="G1783" s="22" t="str">
        <x:f>"49609135846"</x:f>
        <x:v>49609135846</x:v>
      </x:c>
      <x:c r="H1783" s="23" t="str">
        <x:v>ribeirojhones3@gmail.com</x:v>
      </x:c>
      <x:c r="I1783" s="22" t="str">
        <x:f>"16981493485"</x:f>
        <x:v>16981493485</x:v>
      </x:c>
      <x:c r="J1783" s="23" t="str">
        <x:v>RENTAL</x:v>
      </x:c>
      <x:c r="K1783" s="23" t="str">
        <x:v>rental_company</x:v>
      </x:c>
      <x:c r="L1783" s="24" t="b">
        <x:v>1</x:v>
      </x:c>
      <x:c r="M1783" s="23" t="n">
        <x:v>1</x:v>
      </x:c>
      <x:c r="N1783" s="28" t="n">
        <x:v>46203.92183332176</x:v>
      </x:c>
      <x:c r="O1783" s="28" t="n">
        <x:v>46219.812988715275</x:v>
      </x:c>
      <x:c r="P1783" s="23" t="str">
        <x:v>SÃO CARLOS</x:v>
      </x:c>
      <x:c r="Q1783" s="30" t="n">
        <x:v>37294</x:v>
      </x:c>
      <x:c r="R1783" s="22" t="str">
        <x:f>"552024338"</x:f>
        <x:v>552024338</x:v>
      </x:c>
      <x:c r="S1783" s="23" t="str">
        <x:v>masculino</x:v>
      </x:c>
      <x:c r="T1783" s="22" t="str"/>
      <x:c r="U1783" s="23" t="str">
        <x:v>JHONES RIBEIRO DA SILVA</x:v>
      </x:c>
      <x:c r="V1783" s="22" t="str">
        <x:f>"496.091.358-46"</x:f>
        <x:v>496.091.358-46</x:v>
      </x:c>
      <x:c r="W1783" s="22" t="str">
        <x:f>"49609135846"</x:f>
        <x:v>49609135846</x:v>
      </x:c>
      <x:c r="X1783" s="23" t="str">
        <x:v>ribeirojhones3@gmail.com</x:v>
      </x:c>
      <x:c r="Y1783" s="22" t="str">
        <x:f>"16981493485"</x:f>
        <x:v>16981493485</x:v>
      </x:c>
      <x:c r="Z1783" s="30" t="n">
        <x:v>46518</x:v>
      </x:c>
    </x:row>
    <x:row r="1784" ht="18" customHeight="1">
      <x:c r="A1784" s="22" t="str">
        <x:f>"1b9ecece-0726-4507-aab4-19e9b2d3375d"</x:f>
        <x:v>1b9ecece-0726-4507-aab4-19e9b2d3375d</x:v>
      </x:c>
      <x:c r="B1784" s="23" t="str">
        <x:v>JIRLANE RIBEIRO DA SILVA</x:v>
      </x:c>
      <x:c r="C1784" s="23" t="str">
        <x:v>jirlane ribeiro da silva</x:v>
      </x:c>
      <x:c r="D1784" s="22" t="str">
        <x:f>"42.921.453/0001-09"</x:f>
        <x:v>42.921.453/0001-09</x:v>
      </x:c>
      <x:c r="E1784" s="22" t="str">
        <x:f>"42921453000109"</x:f>
        <x:v>42921453000109</x:v>
      </x:c>
      <x:c r="F1784" s="22" t="str">
        <x:f>"097.543.137-41"</x:f>
        <x:v>097.543.137-41</x:v>
      </x:c>
      <x:c r="G1784" s="22" t="str">
        <x:f>"09754313741"</x:f>
        <x:v>09754313741</x:v>
      </x:c>
      <x:c r="H1784" s="23" t="str">
        <x:v>jirlaneribeirodasilva@gmail.com</x:v>
      </x:c>
      <x:c r="I1784" s="22" t="str">
        <x:f>"22997070721"</x:f>
        <x:v>22997070721</x:v>
      </x:c>
      <x:c r="J1784" s="23" t="str">
        <x:v>SPOT</x:v>
      </x:c>
      <x:c r="K1784" s="23" t="str">
        <x:v>favored_only</x:v>
      </x:c>
      <x:c r="L1784" s="24" t="b">
        <x:v>1</x:v>
      </x:c>
      <x:c r="M1784" s="23" t="n">
        <x:v>1</x:v>
      </x:c>
      <x:c r="N1784" s="28" t="n">
        <x:v>46205.604553564815</x:v>
      </x:c>
      <x:c r="O1784" s="28" t="n">
        <x:v>46219.812988715275</x:v>
      </x:c>
      <x:c r="P1784" s="23" t="str">
        <x:v>CAMPOS DOS GOYTACAZES</x:v>
      </x:c>
      <x:c r="Q1784" s="30" t="n">
        <x:v>30268</x:v>
      </x:c>
      <x:c r="R1784" s="22" t="str">
        <x:f>"132042409"</x:f>
        <x:v>132042409</x:v>
      </x:c>
      <x:c r="S1784" s="23" t="str">
        <x:v>masculino</x:v>
      </x:c>
      <x:c r="T1784" s="22" t="str">
        <x:f>"KVP6304"</x:f>
        <x:v>KVP6304</x:v>
      </x:c>
      <x:c r="U1784" s="23" t="str">
        <x:v>SIDINEI NASCIMENTO DA SILVA</x:v>
      </x:c>
      <x:c r="V1784" s="22" t="str">
        <x:f>"057.062.657-98"</x:f>
        <x:v>057.062.657-98</x:v>
      </x:c>
      <x:c r="W1784" s="22" t="str">
        <x:f>"05706265798"</x:f>
        <x:v>05706265798</x:v>
      </x:c>
      <x:c r="X1784" s="23" t="str">
        <x:v>sidineinascimento858@gmail.com</x:v>
      </x:c>
      <x:c r="Y1784" s="22" t="str">
        <x:f>"22996151453"</x:f>
        <x:v>22996151453</x:v>
      </x:c>
      <x:c r="Z1784" s="30" t="n">
        <x:v>46282</x:v>
      </x:c>
    </x:row>
    <x:row r="1785" ht="18" customHeight="1">
      <x:c r="A1785" s="22" t="str">
        <x:f>"0e0256f1-2aab-4990-a963-832d82318338"</x:f>
        <x:v>0e0256f1-2aab-4990-a963-832d82318338</x:v>
      </x:c>
      <x:c r="B1785" s="23" t="str">
        <x:v>JOABE RAMOS VITORIO DA SILVA</x:v>
      </x:c>
      <x:c r="C1785" s="23" t="str">
        <x:v>joabe ramos vitorio da silva</x:v>
      </x:c>
      <x:c r="D1785" s="22" t="str">
        <x:f>"40.006.022/0001-83"</x:f>
        <x:v>40.006.022/0001-83</x:v>
      </x:c>
      <x:c r="E1785" s="22" t="str">
        <x:f>"40006022000183"</x:f>
        <x:v>40006022000183</x:v>
      </x:c>
      <x:c r="F1785" s="22" t="str">
        <x:f>"433.905.898-05"</x:f>
        <x:v>433.905.898-05</x:v>
      </x:c>
      <x:c r="G1785" s="22" t="str">
        <x:f>"43390589805"</x:f>
        <x:v>43390589805</x:v>
      </x:c>
      <x:c r="H1785" s="23" t="str">
        <x:v>ramosdasilva.joabe@gmail.com</x:v>
      </x:c>
      <x:c r="I1785" s="22" t="str">
        <x:f>"11972971816"</x:f>
        <x:v>11972971816</x:v>
      </x:c>
      <x:c r="J1785" s="23" t="str">
        <x:v>SPOT</x:v>
      </x:c>
      <x:c r="K1785" s="23" t="str">
        <x:v>favored_only</x:v>
      </x:c>
      <x:c r="L1785" s="24" t="b">
        <x:v>1</x:v>
      </x:c>
      <x:c r="M1785" s="23" t="n">
        <x:v>1</x:v>
      </x:c>
      <x:c r="N1785" s="28" t="n">
        <x:v>46203.92186888889</x:v>
      </x:c>
      <x:c r="O1785" s="28" t="n">
        <x:v>46219.812988715275</x:v>
      </x:c>
      <x:c r="P1785" s="23" t="str">
        <x:v>BARUERI</x:v>
      </x:c>
      <x:c r="Q1785" s="30" t="n">
        <x:v>34866</x:v>
      </x:c>
      <x:c r="R1785" s="22" t="str">
        <x:f>"44854166"</x:f>
        <x:v>44854166</x:v>
      </x:c>
      <x:c r="S1785" s="23" t="str">
        <x:v>masculino</x:v>
      </x:c>
      <x:c r="T1785" s="22" t="str">
        <x:f>"SHR1I16"</x:f>
        <x:v>SHR1I16</x:v>
      </x:c>
      <x:c r="U1785" s="23" t="str">
        <x:v>JOABE RAMOS VITORIO DA SILVA</x:v>
      </x:c>
      <x:c r="V1785" s="22" t="str">
        <x:f>"433.905.898-05"</x:f>
        <x:v>433.905.898-05</x:v>
      </x:c>
      <x:c r="W1785" s="22" t="str">
        <x:f>"43390589805"</x:f>
        <x:v>43390589805</x:v>
      </x:c>
      <x:c r="X1785" s="23" t="str">
        <x:v>ramosdasilva.joabe@gmail.com</x:v>
      </x:c>
      <x:c r="Y1785" s="22" t="str">
        <x:f>"11972971816"</x:f>
        <x:v>11972971816</x:v>
      </x:c>
      <x:c r="Z1785" s="30" t="n">
        <x:v>46297</x:v>
      </x:c>
    </x:row>
    <x:row r="1786" ht="18" customHeight="1">
      <x:c r="A1786" s="22" t="str">
        <x:f>"89cbc754-9259-4e91-8fc0-84f560f4f177"</x:f>
        <x:v>89cbc754-9259-4e91-8fc0-84f560f4f177</x:v>
      </x:c>
      <x:c r="B1786" s="23" t="str">
        <x:v>JOANA VANESSA SILVA OLIVEIRA</x:v>
      </x:c>
      <x:c r="C1786" s="23" t="str">
        <x:v>joana vanessa silva oliveira</x:v>
      </x:c>
      <x:c r="D1786" s="22" t="str">
        <x:f>"46.837.677/0001-80"</x:f>
        <x:v>46.837.677/0001-80</x:v>
      </x:c>
      <x:c r="E1786" s="22" t="str">
        <x:f>"46837677000180"</x:f>
        <x:v>46837677000180</x:v>
      </x:c>
      <x:c r="F1786" s="22" t="str">
        <x:f>"054.051.703-80"</x:f>
        <x:v>054.051.703-80</x:v>
      </x:c>
      <x:c r="G1786" s="22" t="str">
        <x:f>"05405170380"</x:f>
        <x:v>05405170380</x:v>
      </x:c>
      <x:c r="H1786" s="23" t="str">
        <x:v>Joanavsoliveiraa@gmail.com</x:v>
      </x:c>
      <x:c r="I1786" s="22" t="str">
        <x:f>"+55 98 8570-5576"</x:f>
        <x:v>+55 98 8570-5576</x:v>
      </x:c>
      <x:c r="J1786" s="23" t="str">
        <x:v>SPOT</x:v>
      </x:c>
      <x:c r="K1786" s="23" t="str">
        <x:v>favored_only</x:v>
      </x:c>
      <x:c r="L1786" s="24" t="b">
        <x:v>1</x:v>
      </x:c>
      <x:c r="M1786" s="23" t="n">
        <x:v>3</x:v>
      </x:c>
      <x:c r="N1786" s="28" t="n">
        <x:v>46203.921858726855</x:v>
      </x:c>
      <x:c r="O1786" s="28" t="n">
        <x:v>46203.921858726855</x:v>
      </x:c>
      <x:c r="P1786" s="23" t="str"/>
      <x:c r="Q1786" s="30" t="str"/>
      <x:c r="R1786" s="22" t="str"/>
      <x:c r="S1786" s="23" t="str"/>
      <x:c r="T1786" s="22" t="str"/>
      <x:c r="U1786" s="23" t="str">
        <x:v>Joana Vanessa Silva Oliveira</x:v>
      </x:c>
      <x:c r="V1786" s="22" t="str">
        <x:f>"054.051.703-80"</x:f>
        <x:v>054.051.703-80</x:v>
      </x:c>
      <x:c r="W1786" s="22" t="str">
        <x:f>"05405170380"</x:f>
        <x:v>05405170380</x:v>
      </x:c>
      <x:c r="X1786" s="23" t="str">
        <x:v>Joanavsoliveiraa@gmail.com</x:v>
      </x:c>
      <x:c r="Y1786" s="22" t="str">
        <x:f>"98985705576"</x:f>
        <x:v>98985705576</x:v>
      </x:c>
      <x:c r="Z1786" s="30" t="str"/>
    </x:row>
    <x:row r="1787" ht="18" customHeight="1">
      <x:c r="A1787" s="22" t="str">
        <x:f>"d83bba13-4ece-4f39-8a46-437d8ccbd2ab"</x:f>
        <x:v>d83bba13-4ece-4f39-8a46-437d8ccbd2ab</x:v>
      </x:c>
      <x:c r="B1787" s="23" t="str">
        <x:v>JOAO ALBERTO FERREIRA DE MENESES</x:v>
      </x:c>
      <x:c r="C1787" s="23" t="str">
        <x:v>joao alberto ferreira de meneses</x:v>
      </x:c>
      <x:c r="D1787" s="22" t="str">
        <x:f>"65.091.920/0001-08"</x:f>
        <x:v>65.091.920/0001-08</x:v>
      </x:c>
      <x:c r="E1787" s="22" t="str">
        <x:f>"65091920000108"</x:f>
        <x:v>65091920000108</x:v>
      </x:c>
      <x:c r="F1787" s="22" t="str">
        <x:f>"885.355.416-91"</x:f>
        <x:v>885.355.416-91</x:v>
      </x:c>
      <x:c r="G1787" s="22" t="str">
        <x:f>"88535541691"</x:f>
        <x:v>88535541691</x:v>
      </x:c>
      <x:c r="H1787" s="23" t="str">
        <x:v>joaofmenezes9@gmail.com</x:v>
      </x:c>
      <x:c r="I1787" s="22" t="str">
        <x:f>"31987124159"</x:f>
        <x:v>31987124159</x:v>
      </x:c>
      <x:c r="J1787" s="23" t="str">
        <x:v>SPOT</x:v>
      </x:c>
      <x:c r="K1787" s="23" t="str">
        <x:v>favored_only</x:v>
      </x:c>
      <x:c r="L1787" s="24" t="b">
        <x:v>1</x:v>
      </x:c>
      <x:c r="M1787" s="23" t="n">
        <x:v>1</x:v>
      </x:c>
      <x:c r="N1787" s="28" t="n">
        <x:v>46219.812988715275</x:v>
      </x:c>
      <x:c r="O1787" s="28" t="n">
        <x:v>46219.812988715275</x:v>
      </x:c>
      <x:c r="P1787" s="23" t="str">
        <x:v>CONCEIÇÃO DO MATO DENTRO</x:v>
      </x:c>
      <x:c r="Q1787" s="30" t="n">
        <x:v>26838</x:v>
      </x:c>
      <x:c r="R1787" s="22" t="str">
        <x:f>"6055993"</x:f>
        <x:v>6055993</x:v>
      </x:c>
      <x:c r="S1787" s="23" t="str">
        <x:v>masculino</x:v>
      </x:c>
      <x:c r="T1787" s="22" t="str">
        <x:f>"OLT5477"</x:f>
        <x:v>OLT5477</x:v>
      </x:c>
      <x:c r="U1787" s="23" t="str">
        <x:v>JOAO ALBERTO FERREIRA DE MENESES</x:v>
      </x:c>
      <x:c r="V1787" s="22" t="str">
        <x:f>"885.355.416-91"</x:f>
        <x:v>885.355.416-91</x:v>
      </x:c>
      <x:c r="W1787" s="22" t="str">
        <x:f>"88535541691"</x:f>
        <x:v>88535541691</x:v>
      </x:c>
      <x:c r="X1787" s="23" t="str">
        <x:v>joaofmenezes9@gmail.com</x:v>
      </x:c>
      <x:c r="Y1787" s="22" t="str">
        <x:f>"31987124159"</x:f>
        <x:v>31987124159</x:v>
      </x:c>
      <x:c r="Z1787" s="30" t="n">
        <x:v>46430</x:v>
      </x:c>
    </x:row>
    <x:row r="1788" ht="18" customHeight="1">
      <x:c r="A1788" s="22" t="str">
        <x:f>"26de46d7-a6da-4f47-b6a5-45c3c3ef7809"</x:f>
        <x:v>26de46d7-a6da-4f47-b6a5-45c3c3ef7809</x:v>
      </x:c>
      <x:c r="B1788" s="23" t="str">
        <x:v>JOAO ANTONIO MATOS FARIAS</x:v>
      </x:c>
      <x:c r="C1788" s="23" t="str">
        <x:v>joao antonio matos farias</x:v>
      </x:c>
      <x:c r="D1788" s="22" t="str">
        <x:f>"59.477.857/0001-40"</x:f>
        <x:v>59.477.857/0001-40</x:v>
      </x:c>
      <x:c r="E1788" s="22" t="str">
        <x:f>"59477857000140"</x:f>
        <x:v>59477857000140</x:v>
      </x:c>
      <x:c r="F1788" s="22" t="str">
        <x:f>"073.419.181-28"</x:f>
        <x:v>073.419.181-28</x:v>
      </x:c>
      <x:c r="G1788" s="22" t="str">
        <x:f>"07341918128"</x:f>
        <x:v>07341918128</x:v>
      </x:c>
      <x:c r="H1788" s="23" t="str">
        <x:v>joaoamf14@gmail.com</x:v>
      </x:c>
      <x:c r="I1788" s="22" t="str">
        <x:f>"65992915058"</x:f>
        <x:v>65992915058</x:v>
      </x:c>
      <x:c r="J1788" s="23" t="str">
        <x:v>SPOT</x:v>
      </x:c>
      <x:c r="K1788" s="23" t="str">
        <x:v>favored_only</x:v>
      </x:c>
      <x:c r="L1788" s="24" t="b">
        <x:v>1</x:v>
      </x:c>
      <x:c r="M1788" s="23" t="n">
        <x:v>1</x:v>
      </x:c>
      <x:c r="N1788" s="28" t="n">
        <x:v>46205.605831354165</x:v>
      </x:c>
      <x:c r="O1788" s="28" t="n">
        <x:v>46219.812988715275</x:v>
      </x:c>
      <x:c r="P1788" s="23" t="str">
        <x:v>CUIABA</x:v>
      </x:c>
      <x:c r="Q1788" s="30" t="n">
        <x:v>36759</x:v>
      </x:c>
      <x:c r="R1788" s="22" t="str">
        <x:f>"22716432"</x:f>
        <x:v>22716432</x:v>
      </x:c>
      <x:c r="S1788" s="23" t="str">
        <x:v>masculino</x:v>
      </x:c>
      <x:c r="T1788" s="22" t="str">
        <x:f>"QMX8258"</x:f>
        <x:v>QMX8258</x:v>
      </x:c>
      <x:c r="U1788" s="23" t="str">
        <x:v>ANDRE LUIS DE FREITAS FARIAS</x:v>
      </x:c>
      <x:c r="V1788" s="22" t="str">
        <x:f>"627.859.401-30"</x:f>
        <x:v>627.859.401-30</x:v>
      </x:c>
      <x:c r="W1788" s="22" t="str">
        <x:f>"62785940130"</x:f>
        <x:v>62785940130</x:v>
      </x:c>
      <x:c r="X1788" s="23" t="str">
        <x:v>andreffarias40@gmail.com</x:v>
      </x:c>
      <x:c r="Y1788" s="22" t="str">
        <x:f>"(61) 99890-5388"</x:f>
        <x:v>(61) 99890-5388</x:v>
      </x:c>
      <x:c r="Z1788" s="30" t="n">
        <x:v>46336</x:v>
      </x:c>
    </x:row>
    <x:row r="1789" ht="18" customHeight="1">
      <x:c r="A1789" s="22" t="str">
        <x:f>"607bb08e-eae3-40b8-b537-1386ddcfa854"</x:f>
        <x:v>607bb08e-eae3-40b8-b537-1386ddcfa854</x:v>
      </x:c>
      <x:c r="B1789" s="23" t="str">
        <x:v>JOAO ANTONIO MATOS FARIAS</x:v>
      </x:c>
      <x:c r="C1789" s="23" t="str">
        <x:v>joao antonio matos farias</x:v>
      </x:c>
      <x:c r="D1789" s="22" t="str">
        <x:f>"50.745.075/0001-70"</x:f>
        <x:v>50.745.075/0001-70</x:v>
      </x:c>
      <x:c r="E1789" s="22" t="str">
        <x:f>"50745075000170"</x:f>
        <x:v>50745075000170</x:v>
      </x:c>
      <x:c r="F1789" s="22" t="str">
        <x:f>"073.419.181-28"</x:f>
        <x:v>073.419.181-28</x:v>
      </x:c>
      <x:c r="G1789" s="22" t="str">
        <x:f>"07341918128"</x:f>
        <x:v>07341918128</x:v>
      </x:c>
      <x:c r="H1789" s="23" t="str">
        <x:v>joaoamf14@gmail.com</x:v>
      </x:c>
      <x:c r="I1789" s="22" t="str">
        <x:f>"65 9 9291-5058"</x:f>
        <x:v>65 9 9291-5058</x:v>
      </x:c>
      <x:c r="J1789" s="23" t="str">
        <x:v>spot</x:v>
      </x:c>
      <x:c r="K1789" s="23" t="str">
        <x:v>favored_only</x:v>
      </x:c>
      <x:c r="L1789" s="24" t="b">
        <x:v>1</x:v>
      </x:c>
      <x:c r="M1789" s="23" t="n">
        <x:v>2</x:v>
      </x:c>
      <x:c r="N1789" s="28" t="n">
        <x:v>46203.9219084375</x:v>
      </x:c>
      <x:c r="O1789" s="28" t="n">
        <x:v>46219.812988715275</x:v>
      </x:c>
      <x:c r="P1789" s="23" t="str">
        <x:v>CUIABA</x:v>
      </x:c>
      <x:c r="Q1789" s="30" t="n">
        <x:v>36759</x:v>
      </x:c>
      <x:c r="R1789" s="22" t="str">
        <x:f>"22716432"</x:f>
        <x:v>22716432</x:v>
      </x:c>
      <x:c r="S1789" s="23" t="str">
        <x:v>masculino</x:v>
      </x:c>
      <x:c r="T1789" s="22" t="str">
        <x:f>"QMX8258"</x:f>
        <x:v>QMX8258</x:v>
      </x:c>
      <x:c r="U1789" s="23" t="str">
        <x:v>JOAO ANTONIO MATOS FARIAS</x:v>
      </x:c>
      <x:c r="V1789" s="22" t="str">
        <x:f>"073.419.181-28"</x:f>
        <x:v>073.419.181-28</x:v>
      </x:c>
      <x:c r="W1789" s="22" t="str">
        <x:f>"07341918128"</x:f>
        <x:v>07341918128</x:v>
      </x:c>
      <x:c r="X1789" s="23" t="str">
        <x:v>joaoamf14@gmail.com</x:v>
      </x:c>
      <x:c r="Y1789" s="22" t="str">
        <x:f>"65 9 9291-5058"</x:f>
        <x:v>65 9 9291-5058</x:v>
      </x:c>
      <x:c r="Z1789" s="30" t="n">
        <x:v>46483</x:v>
      </x:c>
    </x:row>
    <x:row r="1790" ht="18" customHeight="1">
      <x:c r="A1790" s="22" t="str">
        <x:f>"7190bf21-6944-43f0-af34-c78f2279761f"</x:f>
        <x:v>7190bf21-6944-43f0-af34-c78f2279761f</x:v>
      </x:c>
      <x:c r="B1790" s="23" t="str">
        <x:v>JOAO AUGUSTO DA SILVA</x:v>
      </x:c>
      <x:c r="C1790" s="23" t="str">
        <x:v>joao augusto da silva</x:v>
      </x:c>
      <x:c r="D1790" s="22" t="str">
        <x:f>"63.227.513/0001-50"</x:f>
        <x:v>63.227.513/0001-50</x:v>
      </x:c>
      <x:c r="E1790" s="22" t="str">
        <x:f>"63227513000150"</x:f>
        <x:v>63227513000150</x:v>
      </x:c>
      <x:c r="F1790" s="22" t="str">
        <x:f>"490.048.398-28"</x:f>
        <x:v>490.048.398-28</x:v>
      </x:c>
      <x:c r="G1790" s="22" t="str">
        <x:f>"49004839828"</x:f>
        <x:v>49004839828</x:v>
      </x:c>
      <x:c r="H1790" s="23" t="str">
        <x:v>joaoreuel2040@gmail.com</x:v>
      </x:c>
      <x:c r="I1790" s="22" t="str">
        <x:f>"14996198990"</x:f>
        <x:v>14996198990</x:v>
      </x:c>
      <x:c r="J1790" s="23" t="str">
        <x:v>RENTAL</x:v>
      </x:c>
      <x:c r="K1790" s="23" t="str">
        <x:v>rental_company</x:v>
      </x:c>
      <x:c r="L1790" s="24" t="b">
        <x:v>1</x:v>
      </x:c>
      <x:c r="M1790" s="23" t="n">
        <x:v>1</x:v>
      </x:c>
      <x:c r="N1790" s="28" t="n">
        <x:v>46203.9218771875</x:v>
      </x:c>
      <x:c r="O1790" s="28" t="n">
        <x:v>46219.812988715275</x:v>
      </x:c>
      <x:c r="P1790" s="23" t="str">
        <x:v>MARILIA</x:v>
      </x:c>
      <x:c r="Q1790" s="30" t="n">
        <x:v>37865</x:v>
      </x:c>
      <x:c r="R1790" s="22" t="str">
        <x:f>"592062223"</x:f>
        <x:v>592062223</x:v>
      </x:c>
      <x:c r="S1790" s="23" t="str">
        <x:v>masculino</x:v>
      </x:c>
      <x:c r="T1790" s="22" t="str"/>
      <x:c r="U1790" s="23" t="str">
        <x:v>JOAO AUGUSTO DA SILVA</x:v>
      </x:c>
      <x:c r="V1790" s="22" t="str">
        <x:f>"490004839828"</x:f>
        <x:v>490004839828</x:v>
      </x:c>
      <x:c r="W1790" s="22" t="str">
        <x:f>"490004839828"</x:f>
        <x:v>490004839828</x:v>
      </x:c>
      <x:c r="X1790" s="23" t="str">
        <x:v>joaoreuel2040@gmail.com</x:v>
      </x:c>
      <x:c r="Y1790" s="22" t="str">
        <x:f>"14996198990"</x:f>
        <x:v>14996198990</x:v>
      </x:c>
      <x:c r="Z1790" s="30" t="n">
        <x:v>46315</x:v>
      </x:c>
    </x:row>
    <x:row r="1791" ht="18" customHeight="1">
      <x:c r="A1791" s="22" t="str">
        <x:f>"61b8cb62-77b0-460f-abff-420d30b71309"</x:f>
        <x:v>61b8cb62-77b0-460f-abff-420d30b71309</x:v>
      </x:c>
      <x:c r="B1791" s="23" t="str">
        <x:v>JOAO BATISTA BITHS DE LIMA FILHO</x:v>
      </x:c>
      <x:c r="C1791" s="23" t="str">
        <x:v>joao batista biths de lima filho</x:v>
      </x:c>
      <x:c r="D1791" s="22" t="str">
        <x:f>"61.245.215/0001-67"</x:f>
        <x:v>61.245.215/0001-67</x:v>
      </x:c>
      <x:c r="E1791" s="22" t="str">
        <x:f>"61245215000167"</x:f>
        <x:v>61245215000167</x:v>
      </x:c>
      <x:c r="F1791" s="22" t="str">
        <x:f>"015.364.142-80"</x:f>
        <x:v>015.364.142-80</x:v>
      </x:c>
      <x:c r="G1791" s="22" t="str">
        <x:f>"01536414280"</x:f>
        <x:v>01536414280</x:v>
      </x:c>
      <x:c r="H1791" s="23" t="str">
        <x:v>jbiths22@gmail.com</x:v>
      </x:c>
      <x:c r="I1791" s="22" t="str">
        <x:f>"64 99901-1390"</x:f>
        <x:v>64 99901-1390</x:v>
      </x:c>
      <x:c r="J1791" s="23" t="str">
        <x:v>RENTAL</x:v>
      </x:c>
      <x:c r="K1791" s="23" t="str">
        <x:v>rental_company</x:v>
      </x:c>
      <x:c r="L1791" s="24" t="b">
        <x:v>1</x:v>
      </x:c>
      <x:c r="M1791" s="23" t="n">
        <x:v>1</x:v>
      </x:c>
      <x:c r="N1791" s="28" t="n">
        <x:v>46219.812988715275</x:v>
      </x:c>
      <x:c r="O1791" s="28" t="n">
        <x:v>46219.812988715275</x:v>
      </x:c>
      <x:c r="P1791" s="23" t="str">
        <x:v>CUIABA</x:v>
      </x:c>
      <x:c r="Q1791" s="30" t="n">
        <x:v>34115</x:v>
      </x:c>
      <x:c r="R1791" s="22" t="str">
        <x:f>"10551352"</x:f>
        <x:v>10551352</x:v>
      </x:c>
      <x:c r="S1791" s="23" t="str">
        <x:v>masculino</x:v>
      </x:c>
      <x:c r="T1791" s="22" t="str"/>
      <x:c r="U1791" s="23" t="str">
        <x:v>JOAO BATISTA BITHS DE LIMA FILHO</x:v>
      </x:c>
      <x:c r="V1791" s="22" t="str">
        <x:f>"015.364.142-80"</x:f>
        <x:v>015.364.142-80</x:v>
      </x:c>
      <x:c r="W1791" s="22" t="str">
        <x:f>"01536414280"</x:f>
        <x:v>01536414280</x:v>
      </x:c>
      <x:c r="X1791" s="23" t="str">
        <x:v>jbiths22@gmail.com</x:v>
      </x:c>
      <x:c r="Y1791" s="22" t="str">
        <x:f>"64 99901-1390"</x:f>
        <x:v>64 99901-1390</x:v>
      </x:c>
      <x:c r="Z1791" s="30" t="n">
        <x:v>46449</x:v>
      </x:c>
    </x:row>
    <x:row r="1792" ht="18" customHeight="1">
      <x:c r="A1792" s="22" t="str">
        <x:f>"09d3ec78-5b6e-455a-aff1-0756e0f65ede"</x:f>
        <x:v>09d3ec78-5b6e-455a-aff1-0756e0f65ede</x:v>
      </x:c>
      <x:c r="B1792" s="23" t="str">
        <x:v>JOAO BATISTA GARCIA</x:v>
      </x:c>
      <x:c r="C1792" s="23" t="str">
        <x:v>joao batista garcia</x:v>
      </x:c>
      <x:c r="D1792" s="22" t="str">
        <x:f>"66.923.610/0001-75"</x:f>
        <x:v>66.923.610/0001-75</x:v>
      </x:c>
      <x:c r="E1792" s="22" t="str">
        <x:f>"66923610000175"</x:f>
        <x:v>66923610000175</x:v>
      </x:c>
      <x:c r="F1792" s="22" t="str">
        <x:f>"016.360.856-36"</x:f>
        <x:v>016.360.856-36</x:v>
      </x:c>
      <x:c r="G1792" s="22" t="str">
        <x:f>"01636085636"</x:f>
        <x:v>01636085636</x:v>
      </x:c>
      <x:c r="H1792" s="23" t="str">
        <x:v>joaogarciapaca@gmail.com</x:v>
      </x:c>
      <x:c r="I1792" s="22" t="str">
        <x:f>"35 9713-2656"</x:f>
        <x:v>35 9713-2656</x:v>
      </x:c>
      <x:c r="J1792" s="23" t="str">
        <x:v>SPOT</x:v>
      </x:c>
      <x:c r="K1792" s="23" t="str">
        <x:v>favored_only</x:v>
      </x:c>
      <x:c r="L1792" s="24" t="b">
        <x:v>1</x:v>
      </x:c>
      <x:c r="M1792" s="23" t="n">
        <x:v>1</x:v>
      </x:c>
      <x:c r="N1792" s="28" t="n">
        <x:v>46219.812988715275</x:v>
      </x:c>
      <x:c r="O1792" s="28" t="n">
        <x:v>46219.812988715275</x:v>
      </x:c>
      <x:c r="P1792" s="23" t="str">
        <x:v>GUAXUPE</x:v>
      </x:c>
      <x:c r="Q1792" s="30" t="n">
        <x:v>32345</x:v>
      </x:c>
      <x:c r="R1792" s="22" t="str">
        <x:f>"13955764"</x:f>
        <x:v>13955764</x:v>
      </x:c>
      <x:c r="S1792" s="23" t="str">
        <x:v>masculino</x:v>
      </x:c>
      <x:c r="T1792" s="22" t="str">
        <x:f>"PZF6A65"</x:f>
        <x:v>PZF6A65</x:v>
      </x:c>
      <x:c r="U1792" s="23" t="str">
        <x:v>JOAO BASTISTA GARCIA</x:v>
      </x:c>
      <x:c r="V1792" s="22" t="str">
        <x:f>"016.360.856-36"</x:f>
        <x:v>016.360.856-36</x:v>
      </x:c>
      <x:c r="W1792" s="22" t="str">
        <x:f>"01636085636"</x:f>
        <x:v>01636085636</x:v>
      </x:c>
      <x:c r="X1792" s="23" t="str">
        <x:v>joaogarciapaca@gmail.com</x:v>
      </x:c>
      <x:c r="Y1792" s="22" t="str">
        <x:f>"35 9713-2656"</x:f>
        <x:v>35 9713-2656</x:v>
      </x:c>
      <x:c r="Z1792" s="30" t="n">
        <x:v>46501</x:v>
      </x:c>
    </x:row>
    <x:row r="1793" ht="18" customHeight="1">
      <x:c r="A1793" s="22" t="str">
        <x:f>"ec5f0018-91f1-460e-8095-c40b3254dd41"</x:f>
        <x:v>ec5f0018-91f1-460e-8095-c40b3254dd41</x:v>
      </x:c>
      <x:c r="B1793" s="23" t="str">
        <x:v>JOAO BATISTA GARCIA</x:v>
      </x:c>
      <x:c r="C1793" s="23" t="str">
        <x:v>joao batista garcia</x:v>
      </x:c>
      <x:c r="D1793" s="22" t="str">
        <x:f>"42.076.860/0001-59"</x:f>
        <x:v>42.076.860/0001-59</x:v>
      </x:c>
      <x:c r="E1793" s="22" t="str">
        <x:f>"42076860000159"</x:f>
        <x:v>42076860000159</x:v>
      </x:c>
      <x:c r="F1793" s="22" t="str">
        <x:f>"016.360.856-36"</x:f>
        <x:v>016.360.856-36</x:v>
      </x:c>
      <x:c r="G1793" s="22" t="str">
        <x:f>"01636085636"</x:f>
        <x:v>01636085636</x:v>
      </x:c>
      <x:c r="H1793" s="23" t="str">
        <x:v>joaogarciapaca@gmail.com</x:v>
      </x:c>
      <x:c r="I1793" s="22" t="str">
        <x:f>"35 9713-2656"</x:f>
        <x:v>35 9713-2656</x:v>
      </x:c>
      <x:c r="J1793" s="23" t="str">
        <x:v>SPOT</x:v>
      </x:c>
      <x:c r="K1793" s="23" t="str">
        <x:v>favored_only</x:v>
      </x:c>
      <x:c r="L1793" s="24" t="b">
        <x:v>1</x:v>
      </x:c>
      <x:c r="M1793" s="23" t="n">
        <x:v>1</x:v>
      </x:c>
      <x:c r="N1793" s="28" t="n">
        <x:v>46219.812988715275</x:v>
      </x:c>
      <x:c r="O1793" s="28" t="n">
        <x:v>46219.812988715275</x:v>
      </x:c>
      <x:c r="P1793" s="23" t="str">
        <x:v>GUAXUPE</x:v>
      </x:c>
      <x:c r="Q1793" s="30" t="n">
        <x:v>32345</x:v>
      </x:c>
      <x:c r="R1793" s="22" t="str">
        <x:f>"13955764"</x:f>
        <x:v>13955764</x:v>
      </x:c>
      <x:c r="S1793" s="23" t="str">
        <x:v>masculino</x:v>
      </x:c>
      <x:c r="T1793" s="22" t="str">
        <x:f>"PZF6A65"</x:f>
        <x:v>PZF6A65</x:v>
      </x:c>
      <x:c r="U1793" s="23" t="str">
        <x:v>JOAO BATISTA GARCIA</x:v>
      </x:c>
      <x:c r="V1793" s="22" t="str">
        <x:f>"016.360.856-36"</x:f>
        <x:v>016.360.856-36</x:v>
      </x:c>
      <x:c r="W1793" s="22" t="str">
        <x:f>"01636085636"</x:f>
        <x:v>01636085636</x:v>
      </x:c>
      <x:c r="X1793" s="23" t="str">
        <x:v>joaogarciapaca@gmail.com</x:v>
      </x:c>
      <x:c r="Y1793" s="22" t="str">
        <x:f>"35 9713-2656"</x:f>
        <x:v>35 9713-2656</x:v>
      </x:c>
      <x:c r="Z1793" s="30" t="n">
        <x:v>46501</x:v>
      </x:c>
    </x:row>
    <x:row r="1794" ht="18" customHeight="1">
      <x:c r="A1794" s="22" t="str">
        <x:f>"7bd8deac-e107-4c01-9cbd-19868671b9a0"</x:f>
        <x:v>7bd8deac-e107-4c01-9cbd-19868671b9a0</x:v>
      </x:c>
      <x:c r="B1794" s="23" t="str">
        <x:v>JOAO BATISTA VIEIRA JUNIOR</x:v>
      </x:c>
      <x:c r="C1794" s="23" t="str">
        <x:v>joao batista vieira junior</x:v>
      </x:c>
      <x:c r="D1794" s="22" t="str">
        <x:f>"62.167.521/0001-95"</x:f>
        <x:v>62.167.521/0001-95</x:v>
      </x:c>
      <x:c r="E1794" s="22" t="str">
        <x:f>"62167521000195"</x:f>
        <x:v>62167521000195</x:v>
      </x:c>
      <x:c r="F1794" s="22" t="str">
        <x:f>"040.526.231-00"</x:f>
        <x:v>040.526.231-00</x:v>
      </x:c>
      <x:c r="G1794" s="22" t="str">
        <x:f>"04052623100"</x:f>
        <x:v>04052623100</x:v>
      </x:c>
      <x:c r="H1794" s="23" t="str">
        <x:v>juniorjauru@hotmail.com</x:v>
      </x:c>
      <x:c r="I1794" s="22" t="str">
        <x:f>"65 9678-6166"</x:f>
        <x:v>65 9678-6166</x:v>
      </x:c>
      <x:c r="J1794" s="23" t="str">
        <x:v>SPOT</x:v>
      </x:c>
      <x:c r="K1794" s="23" t="str">
        <x:v>favored_only</x:v>
      </x:c>
      <x:c r="L1794" s="24" t="b">
        <x:v>1</x:v>
      </x:c>
      <x:c r="M1794" s="23" t="n">
        <x:v>1</x:v>
      </x:c>
      <x:c r="N1794" s="28" t="n">
        <x:v>46205.60450328704</x:v>
      </x:c>
      <x:c r="O1794" s="28" t="n">
        <x:v>46219.812988715275</x:v>
      </x:c>
      <x:c r="P1794" s="23" t="str">
        <x:v>ARAPUTANGA</x:v>
      </x:c>
      <x:c r="Q1794" s="30" t="n">
        <x:v>33672</x:v>
      </x:c>
      <x:c r="R1794" s="22" t="str">
        <x:f>"17907454  SSP MT"</x:f>
        <x:v>17907454  SSP MT</x:v>
      </x:c>
      <x:c r="S1794" s="23" t="str">
        <x:v>masculino</x:v>
      </x:c>
      <x:c r="T1794" s="22" t="str">
        <x:f>"FYS4D00"</x:f>
        <x:v>FYS4D00</x:v>
      </x:c>
      <x:c r="U1794" s="23" t="str">
        <x:v>MATHEUS GOMES AZEVEDO</x:v>
      </x:c>
      <x:c r="V1794" s="22" t="str">
        <x:f>"050.420.141-79"</x:f>
        <x:v>050.420.141-79</x:v>
      </x:c>
      <x:c r="W1794" s="22" t="str">
        <x:f>"05042014179"</x:f>
        <x:v>05042014179</x:v>
      </x:c>
      <x:c r="X1794" s="23" t="str">
        <x:v>mateusjauruazevedo@hotmail.com</x:v>
      </x:c>
      <x:c r="Y1794" s="22" t="str">
        <x:f>"65 9678-6166"</x:f>
        <x:v>65 9678-6166</x:v>
      </x:c>
      <x:c r="Z1794" s="30" t="n">
        <x:v>46280</x:v>
      </x:c>
    </x:row>
    <x:row r="1795" ht="18" customHeight="1">
      <x:c r="A1795" s="22" t="str">
        <x:f>"c9a0bf36-759f-48b4-bdc8-c0a2c1669ad7"</x:f>
        <x:v>c9a0bf36-759f-48b4-bdc8-c0a2c1669ad7</x:v>
      </x:c>
      <x:c r="B1795" s="23" t="str">
        <x:v>JOAO CARLOS DE ALMEIDA</x:v>
      </x:c>
      <x:c r="C1795" s="23" t="str">
        <x:v>joao carlos de almeida</x:v>
      </x:c>
      <x:c r="D1795" s="22" t="str">
        <x:f>"66.476.217/0001-80"</x:f>
        <x:v>66.476.217/0001-80</x:v>
      </x:c>
      <x:c r="E1795" s="22" t="str">
        <x:f>"66476217000180"</x:f>
        <x:v>66476217000180</x:v>
      </x:c>
      <x:c r="F1795" s="22" t="str">
        <x:f>"038.588.691-80"</x:f>
        <x:v>038.588.691-80</x:v>
      </x:c>
      <x:c r="G1795" s="22" t="str">
        <x:f>"03858869180"</x:f>
        <x:v>03858869180</x:v>
      </x:c>
      <x:c r="H1795" s="23" t="str">
        <x:v>joaocarlosalmeida192@gmail.com</x:v>
      </x:c>
      <x:c r="I1795" s="22" t="str">
        <x:f>"65 993410240"</x:f>
        <x:v>65 993410240</x:v>
      </x:c>
      <x:c r="J1795" s="23" t="str">
        <x:v>SPOT</x:v>
      </x:c>
      <x:c r="K1795" s="23" t="str">
        <x:v>favored_only</x:v>
      </x:c>
      <x:c r="L1795" s="24" t="b">
        <x:v>1</x:v>
      </x:c>
      <x:c r="M1795" s="23" t="n">
        <x:v>1</x:v>
      </x:c>
      <x:c r="N1795" s="28" t="n">
        <x:v>46219.812988715275</x:v>
      </x:c>
      <x:c r="O1795" s="28" t="n">
        <x:v>46219.812988715275</x:v>
      </x:c>
      <x:c r="P1795" s="23" t="str">
        <x:v>CUIABA</x:v>
      </x:c>
      <x:c r="Q1795" s="30" t="n">
        <x:v>33408</x:v>
      </x:c>
      <x:c r="R1795" s="22" t="str">
        <x:f>"20533543"</x:f>
        <x:v>20533543</x:v>
      </x:c>
      <x:c r="S1795" s="23" t="str">
        <x:v>masculino</x:v>
      </x:c>
      <x:c r="T1795" s="22" t="str">
        <x:f>"TDC0J02"</x:f>
        <x:v>TDC0J02</x:v>
      </x:c>
      <x:c r="U1795" s="23" t="str">
        <x:v>NADIA AMORIM SANTOS</x:v>
      </x:c>
      <x:c r="V1795" s="22" t="str">
        <x:f>"062.582.791-04"</x:f>
        <x:v>062.582.791-04</x:v>
      </x:c>
      <x:c r="W1795" s="22" t="str">
        <x:f>"06258279104"</x:f>
        <x:v>06258279104</x:v>
      </x:c>
      <x:c r="X1795" s="23" t="str">
        <x:v>nadiasantos20166@gmail.com</x:v>
      </x:c>
      <x:c r="Y1795" s="22" t="str">
        <x:f>"65 99306-5231"</x:f>
        <x:v>65 99306-5231</x:v>
      </x:c>
      <x:c r="Z1795" s="30" t="n">
        <x:v>46558</x:v>
      </x:c>
    </x:row>
    <x:row r="1796" ht="18" customHeight="1">
      <x:c r="A1796" s="22" t="str">
        <x:f>"00d1aac5-a9fb-4353-87d4-5475cf7167a6"</x:f>
        <x:v>00d1aac5-a9fb-4353-87d4-5475cf7167a6</x:v>
      </x:c>
      <x:c r="B1796" s="23" t="str">
        <x:v>JOAO CARLOS DE FREITAS CRUZ</x:v>
      </x:c>
      <x:c r="C1796" s="23" t="str">
        <x:v>joao carlos de freitas cruz</x:v>
      </x:c>
      <x:c r="D1796" s="22" t="str">
        <x:f>"55.982.840/0001-99"</x:f>
        <x:v>55.982.840/0001-99</x:v>
      </x:c>
      <x:c r="E1796" s="22" t="str">
        <x:f>"55982840000199"</x:f>
        <x:v>55982840000199</x:v>
      </x:c>
      <x:c r="F1796" s="22" t="str">
        <x:f>"120.166.797-60"</x:f>
        <x:v>120.166.797-60</x:v>
      </x:c>
      <x:c r="G1796" s="22" t="str">
        <x:f>"12016679760"</x:f>
        <x:v>12016679760</x:v>
      </x:c>
      <x:c r="H1796" s="23" t="str">
        <x:v>joaocarlosfreitasc@gmail.com</x:v>
      </x:c>
      <x:c r="I1796" s="22" t="str">
        <x:f>"21965069803"</x:f>
        <x:v>21965069803</x:v>
      </x:c>
      <x:c r="J1796" s="23" t="str">
        <x:v>SPOT</x:v>
      </x:c>
      <x:c r="K1796" s="23" t="str">
        <x:v>favored_only</x:v>
      </x:c>
      <x:c r="L1796" s="24" t="b">
        <x:v>1</x:v>
      </x:c>
      <x:c r="M1796" s="23" t="n">
        <x:v>1</x:v>
      </x:c>
      <x:c r="N1796" s="28" t="n">
        <x:v>46219.812988715275</x:v>
      </x:c>
      <x:c r="O1796" s="28" t="n">
        <x:v>46219.812988715275</x:v>
      </x:c>
      <x:c r="P1796" s="23" t="str">
        <x:v>QUEIMADOS</x:v>
      </x:c>
      <x:c r="Q1796" s="30" t="n">
        <x:v>35147</x:v>
      </x:c>
      <x:c r="R1796" s="22" t="str">
        <x:f>"255044885"</x:f>
        <x:v>255044885</x:v>
      </x:c>
      <x:c r="S1796" s="23" t="str">
        <x:v>masculino</x:v>
      </x:c>
      <x:c r="T1796" s="22" t="str">
        <x:f>"KWP5J96"</x:f>
        <x:v>KWP5J96</x:v>
      </x:c>
      <x:c r="U1796" s="23" t="str">
        <x:v>JOAO CARLOS DE FREITAS CRUZ</x:v>
      </x:c>
      <x:c r="V1796" s="22" t="str">
        <x:f>"120.166.797-60"</x:f>
        <x:v>120.166.797-60</x:v>
      </x:c>
      <x:c r="W1796" s="22" t="str">
        <x:f>"12016679760"</x:f>
        <x:v>12016679760</x:v>
      </x:c>
      <x:c r="X1796" s="23" t="str">
        <x:v>joaocarlosfreitasc@gmail.com</x:v>
      </x:c>
      <x:c r="Y1796" s="22" t="str">
        <x:f>"21965069803"</x:f>
        <x:v>21965069803</x:v>
      </x:c>
      <x:c r="Z1796" s="30" t="n">
        <x:v>46550</x:v>
      </x:c>
    </x:row>
    <x:row r="1797" ht="18" customHeight="1">
      <x:c r="A1797" s="22" t="str">
        <x:f>"5fc6cbde-fd4d-48e4-bc0b-950eeaffd4a0"</x:f>
        <x:v>5fc6cbde-fd4d-48e4-bc0b-950eeaffd4a0</x:v>
      </x:c>
      <x:c r="B1797" s="23" t="str">
        <x:v>JOAO CARLOS RUAS DE BRITO</x:v>
      </x:c>
      <x:c r="C1797" s="23" t="str">
        <x:v>joao carlos ruas de brito</x:v>
      </x:c>
      <x:c r="D1797" s="22" t="str">
        <x:f>"66.012.488/0001-85"</x:f>
        <x:v>66.012.488/0001-85</x:v>
      </x:c>
      <x:c r="E1797" s="22" t="str">
        <x:f>"66012488000185"</x:f>
        <x:v>66012488000185</x:v>
      </x:c>
      <x:c r="F1797" s="22" t="str">
        <x:f>"413.821.918-80"</x:f>
        <x:v>413.821.918-80</x:v>
      </x:c>
      <x:c r="G1797" s="22" t="str">
        <x:f>"41382191880"</x:f>
        <x:v>41382191880</x:v>
      </x:c>
      <x:c r="H1797" s="23" t="str">
        <x:v>jc998181747@gmail.com</x:v>
      </x:c>
      <x:c r="I1797" s="22" t="str">
        <x:f>"18988074611"</x:f>
        <x:v>18988074611</x:v>
      </x:c>
      <x:c r="J1797" s="23" t="str">
        <x:v>RENTAL</x:v>
      </x:c>
      <x:c r="K1797" s="23" t="str">
        <x:v>rental_company</x:v>
      </x:c>
      <x:c r="L1797" s="24" t="b">
        <x:v>1</x:v>
      </x:c>
      <x:c r="M1797" s="23" t="n">
        <x:v>1</x:v>
      </x:c>
      <x:c r="N1797" s="28" t="n">
        <x:v>46219.812988715275</x:v>
      </x:c>
      <x:c r="O1797" s="28" t="n">
        <x:v>46219.812988715275</x:v>
      </x:c>
      <x:c r="P1797" s="23" t="str">
        <x:v>PRESIDENTE PRUDENTE</x:v>
      </x:c>
      <x:c r="Q1797" s="30" t="n">
        <x:v>34060</x:v>
      </x:c>
      <x:c r="R1797" s="22" t="str">
        <x:f>"494173749"</x:f>
        <x:v>494173749</x:v>
      </x:c>
      <x:c r="S1797" s="23" t="str">
        <x:v>masculino</x:v>
      </x:c>
      <x:c r="T1797" s="22" t="str"/>
      <x:c r="U1797" s="23" t="str">
        <x:v>JOAO CARLOS RUAS DE BRITO</x:v>
      </x:c>
      <x:c r="V1797" s="22" t="str">
        <x:f>"413.821.918-80"</x:f>
        <x:v>413.821.918-80</x:v>
      </x:c>
      <x:c r="W1797" s="22" t="str">
        <x:f>"41382191880"</x:f>
        <x:v>41382191880</x:v>
      </x:c>
      <x:c r="X1797" s="23" t="str">
        <x:v>jc998181747@gmail.com</x:v>
      </x:c>
      <x:c r="Y1797" s="22" t="str">
        <x:f>"18988074611"</x:f>
        <x:v>18988074611</x:v>
      </x:c>
      <x:c r="Z1797" s="30" t="n">
        <x:v>46478</x:v>
      </x:c>
    </x:row>
    <x:row r="1798" ht="18" customHeight="1">
      <x:c r="A1798" s="22" t="str">
        <x:f>"8f17a431-b8e3-4cad-8dac-c3fd769f838e"</x:f>
        <x:v>8f17a431-b8e3-4cad-8dac-c3fd769f838e</x:v>
      </x:c>
      <x:c r="B1798" s="23" t="str">
        <x:v>JOAO CLAUDIO FERREIRA ROCHA</x:v>
      </x:c>
      <x:c r="C1798" s="23" t="str">
        <x:v>joao claudio ferreira rocha</x:v>
      </x:c>
      <x:c r="D1798" s="22" t="str">
        <x:f>"51.756.686/0001-86"</x:f>
        <x:v>51.756.686/0001-86</x:v>
      </x:c>
      <x:c r="E1798" s="22" t="str">
        <x:f>"51756686000186"</x:f>
        <x:v>51756686000186</x:v>
      </x:c>
      <x:c r="F1798" s="22" t="str">
        <x:f>"496.386.258-13"</x:f>
        <x:v>496.386.258-13</x:v>
      </x:c>
      <x:c r="G1798" s="22" t="str">
        <x:f>"49638625813"</x:f>
        <x:v>49638625813</x:v>
      </x:c>
      <x:c r="H1798" s="23" t="str">
        <x:v>Jotac6165@gmail.com</x:v>
      </x:c>
      <x:c r="I1798" s="22" t="str">
        <x:f>"(18)99767-1033"</x:f>
        <x:v>(18)99767-1033</x:v>
      </x:c>
      <x:c r="J1798" s="23" t="str">
        <x:v>DESCONHECIDO</x:v>
      </x:c>
      <x:c r="K1798" s="23" t="str">
        <x:v>favored_only</x:v>
      </x:c>
      <x:c r="L1798" s="24" t="b">
        <x:v>1</x:v>
      </x:c>
      <x:c r="M1798" s="23" t="n">
        <x:v>1</x:v>
      </x:c>
      <x:c r="N1798" s="28" t="n">
        <x:v>46203.92189965278</x:v>
      </x:c>
      <x:c r="O1798" s="28" t="n">
        <x:v>46219.812988715275</x:v>
      </x:c>
      <x:c r="P1798" s="23" t="str">
        <x:v>PRESIDENTE PRUDENTE</x:v>
      </x:c>
      <x:c r="Q1798" s="30" t="str"/>
      <x:c r="R1798" s="22" t="str">
        <x:f>"571615673"</x:f>
        <x:v>571615673</x:v>
      </x:c>
      <x:c r="S1798" s="23" t="str">
        <x:v>masculino</x:v>
      </x:c>
      <x:c r="T1798" s="22" t="str"/>
      <x:c r="U1798" s="23" t="str">
        <x:v>JOAO CLAUDIO FERREIRA ROCHA</x:v>
      </x:c>
      <x:c r="V1798" s="22" t="str">
        <x:f>"496.386.258-13"</x:f>
        <x:v>496.386.258-13</x:v>
      </x:c>
      <x:c r="W1798" s="22" t="str">
        <x:f>"49638625813"</x:f>
        <x:v>49638625813</x:v>
      </x:c>
      <x:c r="X1798" s="23" t="str">
        <x:v>Jotac6165@gmail.com</x:v>
      </x:c>
      <x:c r="Y1798" s="22" t="str">
        <x:f>"(18)99767-1033"</x:f>
        <x:v>(18)99767-1033</x:v>
      </x:c>
      <x:c r="Z1798" s="30" t="n">
        <x:v>46353</x:v>
      </x:c>
    </x:row>
    <x:row r="1799" ht="18" customHeight="1">
      <x:c r="A1799" s="22" t="str">
        <x:f>"1fac9bf4-881e-4bfb-9577-acd07c1fa41e"</x:f>
        <x:v>1fac9bf4-881e-4bfb-9577-acd07c1fa41e</x:v>
      </x:c>
      <x:c r="B1799" s="23" t="str">
        <x:v>JOAO CLEVE ERVES DE SOUZA PITTA</x:v>
      </x:c>
      <x:c r="C1799" s="23" t="str">
        <x:v>joao cleve erves de souza pitta</x:v>
      </x:c>
      <x:c r="D1799" s="22" t="str">
        <x:f>"63.234.179/0001-61"</x:f>
        <x:v>63.234.179/0001-61</x:v>
      </x:c>
      <x:c r="E1799" s="22" t="str">
        <x:f>"63234179000161"</x:f>
        <x:v>63234179000161</x:v>
      </x:c>
      <x:c r="F1799" s="22" t="str">
        <x:f>"078.056.727-76"</x:f>
        <x:v>078.056.727-76</x:v>
      </x:c>
      <x:c r="G1799" s="22" t="str">
        <x:f>"07805672776"</x:f>
        <x:v>07805672776</x:v>
      </x:c>
      <x:c r="H1799" s="23" t="str">
        <x:v>joao.cleve.alc@gmail.com</x:v>
      </x:c>
      <x:c r="I1799" s="22" t="str">
        <x:f>"21986642232"</x:f>
        <x:v>21986642232</x:v>
      </x:c>
      <x:c r="J1799" s="23" t="str">
        <x:v>DESCONHECIDO</x:v>
      </x:c>
      <x:c r="K1799" s="23" t="str">
        <x:v>favored_only</x:v>
      </x:c>
      <x:c r="L1799" s="24" t="b">
        <x:v>1</x:v>
      </x:c>
      <x:c r="M1799" s="23" t="n">
        <x:v>1</x:v>
      </x:c>
      <x:c r="N1799" s="28" t="n">
        <x:v>46219.812988715275</x:v>
      </x:c>
      <x:c r="O1799" s="28" t="n">
        <x:v>46219.812988715275</x:v>
      </x:c>
      <x:c r="P1799" s="23" t="str">
        <x:v>ITABORAI</x:v>
      </x:c>
      <x:c r="Q1799" s="30" t="str"/>
      <x:c r="R1799" s="22" t="str"/>
      <x:c r="S1799" s="23" t="str">
        <x:v>masculino</x:v>
      </x:c>
      <x:c r="T1799" s="22" t="str">
        <x:f>"LQP3208"</x:f>
        <x:v>LQP3208</x:v>
      </x:c>
      <x:c r="U1799" s="23" t="str">
        <x:v>JOAO CLEVE ERVES DE SOUZA PITTA</x:v>
      </x:c>
      <x:c r="V1799" s="22" t="str">
        <x:f>"078.056.727-76"</x:f>
        <x:v>078.056.727-76</x:v>
      </x:c>
      <x:c r="W1799" s="22" t="str">
        <x:f>"07805672776"</x:f>
        <x:v>07805672776</x:v>
      </x:c>
      <x:c r="X1799" s="23" t="str">
        <x:v>joao.cleve.alc@gmail.com</x:v>
      </x:c>
      <x:c r="Y1799" s="22" t="str">
        <x:f>"21986642232"</x:f>
        <x:v>21986642232</x:v>
      </x:c>
      <x:c r="Z1799" s="30" t="n">
        <x:v>46474</x:v>
      </x:c>
    </x:row>
    <x:row r="1800" ht="18" customHeight="1">
      <x:c r="A1800" s="22" t="str">
        <x:f>"2e78d541-87e6-4878-9fa2-c42fb9062669"</x:f>
        <x:v>2e78d541-87e6-4878-9fa2-c42fb9062669</x:v>
      </x:c>
      <x:c r="B1800" s="23" t="str">
        <x:v>JOAO FERNANDES DE AMORIM QUEIROZ</x:v>
      </x:c>
      <x:c r="C1800" s="23" t="str">
        <x:v>joao fernandes de amorim queiroz</x:v>
      </x:c>
      <x:c r="D1800" s="22" t="str">
        <x:f>"60.492.248/0001-49"</x:f>
        <x:v>60.492.248/0001-49</x:v>
      </x:c>
      <x:c r="E1800" s="22" t="str">
        <x:f>"60492248000149"</x:f>
        <x:v>60492248000149</x:v>
      </x:c>
      <x:c r="F1800" s="22" t="str">
        <x:f>"061.895.501-18"</x:f>
        <x:v>061.895.501-18</x:v>
      </x:c>
      <x:c r="G1800" s="22" t="str">
        <x:f>"06189550118"</x:f>
        <x:v>06189550118</x:v>
      </x:c>
      <x:c r="H1800" s="23" t="str">
        <x:v>joaofamorim70@gmail.com</x:v>
      </x:c>
      <x:c r="I1800" s="22" t="str">
        <x:f>"65992290907"</x:f>
        <x:v>65992290907</x:v>
      </x:c>
      <x:c r="J1800" s="23" t="str">
        <x:v>SPOT</x:v>
      </x:c>
      <x:c r="K1800" s="23" t="str">
        <x:v>favored_only</x:v>
      </x:c>
      <x:c r="L1800" s="24" t="b">
        <x:v>1</x:v>
      </x:c>
      <x:c r="M1800" s="23" t="n">
        <x:v>1</x:v>
      </x:c>
      <x:c r="N1800" s="28" t="n">
        <x:v>46219.812988715275</x:v>
      </x:c>
      <x:c r="O1800" s="28" t="n">
        <x:v>46219.812988715275</x:v>
      </x:c>
      <x:c r="P1800" s="23" t="str">
        <x:v>CUIABA</x:v>
      </x:c>
      <x:c r="Q1800" s="30" t="n">
        <x:v>36920</x:v>
      </x:c>
      <x:c r="R1800" s="22" t="str">
        <x:f>"27356345"</x:f>
        <x:v>27356345</x:v>
      </x:c>
      <x:c r="S1800" s="23" t="str">
        <x:v>masculino</x:v>
      </x:c>
      <x:c r="T1800" s="22" t="str">
        <x:f>"SIJ0A78"</x:f>
        <x:v>SIJ0A78</x:v>
      </x:c>
      <x:c r="U1800" s="23" t="str">
        <x:v>VICTOR HUGO ANTUNES VIEIRA</x:v>
      </x:c>
      <x:c r="V1800" s="22" t="str">
        <x:f>"039.196.241-81"</x:f>
        <x:v>039.196.241-81</x:v>
      </x:c>
      <x:c r="W1800" s="22" t="str">
        <x:f>"03919624181"</x:f>
        <x:v>03919624181</x:v>
      </x:c>
      <x:c r="X1800" s="23" t="str">
        <x:v>victor_antunes23@hotmail.com</x:v>
      </x:c>
      <x:c r="Y1800" s="22" t="str">
        <x:f>"65998197307"</x:f>
        <x:v>65998197307</x:v>
      </x:c>
      <x:c r="Z1800" s="30" t="n">
        <x:v>46544</x:v>
      </x:c>
    </x:row>
    <x:row r="1801" ht="18" customHeight="1">
      <x:c r="A1801" s="22" t="str">
        <x:f>"5860be70-0370-4fd4-a165-5c4efd566615"</x:f>
        <x:v>5860be70-0370-4fd4-a165-5c4efd566615</x:v>
      </x:c>
      <x:c r="B1801" s="23" t="str">
        <x:v>JOAO GABRIEL BOMFIM BATISTA</x:v>
      </x:c>
      <x:c r="C1801" s="23" t="str">
        <x:v>joao gabriel bomfim batista</x:v>
      </x:c>
      <x:c r="D1801" s="22" t="str">
        <x:f>"62.729.204/0001-15"</x:f>
        <x:v>62.729.204/0001-15</x:v>
      </x:c>
      <x:c r="E1801" s="22" t="str">
        <x:f>"62729204000115"</x:f>
        <x:v>62729204000115</x:v>
      </x:c>
      <x:c r="F1801" s="22" t="str">
        <x:f>"400.439.728-61"</x:f>
        <x:v>400.439.728-61</x:v>
      </x:c>
      <x:c r="G1801" s="22" t="str">
        <x:f>"40043972861"</x:f>
        <x:v>40043972861</x:v>
      </x:c>
      <x:c r="H1801" s="23" t="str">
        <x:v>bomfimjoaogabriel@gmail.com</x:v>
      </x:c>
      <x:c r="I1801" s="22" t="str">
        <x:f>"(16) 98199-7163"</x:f>
        <x:v>(16) 98199-7163</x:v>
      </x:c>
      <x:c r="J1801" s="23" t="str">
        <x:v>SPOT</x:v>
      </x:c>
      <x:c r="K1801" s="23" t="str">
        <x:v>favored_only</x:v>
      </x:c>
      <x:c r="L1801" s="24" t="b">
        <x:v>1</x:v>
      </x:c>
      <x:c r="M1801" s="23" t="n">
        <x:v>1</x:v>
      </x:c>
      <x:c r="N1801" s="28" t="n">
        <x:v>46205.604649837966</x:v>
      </x:c>
      <x:c r="O1801" s="28" t="n">
        <x:v>46219.812988715275</x:v>
      </x:c>
      <x:c r="P1801" s="23" t="str">
        <x:v>RIBEIRAO PRETO</x:v>
      </x:c>
      <x:c r="Q1801" s="30" t="n">
        <x:v>36230</x:v>
      </x:c>
      <x:c r="R1801" s="22" t="str">
        <x:f>"39599731"</x:f>
        <x:v>39599731</x:v>
      </x:c>
      <x:c r="S1801" s="23" t="str">
        <x:v>masculino</x:v>
      </x:c>
      <x:c r="T1801" s="22" t="str">
        <x:f>"QXB8J43"</x:f>
        <x:v>QXB8J43</x:v>
      </x:c>
      <x:c r="U1801" s="23" t="str">
        <x:v>ANA LUIZA DE SOUZA</x:v>
      </x:c>
      <x:c r="V1801" s="22" t="str">
        <x:f>"400.439.728-61"</x:f>
        <x:v>400.439.728-61</x:v>
      </x:c>
      <x:c r="W1801" s="22" t="str">
        <x:f>"40043972861"</x:f>
        <x:v>40043972861</x:v>
      </x:c>
      <x:c r="X1801" s="23" t="str">
        <x:v>analuiza.ifsp@outlook.com</x:v>
      </x:c>
      <x:c r="Y1801" s="22" t="str">
        <x:f>"(16) 99460-1336"</x:f>
        <x:v>(16) 99460-1336</x:v>
      </x:c>
      <x:c r="Z1801" s="30" t="n">
        <x:v>46288</x:v>
      </x:c>
    </x:row>
    <x:row r="1802" ht="18" customHeight="1">
      <x:c r="A1802" s="22" t="str">
        <x:f>"7ac491cb-b272-42fe-9b37-3121c89e7336"</x:f>
        <x:v>7ac491cb-b272-42fe-9b37-3121c89e7336</x:v>
      </x:c>
      <x:c r="B1802" s="23" t="str">
        <x:v>JOAO GABRIEL BORGES DA SILVA</x:v>
      </x:c>
      <x:c r="C1802" s="23" t="str">
        <x:v>joao gabriel borges da silva</x:v>
      </x:c>
      <x:c r="D1802" s="22" t="str">
        <x:f>"49.816.567/0001-20"</x:f>
        <x:v>49.816.567/0001-20</x:v>
      </x:c>
      <x:c r="E1802" s="22" t="str">
        <x:f>"49816567000120"</x:f>
        <x:v>49816567000120</x:v>
      </x:c>
      <x:c r="F1802" s="22" t="str">
        <x:f>"526.871.768-50"</x:f>
        <x:v>526.871.768-50</x:v>
      </x:c>
      <x:c r="G1802" s="22" t="str">
        <x:f>"52687176850"</x:f>
        <x:v>52687176850</x:v>
      </x:c>
      <x:c r="H1802" s="23" t="str">
        <x:v>Joao9gabriel11@gmail.com</x:v>
      </x:c>
      <x:c r="I1802" s="22" t="str">
        <x:f>"17997889692"</x:f>
        <x:v>17997889692</x:v>
      </x:c>
      <x:c r="J1802" s="23" t="str">
        <x:v>spot</x:v>
      </x:c>
      <x:c r="K1802" s="23" t="str">
        <x:v>favored_only</x:v>
      </x:c>
      <x:c r="L1802" s="24" t="b">
        <x:v>1</x:v>
      </x:c>
      <x:c r="M1802" s="23" t="n">
        <x:v>1</x:v>
      </x:c>
      <x:c r="N1802" s="28" t="n">
        <x:v>46219.812988715275</x:v>
      </x:c>
      <x:c r="O1802" s="28" t="n">
        <x:v>46219.812988715275</x:v>
      </x:c>
      <x:c r="P1802" s="23" t="str">
        <x:v>JALES</x:v>
      </x:c>
      <x:c r="Q1802" s="30" t="n">
        <x:v>38666</x:v>
      </x:c>
      <x:c r="R1802" s="22" t="str">
        <x:f>"63279091"</x:f>
        <x:v>63279091</x:v>
      </x:c>
      <x:c r="S1802" s="23" t="str">
        <x:v>masculino</x:v>
      </x:c>
      <x:c r="T1802" s="22" t="str">
        <x:f>"UEU6F78"</x:f>
        <x:v>UEU6F78</x:v>
      </x:c>
      <x:c r="U1802" s="23" t="str">
        <x:v>JOAO GABRIEL BORGES DA SILVA</x:v>
      </x:c>
      <x:c r="V1802" s="22" t="str">
        <x:f>"526.871.768-50"</x:f>
        <x:v>526.871.768-50</x:v>
      </x:c>
      <x:c r="W1802" s="22" t="str">
        <x:f>"52687176850"</x:f>
        <x:v>52687176850</x:v>
      </x:c>
      <x:c r="X1802" s="23" t="str">
        <x:v>Joao9gabriel11@gmail.com</x:v>
      </x:c>
      <x:c r="Y1802" s="22" t="str">
        <x:f>"17997889692"</x:f>
        <x:v>17997889692</x:v>
      </x:c>
      <x:c r="Z1802" s="30" t="n">
        <x:v>46582</x:v>
      </x:c>
    </x:row>
    <x:row r="1803" ht="18" customHeight="1">
      <x:c r="A1803" s="22" t="str">
        <x:f>"634ed669-93eb-4722-af5d-c18b8371f7ec"</x:f>
        <x:v>634ed669-93eb-4722-af5d-c18b8371f7ec</x:v>
      </x:c>
      <x:c r="B1803" s="23" t="str">
        <x:v>JOAO GABRIEL DE ALMEIDA SANTOS</x:v>
      </x:c>
      <x:c r="C1803" s="23" t="str">
        <x:v>joao gabriel de almeida santos</x:v>
      </x:c>
      <x:c r="D1803" s="22" t="str">
        <x:f>"59.122.806/0001-03"</x:f>
        <x:v>59.122.806/0001-03</x:v>
      </x:c>
      <x:c r="E1803" s="22" t="str">
        <x:f>"59122806000103"</x:f>
        <x:v>59122806000103</x:v>
      </x:c>
      <x:c r="F1803" s="22" t="str">
        <x:f>"493.084.738-90"</x:f>
        <x:v>493.084.738-90</x:v>
      </x:c>
      <x:c r="G1803" s="22" t="str">
        <x:f>"49308473890"</x:f>
        <x:v>49308473890</x:v>
      </x:c>
      <x:c r="H1803" s="23" t="str">
        <x:v>joaogabrielalmeidasantos04@gmail.com</x:v>
      </x:c>
      <x:c r="I1803" s="22" t="str">
        <x:f>"14974022486"</x:f>
        <x:v>14974022486</x:v>
      </x:c>
      <x:c r="J1803" s="23" t="str">
        <x:v>RENTAL</x:v>
      </x:c>
      <x:c r="K1803" s="23" t="str">
        <x:v>rental_company</x:v>
      </x:c>
      <x:c r="L1803" s="24" t="b">
        <x:v>1</x:v>
      </x:c>
      <x:c r="M1803" s="23" t="n">
        <x:v>1</x:v>
      </x:c>
      <x:c r="N1803" s="28" t="n">
        <x:v>46203.92188238426</x:v>
      </x:c>
      <x:c r="O1803" s="28" t="n">
        <x:v>46219.812988715275</x:v>
      </x:c>
      <x:c r="P1803" s="23" t="str">
        <x:v>MARILIA</x:v>
      </x:c>
      <x:c r="Q1803" s="30" t="n">
        <x:v>38261</x:v>
      </x:c>
      <x:c r="R1803" s="22" t="str">
        <x:f>"594966966"</x:f>
        <x:v>594966966</x:v>
      </x:c>
      <x:c r="S1803" s="23" t="str">
        <x:v>masculino</x:v>
      </x:c>
      <x:c r="T1803" s="22" t="str"/>
      <x:c r="U1803" s="23" t="str">
        <x:v>JOAO GABRIEL DE ALMEIDA SANTOS</x:v>
      </x:c>
      <x:c r="V1803" s="22" t="str">
        <x:f>"493.084.738-90"</x:f>
        <x:v>493.084.738-90</x:v>
      </x:c>
      <x:c r="W1803" s="22" t="str">
        <x:f>"49308473890"</x:f>
        <x:v>49308473890</x:v>
      </x:c>
      <x:c r="X1803" s="23" t="str">
        <x:v>joaogabrielalmeidasantos04@gmail.com</x:v>
      </x:c>
      <x:c r="Y1803" s="22" t="str">
        <x:f>"14974022486"</x:f>
        <x:v>14974022486</x:v>
      </x:c>
      <x:c r="Z1803" s="30" t="n">
        <x:v>46323</x:v>
      </x:c>
    </x:row>
    <x:row r="1804" ht="18" customHeight="1">
      <x:c r="A1804" s="22" t="str">
        <x:f>"45dd6f9e-bf93-40dc-b036-15a2ba6be2c2"</x:f>
        <x:v>45dd6f9e-bf93-40dc-b036-15a2ba6be2c2</x:v>
      </x:c>
      <x:c r="B1804" s="23" t="str">
        <x:v>JOÃO GABRIEL DE PAULA</x:v>
      </x:c>
      <x:c r="C1804" s="23" t="str">
        <x:v>joao gabriel de paula</x:v>
      </x:c>
      <x:c r="D1804" s="22" t="str">
        <x:f>"35.287.233/0001-00"</x:f>
        <x:v>35.287.233/0001-00</x:v>
      </x:c>
      <x:c r="E1804" s="22" t="str">
        <x:f>"35287233000100"</x:f>
        <x:v>35287233000100</x:v>
      </x:c>
      <x:c r="F1804" s="22" t="str">
        <x:f>"154.376.776-18"</x:f>
        <x:v>154.376.776-18</x:v>
      </x:c>
      <x:c r="G1804" s="22" t="str">
        <x:f>"15437677618"</x:f>
        <x:v>15437677618</x:v>
      </x:c>
      <x:c r="H1804" s="23" t="str">
        <x:v>joaodepaulatico@outlook.com</x:v>
      </x:c>
      <x:c r="I1804" s="22" t="str">
        <x:f>"(35)99956-2260"</x:f>
        <x:v>(35)99956-2260</x:v>
      </x:c>
      <x:c r="J1804" s="23" t="str">
        <x:v>RENTAL</x:v>
      </x:c>
      <x:c r="K1804" s="23" t="str">
        <x:v>rental_company</x:v>
      </x:c>
      <x:c r="L1804" s="24" t="b">
        <x:v>1</x:v>
      </x:c>
      <x:c r="M1804" s="23" t="n">
        <x:v>1</x:v>
      </x:c>
      <x:c r="N1804" s="28" t="n">
        <x:v>46203.921840393516</x:v>
      </x:c>
      <x:c r="O1804" s="28" t="n">
        <x:v>46205.605025578705</x:v>
      </x:c>
      <x:c r="P1804" s="23" t="str">
        <x:v>POUSO ALEGRE</x:v>
      </x:c>
      <x:c r="Q1804" s="30" t="n">
        <x:v>36983</x:v>
      </x:c>
      <x:c r="R1804" s="22" t="str">
        <x:f>"MG22646464 SSP MG"</x:f>
        <x:v>MG22646464 SSP MG</x:v>
      </x:c>
      <x:c r="S1804" s="23" t="str">
        <x:v>Masculino</x:v>
      </x:c>
      <x:c r="T1804" s="22" t="str"/>
      <x:c r="U1804" s="23" t="str">
        <x:v>JOÃO GABRIEL DE PAULA</x:v>
      </x:c>
      <x:c r="V1804" s="22" t="str">
        <x:f>"154.376.776-18"</x:f>
        <x:v>154.376.776-18</x:v>
      </x:c>
      <x:c r="W1804" s="22" t="str">
        <x:f>"15437677618"</x:f>
        <x:v>15437677618</x:v>
      </x:c>
      <x:c r="X1804" s="23" t="str">
        <x:v>joaodepaulatico@outlook.com</x:v>
      </x:c>
      <x:c r="Y1804" s="22" t="str">
        <x:f>"(35)99956-2260"</x:f>
        <x:v>(35)99956-2260</x:v>
      </x:c>
      <x:c r="Z1804" s="30" t="n">
        <x:v>46224</x:v>
      </x:c>
    </x:row>
    <x:row r="1805" ht="18" customHeight="1">
      <x:c r="A1805" s="22" t="str">
        <x:f>"5a4dbd2b-fcc3-4c7e-9b31-b7316c2490ce"</x:f>
        <x:v>5a4dbd2b-fcc3-4c7e-9b31-b7316c2490ce</x:v>
      </x:c>
      <x:c r="B1805" s="23" t="str">
        <x:v>João Gomes de Oliveira</x:v>
      </x:c>
      <x:c r="C1805" s="23" t="str">
        <x:v>joao gomes de oliveira</x:v>
      </x:c>
      <x:c r="D1805" s="22" t="str">
        <x:f>"26508429/0001-88"</x:f>
        <x:v>26508429/0001-88</x:v>
      </x:c>
      <x:c r="E1805" s="22" t="str">
        <x:f>"26508429000188"</x:f>
        <x:v>26508429000188</x:v>
      </x:c>
      <x:c r="F1805" s="22" t="str">
        <x:f>"23389133100"</x:f>
        <x:v>23389133100</x:v>
      </x:c>
      <x:c r="G1805" s="22" t="str">
        <x:f>"23389133100"</x:f>
        <x:v>23389133100</x:v>
      </x:c>
      <x:c r="H1805" s="23" t="str">
        <x:v>jeejessica911@gmail.com</x:v>
      </x:c>
      <x:c r="I1805" s="22" t="str">
        <x:f>"67 8210-7304"</x:f>
        <x:v>67 8210-7304</x:v>
      </x:c>
      <x:c r="J1805" s="23" t="str">
        <x:v>SPOT</x:v>
      </x:c>
      <x:c r="K1805" s="23" t="str">
        <x:v>favored_only</x:v>
      </x:c>
      <x:c r="L1805" s="24" t="b">
        <x:v>1</x:v>
      </x:c>
      <x:c r="M1805" s="23" t="n">
        <x:v>1</x:v>
      </x:c>
      <x:c r="N1805" s="28" t="n">
        <x:v>46203.921904421295</x:v>
      </x:c>
      <x:c r="O1805" s="28" t="n">
        <x:v>46203.921904421295</x:v>
      </x:c>
      <x:c r="P1805" s="23" t="str"/>
      <x:c r="Q1805" s="30" t="str"/>
      <x:c r="R1805" s="22" t="str"/>
      <x:c r="S1805" s="23" t="str"/>
      <x:c r="T1805" s="22" t="str"/>
      <x:c r="U1805" s="23" t="str">
        <x:v>João Gomes de Oliveira</x:v>
      </x:c>
      <x:c r="V1805" s="22" t="str">
        <x:f>"23389133100"</x:f>
        <x:v>23389133100</x:v>
      </x:c>
      <x:c r="W1805" s="22" t="str">
        <x:f>"23389133100"</x:f>
        <x:v>23389133100</x:v>
      </x:c>
      <x:c r="X1805" s="23" t="str">
        <x:v>jeejessica911@gmail.com</x:v>
      </x:c>
      <x:c r="Y1805" s="22" t="str">
        <x:f>"67 8210-7304"</x:f>
        <x:v>67 8210-7304</x:v>
      </x:c>
      <x:c r="Z1805" s="30" t="str"/>
    </x:row>
    <x:row r="1806" ht="18" customHeight="1">
      <x:c r="A1806" s="22" t="str">
        <x:f>"35a56526-f147-44ad-824c-a7d1e71ce600"</x:f>
        <x:v>35a56526-f147-44ad-824c-a7d1e71ce600</x:v>
      </x:c>
      <x:c r="B1806" s="23" t="str">
        <x:v>JOAO GUILHERME DA SILVA</x:v>
      </x:c>
      <x:c r="C1806" s="23" t="str">
        <x:v>joao guilherme da silva</x:v>
      </x:c>
      <x:c r="D1806" s="22" t="str">
        <x:f>"64.244.943/0001-42"</x:f>
        <x:v>64.244.943/0001-42</x:v>
      </x:c>
      <x:c r="E1806" s="22" t="str">
        <x:f>"64244943000142"</x:f>
        <x:v>64244943000142</x:v>
      </x:c>
      <x:c r="F1806" s="22" t="str">
        <x:f>"066.873.271-78"</x:f>
        <x:v>066.873.271-78</x:v>
      </x:c>
      <x:c r="G1806" s="22" t="str">
        <x:f>"06687327178"</x:f>
        <x:v>06687327178</x:v>
      </x:c>
      <x:c r="H1806" s="23" t="str">
        <x:v>joaoguilhermes399@gmail.com</x:v>
      </x:c>
      <x:c r="I1806" s="22" t="str">
        <x:f>"65993060327"</x:f>
        <x:v>65993060327</x:v>
      </x:c>
      <x:c r="J1806" s="23" t="str">
        <x:v>RENTAL</x:v>
      </x:c>
      <x:c r="K1806" s="23" t="str">
        <x:v>rental_company</x:v>
      </x:c>
      <x:c r="L1806" s="24" t="b">
        <x:v>1</x:v>
      </x:c>
      <x:c r="M1806" s="23" t="n">
        <x:v>1</x:v>
      </x:c>
      <x:c r="N1806" s="28" t="n">
        <x:v>46219.812988715275</x:v>
      </x:c>
      <x:c r="O1806" s="28" t="n">
        <x:v>46219.812988715275</x:v>
      </x:c>
      <x:c r="P1806" s="23" t="str">
        <x:v>CUIABA</x:v>
      </x:c>
      <x:c r="Q1806" s="30" t="n">
        <x:v>37248</x:v>
      </x:c>
      <x:c r="R1806" s="22" t="str">
        <x:f>"6687327178"</x:f>
        <x:v>6687327178</x:v>
      </x:c>
      <x:c r="S1806" s="23" t="str">
        <x:v>masculino</x:v>
      </x:c>
      <x:c r="T1806" s="22" t="str"/>
      <x:c r="U1806" s="23" t="str">
        <x:v>JOAO GUILHERME DA SILVA</x:v>
      </x:c>
      <x:c r="V1806" s="22" t="str">
        <x:f>"066.873.271-78"</x:f>
        <x:v>066.873.271-78</x:v>
      </x:c>
      <x:c r="W1806" s="22" t="str">
        <x:f>"06687327178"</x:f>
        <x:v>06687327178</x:v>
      </x:c>
      <x:c r="X1806" s="23" t="str">
        <x:v>joaoguilhermes399@gmail.com</x:v>
      </x:c>
      <x:c r="Y1806" s="22" t="str">
        <x:f>"65993060327"</x:f>
        <x:v>65993060327</x:v>
      </x:c>
      <x:c r="Z1806" s="30" t="n">
        <x:v>46469</x:v>
      </x:c>
    </x:row>
    <x:row r="1807" ht="18" customHeight="1">
      <x:c r="A1807" s="22" t="str">
        <x:f>"46edd564-fe3a-4db3-b57f-88fe9f508671"</x:f>
        <x:v>46edd564-fe3a-4db3-b57f-88fe9f508671</x:v>
      </x:c>
      <x:c r="B1807" s="23" t="str">
        <x:v>JOAO GUILHERME SILVA FERREIRA</x:v>
      </x:c>
      <x:c r="C1807" s="23" t="str">
        <x:v>joao guilherme silva ferreira</x:v>
      </x:c>
      <x:c r="D1807" s="22" t="str">
        <x:f>"57.342.712/0001-06"</x:f>
        <x:v>57.342.712/0001-06</x:v>
      </x:c>
      <x:c r="E1807" s="22" t="str">
        <x:f>"57342712000106"</x:f>
        <x:v>57342712000106</x:v>
      </x:c>
      <x:c r="F1807" s="22" t="str">
        <x:f>"139.768.687-10"</x:f>
        <x:v>139.768.687-10</x:v>
      </x:c>
      <x:c r="G1807" s="22" t="str">
        <x:f>"13976868710"</x:f>
        <x:v>13976868710</x:v>
      </x:c>
      <x:c r="H1807" s="23" t="str">
        <x:v>joaoguilherme.log27@gmail.com</x:v>
      </x:c>
      <x:c r="I1807" s="22" t="str">
        <x:f>"21971532327"</x:f>
        <x:v>21971532327</x:v>
      </x:c>
      <x:c r="J1807" s="23" t="str">
        <x:v>SPOT</x:v>
      </x:c>
      <x:c r="K1807" s="23" t="str">
        <x:v>favored_only</x:v>
      </x:c>
      <x:c r="L1807" s="24" t="b">
        <x:v>1</x:v>
      </x:c>
      <x:c r="M1807" s="23" t="n">
        <x:v>2</x:v>
      </x:c>
      <x:c r="N1807" s="28" t="n">
        <x:v>46203.92189965278</x:v>
      </x:c>
      <x:c r="O1807" s="28" t="n">
        <x:v>46219.812988715275</x:v>
      </x:c>
      <x:c r="P1807" s="23" t="str">
        <x:v>QUEIMADOS</x:v>
      </x:c>
      <x:c r="Q1807" s="30" t="n">
        <x:v>34143</x:v>
      </x:c>
      <x:c r="R1807" s="22" t="str">
        <x:f>"275772267"</x:f>
        <x:v>275772267</x:v>
      </x:c>
      <x:c r="S1807" s="23" t="str">
        <x:v>masculino</x:v>
      </x:c>
      <x:c r="T1807" s="22" t="str">
        <x:f>"LLW2G20"</x:f>
        <x:v>LLW2G20</x:v>
      </x:c>
      <x:c r="U1807" s="23" t="str">
        <x:v>JOAO GUILHERME SILVA FERREIRA</x:v>
      </x:c>
      <x:c r="V1807" s="22" t="str">
        <x:f>"139.768.687-10"</x:f>
        <x:v>139.768.687-10</x:v>
      </x:c>
      <x:c r="W1807" s="22" t="str">
        <x:f>"13976868710"</x:f>
        <x:v>13976868710</x:v>
      </x:c>
      <x:c r="X1807" s="23" t="str">
        <x:v>joaoguilherme.log27@gmail.com</x:v>
      </x:c>
      <x:c r="Y1807" s="22" t="str">
        <x:f>"21971532327"</x:f>
        <x:v>21971532327</x:v>
      </x:c>
      <x:c r="Z1807" s="30" t="n">
        <x:v>46397</x:v>
      </x:c>
    </x:row>
    <x:row r="1808" ht="18" customHeight="1">
      <x:c r="A1808" s="22" t="str">
        <x:f>"98f68bf8-b9fe-43f3-a1d4-8c00ad51b0b8"</x:f>
        <x:v>98f68bf8-b9fe-43f3-a1d4-8c00ad51b0b8</x:v>
      </x:c>
      <x:c r="B1808" s="23" t="str">
        <x:v>JOAO HORACIO FERREIRA GUILHERME</x:v>
      </x:c>
      <x:c r="C1808" s="23" t="str">
        <x:v>joao horacio ferreira guilherme</x:v>
      </x:c>
      <x:c r="D1808" s="22" t="str">
        <x:f>"63.749.587/0001-56"</x:f>
        <x:v>63.749.587/0001-56</x:v>
      </x:c>
      <x:c r="E1808" s="22" t="str">
        <x:f>"63749587000156"</x:f>
        <x:v>63749587000156</x:v>
      </x:c>
      <x:c r="F1808" s="22" t="str">
        <x:f>"205.348.628-70"</x:f>
        <x:v>205.348.628-70</x:v>
      </x:c>
      <x:c r="G1808" s="22" t="str">
        <x:f>"20534862870"</x:f>
        <x:v>20534862870</x:v>
      </x:c>
      <x:c r="H1808" s="23" t="str">
        <x:v>Joaohoracioflex@gmail.com</x:v>
      </x:c>
      <x:c r="I1808" s="22" t="str">
        <x:f>"34991947979"</x:f>
        <x:v>34991947979</x:v>
      </x:c>
      <x:c r="J1808" s="23" t="str">
        <x:v>SPOT</x:v>
      </x:c>
      <x:c r="K1808" s="23" t="str">
        <x:v>favored_only</x:v>
      </x:c>
      <x:c r="L1808" s="24" t="b">
        <x:v>1</x:v>
      </x:c>
      <x:c r="M1808" s="23" t="n">
        <x:v>1</x:v>
      </x:c>
      <x:c r="N1808" s="28" t="n">
        <x:v>46203.92189965278</x:v>
      </x:c>
      <x:c r="O1808" s="28" t="n">
        <x:v>46219.812988715275</x:v>
      </x:c>
      <x:c r="P1808" s="23" t="str">
        <x:v>UBERLANDIA</x:v>
      </x:c>
      <x:c r="Q1808" s="30" t="n">
        <x:v>24768</x:v>
      </x:c>
      <x:c r="R1808" s="22" t="str">
        <x:f>"181954321"</x:f>
        <x:v>181954321</x:v>
      </x:c>
      <x:c r="S1808" s="23" t="str">
        <x:v>masculino</x:v>
      </x:c>
      <x:c r="T1808" s="22" t="str">
        <x:f>"RTM5H63"</x:f>
        <x:v>RTM5H63</x:v>
      </x:c>
      <x:c r="U1808" s="23" t="str">
        <x:v>JOAO HORACIO FERREIRA GUILHERME</x:v>
      </x:c>
      <x:c r="V1808" s="22" t="str">
        <x:f>"205.348.628-70"</x:f>
        <x:v>205.348.628-70</x:v>
      </x:c>
      <x:c r="W1808" s="22" t="str">
        <x:f>"20534862870"</x:f>
        <x:v>20534862870</x:v>
      </x:c>
      <x:c r="X1808" s="23" t="str">
        <x:v>Joaohoracioflex@gmail.com</x:v>
      </x:c>
      <x:c r="Y1808" s="22" t="str">
        <x:f>"34991947979"</x:f>
        <x:v>34991947979</x:v>
      </x:c>
      <x:c r="Z1808" s="30" t="n">
        <x:v>46359</x:v>
      </x:c>
    </x:row>
    <x:row r="1809" ht="18" customHeight="1">
      <x:c r="A1809" s="22" t="str">
        <x:f>"f4896f3d-67b8-4e88-ae4e-9e9f33c93fb4"</x:f>
        <x:v>f4896f3d-67b8-4e88-ae4e-9e9f33c93fb4</x:v>
      </x:c>
      <x:c r="B1809" s="23" t="str">
        <x:v>JOAO LUCAS MARONI</x:v>
      </x:c>
      <x:c r="C1809" s="23" t="str">
        <x:v>joao lucas maroni</x:v>
      </x:c>
      <x:c r="D1809" s="22" t="str">
        <x:f>"67.080.968/0001-46"</x:f>
        <x:v>67.080.968/0001-46</x:v>
      </x:c>
      <x:c r="E1809" s="22" t="str">
        <x:f>"67080968000146"</x:f>
        <x:v>67080968000146</x:v>
      </x:c>
      <x:c r="F1809" s="22" t="str">
        <x:f>"075.869.911-54"</x:f>
        <x:v>075.869.911-54</x:v>
      </x:c>
      <x:c r="G1809" s="22" t="str">
        <x:f>"07586991154"</x:f>
        <x:v>07586991154</x:v>
      </x:c>
      <x:c r="H1809" s="23" t="str">
        <x:v>joaolucasmaroni@hotmail.com</x:v>
      </x:c>
      <x:c r="I1809" s="22" t="str">
        <x:f>"(65) 99817-0263"</x:f>
        <x:v>(65) 99817-0263</x:v>
      </x:c>
      <x:c r="J1809" s="23" t="str">
        <x:v>SPOT</x:v>
      </x:c>
      <x:c r="K1809" s="23" t="str">
        <x:v>favored_only</x:v>
      </x:c>
      <x:c r="L1809" s="24" t="b">
        <x:v>1</x:v>
      </x:c>
      <x:c r="M1809" s="23" t="n">
        <x:v>1</x:v>
      </x:c>
      <x:c r="N1809" s="28" t="n">
        <x:v>46219.812988715275</x:v>
      </x:c>
      <x:c r="O1809" s="28" t="n">
        <x:v>46219.812988715275</x:v>
      </x:c>
      <x:c r="P1809" s="23" t="str">
        <x:v>CUIABA</x:v>
      </x:c>
      <x:c r="Q1809" s="30" t="n">
        <x:v>38633</x:v>
      </x:c>
      <x:c r="R1809" s="22" t="str">
        <x:f>"30080185"</x:f>
        <x:v>30080185</x:v>
      </x:c>
      <x:c r="S1809" s="23" t="str">
        <x:v>masculino</x:v>
      </x:c>
      <x:c r="T1809" s="22" t="str">
        <x:f>"RMY6H47"</x:f>
        <x:v>RMY6H47</x:v>
      </x:c>
      <x:c r="U1809" s="23" t="str">
        <x:v>JOAO LUCAS MARONI</x:v>
      </x:c>
      <x:c r="V1809" s="22" t="str">
        <x:f>"075.869.911-54"</x:f>
        <x:v>075.869.911-54</x:v>
      </x:c>
      <x:c r="W1809" s="22" t="str">
        <x:f>"07586991154"</x:f>
        <x:v>07586991154</x:v>
      </x:c>
      <x:c r="X1809" s="23" t="str">
        <x:v>joaolucasmaroni@hotmail.com</x:v>
      </x:c>
      <x:c r="Y1809" s="22" t="str">
        <x:f>"(65) 99817-0263"</x:f>
        <x:v>(65) 99817-0263</x:v>
      </x:c>
      <x:c r="Z1809" s="30" t="n">
        <x:v>46553</x:v>
      </x:c>
    </x:row>
    <x:row r="1810" ht="18" customHeight="1">
      <x:c r="A1810" s="22" t="str">
        <x:f>"ff59dfe8-5f4c-4af7-a43b-29c7d0003c6f"</x:f>
        <x:v>ff59dfe8-5f4c-4af7-a43b-29c7d0003c6f</x:v>
      </x:c>
      <x:c r="B1810" s="23" t="str">
        <x:v>JOAO LUIS DE ASSIS CHAGAS PEREIRA</x:v>
      </x:c>
      <x:c r="C1810" s="23" t="str">
        <x:v>joao luis de assis chagas pereira</x:v>
      </x:c>
      <x:c r="D1810" s="22" t="str">
        <x:f>"39.258.441/0001-23"</x:f>
        <x:v>39.258.441/0001-23</x:v>
      </x:c>
      <x:c r="E1810" s="22" t="str">
        <x:f>"39258441000123"</x:f>
        <x:v>39258441000123</x:v>
      </x:c>
      <x:c r="F1810" s="22" t="str">
        <x:f>"053.834.027-48"</x:f>
        <x:v>053.834.027-48</x:v>
      </x:c>
      <x:c r="G1810" s="22" t="str">
        <x:f>"05383402748"</x:f>
        <x:v>05383402748</x:v>
      </x:c>
      <x:c r="H1810" s="23" t="str">
        <x:v>joaoluisdeassis1983@gmail.com</x:v>
      </x:c>
      <x:c r="I1810" s="22" t="str">
        <x:f>"21998840603"</x:f>
        <x:v>21998840603</x:v>
      </x:c>
      <x:c r="J1810" s="23" t="str">
        <x:v>SPOT</x:v>
      </x:c>
      <x:c r="K1810" s="23" t="str">
        <x:v>favored_only</x:v>
      </x:c>
      <x:c r="L1810" s="24" t="b">
        <x:v>1</x:v>
      </x:c>
      <x:c r="M1810" s="23" t="n">
        <x:v>1</x:v>
      </x:c>
      <x:c r="N1810" s="28" t="n">
        <x:v>46203.92189965278</x:v>
      </x:c>
      <x:c r="O1810" s="28" t="n">
        <x:v>46219.812988715275</x:v>
      </x:c>
      <x:c r="P1810" s="23" t="str">
        <x:v>CAMPO GRANDE</x:v>
      </x:c>
      <x:c r="Q1810" s="30" t="n">
        <x:v>30631</x:v>
      </x:c>
      <x:c r="R1810" s="22" t="str">
        <x:f>"1530387"</x:f>
        <x:v>1530387</x:v>
      </x:c>
      <x:c r="S1810" s="23" t="str">
        <x:v>masculino</x:v>
      </x:c>
      <x:c r="T1810" s="22" t="str">
        <x:f>"KWJ8H51"</x:f>
        <x:v>KWJ8H51</x:v>
      </x:c>
      <x:c r="U1810" s="23" t="str">
        <x:v>JOAO LUIS DE ASSIS CHAGAS PEREIRA</x:v>
      </x:c>
      <x:c r="V1810" s="22" t="str">
        <x:f>"053.834.027-48"</x:f>
        <x:v>053.834.027-48</x:v>
      </x:c>
      <x:c r="W1810" s="22" t="str">
        <x:f>"05383402748"</x:f>
        <x:v>05383402748</x:v>
      </x:c>
      <x:c r="X1810" s="23" t="str">
        <x:v>joaoluisdeassis1983@gmail.com</x:v>
      </x:c>
      <x:c r="Y1810" s="22" t="str">
        <x:f>"21998840603"</x:f>
        <x:v>21998840603</x:v>
      </x:c>
      <x:c r="Z1810" s="30" t="n">
        <x:v>46351</x:v>
      </x:c>
    </x:row>
    <x:row r="1811" ht="18" customHeight="1">
      <x:c r="A1811" s="22" t="str">
        <x:f>"336be85c-1f48-4409-9905-827c218784fb"</x:f>
        <x:v>336be85c-1f48-4409-9905-827c218784fb</x:v>
      </x:c>
      <x:c r="B1811" s="23" t="str">
        <x:v>JOAO MANUEL DOS SANTOS</x:v>
      </x:c>
      <x:c r="C1811" s="23" t="str">
        <x:v>joao manuel dos santos</x:v>
      </x:c>
      <x:c r="D1811" s="22" t="str">
        <x:f>"58.921.700/0001-07"</x:f>
        <x:v>58.921.700/0001-07</x:v>
      </x:c>
      <x:c r="E1811" s="22" t="str">
        <x:f>"58921700000107"</x:f>
        <x:v>58921700000107</x:v>
      </x:c>
      <x:c r="F1811" s="22" t="str">
        <x:f>"102.935.201-19"</x:f>
        <x:v>102.935.201-19</x:v>
      </x:c>
      <x:c r="G1811" s="22" t="str">
        <x:f>"10293520119"</x:f>
        <x:v>10293520119</x:v>
      </x:c>
      <x:c r="H1811" s="23" t="str">
        <x:v>joaomanueld1@gmail.com</x:v>
      </x:c>
      <x:c r="I1811" s="22" t="str">
        <x:f>"65993221750"</x:f>
        <x:v>65993221750</x:v>
      </x:c>
      <x:c r="J1811" s="23" t="str">
        <x:v>SPOT</x:v>
      </x:c>
      <x:c r="K1811" s="23" t="str">
        <x:v>favored_only</x:v>
      </x:c>
      <x:c r="L1811" s="24" t="b">
        <x:v>1</x:v>
      </x:c>
      <x:c r="M1811" s="23" t="n">
        <x:v>1</x:v>
      </x:c>
      <x:c r="N1811" s="28" t="n">
        <x:v>46219.812988715275</x:v>
      </x:c>
      <x:c r="O1811" s="28" t="n">
        <x:v>46219.812988715275</x:v>
      </x:c>
      <x:c r="P1811" s="23" t="str">
        <x:v>CUIABA</x:v>
      </x:c>
      <x:c r="Q1811" s="30" t="n">
        <x:v>38518</x:v>
      </x:c>
      <x:c r="R1811" s="22" t="str">
        <x:f>"2801730-7"</x:f>
        <x:v>2801730-7</x:v>
      </x:c>
      <x:c r="S1811" s="23" t="str">
        <x:v>masculino</x:v>
      </x:c>
      <x:c r="T1811" s="22" t="str">
        <x:f>"RTV4D39"</x:f>
        <x:v>RTV4D39</x:v>
      </x:c>
      <x:c r="U1811" s="23" t="str">
        <x:v>JOAO MANUEL DOS SANTOS</x:v>
      </x:c>
      <x:c r="V1811" s="22" t="str">
        <x:f>"102.935.201-19"</x:f>
        <x:v>102.935.201-19</x:v>
      </x:c>
      <x:c r="W1811" s="22" t="str">
        <x:f>"10293520119"</x:f>
        <x:v>10293520119</x:v>
      </x:c>
      <x:c r="X1811" s="23" t="str">
        <x:v>joaomanueld1@gmail.com</x:v>
      </x:c>
      <x:c r="Y1811" s="22" t="str">
        <x:f>"65993221750"</x:f>
        <x:v>65993221750</x:v>
      </x:c>
      <x:c r="Z1811" s="30" t="n">
        <x:v>46479</x:v>
      </x:c>
    </x:row>
    <x:row r="1812" ht="18" customHeight="1">
      <x:c r="A1812" s="22" t="str">
        <x:f>"19c9df6b-cd3c-4241-abf0-2bebcbeb353e"</x:f>
        <x:v>19c9df6b-cd3c-4241-abf0-2bebcbeb353e</x:v>
      </x:c>
      <x:c r="B1812" s="23" t="str">
        <x:v>JOAO MARCELO ALVARENGA LAGOS</x:v>
      </x:c>
      <x:c r="C1812" s="23" t="str">
        <x:v>joao marcelo alvarenga lagos</x:v>
      </x:c>
      <x:c r="D1812" s="22" t="str">
        <x:f>"61.113.959/0001-28"</x:f>
        <x:v>61.113.959/0001-28</x:v>
      </x:c>
      <x:c r="E1812" s="22" t="str">
        <x:f>"61113959000128"</x:f>
        <x:v>61113959000128</x:v>
      </x:c>
      <x:c r="F1812" s="22" t="str">
        <x:f>"065.837.006-54"</x:f>
        <x:v>065.837.006-54</x:v>
      </x:c>
      <x:c r="G1812" s="22" t="str">
        <x:f>"06583700654"</x:f>
        <x:v>06583700654</x:v>
      </x:c>
      <x:c r="H1812" s="23" t="str">
        <x:v>reyentrega2025@gmail.com</x:v>
      </x:c>
      <x:c r="I1812" s="22" t="str">
        <x:f>"035 99174-6999"</x:f>
        <x:v>035 99174-6999</x:v>
      </x:c>
      <x:c r="J1812" s="23" t="str">
        <x:v>RENTAL</x:v>
      </x:c>
      <x:c r="K1812" s="23" t="str">
        <x:v>rental_company</x:v>
      </x:c>
      <x:c r="L1812" s="24" t="b">
        <x:v>1</x:v>
      </x:c>
      <x:c r="M1812" s="23" t="n">
        <x:v>1</x:v>
      </x:c>
      <x:c r="N1812" s="28" t="n">
        <x:v>46203.921858726855</x:v>
      </x:c>
      <x:c r="O1812" s="28" t="n">
        <x:v>46219.812988715275</x:v>
      </x:c>
      <x:c r="P1812" s="23" t="str">
        <x:v>POUSO ALEGRE</x:v>
      </x:c>
      <x:c r="Q1812" s="30" t="n">
        <x:v>31190</x:v>
      </x:c>
      <x:c r="R1812" s="22" t="str">
        <x:f>"13772772"</x:f>
        <x:v>13772772</x:v>
      </x:c>
      <x:c r="S1812" s="23" t="str">
        <x:v>masculino</x:v>
      </x:c>
      <x:c r="T1812" s="22" t="str"/>
      <x:c r="U1812" s="23" t="str">
        <x:v>JOAO MARCELO ALVARENGA LAGOS</x:v>
      </x:c>
      <x:c r="V1812" s="22" t="str">
        <x:f>"065.837.006-54"</x:f>
        <x:v>065.837.006-54</x:v>
      </x:c>
      <x:c r="W1812" s="22" t="str">
        <x:f>"06583700654"</x:f>
        <x:v>06583700654</x:v>
      </x:c>
      <x:c r="X1812" s="23" t="str">
        <x:v>reyentrega2025@gmail.com</x:v>
      </x:c>
      <x:c r="Y1812" s="22" t="str">
        <x:f>"035 99174-6999"</x:f>
        <x:v>035 99174-6999</x:v>
      </x:c>
      <x:c r="Z1812" s="30" t="n">
        <x:v>46260</x:v>
      </x:c>
    </x:row>
    <x:row r="1813" ht="18" customHeight="1">
      <x:c r="A1813" s="22" t="str">
        <x:f>"0cf9b619-4c73-4676-915e-c79b60570bb5"</x:f>
        <x:v>0cf9b619-4c73-4676-915e-c79b60570bb5</x:v>
      </x:c>
      <x:c r="B1813" s="23" t="str">
        <x:v>JOAO MARCIO PILA</x:v>
      </x:c>
      <x:c r="C1813" s="23" t="str">
        <x:v>joao marcio pila</x:v>
      </x:c>
      <x:c r="D1813" s="22" t="str">
        <x:f>"67.196.878/0001-15"</x:f>
        <x:v>67.196.878/0001-15</x:v>
      </x:c>
      <x:c r="E1813" s="22" t="str">
        <x:f>"67196878000115"</x:f>
        <x:v>67196878000115</x:v>
      </x:c>
      <x:c r="F1813" s="22" t="str">
        <x:f>"371.274.728-40"</x:f>
        <x:v>371.274.728-40</x:v>
      </x:c>
      <x:c r="G1813" s="22" t="str">
        <x:f>"37127472840"</x:f>
        <x:v>37127472840</x:v>
      </x:c>
      <x:c r="H1813" s="23" t="str">
        <x:v>joaompila@gmail.com</x:v>
      </x:c>
      <x:c r="I1813" s="22" t="str">
        <x:f>"(16)99626-9446"</x:f>
        <x:v>(16)99626-9446</x:v>
      </x:c>
      <x:c r="J1813" s="23" t="str">
        <x:v>RENTAL</x:v>
      </x:c>
      <x:c r="K1813" s="23" t="str">
        <x:v>rental_company</x:v>
      </x:c>
      <x:c r="L1813" s="24" t="b">
        <x:v>1</x:v>
      </x:c>
      <x:c r="M1813" s="23" t="n">
        <x:v>1</x:v>
      </x:c>
      <x:c r="N1813" s="28" t="n">
        <x:v>46219.812988715275</x:v>
      </x:c>
      <x:c r="O1813" s="28" t="n">
        <x:v>46219.812988715275</x:v>
      </x:c>
      <x:c r="P1813" s="23" t="str">
        <x:v>SÃO CARLOS</x:v>
      </x:c>
      <x:c r="Q1813" s="30" t="n">
        <x:v>32921</x:v>
      </x:c>
      <x:c r="R1813" s="22" t="str">
        <x:f>"468513760"</x:f>
        <x:v>468513760</x:v>
      </x:c>
      <x:c r="S1813" s="23" t="str">
        <x:v>masculino</x:v>
      </x:c>
      <x:c r="T1813" s="22" t="str"/>
      <x:c r="U1813" s="23" t="str">
        <x:v>JOAO MARCIO PILA</x:v>
      </x:c>
      <x:c r="V1813" s="22" t="str">
        <x:f>"371.284.728-40"</x:f>
        <x:v>371.284.728-40</x:v>
      </x:c>
      <x:c r="W1813" s="22" t="str">
        <x:f>"37128472840"</x:f>
        <x:v>37128472840</x:v>
      </x:c>
      <x:c r="X1813" s="23" t="str">
        <x:v>joaompila@gmail.com</x:v>
      </x:c>
      <x:c r="Y1813" s="22" t="str">
        <x:f>"(16)99626-9446"</x:f>
        <x:v>(16)99626-9446</x:v>
      </x:c>
      <x:c r="Z1813" s="30" t="n">
        <x:v>46549</x:v>
      </x:c>
    </x:row>
    <x:row r="1814" ht="18" customHeight="1">
      <x:c r="A1814" s="22" t="str">
        <x:f>"afb9c0bd-906c-4806-a144-aa576da99869"</x:f>
        <x:v>afb9c0bd-906c-4806-a144-aa576da99869</x:v>
      </x:c>
      <x:c r="B1814" s="23" t="str">
        <x:v>JOAO MARCOS CARTONILHO DA SILVA</x:v>
      </x:c>
      <x:c r="C1814" s="23" t="str">
        <x:v>joao marcos cartonilho da silva</x:v>
      </x:c>
      <x:c r="D1814" s="22" t="str">
        <x:f>"50.986.003/0001-14"</x:f>
        <x:v>50.986.003/0001-14</x:v>
      </x:c>
      <x:c r="E1814" s="22" t="str">
        <x:f>"50986003000114"</x:f>
        <x:v>50986003000114</x:v>
      </x:c>
      <x:c r="F1814" s="22" t="str">
        <x:f>"173.974.527-28"</x:f>
        <x:v>173.974.527-28</x:v>
      </x:c>
      <x:c r="G1814" s="22" t="str">
        <x:f>"17397452728"</x:f>
        <x:v>17397452728</x:v>
      </x:c>
      <x:c r="H1814" s="23" t="str">
        <x:v>joaocartonilho@outlook.com</x:v>
      </x:c>
      <x:c r="I1814" s="22" t="str">
        <x:f>"21967779283"</x:f>
        <x:v>21967779283</x:v>
      </x:c>
      <x:c r="J1814" s="23" t="str">
        <x:v>SPOT</x:v>
      </x:c>
      <x:c r="K1814" s="23" t="str">
        <x:v>favored_only</x:v>
      </x:c>
      <x:c r="L1814" s="24" t="b">
        <x:v>1</x:v>
      </x:c>
      <x:c r="M1814" s="23" t="n">
        <x:v>1</x:v>
      </x:c>
      <x:c r="N1814" s="28" t="n">
        <x:v>46203.921852962965</x:v>
      </x:c>
      <x:c r="O1814" s="28" t="n">
        <x:v>46219.812988715275</x:v>
      </x:c>
      <x:c r="P1814" s="23" t="str">
        <x:v>QUEIMADOS</x:v>
      </x:c>
      <x:c r="Q1814" s="30" t="n">
        <x:v>35501</x:v>
      </x:c>
      <x:c r="R1814" s="22" t="str">
        <x:f>"9084428"</x:f>
        <x:v>9084428</x:v>
      </x:c>
      <x:c r="S1814" s="23" t="str">
        <x:v>masculino</x:v>
      </x:c>
      <x:c r="T1814" s="22" t="str">
        <x:f>"NTY0J11"</x:f>
        <x:v>NTY0J11</x:v>
      </x:c>
      <x:c r="U1814" s="23" t="str">
        <x:v>JOAO MARCOS CARTONILHO DA SILVA</x:v>
      </x:c>
      <x:c r="V1814" s="22" t="str">
        <x:f>"173.974.527-28"</x:f>
        <x:v>173.974.527-28</x:v>
      </x:c>
      <x:c r="W1814" s="22" t="str">
        <x:f>"17397452728"</x:f>
        <x:v>17397452728</x:v>
      </x:c>
      <x:c r="X1814" s="23" t="str">
        <x:v>joaocartonilho@outlook.com</x:v>
      </x:c>
      <x:c r="Y1814" s="22" t="str">
        <x:f>"21967779283"</x:f>
        <x:v>21967779283</x:v>
      </x:c>
      <x:c r="Z1814" s="30" t="n">
        <x:v>46255</x:v>
      </x:c>
    </x:row>
    <x:row r="1815" ht="18" customHeight="1">
      <x:c r="A1815" s="22" t="str">
        <x:f>"b99af268-5bf1-4a6f-b8b1-717a0ffb4bbf"</x:f>
        <x:v>b99af268-5bf1-4a6f-b8b1-717a0ffb4bbf</x:v>
      </x:c>
      <x:c r="B1815" s="23" t="str">
        <x:v>JOAO MARCOS SIQUEIRA BILA</x:v>
      </x:c>
      <x:c r="C1815" s="23" t="str">
        <x:v>joao marcos siqueira bila</x:v>
      </x:c>
      <x:c r="D1815" s="22" t="str">
        <x:f>"65.978.492/0001-30"</x:f>
        <x:v>65.978.492/0001-30</x:v>
      </x:c>
      <x:c r="E1815" s="22" t="str">
        <x:f>"65978492000130"</x:f>
        <x:v>65978492000130</x:v>
      </x:c>
      <x:c r="F1815" s="22" t="str">
        <x:f>"424.548.868-98"</x:f>
        <x:v>424.548.868-98</x:v>
      </x:c>
      <x:c r="G1815" s="22" t="str">
        <x:f>"42454886898"</x:f>
        <x:v>42454886898</x:v>
      </x:c>
      <x:c r="H1815" s="23" t="str">
        <x:v>joaobila.06pp@gmail.com</x:v>
      </x:c>
      <x:c r="I1815" s="22" t="str">
        <x:f>"18 98828-8294"</x:f>
        <x:v>18 98828-8294</x:v>
      </x:c>
      <x:c r="J1815" s="23" t="str">
        <x:v>spot</x:v>
      </x:c>
      <x:c r="K1815" s="23" t="str">
        <x:v>favored_only</x:v>
      </x:c>
      <x:c r="L1815" s="24" t="b">
        <x:v>1</x:v>
      </x:c>
      <x:c r="M1815" s="23" t="n">
        <x:v>1</x:v>
      </x:c>
      <x:c r="N1815" s="28" t="n">
        <x:v>46219.812988715275</x:v>
      </x:c>
      <x:c r="O1815" s="28" t="n">
        <x:v>46219.812988715275</x:v>
      </x:c>
      <x:c r="P1815" s="23" t="str">
        <x:v>PRESIDENTE PRUDENTE</x:v>
      </x:c>
      <x:c r="Q1815" s="30" t="n">
        <x:v>35406</x:v>
      </x:c>
      <x:c r="R1815" s="22" t="str">
        <x:f>"45924885"</x:f>
        <x:v>45924885</x:v>
      </x:c>
      <x:c r="S1815" s="23" t="str">
        <x:v>masculino</x:v>
      </x:c>
      <x:c r="T1815" s="22" t="str">
        <x:f>"FGD7H97"</x:f>
        <x:v>FGD7H97</x:v>
      </x:c>
      <x:c r="U1815" s="23" t="str">
        <x:v>JOAO MARCOS SIQUEIRA BILA</x:v>
      </x:c>
      <x:c r="V1815" s="22" t="str">
        <x:f>"424.548.868-98"</x:f>
        <x:v>424.548.868-98</x:v>
      </x:c>
      <x:c r="W1815" s="22" t="str">
        <x:f>"42454886898"</x:f>
        <x:v>42454886898</x:v>
      </x:c>
      <x:c r="X1815" s="23" t="str">
        <x:v>joaobila.06pp@gmail.com</x:v>
      </x:c>
      <x:c r="Y1815" s="22" t="str">
        <x:f>"18 98828-8294"</x:f>
        <x:v>18 98828-8294</x:v>
      </x:c>
      <x:c r="Z1815" s="30" t="n">
        <x:v>46578</x:v>
      </x:c>
    </x:row>
    <x:row r="1816" ht="18" customHeight="1">
      <x:c r="A1816" s="22" t="str">
        <x:f>"e0ef8708-fc23-4e08-8340-7a7776840981"</x:f>
        <x:v>e0ef8708-fc23-4e08-8340-7a7776840981</x:v>
      </x:c>
      <x:c r="B1816" s="23" t="str">
        <x:v>JOAO NILLO FERNANDES</x:v>
      </x:c>
      <x:c r="C1816" s="23" t="str">
        <x:v>joao nillo fernandes</x:v>
      </x:c>
      <x:c r="D1816" s="22" t="str">
        <x:f>"07.667.428/0001-31"</x:f>
        <x:v>07.667.428/0001-31</x:v>
      </x:c>
      <x:c r="E1816" s="22" t="str">
        <x:f>"07667428000131"</x:f>
        <x:v>07667428000131</x:v>
      </x:c>
      <x:c r="F1816" s="22" t="str">
        <x:f>"985.468.131-91"</x:f>
        <x:v>985.468.131-91</x:v>
      </x:c>
      <x:c r="G1816" s="22" t="str">
        <x:f>"98546813191"</x:f>
        <x:v>98546813191</x:v>
      </x:c>
      <x:c r="H1816" s="23" t="str">
        <x:v>Joaonillo441@gmail.com</x:v>
      </x:c>
      <x:c r="I1816" s="22" t="str">
        <x:f>"6499313-2778"</x:f>
        <x:v>6499313-2778</x:v>
      </x:c>
      <x:c r="J1816" s="23" t="str">
        <x:v>SPOT</x:v>
      </x:c>
      <x:c r="K1816" s="23" t="str">
        <x:v>favored_only</x:v>
      </x:c>
      <x:c r="L1816" s="24" t="b">
        <x:v>1</x:v>
      </x:c>
      <x:c r="M1816" s="23" t="n">
        <x:v>1</x:v>
      </x:c>
      <x:c r="N1816" s="28" t="n">
        <x:v>46219.812988715275</x:v>
      </x:c>
      <x:c r="O1816" s="28" t="n">
        <x:v>46219.812988715275</x:v>
      </x:c>
      <x:c r="P1816" s="23" t="str">
        <x:v>RIO VERDE</x:v>
      </x:c>
      <x:c r="Q1816" s="30" t="n">
        <x:v>35272</x:v>
      </x:c>
      <x:c r="R1816" s="22" t="str">
        <x:f>"5929659"</x:f>
        <x:v>5929659</x:v>
      </x:c>
      <x:c r="S1816" s="23" t="str">
        <x:v>masculino</x:v>
      </x:c>
      <x:c r="T1816" s="22" t="str">
        <x:f>"QUS2C57"</x:f>
        <x:v>QUS2C57</x:v>
      </x:c>
      <x:c r="U1816" s="23" t="str">
        <x:v>RAUL FERNANDO CARDOSO OLIVEIRA</x:v>
      </x:c>
      <x:c r="V1816" s="22" t="str">
        <x:f>"995.709.551-04"</x:f>
        <x:v>995.709.551-04</x:v>
      </x:c>
      <x:c r="W1816" s="22" t="str">
        <x:f>"99570955104"</x:f>
        <x:v>99570955104</x:v>
      </x:c>
      <x:c r="X1816" s="23" t="str">
        <x:v>temperodeminas@yahoo.com.br</x:v>
      </x:c>
      <x:c r="Y1816" s="22" t="str">
        <x:f>"64 98446 5776"</x:f>
        <x:v>64 98446 5776</x:v>
      </x:c>
      <x:c r="Z1816" s="30" t="n">
        <x:v>46428</x:v>
      </x:c>
    </x:row>
    <x:row r="1817" ht="18" customHeight="1">
      <x:c r="A1817" s="22" t="str">
        <x:f>"b37e1d10-8371-4630-99e7-5567bfb11d99"</x:f>
        <x:v>b37e1d10-8371-4630-99e7-5567bfb11d99</x:v>
      </x:c>
      <x:c r="B1817" s="23" t="str">
        <x:v>João Paulo Alves do Prado e Souza</x:v>
      </x:c>
      <x:c r="C1817" s="23" t="str">
        <x:v>joao paulo alves do prado e souza</x:v>
      </x:c>
      <x:c r="D1817" s="22" t="str">
        <x:f>"59.984.100/0001-42"</x:f>
        <x:v>59.984.100/0001-42</x:v>
      </x:c>
      <x:c r="E1817" s="22" t="str">
        <x:f>"59984100000142"</x:f>
        <x:v>59984100000142</x:v>
      </x:c>
      <x:c r="F1817" s="22" t="str">
        <x:f>"117.098.996-97"</x:f>
        <x:v>117.098.996-97</x:v>
      </x:c>
      <x:c r="G1817" s="22" t="str">
        <x:f>"11709899697"</x:f>
        <x:v>11709899697</x:v>
      </x:c>
      <x:c r="H1817" s="23" t="str">
        <x:v>joaopadrao15@gmail.com</x:v>
      </x:c>
      <x:c r="I1817" s="22" t="str">
        <x:f>"31996139203"</x:f>
        <x:v>31996139203</x:v>
      </x:c>
      <x:c r="J1817" s="23" t="str">
        <x:v>SPOT</x:v>
      </x:c>
      <x:c r="K1817" s="23" t="str">
        <x:v>favored_only</x:v>
      </x:c>
      <x:c r="L1817" s="24" t="b">
        <x:v>1</x:v>
      </x:c>
      <x:c r="M1817" s="23" t="n">
        <x:v>1</x:v>
      </x:c>
      <x:c r="N1817" s="28" t="n">
        <x:v>46203.92184908565</x:v>
      </x:c>
      <x:c r="O1817" s="28" t="n">
        <x:v>46205.60521401621</x:v>
      </x:c>
      <x:c r="P1817" s="23" t="str">
        <x:v>CONTAGEM</x:v>
      </x:c>
      <x:c r="Q1817" s="30" t="n">
        <x:v>34227</x:v>
      </x:c>
      <x:c r="R1817" s="22" t="str">
        <x:f>"15420986"</x:f>
        <x:v>15420986</x:v>
      </x:c>
      <x:c r="S1817" s="23" t="str">
        <x:v>Masculino</x:v>
      </x:c>
      <x:c r="T1817" s="22" t="str">
        <x:f>"PYB7G16"</x:f>
        <x:v>PYB7G16</x:v>
      </x:c>
      <x:c r="U1817" s="23" t="str">
        <x:v>João Paulo Alves do Prado e Souza</x:v>
      </x:c>
      <x:c r="V1817" s="22" t="str">
        <x:f>"11709899697"</x:f>
        <x:v>11709899697</x:v>
      </x:c>
      <x:c r="W1817" s="22" t="str">
        <x:f>"11709899697"</x:f>
        <x:v>11709899697</x:v>
      </x:c>
      <x:c r="X1817" s="23" t="str">
        <x:v>joaopadrao15@gmail.com</x:v>
      </x:c>
      <x:c r="Y1817" s="22" t="str">
        <x:f>"31996139203"</x:f>
        <x:v>31996139203</x:v>
      </x:c>
      <x:c r="Z1817" s="30" t="n">
        <x:v>46233</x:v>
      </x:c>
    </x:row>
    <x:row r="1818" ht="18" customHeight="1">
      <x:c r="A1818" s="22" t="str">
        <x:f>"ea4ceee6-b414-4ecf-a1af-4596d9edfaa0"</x:f>
        <x:v>ea4ceee6-b414-4ecf-a1af-4596d9edfaa0</x:v>
      </x:c>
      <x:c r="B1818" s="23" t="str">
        <x:v>JOAO PAULO CANASSA</x:v>
      </x:c>
      <x:c r="C1818" s="23" t="str">
        <x:v>joao paulo canassa</x:v>
      </x:c>
      <x:c r="D1818" s="22" t="str">
        <x:f>"62.393.643/0001-08"</x:f>
        <x:v>62.393.643/0001-08</x:v>
      </x:c>
      <x:c r="E1818" s="22" t="str">
        <x:f>"62393643000108"</x:f>
        <x:v>62393643000108</x:v>
      </x:c>
      <x:c r="F1818" s="22" t="str">
        <x:f>"442.925.718-30"</x:f>
        <x:v>442.925.718-30</x:v>
      </x:c>
      <x:c r="G1818" s="22" t="str">
        <x:f>"44292571830"</x:f>
        <x:v>44292571830</x:v>
      </x:c>
      <x:c r="H1818" s="23" t="str">
        <x:v>joaopaulocanassa02913@gmail.com</x:v>
      </x:c>
      <x:c r="I1818" s="22" t="str">
        <x:f>"14- 98233-2466"</x:f>
        <x:v>14- 98233-2466</x:v>
      </x:c>
      <x:c r="J1818" s="23" t="str">
        <x:v>RENTAL</x:v>
      </x:c>
      <x:c r="K1818" s="23" t="str">
        <x:v>rental_company</x:v>
      </x:c>
      <x:c r="L1818" s="24" t="b">
        <x:v>1</x:v>
      </x:c>
      <x:c r="M1818" s="23" t="n">
        <x:v>1</x:v>
      </x:c>
      <x:c r="N1818" s="28" t="n">
        <x:v>46203.921858726855</x:v>
      </x:c>
      <x:c r="O1818" s="28" t="n">
        <x:v>46219.812988715275</x:v>
      </x:c>
      <x:c r="P1818" s="23" t="str">
        <x:v>POUSO ALEGRE</x:v>
      </x:c>
      <x:c r="Q1818" s="30" t="n">
        <x:v>35740</x:v>
      </x:c>
      <x:c r="R1818" s="22" t="str">
        <x:f>"49813463"</x:f>
        <x:v>49813463</x:v>
      </x:c>
      <x:c r="S1818" s="23" t="str">
        <x:v>masculino</x:v>
      </x:c>
      <x:c r="T1818" s="22" t="str"/>
      <x:c r="U1818" s="23" t="str">
        <x:v>JOAO PAULO CANASSA</x:v>
      </x:c>
      <x:c r="V1818" s="22" t="str">
        <x:f>"442.925.718-30"</x:f>
        <x:v>442.925.718-30</x:v>
      </x:c>
      <x:c r="W1818" s="22" t="str">
        <x:f>"44292571830"</x:f>
        <x:v>44292571830</x:v>
      </x:c>
      <x:c r="X1818" s="23" t="str">
        <x:v>joaopaulocanassa02913@gmail.com</x:v>
      </x:c>
      <x:c r="Y1818" s="22" t="str">
        <x:f>"14- 98233-2466"</x:f>
        <x:v>14- 98233-2466</x:v>
      </x:c>
      <x:c r="Z1818" s="30" t="n">
        <x:v>46260</x:v>
      </x:c>
    </x:row>
    <x:row r="1819" ht="18" customHeight="1">
      <x:c r="A1819" s="22" t="str">
        <x:f>"ae351704-dea7-45bb-92ca-ed69e86b602d"</x:f>
        <x:v>ae351704-dea7-45bb-92ca-ed69e86b602d</x:v>
      </x:c>
      <x:c r="B1819" s="23" t="str">
        <x:v>JOAO PAULO DA SILVA PAULINO</x:v>
      </x:c>
      <x:c r="C1819" s="23" t="str">
        <x:v>joao paulo da silva paulino</x:v>
      </x:c>
      <x:c r="D1819" s="22" t="str">
        <x:f>"67.265.635/0001-91"</x:f>
        <x:v>67.265.635/0001-91</x:v>
      </x:c>
      <x:c r="E1819" s="22" t="str">
        <x:f>"67265635000191"</x:f>
        <x:v>67265635000191</x:v>
      </x:c>
      <x:c r="F1819" s="22" t="str">
        <x:f>"094.434.174-80"</x:f>
        <x:v>094.434.174-80</x:v>
      </x:c>
      <x:c r="G1819" s="22" t="str">
        <x:f>"09443417480"</x:f>
        <x:v>09443417480</x:v>
      </x:c>
      <x:c r="H1819" s="23" t="str">
        <x:v>JOAOPAULO30580@GMAIL.COM</x:v>
      </x:c>
      <x:c r="I1819" s="22" t="str">
        <x:f>"82993690933"</x:f>
        <x:v>82993690933</x:v>
      </x:c>
      <x:c r="J1819" s="23" t="str">
        <x:v>RENTAL</x:v>
      </x:c>
      <x:c r="K1819" s="23" t="str">
        <x:v>rental_company</x:v>
      </x:c>
      <x:c r="L1819" s="24" t="b">
        <x:v>1</x:v>
      </x:c>
      <x:c r="M1819" s="23" t="n">
        <x:v>1</x:v>
      </x:c>
      <x:c r="N1819" s="28" t="n">
        <x:v>46219.812988715275</x:v>
      </x:c>
      <x:c r="O1819" s="28" t="n">
        <x:v>46219.812988715275</x:v>
      </x:c>
      <x:c r="P1819" s="23" t="str">
        <x:v>UBERLANDIA</x:v>
      </x:c>
      <x:c r="Q1819" s="30" t="n">
        <x:v>32730</x:v>
      </x:c>
      <x:c r="R1819" s="22" t="str">
        <x:f>"36532266"</x:f>
        <x:v>36532266</x:v>
      </x:c>
      <x:c r="S1819" s="23" t="str">
        <x:v>masculino</x:v>
      </x:c>
      <x:c r="T1819" s="22" t="str"/>
      <x:c r="U1819" s="23" t="str">
        <x:v>JOAO PAULO DA SILVA PAULINO</x:v>
      </x:c>
      <x:c r="V1819" s="22" t="str">
        <x:f>"094.434.174-80"</x:f>
        <x:v>094.434.174-80</x:v>
      </x:c>
      <x:c r="W1819" s="22" t="str">
        <x:f>"09443417480"</x:f>
        <x:v>09443417480</x:v>
      </x:c>
      <x:c r="X1819" s="23" t="str">
        <x:v>JOAOPAULO30580@GMAIL.COM</x:v>
      </x:c>
      <x:c r="Y1819" s="22" t="str">
        <x:f>"82993690933"</x:f>
        <x:v>82993690933</x:v>
      </x:c>
      <x:c r="Z1819" s="30" t="n">
        <x:v>46549</x:v>
      </x:c>
    </x:row>
    <x:row r="1820" ht="18" customHeight="1">
      <x:c r="A1820" s="22" t="str">
        <x:f>"58ad7202-63e5-448a-939f-8b8a004ffa09"</x:f>
        <x:v>58ad7202-63e5-448a-939f-8b8a004ffa09</x:v>
      </x:c>
      <x:c r="B1820" s="23" t="str">
        <x:v>JOAO PAULO DA SILVA SANTOS</x:v>
      </x:c>
      <x:c r="C1820" s="23" t="str">
        <x:v>joao paulo da silva santos</x:v>
      </x:c>
      <x:c r="D1820" s="22" t="str">
        <x:f>"58.748.616/0001-25"</x:f>
        <x:v>58.748.616/0001-25</x:v>
      </x:c>
      <x:c r="E1820" s="22" t="str">
        <x:f>"58748616000125"</x:f>
        <x:v>58748616000125</x:v>
      </x:c>
      <x:c r="F1820" s="22" t="str">
        <x:f>"118.263.506-75"</x:f>
        <x:v>118.263.506-75</x:v>
      </x:c>
      <x:c r="G1820" s="22" t="str">
        <x:f>"11826350675"</x:f>
        <x:v>11826350675</x:v>
      </x:c>
      <x:c r="H1820" s="23" t="str">
        <x:v>Joaaopsilvasantos@gmail.com</x:v>
      </x:c>
      <x:c r="I1820" s="22" t="str">
        <x:f>"34984253443"</x:f>
        <x:v>34984253443</x:v>
      </x:c>
      <x:c r="J1820" s="23" t="str">
        <x:v>RENTAL</x:v>
      </x:c>
      <x:c r="K1820" s="23" t="str">
        <x:v>rental_company</x:v>
      </x:c>
      <x:c r="L1820" s="24" t="b">
        <x:v>1</x:v>
      </x:c>
      <x:c r="M1820" s="23" t="n">
        <x:v>1</x:v>
      </x:c>
      <x:c r="N1820" s="28" t="n">
        <x:v>46219.812988715275</x:v>
      </x:c>
      <x:c r="O1820" s="28" t="n">
        <x:v>46219.812988715275</x:v>
      </x:c>
      <x:c r="P1820" s="23" t="str">
        <x:v>UBERABA</x:v>
      </x:c>
      <x:c r="Q1820" s="30" t="n">
        <x:v>35249</x:v>
      </x:c>
      <x:c r="R1820" s="22" t="str">
        <x:f>"16855259"</x:f>
        <x:v>16855259</x:v>
      </x:c>
      <x:c r="S1820" s="23" t="str">
        <x:v>masculino</x:v>
      </x:c>
      <x:c r="T1820" s="22" t="str"/>
      <x:c r="U1820" s="23" t="str">
        <x:v>JOAO PAULO DA SILVA SANTOS</x:v>
      </x:c>
      <x:c r="V1820" s="22" t="str">
        <x:f>"118.263.506-75"</x:f>
        <x:v>118.263.506-75</x:v>
      </x:c>
      <x:c r="W1820" s="22" t="str">
        <x:f>"11826350675"</x:f>
        <x:v>11826350675</x:v>
      </x:c>
      <x:c r="X1820" s="23" t="str">
        <x:v>Joaaopsilvasantos@gmail.com</x:v>
      </x:c>
      <x:c r="Y1820" s="22" t="str">
        <x:f>"34984253443"</x:f>
        <x:v>34984253443</x:v>
      </x:c>
      <x:c r="Z1820" s="30" t="n">
        <x:v>46563</x:v>
      </x:c>
    </x:row>
    <x:row r="1821" ht="18" customHeight="1">
      <x:c r="A1821" s="22" t="str">
        <x:f>"2eaaf5d6-1611-49e8-aecb-1e4e7f4904c4"</x:f>
        <x:v>2eaaf5d6-1611-49e8-aecb-1e4e7f4904c4</x:v>
      </x:c>
      <x:c r="B1821" s="23" t="str">
        <x:v>JOAO PAULO DIAS</x:v>
      </x:c>
      <x:c r="C1821" s="23" t="str">
        <x:v>joao paulo dias</x:v>
      </x:c>
      <x:c r="D1821" s="22" t="str">
        <x:f>"52.767.578/0001-71"</x:f>
        <x:v>52.767.578/0001-71</x:v>
      </x:c>
      <x:c r="E1821" s="22" t="str">
        <x:f>"52767578000171"</x:f>
        <x:v>52767578000171</x:v>
      </x:c>
      <x:c r="F1821" s="22" t="str">
        <x:f>"366.720.458-21"</x:f>
        <x:v>366.720.458-21</x:v>
      </x:c>
      <x:c r="G1821" s="22" t="str">
        <x:f>"36672045821"</x:f>
        <x:v>36672045821</x:v>
      </x:c>
      <x:c r="H1821" s="23" t="str">
        <x:v>joaopaulo.dias2021@hotmail.com</x:v>
      </x:c>
      <x:c r="I1821" s="22" t="str">
        <x:f>"14 99690-0901"</x:f>
        <x:v>14 99690-0901</x:v>
      </x:c>
      <x:c r="J1821" s="23" t="str">
        <x:v>RENTAL</x:v>
      </x:c>
      <x:c r="K1821" s="23" t="str">
        <x:v>rental_company</x:v>
      </x:c>
      <x:c r="L1821" s="24" t="b">
        <x:v>1</x:v>
      </x:c>
      <x:c r="M1821" s="23" t="n">
        <x:v>1</x:v>
      </x:c>
      <x:c r="N1821" s="28" t="n">
        <x:v>46219.812988715275</x:v>
      </x:c>
      <x:c r="O1821" s="28" t="n">
        <x:v>46219.812988715275</x:v>
      </x:c>
      <x:c r="P1821" s="23" t="str">
        <x:v>MARILIA</x:v>
      </x:c>
      <x:c r="Q1821" s="30" t="n">
        <x:v>33613</x:v>
      </x:c>
      <x:c r="R1821" s="22" t="str">
        <x:f>"48469999"</x:f>
        <x:v>48469999</x:v>
      </x:c>
      <x:c r="S1821" s="23" t="str">
        <x:v>masculino</x:v>
      </x:c>
      <x:c r="T1821" s="22" t="str"/>
      <x:c r="U1821" s="23" t="str">
        <x:v>JOAO PAULO DIAS</x:v>
      </x:c>
      <x:c r="V1821" s="22" t="str">
        <x:f>"366.720.458-21"</x:f>
        <x:v>366.720.458-21</x:v>
      </x:c>
      <x:c r="W1821" s="22" t="str">
        <x:f>"36672045821"</x:f>
        <x:v>36672045821</x:v>
      </x:c>
      <x:c r="X1821" s="23" t="str">
        <x:v>joaopaulo.dias2021@hotmail.com</x:v>
      </x:c>
      <x:c r="Y1821" s="22" t="str">
        <x:f>"14 99690-0901"</x:f>
        <x:v>14 99690-0901</x:v>
      </x:c>
      <x:c r="Z1821" s="30" t="n">
        <x:v>46519</x:v>
      </x:c>
    </x:row>
    <x:row r="1822" ht="18" customHeight="1">
      <x:c r="A1822" s="22" t="str">
        <x:f>"9336b232-63c3-4118-a0ae-40d8e8561131"</x:f>
        <x:v>9336b232-63c3-4118-a0ae-40d8e8561131</x:v>
      </x:c>
      <x:c r="B1822" s="23" t="str">
        <x:v>JOAO PAULO DOS SANTOS FERREIRA</x:v>
      </x:c>
      <x:c r="C1822" s="23" t="str">
        <x:v>joao paulo dos santos ferreira</x:v>
      </x:c>
      <x:c r="D1822" s="22" t="str">
        <x:f>"62.983.419/0001-68"</x:f>
        <x:v>62.983.419/0001-68</x:v>
      </x:c>
      <x:c r="E1822" s="22" t="str">
        <x:f>"62983419000168"</x:f>
        <x:v>62983419000168</x:v>
      </x:c>
      <x:c r="F1822" s="22" t="str">
        <x:f>"141.849.026-18"</x:f>
        <x:v>141.849.026-18</x:v>
      </x:c>
      <x:c r="G1822" s="22" t="str">
        <x:f>"14184902618"</x:f>
        <x:v>14184902618</x:v>
      </x:c>
      <x:c r="H1822" s="23" t="str">
        <x:v>joaobracinho34@gmail.com</x:v>
      </x:c>
      <x:c r="I1822" s="22" t="str">
        <x:f>"(35) 99742-9699"</x:f>
        <x:v>(35) 99742-9699</x:v>
      </x:c>
      <x:c r="J1822" s="23" t="str">
        <x:v>RENTAL</x:v>
      </x:c>
      <x:c r="K1822" s="23" t="str">
        <x:v>rental_company</x:v>
      </x:c>
      <x:c r="L1822" s="24" t="b">
        <x:v>1</x:v>
      </x:c>
      <x:c r="M1822" s="23" t="n">
        <x:v>1</x:v>
      </x:c>
      <x:c r="N1822" s="28" t="n">
        <x:v>46203.92186888889</x:v>
      </x:c>
      <x:c r="O1822" s="28" t="n">
        <x:v>46219.812988715275</x:v>
      </x:c>
      <x:c r="P1822" s="23" t="str">
        <x:v>POUSO ALEGRE</x:v>
      </x:c>
      <x:c r="Q1822" s="30" t="n">
        <x:v>37142</x:v>
      </x:c>
      <x:c r="R1822" s="22" t="str">
        <x:f>"MG20457057 SSP MG"</x:f>
        <x:v>MG20457057 SSP MG</x:v>
      </x:c>
      <x:c r="S1822" s="23" t="str">
        <x:v>masculino</x:v>
      </x:c>
      <x:c r="T1822" s="22" t="str"/>
      <x:c r="U1822" s="23" t="str">
        <x:v>JOAO PAULO DOS SANTOS FERREIRA</x:v>
      </x:c>
      <x:c r="V1822" s="22" t="str">
        <x:f>"141.848.026-18"</x:f>
        <x:v>141.848.026-18</x:v>
      </x:c>
      <x:c r="W1822" s="22" t="str">
        <x:f>"14184802618"</x:f>
        <x:v>14184802618</x:v>
      </x:c>
      <x:c r="X1822" s="23" t="str">
        <x:v>joaobracinho34@gmail.com</x:v>
      </x:c>
      <x:c r="Y1822" s="22" t="str">
        <x:f>"(35) 99742-9699"</x:f>
        <x:v>(35) 99742-9699</x:v>
      </x:c>
      <x:c r="Z1822" s="30" t="n">
        <x:v>46296</x:v>
      </x:c>
    </x:row>
    <x:row r="1823" ht="18" customHeight="1">
      <x:c r="A1823" s="22" t="str">
        <x:f>"6a4e1b32-6a28-4c39-b959-269936a47ac5"</x:f>
        <x:v>6a4e1b32-6a28-4c39-b959-269936a47ac5</x:v>
      </x:c>
      <x:c r="B1823" s="23" t="str">
        <x:v>JOAO PAULO MACHADO VENTURA</x:v>
      </x:c>
      <x:c r="C1823" s="23" t="str">
        <x:v>joao paulo machado ventura</x:v>
      </x:c>
      <x:c r="D1823" s="22" t="str">
        <x:f>"47.459.293/0001-33"</x:f>
        <x:v>47.459.293/0001-33</x:v>
      </x:c>
      <x:c r="E1823" s="22" t="str">
        <x:f>"47459293000133"</x:f>
        <x:v>47459293000133</x:v>
      </x:c>
      <x:c r="F1823" s="22" t="str">
        <x:f>"184.213.167-29"</x:f>
        <x:v>184.213.167-29</x:v>
      </x:c>
      <x:c r="G1823" s="22" t="str">
        <x:f>"18421316729"</x:f>
        <x:v>18421316729</x:v>
      </x:c>
      <x:c r="H1823" s="23" t="str">
        <x:v>joaopauloventura07@gmail.com</x:v>
      </x:c>
      <x:c r="I1823" s="22" t="str">
        <x:f>"22 981667072"</x:f>
        <x:v>22 981667072</x:v>
      </x:c>
      <x:c r="J1823" s="23" t="str">
        <x:v>SPOT</x:v>
      </x:c>
      <x:c r="K1823" s="23" t="str">
        <x:v>favored_only</x:v>
      </x:c>
      <x:c r="L1823" s="24" t="b">
        <x:v>1</x:v>
      </x:c>
      <x:c r="M1823" s="23" t="n">
        <x:v>1</x:v>
      </x:c>
      <x:c r="N1823" s="28" t="n">
        <x:v>46219.812988715275</x:v>
      </x:c>
      <x:c r="O1823" s="28" t="n">
        <x:v>46219.812988715275</x:v>
      </x:c>
      <x:c r="P1823" s="23" t="str">
        <x:v>CAMPOS DOS GOYTACAZES</x:v>
      </x:c>
      <x:c r="Q1823" s="30" t="n">
        <x:v>35916</x:v>
      </x:c>
      <x:c r="R1823" s="22" t="str">
        <x:f>"243324837"</x:f>
        <x:v>243324837</x:v>
      </x:c>
      <x:c r="S1823" s="23" t="str">
        <x:v>masculino</x:v>
      </x:c>
      <x:c r="T1823" s="22" t="str">
        <x:f>"PVD3E72"</x:f>
        <x:v>PVD3E72</x:v>
      </x:c>
      <x:c r="U1823" s="23" t="str">
        <x:v>SERGIO VIEIRA MONNERAT JUNIOR</x:v>
      </x:c>
      <x:c r="V1823" s="22" t="str">
        <x:f>"100.877.347-61"</x:f>
        <x:v>100.877.347-61</x:v>
      </x:c>
      <x:c r="W1823" s="22" t="str">
        <x:f>"10087734761"</x:f>
        <x:v>10087734761</x:v>
      </x:c>
      <x:c r="X1823" s="23" t="str">
        <x:v>SERGIOV.MONNERATJR@GMAIL.COM</x:v>
      </x:c>
      <x:c r="Y1823" s="22" t="str">
        <x:f>"22 981380350"</x:f>
        <x:v>22 981380350</x:v>
      </x:c>
      <x:c r="Z1823" s="30" t="n">
        <x:v>46403</x:v>
      </x:c>
    </x:row>
    <x:row r="1824" ht="18" customHeight="1">
      <x:c r="A1824" s="22" t="str">
        <x:f>"81630c66-556e-4461-8f54-4b584ea5c785"</x:f>
        <x:v>81630c66-556e-4461-8f54-4b584ea5c785</x:v>
      </x:c>
      <x:c r="B1824" s="23" t="str">
        <x:v>JOAO PAULO MACHADO VENTURA</x:v>
      </x:c>
      <x:c r="C1824" s="23" t="str">
        <x:v>joao paulo machado ventura</x:v>
      </x:c>
      <x:c r="D1824" s="22" t="str">
        <x:f>"40.244.846/0001-91"</x:f>
        <x:v>40.244.846/0001-91</x:v>
      </x:c>
      <x:c r="E1824" s="22" t="str">
        <x:f>"40244846000191"</x:f>
        <x:v>40244846000191</x:v>
      </x:c>
      <x:c r="F1824" s="22" t="str">
        <x:f>"184.213.167-29"</x:f>
        <x:v>184.213.167-29</x:v>
      </x:c>
      <x:c r="G1824" s="22" t="str">
        <x:f>"18421316729"</x:f>
        <x:v>18421316729</x:v>
      </x:c>
      <x:c r="H1824" s="23" t="str">
        <x:v>joaopauloventura007@gmail.com</x:v>
      </x:c>
      <x:c r="I1824" s="22" t="str">
        <x:f>"22 981667072"</x:f>
        <x:v>22 981667072</x:v>
      </x:c>
      <x:c r="J1824" s="23" t="str">
        <x:v>SPOT</x:v>
      </x:c>
      <x:c r="K1824" s="23" t="str">
        <x:v>favored_only</x:v>
      </x:c>
      <x:c r="L1824" s="24" t="b">
        <x:v>1</x:v>
      </x:c>
      <x:c r="M1824" s="23" t="n">
        <x:v>2</x:v>
      </x:c>
      <x:c r="N1824" s="28" t="n">
        <x:v>46205.60544594908</x:v>
      </x:c>
      <x:c r="O1824" s="28" t="n">
        <x:v>46219.812988715275</x:v>
      </x:c>
      <x:c r="P1824" s="23" t="str">
        <x:v>CAMPOS DOS GOYTACAZES</x:v>
      </x:c>
      <x:c r="Q1824" s="30" t="n">
        <x:v>35916</x:v>
      </x:c>
      <x:c r="R1824" s="22" t="str">
        <x:f>"243324837"</x:f>
        <x:v>243324837</x:v>
      </x:c>
      <x:c r="S1824" s="23" t="str">
        <x:v>masculino</x:v>
      </x:c>
      <x:c r="T1824" s="22" t="str">
        <x:f>"PVD3E72"</x:f>
        <x:v>PVD3E72</x:v>
      </x:c>
      <x:c r="U1824" s="23" t="str">
        <x:v>SERGIO PEREIRA VENTURA JUNIOR</x:v>
      </x:c>
      <x:c r="V1824" s="22" t="str">
        <x:f>"162.701.557-46"</x:f>
        <x:v>162.701.557-46</x:v>
      </x:c>
      <x:c r="W1824" s="22" t="str">
        <x:f>"16270155746"</x:f>
        <x:v>16270155746</x:v>
      </x:c>
      <x:c r="X1824" s="23" t="str">
        <x:v>juniorventuratj@gmail.com</x:v>
      </x:c>
      <x:c r="Y1824" s="22" t="str">
        <x:f>"22981640126"</x:f>
        <x:v>22981640126</x:v>
      </x:c>
      <x:c r="Z1824" s="30" t="n">
        <x:v>46497</x:v>
      </x:c>
    </x:row>
    <x:row r="1825" ht="18" customHeight="1">
      <x:c r="A1825" s="22" t="str">
        <x:f>"4aff835f-9b78-428e-bfbd-d5c8b5eddd9c"</x:f>
        <x:v>4aff835f-9b78-428e-bfbd-d5c8b5eddd9c</x:v>
      </x:c>
      <x:c r="B1825" s="23" t="str">
        <x:v>JOAO PAULO RAMOS FERNANDES</x:v>
      </x:c>
      <x:c r="C1825" s="23" t="str">
        <x:v>joao paulo ramos fernandes</x:v>
      </x:c>
      <x:c r="D1825" s="22" t="str">
        <x:f>"63.594.820/0001-79"</x:f>
        <x:v>63.594.820/0001-79</x:v>
      </x:c>
      <x:c r="E1825" s="22" t="str">
        <x:f>"63594820000179"</x:f>
        <x:v>63594820000179</x:v>
      </x:c>
      <x:c r="F1825" s="22" t="str">
        <x:f>"137.076.307-73"</x:f>
        <x:v>137.076.307-73</x:v>
      </x:c>
      <x:c r="G1825" s="22" t="str">
        <x:f>"13707630773"</x:f>
        <x:v>13707630773</x:v>
      </x:c>
      <x:c r="H1825" s="23" t="str">
        <x:v>jpramosfernandes19932019@gmail.com</x:v>
      </x:c>
      <x:c r="I1825" s="22" t="str">
        <x:f>"22981723759"</x:f>
        <x:v>22981723759</x:v>
      </x:c>
      <x:c r="J1825" s="23" t="str">
        <x:v>SPOT</x:v>
      </x:c>
      <x:c r="K1825" s="23" t="str">
        <x:v>favored_only</x:v>
      </x:c>
      <x:c r="L1825" s="24" t="b">
        <x:v>1</x:v>
      </x:c>
      <x:c r="M1825" s="23" t="n">
        <x:v>1</x:v>
      </x:c>
      <x:c r="N1825" s="28" t="n">
        <x:v>46219.812988715275</x:v>
      </x:c>
      <x:c r="O1825" s="28" t="n">
        <x:v>46219.812988715275</x:v>
      </x:c>
      <x:c r="P1825" s="23" t="str">
        <x:v>CAMPOS DOS GOYTACAZES</x:v>
      </x:c>
      <x:c r="Q1825" s="30" t="n">
        <x:v>34198</x:v>
      </x:c>
      <x:c r="R1825" s="22" t="str">
        <x:f>"13707630773"</x:f>
        <x:v>13707630773</x:v>
      </x:c>
      <x:c r="S1825" s="23" t="str">
        <x:v>masculino</x:v>
      </x:c>
      <x:c r="T1825" s="22" t="str">
        <x:f>"TUB9H53"</x:f>
        <x:v>TUB9H53</x:v>
      </x:c>
      <x:c r="U1825" s="23" t="str">
        <x:v>LINCOLN DE ALMEIDA DA SILVA</x:v>
      </x:c>
      <x:c r="V1825" s="22" t="str">
        <x:f>"137.058.257-89"</x:f>
        <x:v>137.058.257-89</x:v>
      </x:c>
      <x:c r="W1825" s="22" t="str">
        <x:f>"13705825789"</x:f>
        <x:v>13705825789</x:v>
      </x:c>
      <x:c r="X1825" s="23" t="str">
        <x:v>lincolnalmeida5@gmail.com</x:v>
      </x:c>
      <x:c r="Y1825" s="22" t="str">
        <x:f>"22997828609"</x:f>
        <x:v>22997828609</x:v>
      </x:c>
      <x:c r="Z1825" s="30" t="n">
        <x:v>46298</x:v>
      </x:c>
    </x:row>
    <x:row r="1826" ht="18" customHeight="1">
      <x:c r="A1826" s="22" t="str">
        <x:f>"8d83d1d3-e394-4915-92f8-8a5e999d4fd9"</x:f>
        <x:v>8d83d1d3-e394-4915-92f8-8a5e999d4fd9</x:v>
      </x:c>
      <x:c r="B1826" s="23" t="str">
        <x:v>JOAO PAULO SANTOS FARIA</x:v>
      </x:c>
      <x:c r="C1826" s="23" t="str">
        <x:v>joao paulo santos faria</x:v>
      </x:c>
      <x:c r="D1826" s="22" t="str">
        <x:f>"49.549.888/0001-05"</x:f>
        <x:v>49.549.888/0001-05</x:v>
      </x:c>
      <x:c r="E1826" s="22" t="str">
        <x:f>"49549888000105"</x:f>
        <x:v>49549888000105</x:v>
      </x:c>
      <x:c r="F1826" s="22" t="str">
        <x:f>"091.568.257-57"</x:f>
        <x:v>091.568.257-57</x:v>
      </x:c>
      <x:c r="G1826" s="22" t="str">
        <x:f>"09156825757"</x:f>
        <x:v>09156825757</x:v>
      </x:c>
      <x:c r="H1826" s="23" t="str">
        <x:v>joaopauloproseg@gmail.com</x:v>
      </x:c>
      <x:c r="I1826" s="22" t="str">
        <x:f>"21975607498"</x:f>
        <x:v>21975607498</x:v>
      </x:c>
      <x:c r="J1826" s="23" t="str">
        <x:v>SPOT</x:v>
      </x:c>
      <x:c r="K1826" s="23" t="str">
        <x:v>favored_only</x:v>
      </x:c>
      <x:c r="L1826" s="24" t="b">
        <x:v>1</x:v>
      </x:c>
      <x:c r="M1826" s="23" t="n">
        <x:v>1</x:v>
      </x:c>
      <x:c r="N1826" s="28" t="n">
        <x:v>46219.812988715275</x:v>
      </x:c>
      <x:c r="O1826" s="28" t="n">
        <x:v>46219.812988715275</x:v>
      </x:c>
      <x:c r="P1826" s="23" t="str">
        <x:v>ITABORAI</x:v>
      </x:c>
      <x:c r="Q1826" s="30" t="n">
        <x:v>29407</x:v>
      </x:c>
      <x:c r="R1826" s="22" t="str">
        <x:f>"7279314812"</x:f>
        <x:v>7279314812</x:v>
      </x:c>
      <x:c r="S1826" s="23" t="str">
        <x:v>masculino</x:v>
      </x:c>
      <x:c r="T1826" s="22" t="str">
        <x:f>"FMY2G44"</x:f>
        <x:v>FMY2G44</x:v>
      </x:c>
      <x:c r="U1826" s="23" t="str">
        <x:v>JOAO PAULO SANTOS FARIA</x:v>
      </x:c>
      <x:c r="V1826" s="22" t="str">
        <x:f>"091.568.257-57"</x:f>
        <x:v>091.568.257-57</x:v>
      </x:c>
      <x:c r="W1826" s="22" t="str">
        <x:f>"09156825757"</x:f>
        <x:v>09156825757</x:v>
      </x:c>
      <x:c r="X1826" s="23" t="str">
        <x:v>joaopauloproseg@gmail.com</x:v>
      </x:c>
      <x:c r="Y1826" s="22" t="str">
        <x:f>"21975607498"</x:f>
        <x:v>21975607498</x:v>
      </x:c>
      <x:c r="Z1826" s="30" t="n">
        <x:v>46472</x:v>
      </x:c>
    </x:row>
    <x:row r="1827" ht="18" customHeight="1">
      <x:c r="A1827" s="22" t="str">
        <x:f>"4137e3df-30d6-40ae-b1ca-dbc218bb0da3"</x:f>
        <x:v>4137e3df-30d6-40ae-b1ca-dbc218bb0da3</x:v>
      </x:c>
      <x:c r="B1827" s="23" t="str">
        <x:v>JOAO PAULO SEVERINO RIBEIRO</x:v>
      </x:c>
      <x:c r="C1827" s="23" t="str">
        <x:v>joao paulo severino ribeiro</x:v>
      </x:c>
      <x:c r="D1827" s="22" t="str">
        <x:f>"65.699.633/0001-85"</x:f>
        <x:v>65.699.633/0001-85</x:v>
      </x:c>
      <x:c r="E1827" s="22" t="str">
        <x:f>"65699633000185"</x:f>
        <x:v>65699633000185</x:v>
      </x:c>
      <x:c r="F1827" s="22" t="str">
        <x:f>"101.367.006-08"</x:f>
        <x:v>101.367.006-08</x:v>
      </x:c>
      <x:c r="G1827" s="22" t="str">
        <x:f>"10136700608"</x:f>
        <x:v>10136700608</x:v>
      </x:c>
      <x:c r="H1827" s="23" t="str">
        <x:v>ribeirojp41@gmail.com</x:v>
      </x:c>
      <x:c r="I1827" s="22" t="str">
        <x:f>"34992771970"</x:f>
        <x:v>34992771970</x:v>
      </x:c>
      <x:c r="J1827" s="23" t="str">
        <x:v>RENTAL</x:v>
      </x:c>
      <x:c r="K1827" s="23" t="str">
        <x:v>rental_company</x:v>
      </x:c>
      <x:c r="L1827" s="24" t="b">
        <x:v>1</x:v>
      </x:c>
      <x:c r="M1827" s="23" t="n">
        <x:v>1</x:v>
      </x:c>
      <x:c r="N1827" s="28" t="n">
        <x:v>46219.812988715275</x:v>
      </x:c>
      <x:c r="O1827" s="28" t="n">
        <x:v>46219.812988715275</x:v>
      </x:c>
      <x:c r="P1827" s="23" t="str">
        <x:v>UBERLANDIA</x:v>
      </x:c>
      <x:c r="Q1827" s="30" t="n">
        <x:v>36868</x:v>
      </x:c>
      <x:c r="R1827" s="22" t="str">
        <x:f>"21338508"</x:f>
        <x:v>21338508</x:v>
      </x:c>
      <x:c r="S1827" s="23" t="str">
        <x:v>masculino</x:v>
      </x:c>
      <x:c r="T1827" s="22" t="str"/>
      <x:c r="U1827" s="23" t="str">
        <x:v>JOAO PAULO SEVERINO RIBEIRO</x:v>
      </x:c>
      <x:c r="V1827" s="22" t="str">
        <x:f>"101.367.006-08"</x:f>
        <x:v>101.367.006-08</x:v>
      </x:c>
      <x:c r="W1827" s="22" t="str">
        <x:f>"10136700608"</x:f>
        <x:v>10136700608</x:v>
      </x:c>
      <x:c r="X1827" s="23" t="str">
        <x:v>ribeirojp41@gmail.com</x:v>
      </x:c>
      <x:c r="Y1827" s="22" t="str">
        <x:f>"34992771970"</x:f>
        <x:v>34992771970</x:v>
      </x:c>
      <x:c r="Z1827" s="30" t="n">
        <x:v>46540</x:v>
      </x:c>
    </x:row>
    <x:row r="1828" ht="18" customHeight="1">
      <x:c r="A1828" s="22" t="str">
        <x:f>"d662d8d0-ef9f-41dc-b2eb-557a64cb8fa7"</x:f>
        <x:v>d662d8d0-ef9f-41dc-b2eb-557a64cb8fa7</x:v>
      </x:c>
      <x:c r="B1828" s="23" t="str">
        <x:v>JOAO PAULO TADEU DA SILVA</x:v>
      </x:c>
      <x:c r="C1828" s="23" t="str">
        <x:v>joao paulo tadeu da silva</x:v>
      </x:c>
      <x:c r="D1828" s="22" t="str">
        <x:f>"62.478.001/0001-01"</x:f>
        <x:v>62.478.001/0001-01</x:v>
      </x:c>
      <x:c r="E1828" s="22" t="str">
        <x:f>"62478001000101"</x:f>
        <x:v>62478001000101</x:v>
      </x:c>
      <x:c r="F1828" s="22" t="str">
        <x:f>"312.873.048-26"</x:f>
        <x:v>312.873.048-26</x:v>
      </x:c>
      <x:c r="G1828" s="22" t="str">
        <x:f>"31287304826"</x:f>
        <x:v>31287304826</x:v>
      </x:c>
      <x:c r="H1828" s="23" t="str">
        <x:v>joaopsilva694@gmail.com</x:v>
      </x:c>
      <x:c r="I1828" s="22" t="str">
        <x:f>"(18) 99807-5386"</x:f>
        <x:v>(18) 99807-5386</x:v>
      </x:c>
      <x:c r="J1828" s="23" t="str">
        <x:v>SPOT</x:v>
      </x:c>
      <x:c r="K1828" s="23" t="str">
        <x:v>favored_only</x:v>
      </x:c>
      <x:c r="L1828" s="24" t="b">
        <x:v>1</x:v>
      </x:c>
      <x:c r="M1828" s="23" t="n">
        <x:v>1</x:v>
      </x:c>
      <x:c r="N1828" s="28" t="n">
        <x:v>46203.92186462963</x:v>
      </x:c>
      <x:c r="O1828" s="28" t="n">
        <x:v>46219.812988715275</x:v>
      </x:c>
      <x:c r="P1828" s="23" t="str">
        <x:v>ARAÇATUBA</x:v>
      </x:c>
      <x:c r="Q1828" s="30" t="n">
        <x:v>30190</x:v>
      </x:c>
      <x:c r="R1828" s="22" t="str">
        <x:f>"430674028"</x:f>
        <x:v>430674028</x:v>
      </x:c>
      <x:c r="S1828" s="23" t="str">
        <x:v>masculino</x:v>
      </x:c>
      <x:c r="T1828" s="22" t="str">
        <x:f>"FMU7I47"</x:f>
        <x:v>FMU7I47</x:v>
      </x:c>
      <x:c r="U1828" s="23" t="str">
        <x:v>JOAO PAULO TADEU DA SILVA</x:v>
      </x:c>
      <x:c r="V1828" s="22" t="str">
        <x:f>"312.873.048-26"</x:f>
        <x:v>312.873.048-26</x:v>
      </x:c>
      <x:c r="W1828" s="22" t="str">
        <x:f>"31287304826"</x:f>
        <x:v>31287304826</x:v>
      </x:c>
      <x:c r="X1828" s="23" t="str">
        <x:v>joaopsilva694@gmail.com</x:v>
      </x:c>
      <x:c r="Y1828" s="22" t="str">
        <x:f>"(18) 99807-5386"</x:f>
        <x:v>(18) 99807-5386</x:v>
      </x:c>
      <x:c r="Z1828" s="30" t="n">
        <x:v>46282</x:v>
      </x:c>
    </x:row>
    <x:row r="1829" ht="18" customHeight="1">
      <x:c r="A1829" s="22" t="str">
        <x:f>"576e61e7-29bb-499f-bfdc-25d715d598d5"</x:f>
        <x:v>576e61e7-29bb-499f-bfdc-25d715d598d5</x:v>
      </x:c>
      <x:c r="B1829" s="23" t="str">
        <x:v>JOAO PEDRO BUENO SANTOS DA SILVA FREITAS</x:v>
      </x:c>
      <x:c r="C1829" s="23" t="str">
        <x:v>joao pedro bueno santos da silva freitas</x:v>
      </x:c>
      <x:c r="D1829" s="22" t="str">
        <x:f>"65.770.804/0001-15"</x:f>
        <x:v>65.770.804/0001-15</x:v>
      </x:c>
      <x:c r="E1829" s="22" t="str">
        <x:f>"65770804000115"</x:f>
        <x:v>65770804000115</x:v>
      </x:c>
      <x:c r="F1829" s="22" t="str">
        <x:f>"170.083.157-75"</x:f>
        <x:v>170.083.157-75</x:v>
      </x:c>
      <x:c r="G1829" s="22" t="str">
        <x:f>"17008315775"</x:f>
        <x:v>17008315775</x:v>
      </x:c>
      <x:c r="H1829" s="23" t="str">
        <x:v>joaopedroo20p@gmail.com</x:v>
      </x:c>
      <x:c r="I1829" s="22" t="str">
        <x:f>"(21) 98179-1791"</x:f>
        <x:v>(21) 98179-1791</x:v>
      </x:c>
      <x:c r="J1829" s="23" t="str">
        <x:v>SPOT</x:v>
      </x:c>
      <x:c r="K1829" s="23" t="str">
        <x:v>favored_only</x:v>
      </x:c>
      <x:c r="L1829" s="24" t="b">
        <x:v>1</x:v>
      </x:c>
      <x:c r="M1829" s="23" t="n">
        <x:v>1</x:v>
      </x:c>
      <x:c r="N1829" s="28" t="n">
        <x:v>46219.812988715275</x:v>
      </x:c>
      <x:c r="O1829" s="28" t="n">
        <x:v>46219.812988715275</x:v>
      </x:c>
      <x:c r="P1829" s="23" t="str">
        <x:v>QUEIMADOS</x:v>
      </x:c>
      <x:c r="Q1829" s="30" t="n">
        <x:v>35905</x:v>
      </x:c>
      <x:c r="R1829" s="22" t="str">
        <x:f>"29.837.389-5"</x:f>
        <x:v>29.837.389-5</x:v>
      </x:c>
      <x:c r="S1829" s="23" t="str">
        <x:v>masculino</x:v>
      </x:c>
      <x:c r="T1829" s="22" t="str">
        <x:f>"KVJ7F09"</x:f>
        <x:v>KVJ7F09</x:v>
      </x:c>
      <x:c r="U1829" s="23" t="str">
        <x:v>JOAO PEDRO BUENO SANTOS DA SILVA FREITAS</x:v>
      </x:c>
      <x:c r="V1829" s="22" t="str">
        <x:f>"170.083.157-75"</x:f>
        <x:v>170.083.157-75</x:v>
      </x:c>
      <x:c r="W1829" s="22" t="str">
        <x:f>"17008315775"</x:f>
        <x:v>17008315775</x:v>
      </x:c>
      <x:c r="X1829" s="23" t="str">
        <x:v>joaopedroo20p@gmail.com</x:v>
      </x:c>
      <x:c r="Y1829" s="22" t="str">
        <x:f>"(21) 98179-1791"</x:f>
        <x:v>(21) 98179-1791</x:v>
      </x:c>
      <x:c r="Z1829" s="30" t="n">
        <x:v>46582</x:v>
      </x:c>
    </x:row>
    <x:row r="1830" ht="18" customHeight="1">
      <x:c r="A1830" s="22" t="str">
        <x:f>"3ffbfbed-b2c9-4198-95db-d7ebdf40c546"</x:f>
        <x:v>3ffbfbed-b2c9-4198-95db-d7ebdf40c546</x:v>
      </x:c>
      <x:c r="B1830" s="23" t="str">
        <x:v>João Pedro Cirilo de Oliveira</x:v>
      </x:c>
      <x:c r="C1830" s="23" t="str">
        <x:v>joao pedro cirilo de oliveira</x:v>
      </x:c>
      <x:c r="D1830" s="22" t="str">
        <x:f>"61.829.464/0001-08"</x:f>
        <x:v>61.829.464/0001-08</x:v>
      </x:c>
      <x:c r="E1830" s="22" t="str">
        <x:f>"61829464000108"</x:f>
        <x:v>61829464000108</x:v>
      </x:c>
      <x:c r="F1830" s="22" t="str">
        <x:f>"436.657.018-13"</x:f>
        <x:v>436.657.018-13</x:v>
      </x:c>
      <x:c r="G1830" s="22" t="str">
        <x:f>"43665701813"</x:f>
        <x:v>43665701813</x:v>
      </x:c>
      <x:c r="H1830" s="23" t="str">
        <x:v>joao-ap1@hotmail.com</x:v>
      </x:c>
      <x:c r="I1830" s="22" t="str">
        <x:f>"(16) 991209783"</x:f>
        <x:v>(16) 991209783</x:v>
      </x:c>
      <x:c r="J1830" s="23" t="str">
        <x:v>SPOT</x:v>
      </x:c>
      <x:c r="K1830" s="23" t="str">
        <x:v>favored_only</x:v>
      </x:c>
      <x:c r="L1830" s="24" t="b">
        <x:v>1</x:v>
      </x:c>
      <x:c r="M1830" s="23" t="n">
        <x:v>1</x:v>
      </x:c>
      <x:c r="N1830" s="28" t="n">
        <x:v>46203.92191240741</x:v>
      </x:c>
      <x:c r="O1830" s="28" t="n">
        <x:v>46205.60877462963</x:v>
      </x:c>
      <x:c r="P1830" s="23" t="str">
        <x:v>RIBEIRAO PRETO</x:v>
      </x:c>
      <x:c r="Q1830" s="30" t="n">
        <x:v>36754</x:v>
      </x:c>
      <x:c r="R1830" s="22" t="str">
        <x:f>"580381973"</x:f>
        <x:v>580381973</x:v>
      </x:c>
      <x:c r="S1830" s="23" t="str">
        <x:v>Masculino</x:v>
      </x:c>
      <x:c r="T1830" s="22" t="str">
        <x:f>"GHI7F29"</x:f>
        <x:v>GHI7F29</x:v>
      </x:c>
      <x:c r="U1830" s="23" t="str">
        <x:v>João Pedro Cirilo de Oliveira</x:v>
      </x:c>
      <x:c r="V1830" s="22" t="str">
        <x:f>"436.657.018-13"</x:f>
        <x:v>436.657.018-13</x:v>
      </x:c>
      <x:c r="W1830" s="22" t="str">
        <x:f>"43665701813"</x:f>
        <x:v>43665701813</x:v>
      </x:c>
      <x:c r="X1830" s="23" t="str">
        <x:v>joao-ap1@hotmail.com</x:v>
      </x:c>
      <x:c r="Y1830" s="22" t="str">
        <x:f>"(16) 991209783"</x:f>
        <x:v>(16) 991209783</x:v>
      </x:c>
      <x:c r="Z1830" s="30" t="n">
        <x:v>46211</x:v>
      </x:c>
    </x:row>
    <x:row r="1831" ht="18" customHeight="1">
      <x:c r="A1831" s="22" t="str">
        <x:f>"3e4dbec6-efcc-493b-bd91-1ebc60184acd"</x:f>
        <x:v>3e4dbec6-efcc-493b-bd91-1ebc60184acd</x:v>
      </x:c>
      <x:c r="B1831" s="23" t="str">
        <x:v>JOAO PEDRO DE ALMEIDA</x:v>
      </x:c>
      <x:c r="C1831" s="23" t="str">
        <x:v>joao pedro de almeida</x:v>
      </x:c>
      <x:c r="D1831" s="22" t="str">
        <x:f>"59.921.111/0001-83"</x:f>
        <x:v>59.921.111/0001-83</x:v>
      </x:c>
      <x:c r="E1831" s="22" t="str">
        <x:f>"59921111000183"</x:f>
        <x:v>59921111000183</x:v>
      </x:c>
      <x:c r="F1831" s="22" t="str">
        <x:f>"424.933.686-17"</x:f>
        <x:v>424.933.686-17</x:v>
      </x:c>
      <x:c r="G1831" s="22" t="str">
        <x:f>"42493368617"</x:f>
        <x:v>42493368617</x:v>
      </x:c>
      <x:c r="H1831" s="23" t="str">
        <x:v>Almeidapedrojoao08@gmail.com</x:v>
      </x:c>
      <x:c r="I1831" s="22" t="str">
        <x:f>"11987884589"</x:f>
        <x:v>11987884589</x:v>
      </x:c>
      <x:c r="J1831" s="23" t="str">
        <x:v>RENTAL</x:v>
      </x:c>
      <x:c r="K1831" s="23" t="str">
        <x:v>rental_company</x:v>
      </x:c>
      <x:c r="L1831" s="24" t="b">
        <x:v>1</x:v>
      </x:c>
      <x:c r="M1831" s="23" t="n">
        <x:v>1</x:v>
      </x:c>
      <x:c r="N1831" s="28" t="n">
        <x:v>46219.812988715275</x:v>
      </x:c>
      <x:c r="O1831" s="28" t="n">
        <x:v>46219.812988715275</x:v>
      </x:c>
      <x:c r="P1831" s="23" t="str">
        <x:v>BARUERI</x:v>
      </x:c>
      <x:c r="Q1831" s="30" t="n">
        <x:v>35619</x:v>
      </x:c>
      <x:c r="R1831" s="22" t="str">
        <x:f>"50302068"</x:f>
        <x:v>50302068</x:v>
      </x:c>
      <x:c r="S1831" s="23" t="str">
        <x:v>masculino</x:v>
      </x:c>
      <x:c r="T1831" s="22" t="str"/>
      <x:c r="U1831" s="23" t="str">
        <x:v>JOAO PEDRO DE ALMEIDA</x:v>
      </x:c>
      <x:c r="V1831" s="22" t="str">
        <x:f>"424.933.686-17"</x:f>
        <x:v>424.933.686-17</x:v>
      </x:c>
      <x:c r="W1831" s="22" t="str">
        <x:f>"42493368617"</x:f>
        <x:v>42493368617</x:v>
      </x:c>
      <x:c r="X1831" s="23" t="str">
        <x:v>Almeidapedrojoao08@gmail.com</x:v>
      </x:c>
      <x:c r="Y1831" s="22" t="str">
        <x:f>"11987884589"</x:f>
        <x:v>11987884589</x:v>
      </x:c>
      <x:c r="Z1831" s="30" t="n">
        <x:v>46556</x:v>
      </x:c>
    </x:row>
    <x:row r="1832" ht="18" customHeight="1">
      <x:c r="A1832" s="22" t="str">
        <x:f>"f13f90ec-091d-409e-ba37-14b651639f9d"</x:f>
        <x:v>f13f90ec-091d-409e-ba37-14b651639f9d</x:v>
      </x:c>
      <x:c r="B1832" s="23" t="str">
        <x:v>JOAO PEDRO DE ALMEIDA DOS SANTOS OLIVEIRA</x:v>
      </x:c>
      <x:c r="C1832" s="23" t="str">
        <x:v>joao pedro de almeida dos santos oliveira</x:v>
      </x:c>
      <x:c r="D1832" s="22" t="str">
        <x:f>"60.050.147/0001-18"</x:f>
        <x:v>60.050.147/0001-18</x:v>
      </x:c>
      <x:c r="E1832" s="22" t="str">
        <x:f>"60050147000118"</x:f>
        <x:v>60050147000118</x:v>
      </x:c>
      <x:c r="F1832" s="22" t="str">
        <x:f>"161.556.267-23"</x:f>
        <x:v>161.556.267-23</x:v>
      </x:c>
      <x:c r="G1832" s="22" t="str">
        <x:f>"16155626723"</x:f>
        <x:v>16155626723</x:v>
      </x:c>
      <x:c r="H1832" s="23" t="str">
        <x:v>jpasopedrinho@gmail.com</x:v>
      </x:c>
      <x:c r="I1832" s="22" t="str">
        <x:f>"21964032604"</x:f>
        <x:v>21964032604</x:v>
      </x:c>
      <x:c r="J1832" s="23" t="str">
        <x:v>SPOT</x:v>
      </x:c>
      <x:c r="K1832" s="23" t="str">
        <x:v>favored_only</x:v>
      </x:c>
      <x:c r="L1832" s="24" t="b">
        <x:v>1</x:v>
      </x:c>
      <x:c r="M1832" s="23" t="n">
        <x:v>1</x:v>
      </x:c>
      <x:c r="N1832" s="28" t="n">
        <x:v>46203.921887453704</x:v>
      </x:c>
      <x:c r="O1832" s="28" t="n">
        <x:v>46219.812988715275</x:v>
      </x:c>
      <x:c r="P1832" s="23" t="str">
        <x:v>CORDOVIL</x:v>
      </x:c>
      <x:c r="Q1832" s="30" t="n">
        <x:v>38390</x:v>
      </x:c>
      <x:c r="R1832" s="22" t="str">
        <x:f>"269725362"</x:f>
        <x:v>269725362</x:v>
      </x:c>
      <x:c r="S1832" s="23" t="str">
        <x:v>masculino</x:v>
      </x:c>
      <x:c r="T1832" s="22" t="str">
        <x:f>"KZA7045"</x:f>
        <x:v>KZA7045</x:v>
      </x:c>
      <x:c r="U1832" s="23" t="str">
        <x:v>JOAO PEDRO DE ALMEIDA DOS SANTOS OLIVEIRA</x:v>
      </x:c>
      <x:c r="V1832" s="22" t="str">
        <x:f>"161.556.267-23"</x:f>
        <x:v>161.556.267-23</x:v>
      </x:c>
      <x:c r="W1832" s="22" t="str">
        <x:f>"16155626723"</x:f>
        <x:v>16155626723</x:v>
      </x:c>
      <x:c r="X1832" s="23" t="str">
        <x:v>jpasopedrinho@gmail.com</x:v>
      </x:c>
      <x:c r="Y1832" s="22" t="str">
        <x:f>"21964032604"</x:f>
        <x:v>21964032604</x:v>
      </x:c>
      <x:c r="Z1832" s="30" t="n">
        <x:v>46329</x:v>
      </x:c>
    </x:row>
    <x:row r="1833" ht="18" customHeight="1">
      <x:c r="A1833" s="22" t="str">
        <x:f>"01d22979-3b12-465b-b906-40915e88b70a"</x:f>
        <x:v>01d22979-3b12-465b-b906-40915e88b70a</x:v>
      </x:c>
      <x:c r="B1833" s="23" t="str">
        <x:v>JOAO PEDRO DE BARROS LIMA</x:v>
      </x:c>
      <x:c r="C1833" s="23" t="str">
        <x:v>joao pedro de barros lima</x:v>
      </x:c>
      <x:c r="D1833" s="22" t="str">
        <x:f>"67.930.635/0001-69"</x:f>
        <x:v>67.930.635/0001-69</x:v>
      </x:c>
      <x:c r="E1833" s="22" t="str">
        <x:f>"67930635000169"</x:f>
        <x:v>67930635000169</x:v>
      </x:c>
      <x:c r="F1833" s="22" t="str">
        <x:f>"167.028.187-69"</x:f>
        <x:v>167.028.187-69</x:v>
      </x:c>
      <x:c r="G1833" s="22" t="str">
        <x:f>"16702818769"</x:f>
        <x:v>16702818769</x:v>
      </x:c>
      <x:c r="H1833" s="23" t="str">
        <x:v>vougalima@gmail.com</x:v>
      </x:c>
      <x:c r="I1833" s="22" t="str">
        <x:f>"21992824608"</x:f>
        <x:v>21992824608</x:v>
      </x:c>
      <x:c r="J1833" s="23" t="str">
        <x:v>SPOT</x:v>
      </x:c>
      <x:c r="K1833" s="23" t="str">
        <x:v>favored_only</x:v>
      </x:c>
      <x:c r="L1833" s="24" t="b">
        <x:v>1</x:v>
      </x:c>
      <x:c r="M1833" s="23" t="n">
        <x:v>1</x:v>
      </x:c>
      <x:c r="N1833" s="28" t="n">
        <x:v>46219.812988715275</x:v>
      </x:c>
      <x:c r="O1833" s="28" t="n">
        <x:v>46219.812988715275</x:v>
      </x:c>
      <x:c r="P1833" s="23" t="str">
        <x:v>CORDOVIL</x:v>
      </x:c>
      <x:c r="Q1833" s="30" t="n">
        <x:v>35433</x:v>
      </x:c>
      <x:c r="R1833" s="22" t="str">
        <x:f>"29.531.401-7"</x:f>
        <x:v>29.531.401-7</x:v>
      </x:c>
      <x:c r="S1833" s="23" t="str">
        <x:v>masculino</x:v>
      </x:c>
      <x:c r="T1833" s="22" t="str">
        <x:f>"FLL4B34"</x:f>
        <x:v>FLL4B34</x:v>
      </x:c>
      <x:c r="U1833" s="23" t="str">
        <x:v>JOAO PEDRO DE BARROS LIMA</x:v>
      </x:c>
      <x:c r="V1833" s="22" t="str">
        <x:f>"167.028.187-69"</x:f>
        <x:v>167.028.187-69</x:v>
      </x:c>
      <x:c r="W1833" s="22" t="str">
        <x:f>"16702818769"</x:f>
        <x:v>16702818769</x:v>
      </x:c>
      <x:c r="X1833" s="23" t="str">
        <x:v>vougalima@gmail.com</x:v>
      </x:c>
      <x:c r="Y1833" s="22" t="str">
        <x:f>"21992824608"</x:f>
        <x:v>21992824608</x:v>
      </x:c>
      <x:c r="Z1833" s="30" t="n">
        <x:v>46582</x:v>
      </x:c>
    </x:row>
    <x:row r="1834" ht="18" customHeight="1">
      <x:c r="A1834" s="22" t="str">
        <x:f>"0ac18d5e-97fc-46f9-bb25-f723a0064762"</x:f>
        <x:v>0ac18d5e-97fc-46f9-bb25-f723a0064762</x:v>
      </x:c>
      <x:c r="B1834" s="23" t="str">
        <x:v>JOAO PEDRO DOS SANTOS PONTES</x:v>
      </x:c>
      <x:c r="C1834" s="23" t="str">
        <x:v>joao pedro dos santos pontes</x:v>
      </x:c>
      <x:c r="D1834" s="22" t="str">
        <x:f>"67.060.883/0001-04"</x:f>
        <x:v>67.060.883/0001-04</x:v>
      </x:c>
      <x:c r="E1834" s="22" t="str">
        <x:f>"67060883000104"</x:f>
        <x:v>67060883000104</x:v>
      </x:c>
      <x:c r="F1834" s="22" t="str">
        <x:f>"503.529.448-03"</x:f>
        <x:v>503.529.448-03</x:v>
      </x:c>
      <x:c r="G1834" s="22" t="str">
        <x:f>"50352944803"</x:f>
        <x:v>50352944803</x:v>
      </x:c>
      <x:c r="H1834" s="23" t="str">
        <x:v>joaopedrosp822@gmail.com</x:v>
      </x:c>
      <x:c r="I1834" s="22" t="str">
        <x:f>"18997745448"</x:f>
        <x:v>18997745448</x:v>
      </x:c>
      <x:c r="J1834" s="23" t="str">
        <x:v>RENTAL</x:v>
      </x:c>
      <x:c r="K1834" s="23" t="str">
        <x:v>rental_company</x:v>
      </x:c>
      <x:c r="L1834" s="24" t="b">
        <x:v>1</x:v>
      </x:c>
      <x:c r="M1834" s="23" t="n">
        <x:v>1</x:v>
      </x:c>
      <x:c r="N1834" s="28" t="n">
        <x:v>46219.812988715275</x:v>
      </x:c>
      <x:c r="O1834" s="28" t="n">
        <x:v>46219.812988715275</x:v>
      </x:c>
      <x:c r="P1834" s="23" t="str">
        <x:v>PRESIDENTE PRUDENTE</x:v>
      </x:c>
      <x:c r="Q1834" s="30" t="n">
        <x:v>37248</x:v>
      </x:c>
      <x:c r="R1834" s="22" t="str">
        <x:f>"584894429"</x:f>
        <x:v>584894429</x:v>
      </x:c>
      <x:c r="S1834" s="23" t="str">
        <x:v>masculino</x:v>
      </x:c>
      <x:c r="T1834" s="22" t="str"/>
      <x:c r="U1834" s="23" t="str">
        <x:v>JOAO PEDRO DOS SANTOS PONTES</x:v>
      </x:c>
      <x:c r="V1834" s="22" t="str">
        <x:f>"503.529.448-03"</x:f>
        <x:v>503.529.448-03</x:v>
      </x:c>
      <x:c r="W1834" s="22" t="str">
        <x:f>"50352944803"</x:f>
        <x:v>50352944803</x:v>
      </x:c>
      <x:c r="X1834" s="23" t="str">
        <x:v>joaopedrosp822@gmail.com</x:v>
      </x:c>
      <x:c r="Y1834" s="22" t="str">
        <x:f>"18997745448"</x:f>
        <x:v>18997745448</x:v>
      </x:c>
      <x:c r="Z1834" s="30" t="n">
        <x:v>46539</x:v>
      </x:c>
    </x:row>
    <x:row r="1835" ht="18" customHeight="1">
      <x:c r="A1835" s="22" t="str">
        <x:f>"32342f0d-e174-4f50-a8ad-464849aeb9c7"</x:f>
        <x:v>32342f0d-e174-4f50-a8ad-464849aeb9c7</x:v>
      </x:c>
      <x:c r="B1835" s="23" t="str">
        <x:v>JOAO PEDRO DOS SANTOS PONTES</x:v>
      </x:c>
      <x:c r="C1835" s="23" t="str">
        <x:v>joao pedro dos santos pontes</x:v>
      </x:c>
      <x:c r="D1835" s="22" t="str">
        <x:f>"64.019.965/0001-09"</x:f>
        <x:v>64.019.965/0001-09</x:v>
      </x:c>
      <x:c r="E1835" s="22" t="str">
        <x:f>"64019965000109"</x:f>
        <x:v>64019965000109</x:v>
      </x:c>
      <x:c r="F1835" s="22" t="str">
        <x:f>"503.529.448-03"</x:f>
        <x:v>503.529.448-03</x:v>
      </x:c>
      <x:c r="G1835" s="22" t="str">
        <x:f>"50352944803"</x:f>
        <x:v>50352944803</x:v>
      </x:c>
      <x:c r="H1835" s="23" t="str">
        <x:v>joaopedrosp822@gmail.com</x:v>
      </x:c>
      <x:c r="I1835" s="22" t="str">
        <x:f>"18997745448"</x:f>
        <x:v>18997745448</x:v>
      </x:c>
      <x:c r="J1835" s="23" t="str">
        <x:v>rental</x:v>
      </x:c>
      <x:c r="K1835" s="23" t="str">
        <x:v>rental_company</x:v>
      </x:c>
      <x:c r="L1835" s="24" t="b">
        <x:v>1</x:v>
      </x:c>
      <x:c r="M1835" s="23" t="n">
        <x:v>2</x:v>
      </x:c>
      <x:c r="N1835" s="28" t="n">
        <x:v>46203.921904421295</x:v>
      </x:c>
      <x:c r="O1835" s="28" t="n">
        <x:v>46219.812988715275</x:v>
      </x:c>
      <x:c r="P1835" s="23" t="str">
        <x:v>PRESIDENTE PRUDENTE</x:v>
      </x:c>
      <x:c r="Q1835" s="30" t="n">
        <x:v>37248</x:v>
      </x:c>
      <x:c r="R1835" s="22" t="str">
        <x:f>"584894429"</x:f>
        <x:v>584894429</x:v>
      </x:c>
      <x:c r="S1835" s="23" t="str">
        <x:v>masculino</x:v>
      </x:c>
      <x:c r="T1835" s="22" t="str"/>
      <x:c r="U1835" s="23" t="str">
        <x:v>JOAO PEDRO DOS SANTOS PONTES</x:v>
      </x:c>
      <x:c r="V1835" s="22" t="str">
        <x:f>"503.529.448-03"</x:f>
        <x:v>503.529.448-03</x:v>
      </x:c>
      <x:c r="W1835" s="22" t="str">
        <x:f>"50352944803"</x:f>
        <x:v>50352944803</x:v>
      </x:c>
      <x:c r="X1835" s="23" t="str">
        <x:v>joaopedrosp822@gmail.com</x:v>
      </x:c>
      <x:c r="Y1835" s="22" t="str">
        <x:f>"18997745448"</x:f>
        <x:v>18997745448</x:v>
      </x:c>
      <x:c r="Z1835" s="30" t="n">
        <x:v>46525</x:v>
      </x:c>
    </x:row>
    <x:row r="1836" ht="18" customHeight="1">
      <x:c r="A1836" s="22" t="str">
        <x:f>"c92f49f8-5f45-49a6-83b4-384ad4fbbed8"</x:f>
        <x:v>c92f49f8-5f45-49a6-83b4-384ad4fbbed8</x:v>
      </x:c>
      <x:c r="B1836" s="23" t="str">
        <x:v>JOAO PEDRO MADRUGA DA SILVA</x:v>
      </x:c>
      <x:c r="C1836" s="23" t="str">
        <x:v>joao pedro madruga da silva</x:v>
      </x:c>
      <x:c r="D1836" s="22" t="str">
        <x:f>"52.490.800/0001-31"</x:f>
        <x:v>52.490.800/0001-31</x:v>
      </x:c>
      <x:c r="E1836" s="22" t="str">
        <x:f>"52490800000131"</x:f>
        <x:v>52490800000131</x:v>
      </x:c>
      <x:c r="F1836" s="22" t="str">
        <x:f>"178.090.397-92"</x:f>
        <x:v>178.090.397-92</x:v>
      </x:c>
      <x:c r="G1836" s="22" t="str">
        <x:f>"17809039792"</x:f>
        <x:v>17809039792</x:v>
      </x:c>
      <x:c r="H1836" s="23" t="str">
        <x:v>joaopedromadrugadasilva78@gmail.com</x:v>
      </x:c>
      <x:c r="I1836" s="22" t="str">
        <x:f>"22998339580"</x:f>
        <x:v>22998339580</x:v>
      </x:c>
      <x:c r="J1836" s="23" t="str">
        <x:v>SPOT</x:v>
      </x:c>
      <x:c r="K1836" s="23" t="str">
        <x:v>favored_only</x:v>
      </x:c>
      <x:c r="L1836" s="24" t="b">
        <x:v>1</x:v>
      </x:c>
      <x:c r="M1836" s="23" t="n">
        <x:v>1</x:v>
      </x:c>
      <x:c r="N1836" s="28" t="n">
        <x:v>46205.605594189816</x:v>
      </x:c>
      <x:c r="O1836" s="28" t="n">
        <x:v>46219.812988715275</x:v>
      </x:c>
      <x:c r="P1836" s="23" t="str">
        <x:v>CAMPOS DOS GOYTACAZES</x:v>
      </x:c>
      <x:c r="Q1836" s="30" t="n">
        <x:v>37301</x:v>
      </x:c>
      <x:c r="R1836" s="22" t="str">
        <x:f>"313675795"</x:f>
        <x:v>313675795</x:v>
      </x:c>
      <x:c r="S1836" s="23" t="str">
        <x:v>masculino</x:v>
      </x:c>
      <x:c r="T1836" s="22" t="str">
        <x:f>"FCB1C14"</x:f>
        <x:v>FCB1C14</x:v>
      </x:c>
      <x:c r="U1836" s="23" t="str">
        <x:v>FABRICIO DE OLIVEIRA BRASILEIRO</x:v>
      </x:c>
      <x:c r="V1836" s="22" t="str">
        <x:f>"128.256.137-54"</x:f>
        <x:v>128.256.137-54</x:v>
      </x:c>
      <x:c r="W1836" s="22" t="str">
        <x:f>"12825613754"</x:f>
        <x:v>12825613754</x:v>
      </x:c>
      <x:c r="X1836" s="23" t="str">
        <x:v>Fabriciobrasileiro16@gmail.com</x:v>
      </x:c>
      <x:c r="Y1836" s="22" t="str">
        <x:f>"22 998673445"</x:f>
        <x:v>22 998673445</x:v>
      </x:c>
      <x:c r="Z1836" s="30" t="n">
        <x:v>46327</x:v>
      </x:c>
    </x:row>
    <x:row r="1837" ht="18" customHeight="1">
      <x:c r="A1837" s="22" t="str">
        <x:f>"6d41bcfb-3306-43e5-b566-653c406691e2"</x:f>
        <x:v>6d41bcfb-3306-43e5-b566-653c406691e2</x:v>
      </x:c>
      <x:c r="B1837" s="23" t="str">
        <x:v>JOAO PEDRO RODRIGUES</x:v>
      </x:c>
      <x:c r="C1837" s="23" t="str">
        <x:v>joao pedro rodrigues</x:v>
      </x:c>
      <x:c r="D1837" s="22" t="str">
        <x:f>"35.761.013/0001-68"</x:f>
        <x:v>35.761.013/0001-68</x:v>
      </x:c>
      <x:c r="E1837" s="22" t="str">
        <x:f>"35761013000168"</x:f>
        <x:v>35761013000168</x:v>
      </x:c>
      <x:c r="F1837" s="22" t="str">
        <x:f>"064.786.917-99"</x:f>
        <x:v>064.786.917-99</x:v>
      </x:c>
      <x:c r="G1837" s="22" t="str">
        <x:f>"06478691799"</x:f>
        <x:v>06478691799</x:v>
      </x:c>
      <x:c r="H1837" s="23" t="str">
        <x:v>pedrinho1622@gmail.com</x:v>
      </x:c>
      <x:c r="I1837" s="22" t="str">
        <x:f>"21 98349-1858"</x:f>
        <x:v>21 98349-1858</x:v>
      </x:c>
      <x:c r="J1837" s="23" t="str">
        <x:v>SPOT</x:v>
      </x:c>
      <x:c r="K1837" s="23" t="str">
        <x:v>favored_only</x:v>
      </x:c>
      <x:c r="L1837" s="24" t="b">
        <x:v>1</x:v>
      </x:c>
      <x:c r="M1837" s="23" t="n">
        <x:v>3</x:v>
      </x:c>
      <x:c r="N1837" s="28" t="n">
        <x:v>46203.9218771875</x:v>
      </x:c>
      <x:c r="O1837" s="28" t="n">
        <x:v>46219.812988715275</x:v>
      </x:c>
      <x:c r="P1837" s="23" t="str">
        <x:v>QUEIMADOS</x:v>
      </x:c>
      <x:c r="Q1837" s="30" t="n">
        <x:v>36001</x:v>
      </x:c>
      <x:c r="R1837" s="22" t="str">
        <x:f>"293965968"</x:f>
        <x:v>293965968</x:v>
      </x:c>
      <x:c r="S1837" s="23" t="str">
        <x:v>masculino</x:v>
      </x:c>
      <x:c r="T1837" s="22" t="str">
        <x:f>"KYO5F49"</x:f>
        <x:v>KYO5F49</x:v>
      </x:c>
      <x:c r="U1837" s="23" t="str">
        <x:v>JOAO PEDRO RODRIGUES</x:v>
      </x:c>
      <x:c r="V1837" s="22" t="str">
        <x:f>"064.786.917-99"</x:f>
        <x:v>064.786.917-99</x:v>
      </x:c>
      <x:c r="W1837" s="22" t="str">
        <x:f>"06478691799"</x:f>
        <x:v>06478691799</x:v>
      </x:c>
      <x:c r="X1837" s="23" t="str">
        <x:v>pedrinho1622@gmail.com</x:v>
      </x:c>
      <x:c r="Y1837" s="22" t="str">
        <x:f>"21 98349-1858"</x:f>
        <x:v>21 98349-1858</x:v>
      </x:c>
      <x:c r="Z1837" s="30" t="n">
        <x:v>46557</x:v>
      </x:c>
    </x:row>
    <x:row r="1838" ht="18" customHeight="1">
      <x:c r="A1838" s="22" t="str">
        <x:f>"90486c3f-3916-4f6b-b3a4-533be77543ca"</x:f>
        <x:v>90486c3f-3916-4f6b-b3a4-533be77543ca</x:v>
      </x:c>
      <x:c r="B1838" s="23" t="str">
        <x:v>JOAO PEREIRA DA SILVA</x:v>
      </x:c>
      <x:c r="C1838" s="23" t="str">
        <x:v>joao pereira da silva</x:v>
      </x:c>
      <x:c r="D1838" s="22" t="str">
        <x:f>"37.823.997/0001-90"</x:f>
        <x:v>37.823.997/0001-90</x:v>
      </x:c>
      <x:c r="E1838" s="22" t="str">
        <x:f>"37823997000190"</x:f>
        <x:v>37823997000190</x:v>
      </x:c>
      <x:c r="F1838" s="22" t="str">
        <x:f>"067.451.008-94"</x:f>
        <x:v>067.451.008-94</x:v>
      </x:c>
      <x:c r="G1838" s="22" t="str">
        <x:f>"06745100894"</x:f>
        <x:v>06745100894</x:v>
      </x:c>
      <x:c r="H1838" s="23" t="str">
        <x:v>Joao31beatriz@gmail.com</x:v>
      </x:c>
      <x:c r="I1838" s="22" t="str">
        <x:f>"18 99745-6077"</x:f>
        <x:v>18 99745-6077</x:v>
      </x:c>
      <x:c r="J1838" s="23" t="str">
        <x:v>SPOT</x:v>
      </x:c>
      <x:c r="K1838" s="23" t="str">
        <x:v>favored_only</x:v>
      </x:c>
      <x:c r="L1838" s="24" t="b">
        <x:v>1</x:v>
      </x:c>
      <x:c r="M1838" s="23" t="n">
        <x:v>1</x:v>
      </x:c>
      <x:c r="N1838" s="28" t="n">
        <x:v>46205.603793518516</x:v>
      </x:c>
      <x:c r="O1838" s="28" t="n">
        <x:v>46219.812988715275</x:v>
      </x:c>
      <x:c r="P1838" s="23" t="str">
        <x:v>CHAPADÃO DO SUL</x:v>
      </x:c>
      <x:c r="Q1838" s="30" t="n">
        <x:v>25059</x:v>
      </x:c>
      <x:c r="R1838" s="22" t="str">
        <x:f>"23626775"</x:f>
        <x:v>23626775</x:v>
      </x:c>
      <x:c r="S1838" s="23" t="str">
        <x:v>masculino</x:v>
      </x:c>
      <x:c r="T1838" s="22" t="str">
        <x:f>"EJX7439"</x:f>
        <x:v>EJX7439</x:v>
      </x:c>
      <x:c r="U1838" s="23" t="str">
        <x:v>DANILLO BACIEL ALMEIDA</x:v>
      </x:c>
      <x:c r="V1838" s="22" t="str">
        <x:f>"962.005.291-91"</x:f>
        <x:v>962.005.291-91</x:v>
      </x:c>
      <x:c r="W1838" s="22" t="str">
        <x:f>"96200529191"</x:f>
        <x:v>96200529191</x:v>
      </x:c>
      <x:c r="X1838" s="23" t="str">
        <x:v>RPT.cargas@gmail.com</x:v>
      </x:c>
      <x:c r="Y1838" s="22" t="str">
        <x:f>"(62) 99661-0607"</x:f>
        <x:v>(62) 99661-0607</x:v>
      </x:c>
      <x:c r="Z1838" s="30" t="n">
        <x:v>46309</x:v>
      </x:c>
    </x:row>
    <x:row r="1839" ht="18" customHeight="1">
      <x:c r="A1839" s="22" t="str">
        <x:f>"3a4ab6a3-d897-4771-aace-8321c8c1c7c9"</x:f>
        <x:v>3a4ab6a3-d897-4771-aace-8321c8c1c7c9</x:v>
      </x:c>
      <x:c r="B1839" s="23" t="str">
        <x:v>JOAO PEREIRA DE SOUSA NETO</x:v>
      </x:c>
      <x:c r="C1839" s="23" t="str">
        <x:v>joao pereira de sousa neto</x:v>
      </x:c>
      <x:c r="D1839" s="22" t="str">
        <x:f>"63.156.126/0001-70"</x:f>
        <x:v>63.156.126/0001-70</x:v>
      </x:c>
      <x:c r="E1839" s="22" t="str">
        <x:f>"63156126000170"</x:f>
        <x:v>63156126000170</x:v>
      </x:c>
      <x:c r="F1839" s="22" t="str">
        <x:f>"059.012.231-28"</x:f>
        <x:v>059.012.231-28</x:v>
      </x:c>
      <x:c r="G1839" s="22" t="str">
        <x:f>"05901223128"</x:f>
        <x:v>05901223128</x:v>
      </x:c>
      <x:c r="H1839" s="23" t="str">
        <x:v>joaoneto_rv@hotmail.com</x:v>
      </x:c>
      <x:c r="I1839" s="22" t="str">
        <x:f>"64 99229 7074"</x:f>
        <x:v>64 99229 7074</x:v>
      </x:c>
      <x:c r="J1839" s="23" t="str">
        <x:v>SPOT</x:v>
      </x:c>
      <x:c r="K1839" s="23" t="str">
        <x:v>favored_only</x:v>
      </x:c>
      <x:c r="L1839" s="24" t="b">
        <x:v>1</x:v>
      </x:c>
      <x:c r="M1839" s="23" t="n">
        <x:v>1</x:v>
      </x:c>
      <x:c r="N1839" s="28" t="n">
        <x:v>46219.812988715275</x:v>
      </x:c>
      <x:c r="O1839" s="28" t="n">
        <x:v>46219.812988715275</x:v>
      </x:c>
      <x:c r="P1839" s="23" t="str">
        <x:v>RIO VERDE</x:v>
      </x:c>
      <x:c r="Q1839" s="30" t="n">
        <x:v>35258</x:v>
      </x:c>
      <x:c r="R1839" s="22" t="str">
        <x:f>"6215885"</x:f>
        <x:v>6215885</x:v>
      </x:c>
      <x:c r="S1839" s="23" t="str">
        <x:v>masculino</x:v>
      </x:c>
      <x:c r="T1839" s="22" t="str">
        <x:f>"Gwk5h79"</x:f>
        <x:v>Gwk5h79</x:v>
      </x:c>
      <x:c r="U1839" s="23" t="str">
        <x:v>EUDES JESUS RAMOS JUNIOR</x:v>
      </x:c>
      <x:c r="V1839" s="22" t="str">
        <x:f>"701.244.591-29"</x:f>
        <x:v>701.244.591-29</x:v>
      </x:c>
      <x:c r="W1839" s="22" t="str">
        <x:f>"70124459129"</x:f>
        <x:v>70124459129</x:v>
      </x:c>
      <x:c r="X1839" s="23" t="str">
        <x:v>eudesjrgyn@gmail.com</x:v>
      </x:c>
      <x:c r="Y1839" s="22" t="str">
        <x:f>"62994590040"</x:f>
        <x:v>62994590040</x:v>
      </x:c>
      <x:c r="Z1839" s="30" t="n">
        <x:v>46492</x:v>
      </x:c>
    </x:row>
    <x:row r="1840" ht="18" customHeight="1">
      <x:c r="A1840" s="22" t="str">
        <x:f>"173b4f6d-9cac-424c-a8b7-b48d46a4c032"</x:f>
        <x:v>173b4f6d-9cac-424c-a8b7-b48d46a4c032</x:v>
      </x:c>
      <x:c r="B1840" s="23" t="str">
        <x:v>JOAO RENATO DELUQUI SANCHES</x:v>
      </x:c>
      <x:c r="C1840" s="23" t="str">
        <x:v>joao renato deluqui sanches</x:v>
      </x:c>
      <x:c r="D1840" s="22" t="str">
        <x:f>"54.564.016/0001-56"</x:f>
        <x:v>54.564.016/0001-56</x:v>
      </x:c>
      <x:c r="E1840" s="22" t="str">
        <x:f>"54564016000156"</x:f>
        <x:v>54564016000156</x:v>
      </x:c>
      <x:c r="F1840" s="22" t="str">
        <x:f>"063.750.281-75"</x:f>
        <x:v>063.750.281-75</x:v>
      </x:c>
      <x:c r="G1840" s="22" t="str">
        <x:f>"06375028175"</x:f>
        <x:v>06375028175</x:v>
      </x:c>
      <x:c r="H1840" s="23" t="str">
        <x:v>joaorenatodeluqui12345@gmail.com</x:v>
      </x:c>
      <x:c r="I1840" s="22" t="str">
        <x:f>"65998023831"</x:f>
        <x:v>65998023831</x:v>
      </x:c>
      <x:c r="J1840" s="23" t="str">
        <x:v>SPOT</x:v>
      </x:c>
      <x:c r="K1840" s="23" t="str">
        <x:v>favored_only</x:v>
      </x:c>
      <x:c r="L1840" s="24" t="b">
        <x:v>1</x:v>
      </x:c>
      <x:c r="M1840" s="23" t="n">
        <x:v>1</x:v>
      </x:c>
      <x:c r="N1840" s="28" t="n">
        <x:v>46205.6039283912</x:v>
      </x:c>
      <x:c r="O1840" s="28" t="n">
        <x:v>46219.812988715275</x:v>
      </x:c>
      <x:c r="P1840" s="23" t="str">
        <x:v>CÁCERES</x:v>
      </x:c>
      <x:c r="Q1840" s="30" t="n">
        <x:v>36977</x:v>
      </x:c>
      <x:c r="R1840" s="22" t="str">
        <x:f>"27313263"</x:f>
        <x:v>27313263</x:v>
      </x:c>
      <x:c r="S1840" s="23" t="str">
        <x:v>masculino</x:v>
      </x:c>
      <x:c r="T1840" s="22" t="str">
        <x:f>"QBX6683"</x:f>
        <x:v>QBX6683</x:v>
      </x:c>
      <x:c r="U1840" s="23" t="str">
        <x:v>EDJUNIO DA COSTA SILVA</x:v>
      </x:c>
      <x:c r="V1840" s="22" t="str">
        <x:f>"051.284.321-06"</x:f>
        <x:v>051.284.321-06</x:v>
      </x:c>
      <x:c r="W1840" s="22" t="str">
        <x:f>"05128432106"</x:f>
        <x:v>05128432106</x:v>
      </x:c>
      <x:c r="X1840" s="23" t="str">
        <x:v>joaorenatodeluqui12345@gmail.com</x:v>
      </x:c>
      <x:c r="Y1840" s="22" t="str">
        <x:f>"65998023831"</x:f>
        <x:v>65998023831</x:v>
      </x:c>
      <x:c r="Z1840" s="30" t="n">
        <x:v>46249</x:v>
      </x:c>
    </x:row>
    <x:row r="1841" ht="18" customHeight="1">
      <x:c r="A1841" s="22" t="str">
        <x:f>"c4eeb4ec-dade-4f5c-8d2f-d9410e16e4ff"</x:f>
        <x:v>c4eeb4ec-dade-4f5c-8d2f-d9410e16e4ff</x:v>
      </x:c>
      <x:c r="B1841" s="23" t="str">
        <x:v>JOAO RODRIGUES DA SILVA NETO</x:v>
      </x:c>
      <x:c r="C1841" s="23" t="str">
        <x:v>joao rodrigues da silva neto</x:v>
      </x:c>
      <x:c r="D1841" s="22" t="str">
        <x:f>"58.653.928/0001-55"</x:f>
        <x:v>58.653.928/0001-55</x:v>
      </x:c>
      <x:c r="E1841" s="22" t="str">
        <x:f>"58653928000155"</x:f>
        <x:v>58653928000155</x:v>
      </x:c>
      <x:c r="F1841" s="22" t="str">
        <x:f>"024.169.681-06"</x:f>
        <x:v>024.169.681-06</x:v>
      </x:c>
      <x:c r="G1841" s="22" t="str">
        <x:f>"02416968106"</x:f>
        <x:v>02416968106</x:v>
      </x:c>
      <x:c r="H1841" s="23" t="str">
        <x:v>joaoneto240997cs@gmail.com</x:v>
      </x:c>
      <x:c r="I1841" s="22" t="str">
        <x:f>"(34) 9 9727 5294"</x:f>
        <x:v>(34) 9 9727 5294</x:v>
      </x:c>
      <x:c r="J1841" s="23" t="str">
        <x:v>RENTAL</x:v>
      </x:c>
      <x:c r="K1841" s="23" t="str">
        <x:v>rental_company</x:v>
      </x:c>
      <x:c r="L1841" s="24" t="b">
        <x:v>1</x:v>
      </x:c>
      <x:c r="M1841" s="23" t="n">
        <x:v>2</x:v>
      </x:c>
      <x:c r="N1841" s="28" t="n">
        <x:v>46219.812988715275</x:v>
      </x:c>
      <x:c r="O1841" s="28" t="n">
        <x:v>46219.812988715275</x:v>
      </x:c>
      <x:c r="P1841" s="23" t="str">
        <x:v>UBERABA</x:v>
      </x:c>
      <x:c r="Q1841" s="30" t="n">
        <x:v>35697</x:v>
      </x:c>
      <x:c r="R1841" s="22" t="str">
        <x:f>"20245074"</x:f>
        <x:v>20245074</x:v>
      </x:c>
      <x:c r="S1841" s="23" t="str">
        <x:v>masculino</x:v>
      </x:c>
      <x:c r="T1841" s="22" t="str">
        <x:f>"EGN3220"</x:f>
        <x:v>EGN3220</x:v>
      </x:c>
      <x:c r="U1841" s="23" t="str">
        <x:v>JOAO RODRIGUES DA SILVA NETO</x:v>
      </x:c>
      <x:c r="V1841" s="22" t="str">
        <x:f>"024.169.681-06"</x:f>
        <x:v>024.169.681-06</x:v>
      </x:c>
      <x:c r="W1841" s="22" t="str">
        <x:f>"02416968106"</x:f>
        <x:v>02416968106</x:v>
      </x:c>
      <x:c r="X1841" s="23" t="str">
        <x:v>joaoneto240997cs@gmail.com</x:v>
      </x:c>
      <x:c r="Y1841" s="22" t="str">
        <x:f>"(34) 9 9727 5294"</x:f>
        <x:v>(34) 9 9727 5294</x:v>
      </x:c>
      <x:c r="Z1841" s="30" t="n">
        <x:v>46444</x:v>
      </x:c>
    </x:row>
    <x:row r="1842" ht="18" customHeight="1">
      <x:c r="A1842" s="22" t="str">
        <x:f>"5a44a291-ea25-4909-9d05-6b0487974652"</x:f>
        <x:v>5a44a291-ea25-4909-9d05-6b0487974652</x:v>
      </x:c>
      <x:c r="B1842" s="23" t="str">
        <x:v>JOÃO VICTOR ALMENDROS</x:v>
      </x:c>
      <x:c r="C1842" s="23" t="str">
        <x:v>joao victor almendros</x:v>
      </x:c>
      <x:c r="D1842" s="22" t="str">
        <x:f>"543195450001-94"</x:f>
        <x:v>543195450001-94</x:v>
      </x:c>
      <x:c r="E1842" s="22" t="str">
        <x:f>"54319545000194"</x:f>
        <x:v>54319545000194</x:v>
      </x:c>
      <x:c r="F1842" s="22" t="str">
        <x:f>"06294799171"</x:f>
        <x:v>06294799171</x:v>
      </x:c>
      <x:c r="G1842" s="22" t="str">
        <x:f>"06294799171"</x:f>
        <x:v>06294799171</x:v>
      </x:c>
      <x:c r="H1842" s="23" t="str">
        <x:v>jvcacerense@gmail.com</x:v>
      </x:c>
      <x:c r="I1842" s="22" t="str">
        <x:f>"65992243517"</x:f>
        <x:v>65992243517</x:v>
      </x:c>
      <x:c r="J1842" s="23" t="str">
        <x:v>SPOT</x:v>
      </x:c>
      <x:c r="K1842" s="23" t="str">
        <x:v>favored_only</x:v>
      </x:c>
      <x:c r="L1842" s="24" t="b">
        <x:v>1</x:v>
      </x:c>
      <x:c r="M1842" s="23" t="n">
        <x:v>1</x:v>
      </x:c>
      <x:c r="N1842" s="28" t="n">
        <x:v>46203.92189349537</x:v>
      </x:c>
      <x:c r="O1842" s="28" t="n">
        <x:v>46203.92189349537</x:v>
      </x:c>
      <x:c r="P1842" s="23" t="str"/>
      <x:c r="Q1842" s="30" t="str"/>
      <x:c r="R1842" s="22" t="str"/>
      <x:c r="S1842" s="23" t="str"/>
      <x:c r="T1842" s="22" t="str"/>
      <x:c r="U1842" s="23" t="str">
        <x:v>JOÃO VICTOR ALMENDROS</x:v>
      </x:c>
      <x:c r="V1842" s="22" t="str">
        <x:f>"06294799171"</x:f>
        <x:v>06294799171</x:v>
      </x:c>
      <x:c r="W1842" s="22" t="str">
        <x:f>"06294799171"</x:f>
        <x:v>06294799171</x:v>
      </x:c>
      <x:c r="X1842" s="23" t="str">
        <x:v>jvcacerense@gmail.com</x:v>
      </x:c>
      <x:c r="Y1842" s="22" t="str">
        <x:f>"65992243517"</x:f>
        <x:v>65992243517</x:v>
      </x:c>
      <x:c r="Z1842" s="30" t="str"/>
    </x:row>
    <x:row r="1843" ht="18" customHeight="1">
      <x:c r="A1843" s="22" t="str">
        <x:f>"edf00c0e-7fc1-4d0b-93a4-4d69e18d0c89"</x:f>
        <x:v>edf00c0e-7fc1-4d0b-93a4-4d69e18d0c89</x:v>
      </x:c>
      <x:c r="B1843" s="23" t="str">
        <x:v>JOÃO VICTOR ALMENDROS FRAGA MARCIANO</x:v>
      </x:c>
      <x:c r="C1843" s="23" t="str">
        <x:v>joao victor almendros fraga marciano</x:v>
      </x:c>
      <x:c r="D1843" s="22" t="str">
        <x:f>"54319545000194"</x:f>
        <x:v>54319545000194</x:v>
      </x:c>
      <x:c r="E1843" s="22" t="str">
        <x:f>"54319545000194"</x:f>
        <x:v>54319545000194</x:v>
      </x:c>
      <x:c r="F1843" s="22" t="str">
        <x:f>"95114599587"</x:f>
        <x:v>95114599587</x:v>
      </x:c>
      <x:c r="G1843" s="22" t="str">
        <x:f>"95114599587"</x:f>
        <x:v>95114599587</x:v>
      </x:c>
      <x:c r="H1843" s="23" t="str">
        <x:v>jvcacerense@gmail.com</x:v>
      </x:c>
      <x:c r="I1843" s="22" t="str">
        <x:f>"65992243517"</x:f>
        <x:v>65992243517</x:v>
      </x:c>
      <x:c r="J1843" s="23" t="str">
        <x:v>SPOT</x:v>
      </x:c>
      <x:c r="K1843" s="23" t="str">
        <x:v>favored_only</x:v>
      </x:c>
      <x:c r="L1843" s="24" t="b">
        <x:v>1</x:v>
      </x:c>
      <x:c r="M1843" s="23" t="n">
        <x:v>1</x:v>
      </x:c>
      <x:c r="N1843" s="28" t="n">
        <x:v>46203.9219084375</x:v>
      </x:c>
      <x:c r="O1843" s="28" t="n">
        <x:v>46203.9219084375</x:v>
      </x:c>
      <x:c r="P1843" s="23" t="str"/>
      <x:c r="Q1843" s="30" t="str"/>
      <x:c r="R1843" s="22" t="str"/>
      <x:c r="S1843" s="23" t="str"/>
      <x:c r="T1843" s="22" t="str"/>
      <x:c r="U1843" s="23" t="str">
        <x:v>JOÃO VICTOR ALMENDROS FRAGA MARCIANO</x:v>
      </x:c>
      <x:c r="V1843" s="22" t="str">
        <x:f>"95114599587"</x:f>
        <x:v>95114599587</x:v>
      </x:c>
      <x:c r="W1843" s="22" t="str">
        <x:f>"95114599587"</x:f>
        <x:v>95114599587</x:v>
      </x:c>
      <x:c r="X1843" s="23" t="str">
        <x:v>jvcacerense@gmail.com</x:v>
      </x:c>
      <x:c r="Y1843" s="22" t="str">
        <x:f>"65992243517"</x:f>
        <x:v>65992243517</x:v>
      </x:c>
      <x:c r="Z1843" s="30" t="str"/>
    </x:row>
    <x:row r="1844" ht="18" customHeight="1">
      <x:c r="A1844" s="22" t="str">
        <x:f>"ed5e6c54-9549-4529-bd00-88afdda275b8"</x:f>
        <x:v>ed5e6c54-9549-4529-bd00-88afdda275b8</x:v>
      </x:c>
      <x:c r="B1844" s="23" t="str">
        <x:v>JOAO VICTOR ARAUJO RODRIGUES</x:v>
      </x:c>
      <x:c r="C1844" s="23" t="str">
        <x:v>joao victor araujo rodrigues</x:v>
      </x:c>
      <x:c r="D1844" s="22" t="str">
        <x:f>"65.453.481/0001-36"</x:f>
        <x:v>65.453.481/0001-36</x:v>
      </x:c>
      <x:c r="E1844" s="22" t="str">
        <x:f>"65453481000136"</x:f>
        <x:v>65453481000136</x:v>
      </x:c>
      <x:c r="F1844" s="22" t="str">
        <x:f>"426.699.408-70"</x:f>
        <x:v>426.699.408-70</x:v>
      </x:c>
      <x:c r="G1844" s="22" t="str">
        <x:f>"42669940870"</x:f>
        <x:v>42669940870</x:v>
      </x:c>
      <x:c r="H1844" s="23" t="str">
        <x:v>joaovictoraraujo10@yahoo.com</x:v>
      </x:c>
      <x:c r="I1844" s="22" t="str">
        <x:f>"(16)99654-9800"</x:f>
        <x:v>(16)99654-9800</x:v>
      </x:c>
      <x:c r="J1844" s="23" t="str">
        <x:v>RENTAL</x:v>
      </x:c>
      <x:c r="K1844" s="23" t="str">
        <x:v>rental_company</x:v>
      </x:c>
      <x:c r="L1844" s="24" t="b">
        <x:v>1</x:v>
      </x:c>
      <x:c r="M1844" s="23" t="n">
        <x:v>1</x:v>
      </x:c>
      <x:c r="N1844" s="28" t="n">
        <x:v>46219.812988715275</x:v>
      </x:c>
      <x:c r="O1844" s="28" t="n">
        <x:v>46219.812988715275</x:v>
      </x:c>
      <x:c r="P1844" s="23" t="str">
        <x:v>RIBEIRAO PRETO</x:v>
      </x:c>
      <x:c r="Q1844" s="30" t="n">
        <x:v>34750</x:v>
      </x:c>
      <x:c r="R1844" s="22" t="str">
        <x:f>"45247893"</x:f>
        <x:v>45247893</x:v>
      </x:c>
      <x:c r="S1844" s="23" t="str">
        <x:v>masculino</x:v>
      </x:c>
      <x:c r="T1844" s="22" t="str"/>
      <x:c r="U1844" s="23" t="str">
        <x:v>JOAO VICTOR ARAUJO RODRIGUES</x:v>
      </x:c>
      <x:c r="V1844" s="22" t="str">
        <x:f>"426.699.408-70"</x:f>
        <x:v>426.699.408-70</x:v>
      </x:c>
      <x:c r="W1844" s="22" t="str">
        <x:f>"42669940870"</x:f>
        <x:v>42669940870</x:v>
      </x:c>
      <x:c r="X1844" s="23" t="str">
        <x:v>joaovictoraraujo10@yahoo.com</x:v>
      </x:c>
      <x:c r="Y1844" s="22" t="str">
        <x:f>"(16)99654-9800"</x:f>
        <x:v>(16)99654-9800</x:v>
      </x:c>
      <x:c r="Z1844" s="30" t="n">
        <x:v>46464</x:v>
      </x:c>
    </x:row>
    <x:row r="1845" ht="18" customHeight="1">
      <x:c r="A1845" s="22" t="str">
        <x:f>"7335954d-4f5a-4745-b6a8-3704208bb374"</x:f>
        <x:v>7335954d-4f5a-4745-b6a8-3704208bb374</x:v>
      </x:c>
      <x:c r="B1845" s="23" t="str">
        <x:v>JOAO VICTOR BARBOSA VENANCIO MANSON</x:v>
      </x:c>
      <x:c r="C1845" s="23" t="str">
        <x:v>joao victor barbosa venancio manson</x:v>
      </x:c>
      <x:c r="D1845" s="22" t="str">
        <x:f>"62.670.317/0001-92"</x:f>
        <x:v>62.670.317/0001-92</x:v>
      </x:c>
      <x:c r="E1845" s="22" t="str">
        <x:f>"62670317000192"</x:f>
        <x:v>62670317000192</x:v>
      </x:c>
      <x:c r="F1845" s="22" t="str">
        <x:f>"179.493.637-89"</x:f>
        <x:v>179.493.637-89</x:v>
      </x:c>
      <x:c r="G1845" s="22" t="str">
        <x:f>"17949363789"</x:f>
        <x:v>17949363789</x:v>
      </x:c>
      <x:c r="H1845" s="23" t="str">
        <x:v>joaovictorvenancio65@gmail.com</x:v>
      </x:c>
      <x:c r="I1845" s="22" t="str">
        <x:f>"22988223466"</x:f>
        <x:v>22988223466</x:v>
      </x:c>
      <x:c r="J1845" s="23" t="str">
        <x:v>SPOT</x:v>
      </x:c>
      <x:c r="K1845" s="23" t="str">
        <x:v>favored_only</x:v>
      </x:c>
      <x:c r="L1845" s="24" t="b">
        <x:v>1</x:v>
      </x:c>
      <x:c r="M1845" s="23" t="n">
        <x:v>1</x:v>
      </x:c>
      <x:c r="N1845" s="28" t="n">
        <x:v>46219.812988715275</x:v>
      </x:c>
      <x:c r="O1845" s="28" t="n">
        <x:v>46219.812988715275</x:v>
      </x:c>
      <x:c r="P1845" s="23" t="str">
        <x:v>CAMPOS DOS GOYTACAZES</x:v>
      </x:c>
      <x:c r="Q1845" s="30" t="n">
        <x:v>37330</x:v>
      </x:c>
      <x:c r="R1845" s="22" t="str">
        <x:f>"321642761"</x:f>
        <x:v>321642761</x:v>
      </x:c>
      <x:c r="S1845" s="23" t="str">
        <x:v>masculino</x:v>
      </x:c>
      <x:c r="T1845" s="22" t="str">
        <x:f>"LQF8B59"</x:f>
        <x:v>LQF8B59</x:v>
      </x:c>
      <x:c r="U1845" s="23" t="str">
        <x:v>SUZANNA DIAS GOMES</x:v>
      </x:c>
      <x:c r="V1845" s="22" t="str">
        <x:f>"145.684.097-56"</x:f>
        <x:v>145.684.097-56</x:v>
      </x:c>
      <x:c r="W1845" s="22" t="str">
        <x:f>"14568409756"</x:f>
        <x:v>14568409756</x:v>
      </x:c>
      <x:c r="X1845" s="23" t="str">
        <x:v>suzannadgomesz@gmail.com</x:v>
      </x:c>
      <x:c r="Y1845" s="22" t="str">
        <x:f>"22999662050"</x:f>
        <x:v>22999662050</x:v>
      </x:c>
      <x:c r="Z1845" s="30" t="n">
        <x:v>46560</x:v>
      </x:c>
    </x:row>
    <x:row r="1846" ht="18" customHeight="1">
      <x:c r="A1846" s="22" t="str">
        <x:f>"361cdcfe-314c-4f1d-8944-df91cc841548"</x:f>
        <x:v>361cdcfe-314c-4f1d-8944-df91cc841548</x:v>
      </x:c>
      <x:c r="B1846" s="23" t="str">
        <x:v>JOAO VICTOR CASTILHO TEIXEIRA</x:v>
      </x:c>
      <x:c r="C1846" s="23" t="str">
        <x:v>joao victor castilho teixeira</x:v>
      </x:c>
      <x:c r="D1846" s="22" t="str">
        <x:f>"56.116.509/0001-59"</x:f>
        <x:v>56.116.509/0001-59</x:v>
      </x:c>
      <x:c r="E1846" s="22" t="str">
        <x:f>"56116509000159"</x:f>
        <x:v>56116509000159</x:v>
      </x:c>
      <x:c r="F1846" s="22" t="str">
        <x:f>"369.327.648-06"</x:f>
        <x:v>369.327.648-06</x:v>
      </x:c>
      <x:c r="G1846" s="22" t="str">
        <x:f>"36932764806"</x:f>
        <x:v>36932764806</x:v>
      </x:c>
      <x:c r="H1846" s="23" t="str">
        <x:v>jvcastilho88@gmail.com</x:v>
      </x:c>
      <x:c r="I1846" s="22" t="str">
        <x:f>"11954942532"</x:f>
        <x:v>11954942532</x:v>
      </x:c>
      <x:c r="J1846" s="23" t="str">
        <x:v>RENTAL</x:v>
      </x:c>
      <x:c r="K1846" s="23" t="str">
        <x:v>rental_company</x:v>
      </x:c>
      <x:c r="L1846" s="24" t="b">
        <x:v>1</x:v>
      </x:c>
      <x:c r="M1846" s="23" t="n">
        <x:v>1</x:v>
      </x:c>
      <x:c r="N1846" s="28" t="n">
        <x:v>46203.921858726855</x:v>
      </x:c>
      <x:c r="O1846" s="28" t="n">
        <x:v>46219.812988715275</x:v>
      </x:c>
      <x:c r="P1846" s="23" t="str">
        <x:v>BARUERI</x:v>
      </x:c>
      <x:c r="Q1846" s="30" t="n">
        <x:v>32223</x:v>
      </x:c>
      <x:c r="R1846" s="22" t="str">
        <x:f>"32432535"</x:f>
        <x:v>32432535</x:v>
      </x:c>
      <x:c r="S1846" s="23" t="str">
        <x:v>masculino</x:v>
      </x:c>
      <x:c r="T1846" s="22" t="str"/>
      <x:c r="U1846" s="23" t="str">
        <x:v>JOAO VICTOR CASTILHO TEIXEIRA</x:v>
      </x:c>
      <x:c r="V1846" s="22" t="str">
        <x:f>"369.327.648-06"</x:f>
        <x:v>369.327.648-06</x:v>
      </x:c>
      <x:c r="W1846" s="22" t="str">
        <x:f>"36932764806"</x:f>
        <x:v>36932764806</x:v>
      </x:c>
      <x:c r="X1846" s="23" t="str">
        <x:v>jvcastilho88@gmail.com</x:v>
      </x:c>
      <x:c r="Y1846" s="22" t="str">
        <x:f>"11954942532"</x:f>
        <x:v>11954942532</x:v>
      </x:c>
      <x:c r="Z1846" s="30" t="n">
        <x:v>46375</x:v>
      </x:c>
    </x:row>
    <x:row r="1847" ht="18" customHeight="1">
      <x:c r="A1847" s="22" t="str">
        <x:f>"22dc559b-b583-4480-b166-241e4bebdc9a"</x:f>
        <x:v>22dc559b-b583-4480-b166-241e4bebdc9a</x:v>
      </x:c>
      <x:c r="B1847" s="23" t="str">
        <x:v>JOAO VICTOR DA SILVA PEREIRA BASTOS</x:v>
      </x:c>
      <x:c r="C1847" s="23" t="str">
        <x:v>joao victor da silva pereira bastos</x:v>
      </x:c>
      <x:c r="D1847" s="22" t="str">
        <x:f>"64.445.262/0001-42"</x:f>
        <x:v>64.445.262/0001-42</x:v>
      </x:c>
      <x:c r="E1847" s="22" t="str">
        <x:f>"64445262000142"</x:f>
        <x:v>64445262000142</x:v>
      </x:c>
      <x:c r="F1847" s="22" t="str">
        <x:f>"140.951.176-64"</x:f>
        <x:v>140.951.176-64</x:v>
      </x:c>
      <x:c r="G1847" s="22" t="str">
        <x:f>"14095117664"</x:f>
        <x:v>14095117664</x:v>
      </x:c>
      <x:c r="H1847" s="23" t="str">
        <x:v>victorsilva02077@gmail.com</x:v>
      </x:c>
      <x:c r="I1847" s="22" t="str">
        <x:f>"31982751015"</x:f>
        <x:v>31982751015</x:v>
      </x:c>
      <x:c r="J1847" s="23" t="str">
        <x:v>RENTAL</x:v>
      </x:c>
      <x:c r="K1847" s="23" t="str">
        <x:v>rental_company</x:v>
      </x:c>
      <x:c r="L1847" s="24" t="b">
        <x:v>1</x:v>
      </x:c>
      <x:c r="M1847" s="23" t="n">
        <x:v>2</x:v>
      </x:c>
      <x:c r="N1847" s="28" t="n">
        <x:v>46219.812988715275</x:v>
      </x:c>
      <x:c r="O1847" s="28" t="n">
        <x:v>46219.812988715275</x:v>
      </x:c>
      <x:c r="P1847" s="23" t="str">
        <x:v>CONTAGEM</x:v>
      </x:c>
      <x:c r="Q1847" s="30" t="n">
        <x:v>35432</x:v>
      </x:c>
      <x:c r="R1847" s="22" t="str">
        <x:f>"19353772"</x:f>
        <x:v>19353772</x:v>
      </x:c>
      <x:c r="S1847" s="23" t="str">
        <x:v>masculino</x:v>
      </x:c>
      <x:c r="T1847" s="22" t="str"/>
      <x:c r="U1847" s="23" t="str">
        <x:v>JOAO VICTOR DA SILVA PEREIRA BASTOS</x:v>
      </x:c>
      <x:c r="V1847" s="22" t="str">
        <x:f>"140.951.176-64"</x:f>
        <x:v>140.951.176-64</x:v>
      </x:c>
      <x:c r="W1847" s="22" t="str">
        <x:f>"14095117664"</x:f>
        <x:v>14095117664</x:v>
      </x:c>
      <x:c r="X1847" s="23" t="str">
        <x:v>victorsilva02077@gmail.com</x:v>
      </x:c>
      <x:c r="Y1847" s="22" t="str">
        <x:f>"31982751015"</x:f>
        <x:v>31982751015</x:v>
      </x:c>
      <x:c r="Z1847" s="30" t="n">
        <x:v>46518</x:v>
      </x:c>
    </x:row>
    <x:row r="1848" ht="18" customHeight="1">
      <x:c r="A1848" s="22" t="str">
        <x:f>"86f082e4-3f8e-4653-a285-e7f6da0d5dc6"</x:f>
        <x:v>86f082e4-3f8e-4653-a285-e7f6da0d5dc6</x:v>
      </x:c>
      <x:c r="B1848" s="23" t="str">
        <x:v>JOAO VICTOR DE LIMA SANTOS</x:v>
      </x:c>
      <x:c r="C1848" s="23" t="str">
        <x:v>joao victor de lima santos</x:v>
      </x:c>
      <x:c r="D1848" s="22" t="str">
        <x:f>"47.070.907/0001-90"</x:f>
        <x:v>47.070.907/0001-90</x:v>
      </x:c>
      <x:c r="E1848" s="22" t="str">
        <x:f>"47070907000190"</x:f>
        <x:v>47070907000190</x:v>
      </x:c>
      <x:c r="F1848" s="22" t="str">
        <x:f>"421.729.878-16"</x:f>
        <x:v>421.729.878-16</x:v>
      </x:c>
      <x:c r="G1848" s="22" t="str">
        <x:f>"42172987816"</x:f>
        <x:v>42172987816</x:v>
      </x:c>
      <x:c r="H1848" s="23" t="str">
        <x:v>victorgui1803@gmail.com</x:v>
      </x:c>
      <x:c r="I1848" s="22" t="str">
        <x:f>"11965506783"</x:f>
        <x:v>11965506783</x:v>
      </x:c>
      <x:c r="J1848" s="23" t="str">
        <x:v>RENTAL</x:v>
      </x:c>
      <x:c r="K1848" s="23" t="str">
        <x:v>rental_company</x:v>
      </x:c>
      <x:c r="L1848" s="24" t="b">
        <x:v>1</x:v>
      </x:c>
      <x:c r="M1848" s="23" t="n">
        <x:v>1</x:v>
      </x:c>
      <x:c r="N1848" s="28" t="n">
        <x:v>46219.812988715275</x:v>
      </x:c>
      <x:c r="O1848" s="28" t="n">
        <x:v>46219.812988715275</x:v>
      </x:c>
      <x:c r="P1848" s="23" t="str">
        <x:v>BARUERI</x:v>
      </x:c>
      <x:c r="Q1848" s="30" t="n">
        <x:v>34556</x:v>
      </x:c>
      <x:c r="R1848" s="22" t="str">
        <x:f>"42168865"</x:f>
        <x:v>42168865</x:v>
      </x:c>
      <x:c r="S1848" s="23" t="str">
        <x:v>masculino</x:v>
      </x:c>
      <x:c r="T1848" s="22" t="str"/>
      <x:c r="U1848" s="23" t="str">
        <x:v>JOAO VICTOR DE LIMA SANTOS</x:v>
      </x:c>
      <x:c r="V1848" s="22" t="str">
        <x:f>"421.729.878-16"</x:f>
        <x:v>421.729.878-16</x:v>
      </x:c>
      <x:c r="W1848" s="22" t="str">
        <x:f>"42172987816"</x:f>
        <x:v>42172987816</x:v>
      </x:c>
      <x:c r="X1848" s="23" t="str">
        <x:v>victorgui1803@gmail.com</x:v>
      </x:c>
      <x:c r="Y1848" s="22" t="str">
        <x:f>"11965506783"</x:f>
        <x:v>11965506783</x:v>
      </x:c>
      <x:c r="Z1848" s="30" t="n">
        <x:v>46578</x:v>
      </x:c>
    </x:row>
    <x:row r="1849" ht="18" customHeight="1">
      <x:c r="A1849" s="22" t="str">
        <x:f>"ab05c9b9-c634-4e94-984b-d9067f45c71e"</x:f>
        <x:v>ab05c9b9-c634-4e94-984b-d9067f45c71e</x:v>
      </x:c>
      <x:c r="B1849" s="23" t="str">
        <x:v>JOAO VICTOR LIMA ALMEIDA</x:v>
      </x:c>
      <x:c r="C1849" s="23" t="str">
        <x:v>joao victor lima almeida</x:v>
      </x:c>
      <x:c r="D1849" s="22" t="str">
        <x:f>"66.234.222/0001-87"</x:f>
        <x:v>66.234.222/0001-87</x:v>
      </x:c>
      <x:c r="E1849" s="22" t="str">
        <x:f>"66234222000187"</x:f>
        <x:v>66234222000187</x:v>
      </x:c>
      <x:c r="F1849" s="22" t="str">
        <x:f>"023.314.126-00"</x:f>
        <x:v>023.314.126-00</x:v>
      </x:c>
      <x:c r="G1849" s="22" t="str">
        <x:f>"02331412600"</x:f>
        <x:v>02331412600</x:v>
      </x:c>
      <x:c r="H1849" s="23" t="str">
        <x:v>joao1victor22@gmail.com</x:v>
      </x:c>
      <x:c r="I1849" s="22" t="str">
        <x:f>"3198260-2729"</x:f>
        <x:v>3198260-2729</x:v>
      </x:c>
      <x:c r="J1849" s="23" t="str">
        <x:v>RENTALS</x:v>
      </x:c>
      <x:c r="K1849" s="23" t="str">
        <x:v>rental_company</x:v>
      </x:c>
      <x:c r="L1849" s="24" t="b">
        <x:v>1</x:v>
      </x:c>
      <x:c r="M1849" s="23" t="n">
        <x:v>1</x:v>
      </x:c>
      <x:c r="N1849" s="28" t="n">
        <x:v>46219.812988715275</x:v>
      </x:c>
      <x:c r="O1849" s="28" t="n">
        <x:v>46219.812988715275</x:v>
      </x:c>
      <x:c r="P1849" s="23" t="str">
        <x:v>NOVA LIMA</x:v>
      </x:c>
      <x:c r="Q1849" s="30" t="n">
        <x:v>36684</x:v>
      </x:c>
      <x:c r="R1849" s="22" t="str">
        <x:f>"7157488301"</x:f>
        <x:v>7157488301</x:v>
      </x:c>
      <x:c r="S1849" s="23" t="str">
        <x:v>masculino</x:v>
      </x:c>
      <x:c r="T1849" s="22" t="str"/>
      <x:c r="U1849" s="23" t="str">
        <x:v>JOAO VICTOR LIMA ALMEIDA</x:v>
      </x:c>
      <x:c r="V1849" s="22" t="str">
        <x:f>"023.314.126-00"</x:f>
        <x:v>023.314.126-00</x:v>
      </x:c>
      <x:c r="W1849" s="22" t="str">
        <x:f>"02331412600"</x:f>
        <x:v>02331412600</x:v>
      </x:c>
      <x:c r="X1849" s="23" t="str">
        <x:v>joao1victor22@gmail.com</x:v>
      </x:c>
      <x:c r="Y1849" s="22" t="str">
        <x:f>"3198260-2729"</x:f>
        <x:v>3198260-2729</x:v>
      </x:c>
      <x:c r="Z1849" s="30" t="n">
        <x:v>46492</x:v>
      </x:c>
    </x:row>
    <x:row r="1850" ht="18" customHeight="1">
      <x:c r="A1850" s="22" t="str">
        <x:f>"2c26d8b2-afcf-4718-9faf-37564dafbd51"</x:f>
        <x:v>2c26d8b2-afcf-4718-9faf-37564dafbd51</x:v>
      </x:c>
      <x:c r="B1850" s="23" t="str">
        <x:v>JOAO VICTOR NUNES DOS SANTOS</x:v>
      </x:c>
      <x:c r="C1850" s="23" t="str">
        <x:v>joao victor nunes dos santos</x:v>
      </x:c>
      <x:c r="D1850" s="22" t="str">
        <x:f>"67.149.301/0001-52"</x:f>
        <x:v>67.149.301/0001-52</x:v>
      </x:c>
      <x:c r="E1850" s="22" t="str">
        <x:f>"67149301000152"</x:f>
        <x:v>67149301000152</x:v>
      </x:c>
      <x:c r="F1850" s="22" t="str">
        <x:f>"704.636.606-33"</x:f>
        <x:v>704.636.606-33</x:v>
      </x:c>
      <x:c r="G1850" s="22" t="str">
        <x:f>"70463660633"</x:f>
        <x:v>70463660633</x:v>
      </x:c>
      <x:c r="H1850" s="23" t="str">
        <x:v>joaovictorn370@gmail.com</x:v>
      </x:c>
      <x:c r="I1850" s="22" t="str">
        <x:f>"34984375072"</x:f>
        <x:v>34984375072</x:v>
      </x:c>
      <x:c r="J1850" s="23" t="str">
        <x:v>RENTAL</x:v>
      </x:c>
      <x:c r="K1850" s="23" t="str">
        <x:v>rental_company</x:v>
      </x:c>
      <x:c r="L1850" s="24" t="b">
        <x:v>1</x:v>
      </x:c>
      <x:c r="M1850" s="23" t="n">
        <x:v>1</x:v>
      </x:c>
      <x:c r="N1850" s="28" t="n">
        <x:v>46219.812988715275</x:v>
      </x:c>
      <x:c r="O1850" s="28" t="n">
        <x:v>46219.812988715275</x:v>
      </x:c>
      <x:c r="P1850" s="23" t="str">
        <x:v>UBERLANDIA</x:v>
      </x:c>
      <x:c r="Q1850" s="30" t="n">
        <x:v>37823</x:v>
      </x:c>
      <x:c r="R1850" s="22" t="str">
        <x:f>"22645561"</x:f>
        <x:v>22645561</x:v>
      </x:c>
      <x:c r="S1850" s="23" t="str">
        <x:v>masculino</x:v>
      </x:c>
      <x:c r="T1850" s="22" t="str"/>
      <x:c r="U1850" s="23" t="str">
        <x:v>JOAO VICTOR NUNES DOS SANTOS</x:v>
      </x:c>
      <x:c r="V1850" s="22" t="str">
        <x:f>"704.636.606-33"</x:f>
        <x:v>704.636.606-33</x:v>
      </x:c>
      <x:c r="W1850" s="22" t="str">
        <x:f>"70463660633"</x:f>
        <x:v>70463660633</x:v>
      </x:c>
      <x:c r="X1850" s="23" t="str">
        <x:v>joaovictorn370@gmail.com</x:v>
      </x:c>
      <x:c r="Y1850" s="22" t="str">
        <x:f>"34984375072"</x:f>
        <x:v>34984375072</x:v>
      </x:c>
      <x:c r="Z1850" s="30" t="n">
        <x:v>46541</x:v>
      </x:c>
    </x:row>
    <x:row r="1851" ht="18" customHeight="1">
      <x:c r="A1851" s="22" t="str">
        <x:f>"5a55c0f9-4939-4a42-8a28-5e8a7b993ccb"</x:f>
        <x:v>5a55c0f9-4939-4a42-8a28-5e8a7b993ccb</x:v>
      </x:c>
      <x:c r="B1851" s="23" t="str">
        <x:v>JOAO VICTOR RODRIGUES DA SILVA</x:v>
      </x:c>
      <x:c r="C1851" s="23" t="str">
        <x:v>joao victor rodrigues da silva</x:v>
      </x:c>
      <x:c r="D1851" s="22" t="str">
        <x:f>"60.963.559/0001-49"</x:f>
        <x:v>60.963.559/0001-49</x:v>
      </x:c>
      <x:c r="E1851" s="22" t="str">
        <x:f>"60963559000149"</x:f>
        <x:v>60963559000149</x:v>
      </x:c>
      <x:c r="F1851" s="22" t="str">
        <x:f>"061.492.101-54"</x:f>
        <x:v>061.492.101-54</x:v>
      </x:c>
      <x:c r="G1851" s="22" t="str">
        <x:f>"06149210154"</x:f>
        <x:v>06149210154</x:v>
      </x:c>
      <x:c r="H1851" s="23" t="str">
        <x:v>joaovictorrodrigues.2419@gmail.com</x:v>
      </x:c>
      <x:c r="I1851" s="22" t="str">
        <x:f>"65974007177"</x:f>
        <x:v>65974007177</x:v>
      </x:c>
      <x:c r="J1851" s="23" t="str">
        <x:v>SPOT</x:v>
      </x:c>
      <x:c r="K1851" s="23" t="str">
        <x:v>favored_only</x:v>
      </x:c>
      <x:c r="L1851" s="24" t="b">
        <x:v>1</x:v>
      </x:c>
      <x:c r="M1851" s="23" t="n">
        <x:v>1</x:v>
      </x:c>
      <x:c r="N1851" s="28" t="n">
        <x:v>46219.812988715275</x:v>
      </x:c>
      <x:c r="O1851" s="28" t="n">
        <x:v>46219.812988715275</x:v>
      </x:c>
      <x:c r="P1851" s="23" t="str">
        <x:v>CUIABA</x:v>
      </x:c>
      <x:c r="Q1851" s="30" t="n">
        <x:v>36885</x:v>
      </x:c>
      <x:c r="R1851" s="22" t="str">
        <x:f>"23510765"</x:f>
        <x:v>23510765</x:v>
      </x:c>
      <x:c r="S1851" s="23" t="str">
        <x:v>masculino</x:v>
      </x:c>
      <x:c r="T1851" s="22" t="str">
        <x:f>"QBM6H27"</x:f>
        <x:v>QBM6H27</x:v>
      </x:c>
      <x:c r="U1851" s="23" t="str">
        <x:v>JOAO VICTOR RODRIGUES DA SILVA</x:v>
      </x:c>
      <x:c r="V1851" s="22" t="str">
        <x:f>"061.492.101-54"</x:f>
        <x:v>061.492.101-54</x:v>
      </x:c>
      <x:c r="W1851" s="22" t="str">
        <x:f>"06149210154"</x:f>
        <x:v>06149210154</x:v>
      </x:c>
      <x:c r="X1851" s="23" t="str">
        <x:v>joaovictorrodrigues.2419@gmail.com</x:v>
      </x:c>
      <x:c r="Y1851" s="22" t="str">
        <x:f>"65974007177"</x:f>
        <x:v>65974007177</x:v>
      </x:c>
      <x:c r="Z1851" s="30" t="n">
        <x:v>46458</x:v>
      </x:c>
    </x:row>
    <x:row r="1852" ht="18" customHeight="1">
      <x:c r="A1852" s="22" t="str">
        <x:f>"2204fc0c-c46c-46b9-9c3d-fef322d71440"</x:f>
        <x:v>2204fc0c-c46c-46b9-9c3d-fef322d71440</x:v>
      </x:c>
      <x:c r="B1852" s="23" t="str">
        <x:v>JOAO VICTOR SOUZA SANTOS</x:v>
      </x:c>
      <x:c r="C1852" s="23" t="str">
        <x:v>joao victor souza santos</x:v>
      </x:c>
      <x:c r="D1852" s="22" t="str">
        <x:f>"65.393.515/0001-44"</x:f>
        <x:v>65.393.515/0001-44</x:v>
      </x:c>
      <x:c r="E1852" s="22" t="str">
        <x:f>"65393515000144"</x:f>
        <x:v>65393515000144</x:v>
      </x:c>
      <x:c r="F1852" s="22" t="str">
        <x:f>"485.548.568-30"</x:f>
        <x:v>485.548.568-30</x:v>
      </x:c>
      <x:c r="G1852" s="22" t="str">
        <x:f>"48554856830"</x:f>
        <x:v>48554856830</x:v>
      </x:c>
      <x:c r="H1852" s="23" t="str">
        <x:v>joao.voctor3198@gmail.com</x:v>
      </x:c>
      <x:c r="I1852" s="22" t="str">
        <x:f>"(11) 984144303"</x:f>
        <x:v>(11) 984144303</x:v>
      </x:c>
      <x:c r="J1852" s="23" t="str">
        <x:v>RENTALS</x:v>
      </x:c>
      <x:c r="K1852" s="23" t="str">
        <x:v>rental_company</x:v>
      </x:c>
      <x:c r="L1852" s="24" t="b">
        <x:v>1</x:v>
      </x:c>
      <x:c r="M1852" s="23" t="n">
        <x:v>1</x:v>
      </x:c>
      <x:c r="N1852" s="28" t="n">
        <x:v>46219.812988715275</x:v>
      </x:c>
      <x:c r="O1852" s="28" t="n">
        <x:v>46219.812988715275</x:v>
      </x:c>
      <x:c r="P1852" s="23" t="str">
        <x:v>BARUERI</x:v>
      </x:c>
      <x:c r="Q1852" s="30" t="n">
        <x:v>36161</x:v>
      </x:c>
      <x:c r="R1852" s="22" t="str">
        <x:f>"397659428"</x:f>
        <x:v>397659428</x:v>
      </x:c>
      <x:c r="S1852" s="23" t="str">
        <x:v>masculino</x:v>
      </x:c>
      <x:c r="T1852" s="22" t="str"/>
      <x:c r="U1852" s="23" t="str">
        <x:v>JOAO VICTOR SOUZA SANTOS</x:v>
      </x:c>
      <x:c r="V1852" s="22" t="str">
        <x:f>"485.548.568-30"</x:f>
        <x:v>485.548.568-30</x:v>
      </x:c>
      <x:c r="W1852" s="22" t="str">
        <x:f>"48554856830"</x:f>
        <x:v>48554856830</x:v>
      </x:c>
      <x:c r="X1852" s="23" t="str">
        <x:v>joao.voctor3198@gmail.com</x:v>
      </x:c>
      <x:c r="Y1852" s="22" t="str">
        <x:f>"(11) 984144303"</x:f>
        <x:v>(11) 984144303</x:v>
      </x:c>
      <x:c r="Z1852" s="30" t="n">
        <x:v>46479</x:v>
      </x:c>
    </x:row>
    <x:row r="1853" ht="18" customHeight="1">
      <x:c r="A1853" s="22" t="str">
        <x:f>"624a763b-f94a-459a-b995-92b9b11f8d99"</x:f>
        <x:v>624a763b-f94a-459a-b995-92b9b11f8d99</x:v>
      </x:c>
      <x:c r="B1853" s="23" t="str">
        <x:v>JOAO VITOR BENTO</x:v>
      </x:c>
      <x:c r="C1853" s="23" t="str">
        <x:v>joao vitor bento</x:v>
      </x:c>
      <x:c r="D1853" s="22" t="str">
        <x:f>"57.982.629/0001-00"</x:f>
        <x:v>57.982.629/0001-00</x:v>
      </x:c>
      <x:c r="E1853" s="22" t="str">
        <x:f>"57982629000100"</x:f>
        <x:v>57982629000100</x:v>
      </x:c>
      <x:c r="F1853" s="22" t="str">
        <x:f>"462.268.958-88"</x:f>
        <x:v>462.268.958-88</x:v>
      </x:c>
      <x:c r="G1853" s="22" t="str">
        <x:f>"46226895888"</x:f>
        <x:v>46226895888</x:v>
      </x:c>
      <x:c r="H1853" s="23" t="str">
        <x:v>joaovitor.jvbento@gmail.com</x:v>
      </x:c>
      <x:c r="I1853" s="22" t="str">
        <x:f>"(16)99727-5953"</x:f>
        <x:v>(16)99727-5953</x:v>
      </x:c>
      <x:c r="J1853" s="23" t="str">
        <x:v>RENTAL</x:v>
      </x:c>
      <x:c r="K1853" s="23" t="str">
        <x:v>rental_company</x:v>
      </x:c>
      <x:c r="L1853" s="24" t="b">
        <x:v>1</x:v>
      </x:c>
      <x:c r="M1853" s="23" t="n">
        <x:v>1</x:v>
      </x:c>
      <x:c r="N1853" s="28" t="n">
        <x:v>46203.92183017361</x:v>
      </x:c>
      <x:c r="O1853" s="28" t="n">
        <x:v>46219.812988715275</x:v>
      </x:c>
      <x:c r="P1853" s="23" t="str">
        <x:v>SÃO CARLOS</x:v>
      </x:c>
      <x:c r="Q1853" s="30" t="n">
        <x:v>35962</x:v>
      </x:c>
      <x:c r="R1853" s="22" t="str">
        <x:f>"538517542"</x:f>
        <x:v>538517542</x:v>
      </x:c>
      <x:c r="S1853" s="23" t="str">
        <x:v>masculino</x:v>
      </x:c>
      <x:c r="T1853" s="22" t="str"/>
      <x:c r="U1853" s="23" t="str">
        <x:v>JOAO VITOR BENTO</x:v>
      </x:c>
      <x:c r="V1853" s="22" t="str">
        <x:f>"462.268.958-88"</x:f>
        <x:v>462.268.958-88</x:v>
      </x:c>
      <x:c r="W1853" s="22" t="str">
        <x:f>"46226895888"</x:f>
        <x:v>46226895888</x:v>
      </x:c>
      <x:c r="X1853" s="23" t="str">
        <x:v>joaovitor.jvbento@gmail.com</x:v>
      </x:c>
      <x:c r="Y1853" s="22" t="str">
        <x:f>"(16)99727-5953"</x:f>
        <x:v>(16)99727-5953</x:v>
      </x:c>
      <x:c r="Z1853" s="30" t="n">
        <x:v>46318</x:v>
      </x:c>
    </x:row>
    <x:row r="1854" ht="18" customHeight="1">
      <x:c r="A1854" s="22" t="str">
        <x:f>"3470fd99-8653-476b-8efb-3d250e332f9b"</x:f>
        <x:v>3470fd99-8653-476b-8efb-3d250e332f9b</x:v>
      </x:c>
      <x:c r="B1854" s="23" t="str">
        <x:v>JOAO VITOR BRANDAO DE SOUSA</x:v>
      </x:c>
      <x:c r="C1854" s="23" t="str">
        <x:v>joao vitor brandao de sousa</x:v>
      </x:c>
      <x:c r="D1854" s="22" t="str">
        <x:f>"67.312.505/0001-62"</x:f>
        <x:v>67.312.505/0001-62</x:v>
      </x:c>
      <x:c r="E1854" s="22" t="str">
        <x:f>"67312505000162"</x:f>
        <x:v>67312505000162</x:v>
      </x:c>
      <x:c r="F1854" s="22" t="str">
        <x:f>"499.508.758-38"</x:f>
        <x:v>499.508.758-38</x:v>
      </x:c>
      <x:c r="G1854" s="22" t="str">
        <x:f>"49950875838"</x:f>
        <x:v>49950875838</x:v>
      </x:c>
      <x:c r="H1854" s="23" t="str">
        <x:v>brandaojoaovitor81@gmail.com</x:v>
      </x:c>
      <x:c r="I1854" s="22" t="str">
        <x:f>"16992201057"</x:f>
        <x:v>16992201057</x:v>
      </x:c>
      <x:c r="J1854" s="23" t="str">
        <x:v>SPOT</x:v>
      </x:c>
      <x:c r="K1854" s="23" t="str">
        <x:v>favored_only</x:v>
      </x:c>
      <x:c r="L1854" s="24" t="b">
        <x:v>1</x:v>
      </x:c>
      <x:c r="M1854" s="23" t="n">
        <x:v>1</x:v>
      </x:c>
      <x:c r="N1854" s="28" t="n">
        <x:v>46219.812988715275</x:v>
      </x:c>
      <x:c r="O1854" s="28" t="n">
        <x:v>46219.812988715275</x:v>
      </x:c>
      <x:c r="P1854" s="23" t="str">
        <x:v>SÃO CARLOS</x:v>
      </x:c>
      <x:c r="Q1854" s="30" t="n">
        <x:v>38094</x:v>
      </x:c>
      <x:c r="R1854" s="22" t="str">
        <x:f>"8449116920"</x:f>
        <x:v>8449116920</x:v>
      </x:c>
      <x:c r="S1854" s="23" t="str">
        <x:v>masculino</x:v>
      </x:c>
      <x:c r="T1854" s="22" t="str">
        <x:f>"FIN-8H44"</x:f>
        <x:v>FIN-8H44</x:v>
      </x:c>
      <x:c r="U1854" s="23" t="str">
        <x:v>JOAO VITOR BRANDAO DE SOUSA</x:v>
      </x:c>
      <x:c r="V1854" s="22" t="str">
        <x:f>"499.508.758-38"</x:f>
        <x:v>499.508.758-38</x:v>
      </x:c>
      <x:c r="W1854" s="22" t="str">
        <x:f>"49950875838"</x:f>
        <x:v>49950875838</x:v>
      </x:c>
      <x:c r="X1854" s="23" t="str">
        <x:v>brandaojoaovitor81@gmail.com</x:v>
      </x:c>
      <x:c r="Y1854" s="22" t="str">
        <x:f>"16992201057"</x:f>
        <x:v>16992201057</x:v>
      </x:c>
      <x:c r="Z1854" s="30" t="n">
        <x:v>46582</x:v>
      </x:c>
    </x:row>
    <x:row r="1855" ht="18" customHeight="1">
      <x:c r="A1855" s="22" t="str">
        <x:f>"83e03118-c23f-4584-9cc6-eb15898c4a74"</x:f>
        <x:v>83e03118-c23f-4584-9cc6-eb15898c4a74</x:v>
      </x:c>
      <x:c r="B1855" s="23" t="str">
        <x:v>JOAO VITOR CELESTINO TRINDADE</x:v>
      </x:c>
      <x:c r="C1855" s="23" t="str">
        <x:v>joao vitor celestino trindade</x:v>
      </x:c>
      <x:c r="D1855" s="22" t="str">
        <x:f>"67.028.287/0001-39"</x:f>
        <x:v>67.028.287/0001-39</x:v>
      </x:c>
      <x:c r="E1855" s="22" t="str">
        <x:f>"67028287000139"</x:f>
        <x:v>67028287000139</x:v>
      </x:c>
      <x:c r="F1855" s="22" t="str">
        <x:f>"427.352.798-71"</x:f>
        <x:v>427.352.798-71</x:v>
      </x:c>
      <x:c r="G1855" s="22" t="str">
        <x:f>"42735279871"</x:f>
        <x:v>42735279871</x:v>
      </x:c>
      <x:c r="H1855" s="23" t="str">
        <x:v>devcode.jv@gmail.com</x:v>
      </x:c>
      <x:c r="I1855" s="22" t="str">
        <x:f>"18981784826"</x:f>
        <x:v>18981784826</x:v>
      </x:c>
      <x:c r="J1855" s="23" t="str">
        <x:v>RENTAL</x:v>
      </x:c>
      <x:c r="K1855" s="23" t="str">
        <x:v>rental_company</x:v>
      </x:c>
      <x:c r="L1855" s="24" t="b">
        <x:v>1</x:v>
      </x:c>
      <x:c r="M1855" s="23" t="n">
        <x:v>1</x:v>
      </x:c>
      <x:c r="N1855" s="28" t="n">
        <x:v>46219.812988715275</x:v>
      </x:c>
      <x:c r="O1855" s="28" t="n">
        <x:v>46219.812988715275</x:v>
      </x:c>
      <x:c r="P1855" s="23" t="str">
        <x:v>PRESIDENTE PRUDENTE</x:v>
      </x:c>
      <x:c r="Q1855" s="30" t="n">
        <x:v>37436</x:v>
      </x:c>
      <x:c r="R1855" s="22" t="str">
        <x:f>"532383503"</x:f>
        <x:v>532383503</x:v>
      </x:c>
      <x:c r="S1855" s="23" t="str">
        <x:v>masculino</x:v>
      </x:c>
      <x:c r="T1855" s="22" t="str"/>
      <x:c r="U1855" s="23" t="str">
        <x:v>JOAO VITOR CELESTINO TRINDADE</x:v>
      </x:c>
      <x:c r="V1855" s="22" t="str">
        <x:f>"427.352.798-71"</x:f>
        <x:v>427.352.798-71</x:v>
      </x:c>
      <x:c r="W1855" s="22" t="str">
        <x:f>"42735279871"</x:f>
        <x:v>42735279871</x:v>
      </x:c>
      <x:c r="X1855" s="23" t="str">
        <x:v>devcode.jv@gmail.com</x:v>
      </x:c>
      <x:c r="Y1855" s="22" t="str">
        <x:f>"18981784826"</x:f>
        <x:v>18981784826</x:v>
      </x:c>
      <x:c r="Z1855" s="30" t="n">
        <x:v>46540</x:v>
      </x:c>
    </x:row>
    <x:row r="1856" ht="18" customHeight="1">
      <x:c r="A1856" s="22" t="str">
        <x:f>"6da1f3fb-9764-4d12-b0dc-bfa691f9ca26"</x:f>
        <x:v>6da1f3fb-9764-4d12-b0dc-bfa691f9ca26</x:v>
      </x:c>
      <x:c r="B1856" s="23" t="str">
        <x:v>JOAO VITOR IGNACIO</x:v>
      </x:c>
      <x:c r="C1856" s="23" t="str">
        <x:v>joao vitor ignacio</x:v>
      </x:c>
      <x:c r="D1856" s="22" t="str">
        <x:f>"65.310.770/0001-86"</x:f>
        <x:v>65.310.770/0001-86</x:v>
      </x:c>
      <x:c r="E1856" s="22" t="str">
        <x:f>"65310770000186"</x:f>
        <x:v>65310770000186</x:v>
      </x:c>
      <x:c r="F1856" s="22" t="str">
        <x:f>"137.202.406-90"</x:f>
        <x:v>137.202.406-90</x:v>
      </x:c>
      <x:c r="G1856" s="22" t="str">
        <x:f>"13720240690"</x:f>
        <x:v>13720240690</x:v>
      </x:c>
      <x:c r="H1856" s="23" t="str">
        <x:v>joaovitorinacio709@gmail.com</x:v>
      </x:c>
      <x:c r="I1856" s="22" t="str">
        <x:f>"35987020360"</x:f>
        <x:v>35987020360</x:v>
      </x:c>
      <x:c r="J1856" s="23" t="str">
        <x:v>RENTAL</x:v>
      </x:c>
      <x:c r="K1856" s="23" t="str">
        <x:v>rental_company</x:v>
      </x:c>
      <x:c r="L1856" s="24" t="b">
        <x:v>1</x:v>
      </x:c>
      <x:c r="M1856" s="23" t="n">
        <x:v>1</x:v>
      </x:c>
      <x:c r="N1856" s="28" t="n">
        <x:v>46219.812988715275</x:v>
      </x:c>
      <x:c r="O1856" s="28" t="n">
        <x:v>46219.812988715275</x:v>
      </x:c>
      <x:c r="P1856" s="23" t="str">
        <x:v>POUSO ALEGRE</x:v>
      </x:c>
      <x:c r="Q1856" s="30" t="n">
        <x:v>37613</x:v>
      </x:c>
      <x:c r="R1856" s="22" t="str">
        <x:f>"21916980"</x:f>
        <x:v>21916980</x:v>
      </x:c>
      <x:c r="S1856" s="23" t="str">
        <x:v>masculino</x:v>
      </x:c>
      <x:c r="T1856" s="22" t="str"/>
      <x:c r="U1856" s="23" t="str">
        <x:v>JOAO VITOR IGNACIO</x:v>
      </x:c>
      <x:c r="V1856" s="22" t="str">
        <x:f>"137.202.406-90"</x:f>
        <x:v>137.202.406-90</x:v>
      </x:c>
      <x:c r="W1856" s="22" t="str">
        <x:f>"13720240690"</x:f>
        <x:v>13720240690</x:v>
      </x:c>
      <x:c r="X1856" s="23" t="str">
        <x:v>joaovitorinacio709@gmail.com</x:v>
      </x:c>
      <x:c r="Y1856" s="22" t="str">
        <x:f>"35987020360"</x:f>
        <x:v>35987020360</x:v>
      </x:c>
      <x:c r="Z1856" s="30" t="n">
        <x:v>46536</x:v>
      </x:c>
    </x:row>
    <x:row r="1857" ht="18" customHeight="1">
      <x:c r="A1857" s="22" t="str">
        <x:f>"787072fe-2202-4089-959a-e5844332b01a"</x:f>
        <x:v>787072fe-2202-4089-959a-e5844332b01a</x:v>
      </x:c>
      <x:c r="B1857" s="23" t="str">
        <x:v>JOAO VITOR OLIVEIRA</x:v>
      </x:c>
      <x:c r="C1857" s="23" t="str">
        <x:v>joao vitor oliveira</x:v>
      </x:c>
      <x:c r="D1857" s="22" t="str">
        <x:f>"64.328.308/0001-43"</x:f>
        <x:v>64.328.308/0001-43</x:v>
      </x:c>
      <x:c r="E1857" s="22" t="str">
        <x:f>"64328308000143"</x:f>
        <x:v>64328308000143</x:v>
      </x:c>
      <x:c r="F1857" s="22" t="str">
        <x:f>"539.174.088-64"</x:f>
        <x:v>539.174.088-64</x:v>
      </x:c>
      <x:c r="G1857" s="22" t="str">
        <x:f>"53917408864"</x:f>
        <x:v>53917408864</x:v>
      </x:c>
      <x:c r="H1857" s="23" t="str">
        <x:v>joaovitor99fs@outlook.com</x:v>
      </x:c>
      <x:c r="I1857" s="22" t="str">
        <x:f>"11996345675"</x:f>
        <x:v>11996345675</x:v>
      </x:c>
      <x:c r="J1857" s="23" t="str">
        <x:v>RENTAL</x:v>
      </x:c>
      <x:c r="K1857" s="23" t="str">
        <x:v>rental_company</x:v>
      </x:c>
      <x:c r="L1857" s="24" t="b">
        <x:v>1</x:v>
      </x:c>
      <x:c r="M1857" s="23" t="n">
        <x:v>1</x:v>
      </x:c>
      <x:c r="N1857" s="28" t="n">
        <x:v>46219.812988715275</x:v>
      </x:c>
      <x:c r="O1857" s="28" t="n">
        <x:v>46219.812988715275</x:v>
      </x:c>
      <x:c r="P1857" s="23" t="str">
        <x:v>BARUERI</x:v>
      </x:c>
      <x:c r="Q1857" s="30" t="n">
        <x:v>37278</x:v>
      </x:c>
      <x:c r="R1857" s="22" t="str">
        <x:f>"503441971"</x:f>
        <x:v>503441971</x:v>
      </x:c>
      <x:c r="S1857" s="23" t="str">
        <x:v>masculino</x:v>
      </x:c>
      <x:c r="T1857" s="22" t="str"/>
      <x:c r="U1857" s="23" t="str">
        <x:v>JOAO VITOR OLIVEIRA</x:v>
      </x:c>
      <x:c r="V1857" s="22" t="str">
        <x:f>"539.174.088-64"</x:f>
        <x:v>539.174.088-64</x:v>
      </x:c>
      <x:c r="W1857" s="22" t="str">
        <x:f>"53917408864"</x:f>
        <x:v>53917408864</x:v>
      </x:c>
      <x:c r="X1857" s="23" t="str">
        <x:v>joaovitor99fs@outlook.com</x:v>
      </x:c>
      <x:c r="Y1857" s="22" t="str">
        <x:f>"11996345675"</x:f>
        <x:v>11996345675</x:v>
      </x:c>
      <x:c r="Z1857" s="30" t="n">
        <x:v>46557</x:v>
      </x:c>
    </x:row>
    <x:row r="1858" ht="18" customHeight="1">
      <x:c r="A1858" s="22" t="str">
        <x:f>"c42e31c7-c699-4ca3-93ec-2adca045024d"</x:f>
        <x:v>c42e31c7-c699-4ca3-93ec-2adca045024d</x:v>
      </x:c>
      <x:c r="B1858" s="23" t="str">
        <x:v>JOAO VITOR QUIRINO CAMPOS</x:v>
      </x:c>
      <x:c r="C1858" s="23" t="str">
        <x:v>joao vitor quirino campos</x:v>
      </x:c>
      <x:c r="D1858" s="22" t="str">
        <x:f>"48.602.594/0001-37"</x:f>
        <x:v>48.602.594/0001-37</x:v>
      </x:c>
      <x:c r="E1858" s="22" t="str">
        <x:f>"48602594000137"</x:f>
        <x:v>48602594000137</x:v>
      </x:c>
      <x:c r="F1858" s="22" t="str">
        <x:f>"424.300.278-95"</x:f>
        <x:v>424.300.278-95</x:v>
      </x:c>
      <x:c r="G1858" s="22" t="str">
        <x:f>"42430027895"</x:f>
        <x:v>42430027895</x:v>
      </x:c>
      <x:c r="H1858" s="23" t="str">
        <x:v>vitorquirinocampos@outlook.com</x:v>
      </x:c>
      <x:c r="I1858" s="22" t="str">
        <x:f>"16 997796836"</x:f>
        <x:v>16 997796836</x:v>
      </x:c>
      <x:c r="J1858" s="23" t="str">
        <x:v>SPOT</x:v>
      </x:c>
      <x:c r="K1858" s="23" t="str">
        <x:v>favored_only</x:v>
      </x:c>
      <x:c r="L1858" s="24" t="b">
        <x:v>1</x:v>
      </x:c>
      <x:c r="M1858" s="23" t="n">
        <x:v>2</x:v>
      </x:c>
      <x:c r="N1858" s="28" t="n">
        <x:v>46203.92189965278</x:v>
      </x:c>
      <x:c r="O1858" s="28" t="n">
        <x:v>46219.812988715275</x:v>
      </x:c>
      <x:c r="P1858" s="23" t="str">
        <x:v>RIBEIRAO PRETO</x:v>
      </x:c>
      <x:c r="Q1858" s="30" t="n">
        <x:v>36132</x:v>
      </x:c>
      <x:c r="R1858" s="22" t="str">
        <x:f>"52184247"</x:f>
        <x:v>52184247</x:v>
      </x:c>
      <x:c r="S1858" s="23" t="str">
        <x:v>masculino</x:v>
      </x:c>
      <x:c r="T1858" s="22" t="str">
        <x:f>"FVP5D30"</x:f>
        <x:v>FVP5D30</x:v>
      </x:c>
      <x:c r="U1858" s="23" t="str">
        <x:v>JOAO VITOR QUIRINO CAMPOS</x:v>
      </x:c>
      <x:c r="V1858" s="22" t="str">
        <x:f>"424.300.278-95"</x:f>
        <x:v>424.300.278-95</x:v>
      </x:c>
      <x:c r="W1858" s="22" t="str">
        <x:f>"42430027895"</x:f>
        <x:v>42430027895</x:v>
      </x:c>
      <x:c r="X1858" s="23" t="str">
        <x:v>vitorquirinocampos@outlook.com</x:v>
      </x:c>
      <x:c r="Y1858" s="22" t="str">
        <x:f>"16 997796836"</x:f>
        <x:v>16 997796836</x:v>
      </x:c>
      <x:c r="Z1858" s="30" t="n">
        <x:v>46359</x:v>
      </x:c>
    </x:row>
    <x:row r="1859" ht="18" customHeight="1">
      <x:c r="A1859" s="22" t="str">
        <x:f>"0497b287-955a-4e1e-b4ba-4f815fcd4382"</x:f>
        <x:v>0497b287-955a-4e1e-b4ba-4f815fcd4382</x:v>
      </x:c>
      <x:c r="B1859" s="23" t="str">
        <x:v>JOAO VITOR SILVA DE OLIVEIRA</x:v>
      </x:c>
      <x:c r="C1859" s="23" t="str">
        <x:v>joao vitor silva de oliveira</x:v>
      </x:c>
      <x:c r="D1859" s="22" t="str">
        <x:f>"63.849.452/0001-62"</x:f>
        <x:v>63.849.452/0001-62</x:v>
      </x:c>
      <x:c r="E1859" s="22" t="str">
        <x:f>"63849452000162"</x:f>
        <x:v>63849452000162</x:v>
      </x:c>
      <x:c r="F1859" s="22" t="str">
        <x:f>"701.614.796-77"</x:f>
        <x:v>701.614.796-77</x:v>
      </x:c>
      <x:c r="G1859" s="22" t="str">
        <x:f>"70161479677"</x:f>
        <x:v>70161479677</x:v>
      </x:c>
      <x:c r="H1859" s="23" t="str">
        <x:v>olivera.joao.800@gmail.com</x:v>
      </x:c>
      <x:c r="I1859" s="22" t="str">
        <x:f>"31995783722"</x:f>
        <x:v>31995783722</x:v>
      </x:c>
      <x:c r="J1859" s="23" t="str">
        <x:v>SPOT</x:v>
      </x:c>
      <x:c r="K1859" s="23" t="str">
        <x:v>favored_only</x:v>
      </x:c>
      <x:c r="L1859" s="24" t="b">
        <x:v>1</x:v>
      </x:c>
      <x:c r="M1859" s="23" t="n">
        <x:v>2</x:v>
      </x:c>
      <x:c r="N1859" s="28" t="n">
        <x:v>46203.92189965278</x:v>
      </x:c>
      <x:c r="O1859" s="28" t="n">
        <x:v>46219.812988715275</x:v>
      </x:c>
      <x:c r="P1859" s="23" t="str">
        <x:v>VESPASIANO</x:v>
      </x:c>
      <x:c r="Q1859" s="30" t="n">
        <x:v>37823</x:v>
      </x:c>
      <x:c r="R1859" s="22" t="str">
        <x:f>"MG21183907"</x:f>
        <x:v>MG21183907</x:v>
      </x:c>
      <x:c r="S1859" s="23" t="str">
        <x:v>masculino</x:v>
      </x:c>
      <x:c r="T1859" s="22" t="str">
        <x:f>"HCW4205"</x:f>
        <x:v>HCW4205</x:v>
      </x:c>
      <x:c r="U1859" s="23" t="str">
        <x:v>JOAO VITOR SILVA DE OLIVEIRA</x:v>
      </x:c>
      <x:c r="V1859" s="22" t="str">
        <x:f>"701.614.796-77"</x:f>
        <x:v>701.614.796-77</x:v>
      </x:c>
      <x:c r="W1859" s="22" t="str">
        <x:f>"70161479677"</x:f>
        <x:v>70161479677</x:v>
      </x:c>
      <x:c r="X1859" s="23" t="str">
        <x:v>olivera.joao.800@gmail.com</x:v>
      </x:c>
      <x:c r="Y1859" s="22" t="str">
        <x:f>"31995783722"</x:f>
        <x:v>31995783722</x:v>
      </x:c>
      <x:c r="Z1859" s="30" t="n">
        <x:v>46357</x:v>
      </x:c>
    </x:row>
    <x:row r="1860" ht="18" customHeight="1">
      <x:c r="A1860" s="22" t="str">
        <x:f>"884e31a7-4b37-4764-8772-484077354794"</x:f>
        <x:v>884e31a7-4b37-4764-8772-484077354794</x:v>
      </x:c>
      <x:c r="B1860" s="23" t="str">
        <x:v>JOAO VITOR SOARES SEHN</x:v>
      </x:c>
      <x:c r="C1860" s="23" t="str">
        <x:v>joao vitor soares sehn</x:v>
      </x:c>
      <x:c r="D1860" s="22" t="str">
        <x:f>"60.774.851/0001-13"</x:f>
        <x:v>60.774.851/0001-13</x:v>
      </x:c>
      <x:c r="E1860" s="22" t="str">
        <x:f>"60774851000113"</x:f>
        <x:v>60774851000113</x:v>
      </x:c>
      <x:c r="F1860" s="22" t="str">
        <x:f>"090.595.241-36"</x:f>
        <x:v>090.595.241-36</x:v>
      </x:c>
      <x:c r="G1860" s="22" t="str">
        <x:f>"09059524136"</x:f>
        <x:v>09059524136</x:v>
      </x:c>
      <x:c r="H1860" s="23" t="str">
        <x:v>joaosehn01@gmail.com</x:v>
      </x:c>
      <x:c r="I1860" s="22" t="str">
        <x:f>"65999161383"</x:f>
        <x:v>65999161383</x:v>
      </x:c>
      <x:c r="J1860" s="23" t="str">
        <x:v>SPOT</x:v>
      </x:c>
      <x:c r="K1860" s="23" t="str">
        <x:v>favored_only</x:v>
      </x:c>
      <x:c r="L1860" s="24" t="b">
        <x:v>1</x:v>
      </x:c>
      <x:c r="M1860" s="23" t="n">
        <x:v>1</x:v>
      </x:c>
      <x:c r="N1860" s="28" t="n">
        <x:v>46219.812988715275</x:v>
      </x:c>
      <x:c r="O1860" s="28" t="n">
        <x:v>46219.812988715275</x:v>
      </x:c>
      <x:c r="P1860" s="23" t="str">
        <x:v>CUIABA</x:v>
      </x:c>
      <x:c r="Q1860" s="30" t="n">
        <x:v>37633</x:v>
      </x:c>
      <x:c r="R1860" s="22" t="str">
        <x:f>"27842240"</x:f>
        <x:v>27842240</x:v>
      </x:c>
      <x:c r="S1860" s="23" t="str">
        <x:v>masculino</x:v>
      </x:c>
      <x:c r="T1860" s="22" t="str">
        <x:f>"PXA1E18"</x:f>
        <x:v>PXA1E18</x:v>
      </x:c>
      <x:c r="U1860" s="23" t="str">
        <x:v>FAGNER JOSE DA SILVA FERREIRA</x:v>
      </x:c>
      <x:c r="V1860" s="22" t="str">
        <x:f>"731.040.271-53"</x:f>
        <x:v>731.040.271-53</x:v>
      </x:c>
      <x:c r="W1860" s="22" t="str">
        <x:f>"73104027153"</x:f>
        <x:v>73104027153</x:v>
      </x:c>
      <x:c r="X1860" s="23" t="str">
        <x:v>fagnerjose@gmail.com</x:v>
      </x:c>
      <x:c r="Y1860" s="22" t="str">
        <x:f>"65 9809-0089"</x:f>
        <x:v>65 9809-0089</x:v>
      </x:c>
      <x:c r="Z1860" s="30" t="n">
        <x:v>46493</x:v>
      </x:c>
    </x:row>
    <x:row r="1861" ht="18" customHeight="1">
      <x:c r="A1861" s="22" t="str">
        <x:f>"b2b8a407-681b-45df-9a10-2c3e062e3f7b"</x:f>
        <x:v>b2b8a407-681b-45df-9a10-2c3e062e3f7b</x:v>
      </x:c>
      <x:c r="B1861" s="23" t="str">
        <x:v>JOCYANA REGINALDO DA PAIXAO</x:v>
      </x:c>
      <x:c r="C1861" s="23" t="str">
        <x:v>jocyana reginaldo da paixao</x:v>
      </x:c>
      <x:c r="D1861" s="22" t="str">
        <x:f>"43.863.189/0001-59"</x:f>
        <x:v>43.863.189/0001-59</x:v>
      </x:c>
      <x:c r="E1861" s="22" t="str">
        <x:f>"43863189000159"</x:f>
        <x:v>43863189000159</x:v>
      </x:c>
      <x:c r="F1861" s="22" t="str">
        <x:f>"157.359.517-93"</x:f>
        <x:v>157.359.517-93</x:v>
      </x:c>
      <x:c r="G1861" s="22" t="str">
        <x:f>"15735951793"</x:f>
        <x:v>15735951793</x:v>
      </x:c>
      <x:c r="H1861" s="23" t="str">
        <x:v>jocyanasilveira95@gmail.com</x:v>
      </x:c>
      <x:c r="I1861" s="22" t="str">
        <x:f>"22997020496"</x:f>
        <x:v>22997020496</x:v>
      </x:c>
      <x:c r="J1861" s="23" t="str">
        <x:v>SPOT</x:v>
      </x:c>
      <x:c r="K1861" s="23" t="str">
        <x:v>favored_only</x:v>
      </x:c>
      <x:c r="L1861" s="24" t="b">
        <x:v>1</x:v>
      </x:c>
      <x:c r="M1861" s="23" t="n">
        <x:v>3</x:v>
      </x:c>
      <x:c r="N1861" s="28" t="n">
        <x:v>46203.921858726855</x:v>
      </x:c>
      <x:c r="O1861" s="28" t="n">
        <x:v>46203.921858726855</x:v>
      </x:c>
      <x:c r="P1861" s="23" t="str"/>
      <x:c r="Q1861" s="30" t="str"/>
      <x:c r="R1861" s="22" t="str"/>
      <x:c r="S1861" s="23" t="str"/>
      <x:c r="T1861" s="22" t="str"/>
      <x:c r="U1861" s="23" t="str">
        <x:v>JOCYANA REGINALDO DA PAIXAO</x:v>
      </x:c>
      <x:c r="V1861" s="22" t="str">
        <x:f>"157.359.517-93"</x:f>
        <x:v>157.359.517-93</x:v>
      </x:c>
      <x:c r="W1861" s="22" t="str">
        <x:f>"15735951793"</x:f>
        <x:v>15735951793</x:v>
      </x:c>
      <x:c r="X1861" s="23" t="str">
        <x:v>jocyanaallan@gmail.com</x:v>
      </x:c>
      <x:c r="Y1861" s="22" t="str">
        <x:f>"22997020496"</x:f>
        <x:v>22997020496</x:v>
      </x:c>
      <x:c r="Z1861" s="30" t="str"/>
    </x:row>
    <x:row r="1862" ht="18" customHeight="1">
      <x:c r="A1862" s="22" t="str">
        <x:f>"a5caead8-154d-4021-a582-0e0765e49ae5"</x:f>
        <x:v>a5caead8-154d-4021-a582-0e0765e49ae5</x:v>
      </x:c>
      <x:c r="B1862" s="23" t="str">
        <x:v>JOEL JUNIOR DA SILVA E SOUZA</x:v>
      </x:c>
      <x:c r="C1862" s="23" t="str">
        <x:v>joel junior da silva e souza</x:v>
      </x:c>
      <x:c r="D1862" s="22" t="str">
        <x:f>"66.030.525/0001-88"</x:f>
        <x:v>66.030.525/0001-88</x:v>
      </x:c>
      <x:c r="E1862" s="22" t="str">
        <x:f>"66030525000188"</x:f>
        <x:v>66030525000188</x:v>
      </x:c>
      <x:c r="F1862" s="22" t="str">
        <x:f>"165.751.656-30"</x:f>
        <x:v>165.751.656-30</x:v>
      </x:c>
      <x:c r="G1862" s="22" t="str">
        <x:f>"16575165630"</x:f>
        <x:v>16575165630</x:v>
      </x:c>
      <x:c r="H1862" s="23" t="str">
        <x:v>Carolinesantos0508@gmail.com</x:v>
      </x:c>
      <x:c r="I1862" s="22" t="str">
        <x:f>"31972386158"</x:f>
        <x:v>31972386158</x:v>
      </x:c>
      <x:c r="J1862" s="23" t="str">
        <x:v>SPOT</x:v>
      </x:c>
      <x:c r="K1862" s="23" t="str">
        <x:v>favored_only</x:v>
      </x:c>
      <x:c r="L1862" s="24" t="b">
        <x:v>1</x:v>
      </x:c>
      <x:c r="M1862" s="23" t="n">
        <x:v>1</x:v>
      </x:c>
      <x:c r="N1862" s="28" t="n">
        <x:v>46219.812988715275</x:v>
      </x:c>
      <x:c r="O1862" s="28" t="n">
        <x:v>46219.812988715275</x:v>
      </x:c>
      <x:c r="P1862" s="23" t="str">
        <x:v>CONCEIÇÃO DO MATO DENTRO</x:v>
      </x:c>
      <x:c r="Q1862" s="30" t="n">
        <x:v>37378</x:v>
      </x:c>
      <x:c r="R1862" s="22" t="str">
        <x:f>"22689503"</x:f>
        <x:v>22689503</x:v>
      </x:c>
      <x:c r="S1862" s="23" t="str">
        <x:v>masculino</x:v>
      </x:c>
      <x:c r="T1862" s="22" t="str">
        <x:f>"gtn0c53"</x:f>
        <x:v>gtn0c53</x:v>
      </x:c>
      <x:c r="U1862" s="23" t="str">
        <x:v>JOEL JUNIOR DA SILVA E SOUZA</x:v>
      </x:c>
      <x:c r="V1862" s="22" t="str">
        <x:f>"165.751.656-30"</x:f>
        <x:v>165.751.656-30</x:v>
      </x:c>
      <x:c r="W1862" s="22" t="str">
        <x:f>"16575165630"</x:f>
        <x:v>16575165630</x:v>
      </x:c>
      <x:c r="X1862" s="23" t="str">
        <x:v>Carolinesantos0508@gmail.com</x:v>
      </x:c>
      <x:c r="Y1862" s="22" t="str">
        <x:f>"31972386158"</x:f>
        <x:v>31972386158</x:v>
      </x:c>
      <x:c r="Z1862" s="30" t="n">
        <x:v>46483</x:v>
      </x:c>
    </x:row>
    <x:row r="1863" ht="18" customHeight="1">
      <x:c r="A1863" s="22" t="str">
        <x:f>"e3d31214-fc04-4f4b-a553-db438279029a"</x:f>
        <x:v>e3d31214-fc04-4f4b-a553-db438279029a</x:v>
      </x:c>
      <x:c r="B1863" s="23" t="str">
        <x:v>JOELLINGTON MICAEL RAMOS SILVA</x:v>
      </x:c>
      <x:c r="C1863" s="23" t="str">
        <x:v>joellington micael ramos silva</x:v>
      </x:c>
      <x:c r="D1863" s="22" t="str">
        <x:f>"63.559.852/0001-33"</x:f>
        <x:v>63.559.852/0001-33</x:v>
      </x:c>
      <x:c r="E1863" s="22" t="str">
        <x:f>"63559852000133"</x:f>
        <x:v>63559852000133</x:v>
      </x:c>
      <x:c r="F1863" s="22" t="str">
        <x:f>"452.582.088-85"</x:f>
        <x:v>452.582.088-85</x:v>
      </x:c>
      <x:c r="G1863" s="22" t="str">
        <x:f>"45258208885"</x:f>
        <x:v>45258208885</x:v>
      </x:c>
      <x:c r="H1863" s="23" t="str">
        <x:v>joellingtonramossilva@gmail.com</x:v>
      </x:c>
      <x:c r="I1863" s="22" t="str">
        <x:f>"18 991734420"</x:f>
        <x:v>18 991734420</x:v>
      </x:c>
      <x:c r="J1863" s="23" t="str">
        <x:v>RENTAL</x:v>
      </x:c>
      <x:c r="K1863" s="23" t="str">
        <x:v>rental_company</x:v>
      </x:c>
      <x:c r="L1863" s="24" t="b">
        <x:v>1</x:v>
      </x:c>
      <x:c r="M1863" s="23" t="n">
        <x:v>1</x:v>
      </x:c>
      <x:c r="N1863" s="28" t="n">
        <x:v>46203.92189349537</x:v>
      </x:c>
      <x:c r="O1863" s="28" t="n">
        <x:v>46219.812988715275</x:v>
      </x:c>
      <x:c r="P1863" s="23" t="str">
        <x:v>PRESIDENTE PRUDENTE</x:v>
      </x:c>
      <x:c r="Q1863" s="30" t="n">
        <x:v>35445</x:v>
      </x:c>
      <x:c r="R1863" s="22" t="str">
        <x:f>"49988726"</x:f>
        <x:v>49988726</x:v>
      </x:c>
      <x:c r="S1863" s="23" t="str">
        <x:v>masculino</x:v>
      </x:c>
      <x:c r="T1863" s="22" t="str"/>
      <x:c r="U1863" s="23" t="str">
        <x:v>JOELLINGTON MICAEL RAMOS SILVA</x:v>
      </x:c>
      <x:c r="V1863" s="22" t="str">
        <x:f>"452.582.088-85"</x:f>
        <x:v>452.582.088-85</x:v>
      </x:c>
      <x:c r="W1863" s="22" t="str">
        <x:f>"45258208885"</x:f>
        <x:v>45258208885</x:v>
      </x:c>
      <x:c r="X1863" s="23" t="str">
        <x:v>joellingtonramossilva@gmail.com</x:v>
      </x:c>
      <x:c r="Y1863" s="22" t="str">
        <x:f>"18 991734420"</x:f>
        <x:v>18 991734420</x:v>
      </x:c>
      <x:c r="Z1863" s="30" t="n">
        <x:v>46343</x:v>
      </x:c>
    </x:row>
    <x:row r="1864" ht="18" customHeight="1">
      <x:c r="A1864" s="22" t="str">
        <x:f>"7502ada5-f6e9-4e50-87a1-527348d44c63"</x:f>
        <x:v>7502ada5-f6e9-4e50-87a1-527348d44c63</x:v>
      </x:c>
      <x:c r="B1864" s="23" t="str">
        <x:v>JOEL VIEIRA DOS REIS</x:v>
      </x:c>
      <x:c r="C1864" s="23" t="str">
        <x:v>joel vieira dos reis</x:v>
      </x:c>
      <x:c r="D1864" s="22" t="str">
        <x:f>"64.547.146/0001-34"</x:f>
        <x:v>64.547.146/0001-34</x:v>
      </x:c>
      <x:c r="E1864" s="22" t="str">
        <x:f>"64547146000134"</x:f>
        <x:v>64547146000134</x:v>
      </x:c>
      <x:c r="F1864" s="22" t="str">
        <x:f>"001.764.761-10"</x:f>
        <x:v>001.764.761-10</x:v>
      </x:c>
      <x:c r="G1864" s="22" t="str">
        <x:f>"00176476110"</x:f>
        <x:v>00176476110</x:v>
      </x:c>
      <x:c r="H1864" s="23" t="str">
        <x:v>joelgabryel@gmail.com</x:v>
      </x:c>
      <x:c r="I1864" s="22" t="str">
        <x:f>"65 993206645"</x:f>
        <x:v>65 993206645</x:v>
      </x:c>
      <x:c r="J1864" s="23" t="str">
        <x:v>SPOT</x:v>
      </x:c>
      <x:c r="K1864" s="23" t="str">
        <x:v>favored_only</x:v>
      </x:c>
      <x:c r="L1864" s="24" t="b">
        <x:v>1</x:v>
      </x:c>
      <x:c r="M1864" s="23" t="n">
        <x:v>1</x:v>
      </x:c>
      <x:c r="N1864" s="28" t="n">
        <x:v>46219.812988715275</x:v>
      </x:c>
      <x:c r="O1864" s="28" t="n">
        <x:v>46219.812988715275</x:v>
      </x:c>
      <x:c r="P1864" s="23" t="str">
        <x:v>CUIABA</x:v>
      </x:c>
      <x:c r="Q1864" s="30" t="n">
        <x:v>32747</x:v>
      </x:c>
      <x:c r="R1864" s="22" t="str">
        <x:f>"19298400"</x:f>
        <x:v>19298400</x:v>
      </x:c>
      <x:c r="S1864" s="23" t="str">
        <x:v>masculino</x:v>
      </x:c>
      <x:c r="T1864" s="22" t="str">
        <x:f>"AZF7A72"</x:f>
        <x:v>AZF7A72</x:v>
      </x:c>
      <x:c r="U1864" s="23" t="str">
        <x:v>JOEL VIEIRA DOS REIS</x:v>
      </x:c>
      <x:c r="V1864" s="22" t="str">
        <x:f>"001.764.761-10"</x:f>
        <x:v>001.764.761-10</x:v>
      </x:c>
      <x:c r="W1864" s="22" t="str">
        <x:f>"00176476110"</x:f>
        <x:v>00176476110</x:v>
      </x:c>
      <x:c r="X1864" s="23" t="str">
        <x:v>joelgabryel@gmail.com</x:v>
      </x:c>
      <x:c r="Y1864" s="22" t="str">
        <x:f>"65 993206645"</x:f>
        <x:v>65 993206645</x:v>
      </x:c>
      <x:c r="Z1864" s="30" t="n">
        <x:v>46408</x:v>
      </x:c>
    </x:row>
    <x:row r="1865" ht="18" customHeight="1">
      <x:c r="A1865" s="22" t="str">
        <x:f>"4db48a0e-5f38-4941-bb9b-f4dd4dabe38b"</x:f>
        <x:v>4db48a0e-5f38-4941-bb9b-f4dd4dabe38b</x:v>
      </x:c>
      <x:c r="B1865" s="23" t="str">
        <x:v>JOHNATHAN ROSSATTO DE OLIVEIRA</x:v>
      </x:c>
      <x:c r="C1865" s="23" t="str">
        <x:v>johnathan rossatto de oliveira</x:v>
      </x:c>
      <x:c r="D1865" s="22" t="str">
        <x:f>"51.164.038/0001-30"</x:f>
        <x:v>51.164.038/0001-30</x:v>
      </x:c>
      <x:c r="E1865" s="22" t="str">
        <x:f>"51164038000130"</x:f>
        <x:v>51164038000130</x:v>
      </x:c>
      <x:c r="F1865" s="22" t="str">
        <x:f>"015.646.262-10"</x:f>
        <x:v>015.646.262-10</x:v>
      </x:c>
      <x:c r="G1865" s="22" t="str">
        <x:f>"01564626210"</x:f>
        <x:v>01564626210</x:v>
      </x:c>
      <x:c r="H1865" s="23" t="str">
        <x:v>Jonathandireito32@gmail.com</x:v>
      </x:c>
      <x:c r="I1865" s="22" t="str">
        <x:f>"65 99294-9203"</x:f>
        <x:v>65 99294-9203</x:v>
      </x:c>
      <x:c r="J1865" s="23" t="str">
        <x:v>SPOT</x:v>
      </x:c>
      <x:c r="K1865" s="23" t="str">
        <x:v>favored_only</x:v>
      </x:c>
      <x:c r="L1865" s="24" t="b">
        <x:v>1</x:v>
      </x:c>
      <x:c r="M1865" s="23" t="n">
        <x:v>1</x:v>
      </x:c>
      <x:c r="N1865" s="28" t="n">
        <x:v>46219.812988715275</x:v>
      </x:c>
      <x:c r="O1865" s="28" t="n">
        <x:v>46219.812988715275</x:v>
      </x:c>
      <x:c r="P1865" s="23" t="str">
        <x:v>SINOP</x:v>
      </x:c>
      <x:c r="Q1865" s="30" t="n">
        <x:v>33680</x:v>
      </x:c>
      <x:c r="R1865" s="22" t="str">
        <x:f>"1443903"</x:f>
        <x:v>1443903</x:v>
      </x:c>
      <x:c r="S1865" s="23" t="str">
        <x:v>masculino</x:v>
      </x:c>
      <x:c r="T1865" s="22" t="str">
        <x:f>"QVB6F32"</x:f>
        <x:v>QVB6F32</x:v>
      </x:c>
      <x:c r="U1865" s="23" t="str">
        <x:v>JOHNATHAN ROSSATTO DE OLIVEIRA</x:v>
      </x:c>
      <x:c r="V1865" s="22" t="str">
        <x:f>"015.646.262-10"</x:f>
        <x:v>015.646.262-10</x:v>
      </x:c>
      <x:c r="W1865" s="22" t="str">
        <x:f>"01564626210"</x:f>
        <x:v>01564626210</x:v>
      </x:c>
      <x:c r="X1865" s="23" t="str">
        <x:v>Jonathandireito32@gmail.com</x:v>
      </x:c>
      <x:c r="Y1865" s="22" t="str">
        <x:f>"65 99294-9203"</x:f>
        <x:v>65 99294-9203</x:v>
      </x:c>
      <x:c r="Z1865" s="30" t="n">
        <x:v>46467</x:v>
      </x:c>
    </x:row>
    <x:row r="1866" ht="18" customHeight="1">
      <x:c r="A1866" s="22" t="str">
        <x:f>"4b1d59ee-5744-4c7a-a3d5-78626aac0352"</x:f>
        <x:v>4b1d59ee-5744-4c7a-a3d5-78626aac0352</x:v>
      </x:c>
      <x:c r="B1866" s="23" t="str">
        <x:v>JOHNATHAN SILVA SIMOES</x:v>
      </x:c>
      <x:c r="C1866" s="23" t="str">
        <x:v>johnathan silva simoes</x:v>
      </x:c>
      <x:c r="D1866" s="22" t="str">
        <x:f>"58.990.075/0001-47"</x:f>
        <x:v>58.990.075/0001-47</x:v>
      </x:c>
      <x:c r="E1866" s="22" t="str">
        <x:f>"58990075000147"</x:f>
        <x:v>58990075000147</x:v>
      </x:c>
      <x:c r="F1866" s="22" t="str">
        <x:f>"704.599.871-60"</x:f>
        <x:v>704.599.871-60</x:v>
      </x:c>
      <x:c r="G1866" s="22" t="str">
        <x:f>"70459987160"</x:f>
        <x:v>70459987160</x:v>
      </x:c>
      <x:c r="H1866" s="23" t="str">
        <x:v>johnathansilva637@gmail.com</x:v>
      </x:c>
      <x:c r="I1866" s="22" t="str">
        <x:f>"62994988324"</x:f>
        <x:v>62994988324</x:v>
      </x:c>
      <x:c r="J1866" s="23" t="str">
        <x:v>RENTAL</x:v>
      </x:c>
      <x:c r="K1866" s="23" t="str">
        <x:v>rental_company</x:v>
      </x:c>
      <x:c r="L1866" s="24" t="b">
        <x:v>1</x:v>
      </x:c>
      <x:c r="M1866" s="23" t="n">
        <x:v>1</x:v>
      </x:c>
      <x:c r="N1866" s="28" t="n">
        <x:v>46203.92186888889</x:v>
      </x:c>
      <x:c r="O1866" s="28" t="n">
        <x:v>46219.812988715275</x:v>
      </x:c>
      <x:c r="P1866" s="23" t="str">
        <x:v>GOIANIA</x:v>
      </x:c>
      <x:c r="Q1866" s="30" t="n">
        <x:v>36745</x:v>
      </x:c>
      <x:c r="R1866" s="22" t="str">
        <x:f>"6390465"</x:f>
        <x:v>6390465</x:v>
      </x:c>
      <x:c r="S1866" s="23" t="str">
        <x:v>masculino</x:v>
      </x:c>
      <x:c r="T1866" s="22" t="str"/>
      <x:c r="U1866" s="23" t="str">
        <x:v>JOHNATHAN SILVA SIMOES</x:v>
      </x:c>
      <x:c r="V1866" s="22" t="str">
        <x:f>"704.599.871-60"</x:f>
        <x:v>704.599.871-60</x:v>
      </x:c>
      <x:c r="W1866" s="22" t="str">
        <x:f>"70459987160"</x:f>
        <x:v>70459987160</x:v>
      </x:c>
      <x:c r="X1866" s="23" t="str">
        <x:v>johnathansilva637@gmail.com</x:v>
      </x:c>
      <x:c r="Y1866" s="22" t="str">
        <x:f>"62994988324"</x:f>
        <x:v>62994988324</x:v>
      </x:c>
      <x:c r="Z1866" s="30" t="n">
        <x:v>46297</x:v>
      </x:c>
    </x:row>
    <x:row r="1867" ht="18" customHeight="1">
      <x:c r="A1867" s="22" t="str">
        <x:f>"921edd7f-8657-430e-8956-97682661044c"</x:f>
        <x:v>921edd7f-8657-430e-8956-97682661044c</x:v>
      </x:c>
      <x:c r="B1867" s="23" t="str">
        <x:v>JOHNATHAN SILVA SIMOES</x:v>
      </x:c>
      <x:c r="C1867" s="23" t="str">
        <x:v>johnathan silva simoes</x:v>
      </x:c>
      <x:c r="D1867" s="22" t="str">
        <x:f>"63.460.766/0001-79"</x:f>
        <x:v>63.460.766/0001-79</x:v>
      </x:c>
      <x:c r="E1867" s="22" t="str">
        <x:f>"63460766000179"</x:f>
        <x:v>63460766000179</x:v>
      </x:c>
      <x:c r="F1867" s="22" t="str">
        <x:f>"704.599.871-60"</x:f>
        <x:v>704.599.871-60</x:v>
      </x:c>
      <x:c r="G1867" s="22" t="str">
        <x:f>"70459987160"</x:f>
        <x:v>70459987160</x:v>
      </x:c>
      <x:c r="H1867" s="23" t="str">
        <x:v>johnathansilva637@gmail.com</x:v>
      </x:c>
      <x:c r="I1867" s="22" t="str">
        <x:f>"62994988324"</x:f>
        <x:v>62994988324</x:v>
      </x:c>
      <x:c r="J1867" s="23" t="str">
        <x:v>RENTAL</x:v>
      </x:c>
      <x:c r="K1867" s="23" t="str">
        <x:v>rental_company</x:v>
      </x:c>
      <x:c r="L1867" s="24" t="b">
        <x:v>1</x:v>
      </x:c>
      <x:c r="M1867" s="23" t="n">
        <x:v>1</x:v>
      </x:c>
      <x:c r="N1867" s="28" t="n">
        <x:v>46203.921887453704</x:v>
      </x:c>
      <x:c r="O1867" s="28" t="n">
        <x:v>46219.812988715275</x:v>
      </x:c>
      <x:c r="P1867" s="23" t="str">
        <x:v>GOIANIA</x:v>
      </x:c>
      <x:c r="Q1867" s="30" t="n">
        <x:v>36745</x:v>
      </x:c>
      <x:c r="R1867" s="22" t="str">
        <x:f>"6390465"</x:f>
        <x:v>6390465</x:v>
      </x:c>
      <x:c r="S1867" s="23" t="str">
        <x:v>masculino</x:v>
      </x:c>
      <x:c r="T1867" s="22" t="str"/>
      <x:c r="U1867" s="23" t="str">
        <x:v>JOHNATHAN SILVA SIMOES</x:v>
      </x:c>
      <x:c r="V1867" s="22" t="str">
        <x:f>"704.599.871-60"</x:f>
        <x:v>704.599.871-60</x:v>
      </x:c>
      <x:c r="W1867" s="22" t="str">
        <x:f>"70459987160"</x:f>
        <x:v>70459987160</x:v>
      </x:c>
      <x:c r="X1867" s="23" t="str">
        <x:v>johnathansilva637@gmail.com</x:v>
      </x:c>
      <x:c r="Y1867" s="22" t="str">
        <x:f>"62994988324"</x:f>
        <x:v>62994988324</x:v>
      </x:c>
      <x:c r="Z1867" s="30" t="n">
        <x:v>46327</x:v>
      </x:c>
    </x:row>
    <x:row r="1868" ht="18" customHeight="1">
      <x:c r="A1868" s="22" t="str">
        <x:f>"630c4ecf-f15e-4e16-8c2f-f9ed045d91b7"</x:f>
        <x:v>630c4ecf-f15e-4e16-8c2f-f9ed045d91b7</x:v>
      </x:c>
      <x:c r="B1868" s="23" t="str">
        <x:v>JOHNE FERREIRA MARTINS</x:v>
      </x:c>
      <x:c r="C1868" s="23" t="str">
        <x:v>johne ferreira martins</x:v>
      </x:c>
      <x:c r="D1868" s="22" t="str">
        <x:f>"31.057.530/0001-08"</x:f>
        <x:v>31.057.530/0001-08</x:v>
      </x:c>
      <x:c r="E1868" s="22" t="str">
        <x:f>"31057530000108"</x:f>
        <x:v>31057530000108</x:v>
      </x:c>
      <x:c r="F1868" s="22" t="str">
        <x:f>"126.760.036-58"</x:f>
        <x:v>126.760.036-58</x:v>
      </x:c>
      <x:c r="G1868" s="22" t="str">
        <x:f>"12676003658"</x:f>
        <x:v>12676003658</x:v>
      </x:c>
      <x:c r="H1868" s="23" t="str">
        <x:v>Johneferreira93@gmail.com</x:v>
      </x:c>
      <x:c r="I1868" s="22" t="str">
        <x:f>"(31)99190-3853"</x:f>
        <x:v>(31)99190-3853</x:v>
      </x:c>
      <x:c r="J1868" s="23" t="str">
        <x:v>SPOT</x:v>
      </x:c>
      <x:c r="K1868" s="23" t="str">
        <x:v>favored_only</x:v>
      </x:c>
      <x:c r="L1868" s="24" t="b">
        <x:v>1</x:v>
      </x:c>
      <x:c r="M1868" s="23" t="n">
        <x:v>1</x:v>
      </x:c>
      <x:c r="N1868" s="28" t="n">
        <x:v>46219.812988715275</x:v>
      </x:c>
      <x:c r="O1868" s="28" t="n">
        <x:v>46219.812988715275</x:v>
      </x:c>
      <x:c r="P1868" s="23" t="str">
        <x:v>CONTAGEM</x:v>
      </x:c>
      <x:c r="Q1868" s="30" t="n">
        <x:v>34221</x:v>
      </x:c>
      <x:c r="R1868" s="22" t="str">
        <x:f>"17986713"</x:f>
        <x:v>17986713</x:v>
      </x:c>
      <x:c r="S1868" s="23" t="str">
        <x:v>masculino</x:v>
      </x:c>
      <x:c r="T1868" s="22" t="str"/>
      <x:c r="U1868" s="23" t="str">
        <x:v>JOHNE FERREIRA MARTINS</x:v>
      </x:c>
      <x:c r="V1868" s="22" t="str">
        <x:f>"126.760.036-58"</x:f>
        <x:v>126.760.036-58</x:v>
      </x:c>
      <x:c r="W1868" s="22" t="str">
        <x:f>"12676003658"</x:f>
        <x:v>12676003658</x:v>
      </x:c>
      <x:c r="X1868" s="23" t="str">
        <x:v>Johneferreira93@gmail.com</x:v>
      </x:c>
      <x:c r="Y1868" s="22" t="str">
        <x:f>"(31)99190-3853"</x:f>
        <x:v>(31)99190-3853</x:v>
      </x:c>
      <x:c r="Z1868" s="30" t="n">
        <x:v>46522</x:v>
      </x:c>
    </x:row>
    <x:row r="1869" ht="18" customHeight="1">
      <x:c r="A1869" s="22" t="str">
        <x:f>"a3a5a14e-e0b5-46a8-a1f5-7bbe76ac97e2"</x:f>
        <x:v>a3a5a14e-e0b5-46a8-a1f5-7bbe76ac97e2</x:v>
      </x:c>
      <x:c r="B1869" s="23" t="str">
        <x:v>JOHNE VINICIUS RODRIGUES DE ARAUJO</x:v>
      </x:c>
      <x:c r="C1869" s="23" t="str">
        <x:v>johne vinicius rodrigues de araujo</x:v>
      </x:c>
      <x:c r="D1869" s="22" t="str">
        <x:f>"60.875.083/0001-94"</x:f>
        <x:v>60.875.083/0001-94</x:v>
      </x:c>
      <x:c r="E1869" s="22" t="str">
        <x:f>"60875083000194"</x:f>
        <x:v>60875083000194</x:v>
      </x:c>
      <x:c r="F1869" s="22" t="str">
        <x:f>"100.951.096-76"</x:f>
        <x:v>100.951.096-76</x:v>
      </x:c>
      <x:c r="G1869" s="22" t="str">
        <x:f>"10095109676"</x:f>
        <x:v>10095109676</x:v>
      </x:c>
      <x:c r="H1869" s="23" t="str">
        <x:v>johnevinicius0@gmail.com</x:v>
      </x:c>
      <x:c r="I1869" s="22" t="str">
        <x:f>"31971133870"</x:f>
        <x:v>31971133870</x:v>
      </x:c>
      <x:c r="J1869" s="23" t="str">
        <x:v>RENTAL</x:v>
      </x:c>
      <x:c r="K1869" s="23" t="str">
        <x:v>rental_company</x:v>
      </x:c>
      <x:c r="L1869" s="24" t="b">
        <x:v>1</x:v>
      </x:c>
      <x:c r="M1869" s="23" t="n">
        <x:v>1</x:v>
      </x:c>
      <x:c r="N1869" s="28" t="n">
        <x:v>46203.92183017361</x:v>
      </x:c>
      <x:c r="O1869" s="28" t="n">
        <x:v>46219.812988715275</x:v>
      </x:c>
      <x:c r="P1869" s="23" t="str">
        <x:v>CONTAGEM</x:v>
      </x:c>
      <x:c r="Q1869" s="30" t="n">
        <x:v>33329</x:v>
      </x:c>
      <x:c r="R1869" s="22" t="str">
        <x:f>"8829275"</x:f>
        <x:v>8829275</x:v>
      </x:c>
      <x:c r="S1869" s="23" t="str">
        <x:v>masculino</x:v>
      </x:c>
      <x:c r="T1869" s="22" t="str"/>
      <x:c r="U1869" s="23" t="str">
        <x:v>JOHNE VINICIUS RODRIGUES DE ARAUJO</x:v>
      </x:c>
      <x:c r="V1869" s="22" t="str">
        <x:f>"100.951.096-76"</x:f>
        <x:v>100.951.096-76</x:v>
      </x:c>
      <x:c r="W1869" s="22" t="str">
        <x:f>"10095109676"</x:f>
        <x:v>10095109676</x:v>
      </x:c>
      <x:c r="X1869" s="23" t="str">
        <x:v>johnevinicius0@gmail.com</x:v>
      </x:c>
      <x:c r="Y1869" s="22" t="str">
        <x:f>"31971133870"</x:f>
        <x:v>31971133870</x:v>
      </x:c>
      <x:c r="Z1869" s="30" t="n">
        <x:v>46528</x:v>
      </x:c>
    </x:row>
    <x:row r="1870" ht="18" customHeight="1">
      <x:c r="A1870" s="22" t="str">
        <x:f>"a973016d-41f3-4fe5-b71e-1730b3af0a5e"</x:f>
        <x:v>a973016d-41f3-4fe5-b71e-1730b3af0a5e</x:v>
      </x:c>
      <x:c r="B1870" s="23" t="str">
        <x:v>John Lennon Oliveira</x:v>
      </x:c>
      <x:c r="C1870" s="23" t="str">
        <x:v>john lennon oliveira</x:v>
      </x:c>
      <x:c r="D1870" s="22" t="str">
        <x:f>"54990276000193"</x:f>
        <x:v>54990276000193</x:v>
      </x:c>
      <x:c r="E1870" s="22" t="str">
        <x:f>"54990276000193"</x:f>
        <x:v>54990276000193</x:v>
      </x:c>
      <x:c r="F1870" s="22" t="str">
        <x:f>"11779746652"</x:f>
        <x:v>11779746652</x:v>
      </x:c>
      <x:c r="G1870" s="22" t="str">
        <x:f>"11779746652"</x:f>
        <x:v>11779746652</x:v>
      </x:c>
      <x:c r="H1870" s="23" t="str">
        <x:v>fortcarautomecanica@gmail.com</x:v>
      </x:c>
      <x:c r="I1870" s="22" t="str">
        <x:f>"33999794770"</x:f>
        <x:v>33999794770</x:v>
      </x:c>
      <x:c r="J1870" s="23" t="str">
        <x:v>SPOT</x:v>
      </x:c>
      <x:c r="K1870" s="23" t="str">
        <x:v>favored_only</x:v>
      </x:c>
      <x:c r="L1870" s="24" t="b">
        <x:v>1</x:v>
      </x:c>
      <x:c r="M1870" s="23" t="n">
        <x:v>1</x:v>
      </x:c>
      <x:c r="N1870" s="28" t="n">
        <x:v>46203.9218771875</x:v>
      </x:c>
      <x:c r="O1870" s="28" t="n">
        <x:v>46203.9218771875</x:v>
      </x:c>
      <x:c r="P1870" s="23" t="str"/>
      <x:c r="Q1870" s="30" t="str"/>
      <x:c r="R1870" s="22" t="str"/>
      <x:c r="S1870" s="23" t="str"/>
      <x:c r="T1870" s="22" t="str"/>
      <x:c r="U1870" s="23" t="str">
        <x:v>John Lennon Oliveira</x:v>
      </x:c>
      <x:c r="V1870" s="22" t="str">
        <x:f>"11779746652"</x:f>
        <x:v>11779746652</x:v>
      </x:c>
      <x:c r="W1870" s="22" t="str">
        <x:f>"11779746652"</x:f>
        <x:v>11779746652</x:v>
      </x:c>
      <x:c r="X1870" s="23" t="str">
        <x:v>fortcarautomecanica@gmail.com</x:v>
      </x:c>
      <x:c r="Y1870" s="22" t="str">
        <x:f>"33999794770"</x:f>
        <x:v>33999794770</x:v>
      </x:c>
      <x:c r="Z1870" s="30" t="str"/>
    </x:row>
    <x:row r="1871" ht="18" customHeight="1">
      <x:c r="A1871" s="22" t="str">
        <x:f>"e21fa614-983d-41f7-b9b1-ce38ba56afe7"</x:f>
        <x:v>e21fa614-983d-41f7-b9b1-ce38ba56afe7</x:v>
      </x:c>
      <x:c r="B1871" s="23" t="str">
        <x:v>JOHN MARQUES FREITAS DE MATTOS</x:v>
      </x:c>
      <x:c r="C1871" s="23" t="str">
        <x:v>john marques freitas de mattos</x:v>
      </x:c>
      <x:c r="D1871" s="22" t="str">
        <x:f>"55.058.927/0001-74"</x:f>
        <x:v>55.058.927/0001-74</x:v>
      </x:c>
      <x:c r="E1871" s="22" t="str">
        <x:f>"55058927000174"</x:f>
        <x:v>55058927000174</x:v>
      </x:c>
      <x:c r="F1871" s="22" t="str">
        <x:f>"170.676.417-05"</x:f>
        <x:v>170.676.417-05</x:v>
      </x:c>
      <x:c r="G1871" s="22" t="str">
        <x:f>"17067641705"</x:f>
        <x:v>17067641705</x:v>
      </x:c>
      <x:c r="H1871" s="23" t="str">
        <x:v>Johnfreitas16@gmail.com</x:v>
      </x:c>
      <x:c r="I1871" s="22" t="str">
        <x:f>"21977448799"</x:f>
        <x:v>21977448799</x:v>
      </x:c>
      <x:c r="J1871" s="23" t="str">
        <x:v>SPOT</x:v>
      </x:c>
      <x:c r="K1871" s="23" t="str">
        <x:v>favored_only</x:v>
      </x:c>
      <x:c r="L1871" s="24" t="b">
        <x:v>1</x:v>
      </x:c>
      <x:c r="M1871" s="23" t="n">
        <x:v>1</x:v>
      </x:c>
      <x:c r="N1871" s="28" t="n">
        <x:v>46203.92188238426</x:v>
      </x:c>
      <x:c r="O1871" s="28" t="n">
        <x:v>46219.812988715275</x:v>
      </x:c>
      <x:c r="P1871" s="23" t="str">
        <x:v>CORDOVIL</x:v>
      </x:c>
      <x:c r="Q1871" s="30" t="n">
        <x:v>36891</x:v>
      </x:c>
      <x:c r="R1871" s="22" t="str">
        <x:f>"312263858"</x:f>
        <x:v>312263858</x:v>
      </x:c>
      <x:c r="S1871" s="23" t="str">
        <x:v>masculino</x:v>
      </x:c>
      <x:c r="T1871" s="22" t="str">
        <x:f>"QKR5A47"</x:f>
        <x:v>QKR5A47</x:v>
      </x:c>
      <x:c r="U1871" s="23" t="str">
        <x:v>JOHN MARQUES FREITAS DE MATTOS</x:v>
      </x:c>
      <x:c r="V1871" s="22" t="str">
        <x:f>"170.676.417-05"</x:f>
        <x:v>170.676.417-05</x:v>
      </x:c>
      <x:c r="W1871" s="22" t="str">
        <x:f>"17067641705"</x:f>
        <x:v>17067641705</x:v>
      </x:c>
      <x:c r="X1871" s="23" t="str">
        <x:v>Johnfreitas16@gmail.com</x:v>
      </x:c>
      <x:c r="Y1871" s="22" t="str">
        <x:f>"21977448799"</x:f>
        <x:v>21977448799</x:v>
      </x:c>
      <x:c r="Z1871" s="30" t="n">
        <x:v>46323</x:v>
      </x:c>
    </x:row>
    <x:row r="1872" ht="18" customHeight="1">
      <x:c r="A1872" s="22" t="str">
        <x:f>"979451f7-8c1e-45b4-bf4e-71ff54168bb1"</x:f>
        <x:v>979451f7-8c1e-45b4-bf4e-71ff54168bb1</x:v>
      </x:c>
      <x:c r="B1872" s="23" t="str">
        <x:v>JOHNNY HENRIQUE MARTINS CASSEMIRO</x:v>
      </x:c>
      <x:c r="C1872" s="23" t="str">
        <x:v>johnny henrique martins cassemiro</x:v>
      </x:c>
      <x:c r="D1872" s="22" t="str">
        <x:f>"60.589.349/0001-32"</x:f>
        <x:v>60.589.349/0001-32</x:v>
      </x:c>
      <x:c r="E1872" s="22" t="str">
        <x:f>"60589349000132"</x:f>
        <x:v>60589349000132</x:v>
      </x:c>
      <x:c r="F1872" s="22" t="str">
        <x:f>"701.161.266-12"</x:f>
        <x:v>701.161.266-12</x:v>
      </x:c>
      <x:c r="G1872" s="22" t="str">
        <x:f>"70116126612"</x:f>
        <x:v>70116126612</x:v>
      </x:c>
      <x:c r="H1872" s="23" t="str">
        <x:v>johnnyhenriquemc@gmail.com</x:v>
      </x:c>
      <x:c r="I1872" s="22" t="str">
        <x:f>"34996972283"</x:f>
        <x:v>34996972283</x:v>
      </x:c>
      <x:c r="J1872" s="23" t="str">
        <x:v>RENTAL</x:v>
      </x:c>
      <x:c r="K1872" s="23" t="str">
        <x:v>rental_company</x:v>
      </x:c>
      <x:c r="L1872" s="24" t="b">
        <x:v>1</x:v>
      </x:c>
      <x:c r="M1872" s="23" t="n">
        <x:v>1</x:v>
      </x:c>
      <x:c r="N1872" s="28" t="n">
        <x:v>46219.812988715275</x:v>
      </x:c>
      <x:c r="O1872" s="28" t="n">
        <x:v>46219.812988715275</x:v>
      </x:c>
      <x:c r="P1872" s="23" t="str">
        <x:v>UBERABA</x:v>
      </x:c>
      <x:c r="Q1872" s="30" t="n">
        <x:v>37874</x:v>
      </x:c>
      <x:c r="R1872" s="22" t="str">
        <x:f>"21356082"</x:f>
        <x:v>21356082</x:v>
      </x:c>
      <x:c r="S1872" s="23" t="str">
        <x:v>masculino</x:v>
      </x:c>
      <x:c r="T1872" s="22" t="str"/>
      <x:c r="U1872" s="23" t="str">
        <x:v>JOHNNY HENRIQUE MARTINS CASSEMIRO</x:v>
      </x:c>
      <x:c r="V1872" s="22" t="str">
        <x:f>"701.161.266-12"</x:f>
        <x:v>701.161.266-12</x:v>
      </x:c>
      <x:c r="W1872" s="22" t="str">
        <x:f>"70116126612"</x:f>
        <x:v>70116126612</x:v>
      </x:c>
      <x:c r="X1872" s="23" t="str">
        <x:v>johnnyhenriquemc@gmail.com</x:v>
      </x:c>
      <x:c r="Y1872" s="22" t="str">
        <x:f>"34996972283"</x:f>
        <x:v>34996972283</x:v>
      </x:c>
      <x:c r="Z1872" s="30" t="n">
        <x:v>46525</x:v>
      </x:c>
    </x:row>
    <x:row r="1873" ht="18" customHeight="1">
      <x:c r="A1873" s="22" t="str">
        <x:f>"6d75fd2b-f2f1-42aa-b59e-e2b5406f231a"</x:f>
        <x:v>6d75fd2b-f2f1-42aa-b59e-e2b5406f231a</x:v>
      </x:c>
      <x:c r="B1873" s="23" t="str">
        <x:v>JOHNNY LUIZ SANTOS DA CRUZ</x:v>
      </x:c>
      <x:c r="C1873" s="23" t="str">
        <x:v>johnny luiz santos da cruz</x:v>
      </x:c>
      <x:c r="D1873" s="22" t="str">
        <x:f>"63.043.831/0001-60"</x:f>
        <x:v>63.043.831/0001-60</x:v>
      </x:c>
      <x:c r="E1873" s="22" t="str">
        <x:f>"63043831000160"</x:f>
        <x:v>63043831000160</x:v>
      </x:c>
      <x:c r="F1873" s="22" t="str">
        <x:f>"129.489.137-56"</x:f>
        <x:v>129.489.137-56</x:v>
      </x:c>
      <x:c r="G1873" s="22" t="str">
        <x:f>"12948913756"</x:f>
        <x:v>12948913756</x:v>
      </x:c>
      <x:c r="H1873" s="23" t="str">
        <x:v>johnnyluiz63@gmail.com</x:v>
      </x:c>
      <x:c r="I1873" s="22" t="str">
        <x:f>"21966732877"</x:f>
        <x:v>21966732877</x:v>
      </x:c>
      <x:c r="J1873" s="23" t="str">
        <x:v>SPOT</x:v>
      </x:c>
      <x:c r="K1873" s="23" t="str">
        <x:v>favored_only</x:v>
      </x:c>
      <x:c r="L1873" s="24" t="b">
        <x:v>1</x:v>
      </x:c>
      <x:c r="M1873" s="23" t="n">
        <x:v>1</x:v>
      </x:c>
      <x:c r="N1873" s="28" t="n">
        <x:v>46219.812988715275</x:v>
      </x:c>
      <x:c r="O1873" s="28" t="n">
        <x:v>46219.812988715275</x:v>
      </x:c>
      <x:c r="P1873" s="23" t="str">
        <x:v>QUEIMADOS</x:v>
      </x:c>
      <x:c r="Q1873" s="30" t="n">
        <x:v>33029</x:v>
      </x:c>
      <x:c r="R1873" s="22" t="str">
        <x:f>"246287015"</x:f>
        <x:v>246287015</x:v>
      </x:c>
      <x:c r="S1873" s="23" t="str">
        <x:v>masculino</x:v>
      </x:c>
      <x:c r="T1873" s="22" t="str">
        <x:f>"PUW5341"</x:f>
        <x:v>PUW5341</x:v>
      </x:c>
      <x:c r="U1873" s="23" t="str">
        <x:v>JOHNNY LUIZ SANTOS DA CRUZ</x:v>
      </x:c>
      <x:c r="V1873" s="22" t="str">
        <x:f>"129.489.137-56"</x:f>
        <x:v>129.489.137-56</x:v>
      </x:c>
      <x:c r="W1873" s="22" t="str">
        <x:f>"12948913756"</x:f>
        <x:v>12948913756</x:v>
      </x:c>
      <x:c r="X1873" s="23" t="str">
        <x:v>johnnyluiz63@gmail.com</x:v>
      </x:c>
      <x:c r="Y1873" s="22" t="str">
        <x:f>"21966732877"</x:f>
        <x:v>21966732877</x:v>
      </x:c>
      <x:c r="Z1873" s="30" t="n">
        <x:v>46549</x:v>
      </x:c>
    </x:row>
    <x:row r="1874" ht="18" customHeight="1">
      <x:c r="A1874" s="22" t="str">
        <x:f>"bacff993-c4e6-47df-bb40-ecab296df1c8"</x:f>
        <x:v>bacff993-c4e6-47df-bb40-ecab296df1c8</x:v>
      </x:c>
      <x:c r="B1874" s="23" t="str">
        <x:v>JOHNNY MENDES COIMBRA</x:v>
      </x:c>
      <x:c r="C1874" s="23" t="str">
        <x:v>johnny mendes coimbra</x:v>
      </x:c>
      <x:c r="D1874" s="22" t="str">
        <x:f>"52.325.556/0001-51"</x:f>
        <x:v>52.325.556/0001-51</x:v>
      </x:c>
      <x:c r="E1874" s="22" t="str">
        <x:f>"52325556000151"</x:f>
        <x:v>52325556000151</x:v>
      </x:c>
      <x:c r="F1874" s="22" t="str">
        <x:f>"076.285.926-19"</x:f>
        <x:v>076.285.926-19</x:v>
      </x:c>
      <x:c r="G1874" s="22" t="str">
        <x:f>"07628592619"</x:f>
        <x:v>07628592619</x:v>
      </x:c>
      <x:c r="H1874" s="23" t="str">
        <x:v>Johnnymendescoimbra123@gmail.com</x:v>
      </x:c>
      <x:c r="I1874" s="22" t="str">
        <x:f>"34988050565"</x:f>
        <x:v>34988050565</x:v>
      </x:c>
      <x:c r="J1874" s="23" t="str">
        <x:v>RENTAL</x:v>
      </x:c>
      <x:c r="K1874" s="23" t="str">
        <x:v>rental_company</x:v>
      </x:c>
      <x:c r="L1874" s="24" t="b">
        <x:v>1</x:v>
      </x:c>
      <x:c r="M1874" s="23" t="n">
        <x:v>1</x:v>
      </x:c>
      <x:c r="N1874" s="28" t="n">
        <x:v>46219.812988715275</x:v>
      </x:c>
      <x:c r="O1874" s="28" t="n">
        <x:v>46219.812988715275</x:v>
      </x:c>
      <x:c r="P1874" s="23" t="str">
        <x:v>UBERABA</x:v>
      </x:c>
      <x:c r="Q1874" s="30" t="n">
        <x:v>31214</x:v>
      </x:c>
      <x:c r="R1874" s="22" t="str">
        <x:f>"13505036"</x:f>
        <x:v>13505036</x:v>
      </x:c>
      <x:c r="S1874" s="23" t="str">
        <x:v>masculino</x:v>
      </x:c>
      <x:c r="T1874" s="22" t="str"/>
      <x:c r="U1874" s="23" t="str">
        <x:v>JOHNNY MENDES COIMBRA</x:v>
      </x:c>
      <x:c r="V1874" s="22" t="str">
        <x:f>"076.285.926-19"</x:f>
        <x:v>076.285.926-19</x:v>
      </x:c>
      <x:c r="W1874" s="22" t="str">
        <x:f>"07628592619"</x:f>
        <x:v>07628592619</x:v>
      </x:c>
      <x:c r="X1874" s="23" t="str">
        <x:v>Johnnymendescoimbra123@gmail.com</x:v>
      </x:c>
      <x:c r="Y1874" s="22" t="str">
        <x:f>"34988050565"</x:f>
        <x:v>34988050565</x:v>
      </x:c>
      <x:c r="Z1874" s="30" t="n">
        <x:v>46575</x:v>
      </x:c>
    </x:row>
    <x:row r="1875" ht="18" customHeight="1">
      <x:c r="A1875" s="22" t="str">
        <x:f>"82736a0d-77ef-46de-a54f-7d62f609c304"</x:f>
        <x:v>82736a0d-77ef-46de-a54f-7d62f609c304</x:v>
      </x:c>
      <x:c r="B1875" s="23" t="str">
        <x:v>JOHN VICTOR DIAS DE FREITAS</x:v>
      </x:c>
      <x:c r="C1875" s="23" t="str">
        <x:v>john victor dias de freitas</x:v>
      </x:c>
      <x:c r="D1875" s="22" t="str">
        <x:f>"50.081.117/0001-15"</x:f>
        <x:v>50.081.117/0001-15</x:v>
      </x:c>
      <x:c r="E1875" s="22" t="str">
        <x:f>"50081117000115"</x:f>
        <x:v>50081117000115</x:v>
      </x:c>
      <x:c r="F1875" s="22" t="str">
        <x:f>"158.192.446-13"</x:f>
        <x:v>158.192.446-13</x:v>
      </x:c>
      <x:c r="G1875" s="22" t="str">
        <x:f>"15819244613"</x:f>
        <x:v>15819244613</x:v>
      </x:c>
      <x:c r="H1875" s="23" t="str">
        <x:v>johndias190899@gmail.com</x:v>
      </x:c>
      <x:c r="I1875" s="22" t="str">
        <x:f>"31996001243"</x:f>
        <x:v>31996001243</x:v>
      </x:c>
      <x:c r="J1875" s="23" t="str">
        <x:v>RENTAL</x:v>
      </x:c>
      <x:c r="K1875" s="23" t="str">
        <x:v>rental_company</x:v>
      </x:c>
      <x:c r="L1875" s="24" t="b">
        <x:v>1</x:v>
      </x:c>
      <x:c r="M1875" s="23" t="n">
        <x:v>1</x:v>
      </x:c>
      <x:c r="N1875" s="28" t="n">
        <x:v>46203.921858726855</x:v>
      </x:c>
      <x:c r="O1875" s="28" t="n">
        <x:v>46219.812988715275</x:v>
      </x:c>
      <x:c r="P1875" s="23" t="str">
        <x:v>CONTAGEM</x:v>
      </x:c>
      <x:c r="Q1875" s="30" t="n">
        <x:v>36391</x:v>
      </x:c>
      <x:c r="R1875" s="22" t="str">
        <x:f>"19523910"</x:f>
        <x:v>19523910</x:v>
      </x:c>
      <x:c r="S1875" s="23" t="str">
        <x:v>masculino</x:v>
      </x:c>
      <x:c r="T1875" s="22" t="str"/>
      <x:c r="U1875" s="23" t="str">
        <x:v>JOHN VICTOR DIAS DE FREITAS</x:v>
      </x:c>
      <x:c r="V1875" s="22" t="str">
        <x:f>"158.192.446-13"</x:f>
        <x:v>158.192.446-13</x:v>
      </x:c>
      <x:c r="W1875" s="22" t="str">
        <x:f>"15819244613"</x:f>
        <x:v>15819244613</x:v>
      </x:c>
      <x:c r="X1875" s="23" t="str">
        <x:v>johndias190899@gmail.com</x:v>
      </x:c>
      <x:c r="Y1875" s="22" t="str">
        <x:f>"31996001243"</x:f>
        <x:v>31996001243</x:v>
      </x:c>
      <x:c r="Z1875" s="30" t="n">
        <x:v>46256</x:v>
      </x:c>
    </x:row>
    <x:row r="1876" ht="18" customHeight="1">
      <x:c r="A1876" s="22" t="str">
        <x:f>"0cfe9761-3af5-4587-8373-36d19ad06d16"</x:f>
        <x:v>0cfe9761-3af5-4587-8373-36d19ad06d16</x:v>
      </x:c>
      <x:c r="B1876" s="23" t="str">
        <x:v>JOHNY PALMIERI FRANCISCO</x:v>
      </x:c>
      <x:c r="C1876" s="23" t="str">
        <x:v>johny palmieri francisco</x:v>
      </x:c>
      <x:c r="D1876" s="22" t="str">
        <x:f>"48.992.544/0001-03"</x:f>
        <x:v>48.992.544/0001-03</x:v>
      </x:c>
      <x:c r="E1876" s="22" t="str">
        <x:f>"48992544000103"</x:f>
        <x:v>48992544000103</x:v>
      </x:c>
      <x:c r="F1876" s="22" t="str">
        <x:f>"122.409.006-36"</x:f>
        <x:v>122.409.006-36</x:v>
      </x:c>
      <x:c r="G1876" s="22" t="str">
        <x:f>"12240900636"</x:f>
        <x:v>12240900636</x:v>
      </x:c>
      <x:c r="H1876" s="23" t="str">
        <x:v>Johnypalmieri@gmail.com</x:v>
      </x:c>
      <x:c r="I1876" s="22" t="str">
        <x:f>"(35)99871-2011"</x:f>
        <x:v>(35)99871-2011</x:v>
      </x:c>
      <x:c r="J1876" s="23" t="str">
        <x:v>SPOT</x:v>
      </x:c>
      <x:c r="K1876" s="23" t="str">
        <x:v>favored_only</x:v>
      </x:c>
      <x:c r="L1876" s="24" t="b">
        <x:v>1</x:v>
      </x:c>
      <x:c r="M1876" s="23" t="n">
        <x:v>1</x:v>
      </x:c>
      <x:c r="N1876" s="28" t="n">
        <x:v>46203.92186462963</x:v>
      </x:c>
      <x:c r="O1876" s="28" t="n">
        <x:v>46219.812988715275</x:v>
      </x:c>
      <x:c r="P1876" s="23" t="str">
        <x:v>POUSO ALEGRE</x:v>
      </x:c>
      <x:c r="Q1876" s="30" t="n">
        <x:v>34874</x:v>
      </x:c>
      <x:c r="R1876" s="22" t="str">
        <x:f>"MG19672209 SSP MG"</x:f>
        <x:v>MG19672209 SSP MG</x:v>
      </x:c>
      <x:c r="S1876" s="23" t="str">
        <x:v>masculino</x:v>
      </x:c>
      <x:c r="T1876" s="22" t="str">
        <x:f>"DRU3I04"</x:f>
        <x:v>DRU3I04</x:v>
      </x:c>
      <x:c r="U1876" s="23" t="str">
        <x:v>JOHNY PALMIERI FRANCISCO</x:v>
      </x:c>
      <x:c r="V1876" s="22" t="str">
        <x:f>"122.409.006-36"</x:f>
        <x:v>122.409.006-36</x:v>
      </x:c>
      <x:c r="W1876" s="22" t="str">
        <x:f>"12240900636"</x:f>
        <x:v>12240900636</x:v>
      </x:c>
      <x:c r="X1876" s="23" t="str">
        <x:v>Johnypalmieri@gmail.com</x:v>
      </x:c>
      <x:c r="Y1876" s="22" t="str">
        <x:f>"(35)99871-2011"</x:f>
        <x:v>(35)99871-2011</x:v>
      </x:c>
      <x:c r="Z1876" s="30" t="n">
        <x:v>46282</x:v>
      </x:c>
    </x:row>
    <x:row r="1877" ht="18" customHeight="1">
      <x:c r="A1877" s="22" t="str">
        <x:f>"3a1bc771-3184-47fa-912b-1af7057e9816"</x:f>
        <x:v>3a1bc771-3184-47fa-912b-1af7057e9816</x:v>
      </x:c>
      <x:c r="B1877" s="23" t="str">
        <x:v>JOICE FERREIRA LORITO</x:v>
      </x:c>
      <x:c r="C1877" s="23" t="str">
        <x:v>joice ferreira lorito</x:v>
      </x:c>
      <x:c r="D1877" s="22" t="str">
        <x:f>"39.752.197/0001-50"</x:f>
        <x:v>39.752.197/0001-50</x:v>
      </x:c>
      <x:c r="E1877" s="22" t="str">
        <x:f>"39752197000150"</x:f>
        <x:v>39752197000150</x:v>
      </x:c>
      <x:c r="F1877" s="22" t="str">
        <x:f>"107.185.817-33"</x:f>
        <x:v>107.185.817-33</x:v>
      </x:c>
      <x:c r="G1877" s="22" t="str">
        <x:f>"10718581733"</x:f>
        <x:v>10718581733</x:v>
      </x:c>
      <x:c r="H1877" s="23" t="str">
        <x:v>joicelorito2024@hotmail.com</x:v>
      </x:c>
      <x:c r="I1877" s="22" t="str">
        <x:f>"21996689114"</x:f>
        <x:v>21996689114</x:v>
      </x:c>
      <x:c r="J1877" s="23" t="str">
        <x:v>SPOT</x:v>
      </x:c>
      <x:c r="K1877" s="23" t="str">
        <x:v>favored_only</x:v>
      </x:c>
      <x:c r="L1877" s="24" t="b">
        <x:v>1</x:v>
      </x:c>
      <x:c r="M1877" s="23" t="n">
        <x:v>1</x:v>
      </x:c>
      <x:c r="N1877" s="28" t="n">
        <x:v>46219.812988715275</x:v>
      </x:c>
      <x:c r="O1877" s="28" t="n">
        <x:v>46219.812988715275</x:v>
      </x:c>
      <x:c r="P1877" s="23" t="str">
        <x:v>CAMPO GRANDE</x:v>
      </x:c>
      <x:c r="Q1877" s="30" t="n">
        <x:v>30619</x:v>
      </x:c>
      <x:c r="R1877" s="22" t="str">
        <x:f>"209281013"</x:f>
        <x:v>209281013</x:v>
      </x:c>
      <x:c r="S1877" s="23" t="str">
        <x:v>feminino</x:v>
      </x:c>
      <x:c r="T1877" s="22" t="str">
        <x:f>"KNW2566"</x:f>
        <x:v>KNW2566</x:v>
      </x:c>
      <x:c r="U1877" s="23" t="str">
        <x:v>JOICE FERREIRA LORITO</x:v>
      </x:c>
      <x:c r="V1877" s="22" t="str">
        <x:f>"107.185.817-33"</x:f>
        <x:v>107.185.817-33</x:v>
      </x:c>
      <x:c r="W1877" s="22" t="str">
        <x:f>"10718581733"</x:f>
        <x:v>10718581733</x:v>
      </x:c>
      <x:c r="X1877" s="23" t="str">
        <x:v>joicelorito2024@hotmail.com</x:v>
      </x:c>
      <x:c r="Y1877" s="22" t="str">
        <x:f>"21996689114"</x:f>
        <x:v>21996689114</x:v>
      </x:c>
      <x:c r="Z1877" s="30" t="n">
        <x:v>46514</x:v>
      </x:c>
    </x:row>
    <x:row r="1878" ht="18" customHeight="1">
      <x:c r="A1878" s="22" t="str">
        <x:f>"676134ab-d8ee-465a-8bfe-bae8b853d0fb"</x:f>
        <x:v>676134ab-d8ee-465a-8bfe-bae8b853d0fb</x:v>
      </x:c>
      <x:c r="B1878" s="23" t="str">
        <x:v>JOILTON COSTA DA SILVA</x:v>
      </x:c>
      <x:c r="C1878" s="23" t="str">
        <x:v>joilton costa da silva</x:v>
      </x:c>
      <x:c r="D1878" s="22" t="str">
        <x:f>"54.674.698/0001-50"</x:f>
        <x:v>54.674.698/0001-50</x:v>
      </x:c>
      <x:c r="E1878" s="22" t="str">
        <x:f>"54674698000150"</x:f>
        <x:v>54674698000150</x:v>
      </x:c>
      <x:c r="F1878" s="22" t="str">
        <x:f>"056.001.961-05"</x:f>
        <x:v>056.001.961-05</x:v>
      </x:c>
      <x:c r="G1878" s="22" t="str">
        <x:f>"05600196105"</x:f>
        <x:v>05600196105</x:v>
      </x:c>
      <x:c r="H1878" s="23" t="str">
        <x:v>evandrotransportes1098@gmail.com</x:v>
      </x:c>
      <x:c r="I1878" s="22" t="str">
        <x:f>"65992188094"</x:f>
        <x:v>65992188094</x:v>
      </x:c>
      <x:c r="J1878" s="23" t="str">
        <x:v>SPOT</x:v>
      </x:c>
      <x:c r="K1878" s="23" t="str">
        <x:v>favored_only</x:v>
      </x:c>
      <x:c r="L1878" s="24" t="b">
        <x:v>1</x:v>
      </x:c>
      <x:c r="M1878" s="23" t="n">
        <x:v>1</x:v>
      </x:c>
      <x:c r="N1878" s="28" t="n">
        <x:v>46205.60460866898</x:v>
      </x:c>
      <x:c r="O1878" s="28" t="n">
        <x:v>46219.812988715275</x:v>
      </x:c>
      <x:c r="P1878" s="23" t="str">
        <x:v>CÁCERES</x:v>
      </x:c>
      <x:c r="Q1878" s="30" t="n">
        <x:v>34553</x:v>
      </x:c>
      <x:c r="R1878" s="22" t="str">
        <x:f>"21256063"</x:f>
        <x:v>21256063</x:v>
      </x:c>
      <x:c r="S1878" s="23" t="str">
        <x:v>masculino</x:v>
      </x:c>
      <x:c r="T1878" s="22" t="str">
        <x:f>"AXR7H38"</x:f>
        <x:v>AXR7H38</x:v>
      </x:c>
      <x:c r="U1878" s="23" t="str">
        <x:v>ROBERTO PEREIRA ALVES</x:v>
      </x:c>
      <x:c r="V1878" s="22" t="str">
        <x:f>"010.465.661-13"</x:f>
        <x:v>010.465.661-13</x:v>
      </x:c>
      <x:c r="W1878" s="22" t="str">
        <x:f>"01046566113"</x:f>
        <x:v>01046566113</x:v>
      </x:c>
      <x:c r="X1878" s="23" t="str">
        <x:v>pereiraalvesroberto5@gmail.com</x:v>
      </x:c>
      <x:c r="Y1878" s="22" t="str">
        <x:f>"65996614928"</x:f>
        <x:v>65996614928</x:v>
      </x:c>
      <x:c r="Z1878" s="30" t="n">
        <x:v>46284</x:v>
      </x:c>
    </x:row>
    <x:row r="1879" ht="18" customHeight="1">
      <x:c r="A1879" s="22" t="str">
        <x:f>"22f5282c-d9a4-4260-9727-ef834d849717"</x:f>
        <x:v>22f5282c-d9a4-4260-9727-ef834d849717</x:v>
      </x:c>
      <x:c r="B1879" s="23" t="str">
        <x:v>JONAS AMORIM OLIVEIRA</x:v>
      </x:c>
      <x:c r="C1879" s="23" t="str">
        <x:v>jonas amorim oliveira</x:v>
      </x:c>
      <x:c r="D1879" s="22" t="str">
        <x:f>"50.073.217/0001-08"</x:f>
        <x:v>50.073.217/0001-08</x:v>
      </x:c>
      <x:c r="E1879" s="22" t="str">
        <x:f>"50073217000108"</x:f>
        <x:v>50073217000108</x:v>
      </x:c>
      <x:c r="F1879" s="22" t="str">
        <x:f>"056.980.391-86"</x:f>
        <x:v>056.980.391-86</x:v>
      </x:c>
      <x:c r="G1879" s="22" t="str">
        <x:f>"05698039186"</x:f>
        <x:v>05698039186</x:v>
      </x:c>
      <x:c r="H1879" s="23" t="str">
        <x:v>evandrotransporte158@gmail.com</x:v>
      </x:c>
      <x:c r="I1879" s="22" t="str">
        <x:f>"65992188094"</x:f>
        <x:v>65992188094</x:v>
      </x:c>
      <x:c r="J1879" s="23" t="str">
        <x:v>SPOT</x:v>
      </x:c>
      <x:c r="K1879" s="23" t="str">
        <x:v>favored_only</x:v>
      </x:c>
      <x:c r="L1879" s="24" t="b">
        <x:v>1</x:v>
      </x:c>
      <x:c r="M1879" s="23" t="n">
        <x:v>1</x:v>
      </x:c>
      <x:c r="N1879" s="28" t="n">
        <x:v>46205.60402938657</x:v>
      </x:c>
      <x:c r="O1879" s="28" t="n">
        <x:v>46219.812988715275</x:v>
      </x:c>
      <x:c r="P1879" s="23" t="str">
        <x:v>CÁCERES</x:v>
      </x:c>
      <x:c r="Q1879" s="30" t="n">
        <x:v>36346</x:v>
      </x:c>
      <x:c r="R1879" s="22" t="str">
        <x:f>"28669991"</x:f>
        <x:v>28669991</x:v>
      </x:c>
      <x:c r="S1879" s="23" t="str">
        <x:v>masculino</x:v>
      </x:c>
      <x:c r="T1879" s="22" t="str">
        <x:f>"AXR7H38"</x:f>
        <x:v>AXR7H38</x:v>
      </x:c>
      <x:c r="U1879" s="23" t="str">
        <x:v>EVANDRO OLIVEIRA LOURENCO</x:v>
      </x:c>
      <x:c r="V1879" s="22" t="str">
        <x:f>"012.957.851-70"</x:f>
        <x:v>012.957.851-70</x:v>
      </x:c>
      <x:c r="W1879" s="22" t="str">
        <x:f>"01295785170"</x:f>
        <x:v>01295785170</x:v>
      </x:c>
      <x:c r="X1879" s="23" t="str">
        <x:v>evandrotransporte158@gmail.com</x:v>
      </x:c>
      <x:c r="Y1879" s="22" t="str">
        <x:f>"65-99218-8094"</x:f>
        <x:v>65-99218-8094</x:v>
      </x:c>
      <x:c r="Z1879" s="30" t="n">
        <x:v>46254</x:v>
      </x:c>
    </x:row>
    <x:row r="1880" ht="18" customHeight="1">
      <x:c r="A1880" s="22" t="str">
        <x:f>"880232af-213e-4892-99b4-b9fb5b47196a"</x:f>
        <x:v>880232af-213e-4892-99b4-b9fb5b47196a</x:v>
      </x:c>
      <x:c r="B1880" s="23" t="str">
        <x:v>JONAS ARAUJO LINS DA SILVA</x:v>
      </x:c>
      <x:c r="C1880" s="23" t="str">
        <x:v>jonas araujo lins da silva</x:v>
      </x:c>
      <x:c r="D1880" s="22" t="str">
        <x:f>"45.933.916/0001-32"</x:f>
        <x:v>45.933.916/0001-32</x:v>
      </x:c>
      <x:c r="E1880" s="22" t="str">
        <x:f>"45933916000132"</x:f>
        <x:v>45933916000132</x:v>
      </x:c>
      <x:c r="F1880" s="22" t="str">
        <x:f>"464.330.808-71"</x:f>
        <x:v>464.330.808-71</x:v>
      </x:c>
      <x:c r="G1880" s="22" t="str">
        <x:f>"46433080871"</x:f>
        <x:v>46433080871</x:v>
      </x:c>
      <x:c r="H1880" s="23" t="str">
        <x:v>linsjonas2901@gmail.com</x:v>
      </x:c>
      <x:c r="I1880" s="22" t="str">
        <x:f>"(11) 94179-0322"</x:f>
        <x:v>(11) 94179-0322</x:v>
      </x:c>
      <x:c r="J1880" s="23" t="str">
        <x:v>RENTAL</x:v>
      </x:c>
      <x:c r="K1880" s="23" t="str">
        <x:v>rental_company</x:v>
      </x:c>
      <x:c r="L1880" s="24" t="b">
        <x:v>1</x:v>
      </x:c>
      <x:c r="M1880" s="23" t="n">
        <x:v>1</x:v>
      </x:c>
      <x:c r="N1880" s="28" t="n">
        <x:v>46203.921858726855</x:v>
      </x:c>
      <x:c r="O1880" s="28" t="n">
        <x:v>46219.812988715275</x:v>
      </x:c>
      <x:c r="P1880" s="23" t="str">
        <x:v>BARUERI</x:v>
      </x:c>
      <x:c r="Q1880" s="30" t="n">
        <x:v>35825</x:v>
      </x:c>
      <x:c r="R1880" s="22" t="str">
        <x:f>"386297939"</x:f>
        <x:v>386297939</x:v>
      </x:c>
      <x:c r="S1880" s="23" t="str">
        <x:v>masculino</x:v>
      </x:c>
      <x:c r="T1880" s="22" t="str"/>
      <x:c r="U1880" s="23" t="str">
        <x:v>JONAS ARAUJO LINS DA SILVA</x:v>
      </x:c>
      <x:c r="V1880" s="22" t="str">
        <x:f>"464.330.808-71"</x:f>
        <x:v>464.330.808-71</x:v>
      </x:c>
      <x:c r="W1880" s="22" t="str">
        <x:f>"46433080871"</x:f>
        <x:v>46433080871</x:v>
      </x:c>
      <x:c r="X1880" s="23" t="str">
        <x:v>linsjonas2901@gmail.com</x:v>
      </x:c>
      <x:c r="Y1880" s="22" t="str">
        <x:f>"(11) 94179-0322"</x:f>
        <x:v>(11) 94179-0322</x:v>
      </x:c>
      <x:c r="Z1880" s="30" t="n">
        <x:v>46259</x:v>
      </x:c>
    </x:row>
    <x:row r="1881" ht="18" customHeight="1">
      <x:c r="A1881" s="22" t="str">
        <x:f>"c32536fe-a532-452d-9fdb-b5a3089be4e3"</x:f>
        <x:v>c32536fe-a532-452d-9fdb-b5a3089be4e3</x:v>
      </x:c>
      <x:c r="B1881" s="23" t="str">
        <x:v>JONAS ERICK SILVA DOS SANTOS</x:v>
      </x:c>
      <x:c r="C1881" s="23" t="str">
        <x:v>jonas erick silva dos santos</x:v>
      </x:c>
      <x:c r="D1881" s="22" t="str">
        <x:f>"66.361.920/0001-43"</x:f>
        <x:v>66.361.920/0001-43</x:v>
      </x:c>
      <x:c r="E1881" s="22" t="str">
        <x:f>"66361920000143"</x:f>
        <x:v>66361920000143</x:v>
      </x:c>
      <x:c r="F1881" s="22" t="str">
        <x:f>"172.057.247-08"</x:f>
        <x:v>172.057.247-08</x:v>
      </x:c>
      <x:c r="G1881" s="22" t="str">
        <x:f>"17205724708"</x:f>
        <x:v>17205724708</x:v>
      </x:c>
      <x:c r="H1881" s="23" t="str">
        <x:v>jonassilva335.jss50@gmail.com</x:v>
      </x:c>
      <x:c r="I1881" s="22" t="str">
        <x:f>"21 97224-4533"</x:f>
        <x:v>21 97224-4533</x:v>
      </x:c>
      <x:c r="J1881" s="23" t="str">
        <x:v>SPOT</x:v>
      </x:c>
      <x:c r="K1881" s="23" t="str">
        <x:v>favored_only</x:v>
      </x:c>
      <x:c r="L1881" s="24" t="b">
        <x:v>1</x:v>
      </x:c>
      <x:c r="M1881" s="23" t="n">
        <x:v>1</x:v>
      </x:c>
      <x:c r="N1881" s="28" t="n">
        <x:v>46219.812988715275</x:v>
      </x:c>
      <x:c r="O1881" s="28" t="n">
        <x:v>46219.812988715275</x:v>
      </x:c>
      <x:c r="P1881" s="23" t="str">
        <x:v>ITABORAI</x:v>
      </x:c>
      <x:c r="Q1881" s="30" t="n">
        <x:v>35024</x:v>
      </x:c>
      <x:c r="R1881" s="22" t="str">
        <x:f>"295018923"</x:f>
        <x:v>295018923</x:v>
      </x:c>
      <x:c r="S1881" s="23" t="str">
        <x:v>masculino</x:v>
      </x:c>
      <x:c r="T1881" s="22" t="str">
        <x:f>"TDC4I83"</x:f>
        <x:v>TDC4I83</x:v>
      </x:c>
      <x:c r="U1881" s="23" t="str">
        <x:v>JONAS ERICK SILVA DOS SANTOS</x:v>
      </x:c>
      <x:c r="V1881" s="22" t="str">
        <x:f>"172.057.247-08"</x:f>
        <x:v>172.057.247-08</x:v>
      </x:c>
      <x:c r="W1881" s="22" t="str">
        <x:f>"17205724708"</x:f>
        <x:v>17205724708</x:v>
      </x:c>
      <x:c r="X1881" s="23" t="str">
        <x:v>jonassilva335.jss50@gmail.com</x:v>
      </x:c>
      <x:c r="Y1881" s="22" t="str">
        <x:f>"21 97224-4533"</x:f>
        <x:v>21 97224-4533</x:v>
      </x:c>
      <x:c r="Z1881" s="30" t="n">
        <x:v>46498</x:v>
      </x:c>
    </x:row>
    <x:row r="1882" ht="18" customHeight="1">
      <x:c r="A1882" s="22" t="str">
        <x:f>"64b3aea5-8598-4493-8bea-dcab00ebbb0a"</x:f>
        <x:v>64b3aea5-8598-4493-8bea-dcab00ebbb0a</x:v>
      </x:c>
      <x:c r="B1882" s="23" t="str">
        <x:v>JONAS LUCAS TOLEDO DA SILVA</x:v>
      </x:c>
      <x:c r="C1882" s="23" t="str">
        <x:v>jonas lucas toledo da silva</x:v>
      </x:c>
      <x:c r="D1882" s="22" t="str">
        <x:f>"17.574.030/0001-04"</x:f>
        <x:v>17.574.030/0001-04</x:v>
      </x:c>
      <x:c r="E1882" s="22" t="str">
        <x:f>"17574030000104"</x:f>
        <x:v>17574030000104</x:v>
      </x:c>
      <x:c r="F1882" s="22" t="str">
        <x:f>"091.516.586-40"</x:f>
        <x:v>091.516.586-40</x:v>
      </x:c>
      <x:c r="G1882" s="22" t="str">
        <x:f>"09151658640"</x:f>
        <x:v>09151658640</x:v>
      </x:c>
      <x:c r="H1882" s="23" t="str">
        <x:v>Jlts22j@gmail.com</x:v>
      </x:c>
      <x:c r="I1882" s="22" t="str">
        <x:f>"31987648139"</x:f>
        <x:v>31987648139</x:v>
      </x:c>
      <x:c r="J1882" s="23" t="str">
        <x:v>RENTAL</x:v>
      </x:c>
      <x:c r="K1882" s="23" t="str">
        <x:v>rental_company</x:v>
      </x:c>
      <x:c r="L1882" s="24" t="b">
        <x:v>1</x:v>
      </x:c>
      <x:c r="M1882" s="23" t="n">
        <x:v>1</x:v>
      </x:c>
      <x:c r="N1882" s="28" t="n">
        <x:v>46219.812988715275</x:v>
      </x:c>
      <x:c r="O1882" s="28" t="n">
        <x:v>46219.812988715275</x:v>
      </x:c>
      <x:c r="P1882" s="23" t="str">
        <x:v>CONTAGEM</x:v>
      </x:c>
      <x:c r="Q1882" s="30" t="n">
        <x:v>32204</x:v>
      </x:c>
      <x:c r="R1882" s="22" t="str">
        <x:f>"13562855"</x:f>
        <x:v>13562855</x:v>
      </x:c>
      <x:c r="S1882" s="23" t="str">
        <x:v>masculino</x:v>
      </x:c>
      <x:c r="T1882" s="22" t="str"/>
      <x:c r="U1882" s="23" t="str">
        <x:v>JONAS LUCAS TOLEDO DA SILVA</x:v>
      </x:c>
      <x:c r="V1882" s="22" t="str">
        <x:f>"091.516.586-40"</x:f>
        <x:v>091.516.586-40</x:v>
      </x:c>
      <x:c r="W1882" s="22" t="str">
        <x:f>"09151658640"</x:f>
        <x:v>09151658640</x:v>
      </x:c>
      <x:c r="X1882" s="23" t="str">
        <x:v>Jlts22j@gmail.com</x:v>
      </x:c>
      <x:c r="Y1882" s="22" t="str">
        <x:f>"31987648139"</x:f>
        <x:v>31987648139</x:v>
      </x:c>
      <x:c r="Z1882" s="30" t="n">
        <x:v>46498</x:v>
      </x:c>
    </x:row>
    <x:row r="1883" ht="18" customHeight="1">
      <x:c r="A1883" s="22" t="str">
        <x:f>"923c92d1-3bc2-4049-8b75-edc919f4b352"</x:f>
        <x:v>923c92d1-3bc2-4049-8b75-edc919f4b352</x:v>
      </x:c>
      <x:c r="B1883" s="23" t="str">
        <x:v>JONAS VAILSON NUNES PAULINO</x:v>
      </x:c>
      <x:c r="C1883" s="23" t="str">
        <x:v>jonas vailson nunes paulino</x:v>
      </x:c>
      <x:c r="D1883" s="22" t="str">
        <x:f>"62.201.288/0001-10"</x:f>
        <x:v>62.201.288/0001-10</x:v>
      </x:c>
      <x:c r="E1883" s="22" t="str">
        <x:f>"62201288000110"</x:f>
        <x:v>62201288000110</x:v>
      </x:c>
      <x:c r="F1883" s="22" t="str">
        <x:f>"115.105.848-38"</x:f>
        <x:v>115.105.848-38</x:v>
      </x:c>
      <x:c r="G1883" s="22" t="str">
        <x:f>"11510584838"</x:f>
        <x:v>11510584838</x:v>
      </x:c>
      <x:c r="H1883" s="23" t="str">
        <x:v>jvpaulino@hotmail.com</x:v>
      </x:c>
      <x:c r="I1883" s="22" t="str">
        <x:f>"35997493761"</x:f>
        <x:v>35997493761</x:v>
      </x:c>
      <x:c r="J1883" s="23" t="str">
        <x:v>SPOT</x:v>
      </x:c>
      <x:c r="K1883" s="23" t="str">
        <x:v>favored_only</x:v>
      </x:c>
      <x:c r="L1883" s="24" t="b">
        <x:v>1</x:v>
      </x:c>
      <x:c r="M1883" s="23" t="n">
        <x:v>1</x:v>
      </x:c>
      <x:c r="N1883" s="28" t="n">
        <x:v>46203.921852962965</x:v>
      </x:c>
      <x:c r="O1883" s="28" t="n">
        <x:v>46219.812988715275</x:v>
      </x:c>
      <x:c r="P1883" s="23" t="str">
        <x:v>POUSO ALEGRE</x:v>
      </x:c>
      <x:c r="Q1883" s="30" t="n">
        <x:v>26346</x:v>
      </x:c>
      <x:c r="R1883" s="22" t="str">
        <x:f>"22343614"</x:f>
        <x:v>22343614</x:v>
      </x:c>
      <x:c r="S1883" s="23" t="str">
        <x:v>masculino</x:v>
      </x:c>
      <x:c r="T1883" s="22" t="str"/>
      <x:c r="U1883" s="23" t="str">
        <x:v>JONAS VAILSON NUNES PAULINO</x:v>
      </x:c>
      <x:c r="V1883" s="22" t="str">
        <x:f>"115.105.848-38"</x:f>
        <x:v>115.105.848-38</x:v>
      </x:c>
      <x:c r="W1883" s="22" t="str">
        <x:f>"11510584838"</x:f>
        <x:v>11510584838</x:v>
      </x:c>
      <x:c r="X1883" s="23" t="str">
        <x:v>jvpaulino@hotmail.com</x:v>
      </x:c>
      <x:c r="Y1883" s="22" t="str">
        <x:f>"35997493761"</x:f>
        <x:v>35997493761</x:v>
      </x:c>
      <x:c r="Z1883" s="30" t="n">
        <x:v>46248</x:v>
      </x:c>
    </x:row>
    <x:row r="1884" ht="18" customHeight="1">
      <x:c r="A1884" s="22" t="str">
        <x:f>"8bfa9c1d-a924-478c-825e-dc5dd88c1a1c"</x:f>
        <x:v>8bfa9c1d-a924-478c-825e-dc5dd88c1a1c</x:v>
      </x:c>
      <x:c r="B1884" s="23" t="str">
        <x:v>JONATAN LOREILHE DE OLIVEIRA</x:v>
      </x:c>
      <x:c r="C1884" s="23" t="str">
        <x:v>jonatan loreilhe de oliveira</x:v>
      </x:c>
      <x:c r="D1884" s="22" t="str">
        <x:f>"58.621.584/0001-00"</x:f>
        <x:v>58.621.584/0001-00</x:v>
      </x:c>
      <x:c r="E1884" s="22" t="str">
        <x:f>"58621584000100"</x:f>
        <x:v>58621584000100</x:v>
      </x:c>
      <x:c r="F1884" s="22" t="str">
        <x:f>"398.424.358-81"</x:f>
        <x:v>398.424.358-81</x:v>
      </x:c>
      <x:c r="G1884" s="22" t="str">
        <x:f>"39842435881"</x:f>
        <x:v>39842435881</x:v>
      </x:c>
      <x:c r="H1884" s="23" t="str">
        <x:v>jonatanloreilhe20@gmail.com</x:v>
      </x:c>
      <x:c r="I1884" s="22" t="str">
        <x:f>"17 99138-4663"</x:f>
        <x:v>17 99138-4663</x:v>
      </x:c>
      <x:c r="J1884" s="23" t="str">
        <x:v>SPOT</x:v>
      </x:c>
      <x:c r="K1884" s="23" t="str">
        <x:v>favored_only</x:v>
      </x:c>
      <x:c r="L1884" s="24" t="b">
        <x:v>1</x:v>
      </x:c>
      <x:c r="M1884" s="23" t="n">
        <x:v>1</x:v>
      </x:c>
      <x:c r="N1884" s="28" t="n">
        <x:v>46219.812988715275</x:v>
      </x:c>
      <x:c r="O1884" s="28" t="n">
        <x:v>46219.812988715275</x:v>
      </x:c>
      <x:c r="P1884" s="23" t="str">
        <x:v>SÃO JOSE DO RIO PRETO</x:v>
      </x:c>
      <x:c r="Q1884" s="30" t="n">
        <x:v>33056</x:v>
      </x:c>
      <x:c r="R1884" s="22" t="str">
        <x:f>"46658206"</x:f>
        <x:v>46658206</x:v>
      </x:c>
      <x:c r="S1884" s="23" t="str">
        <x:v>masculino</x:v>
      </x:c>
      <x:c r="T1884" s="22" t="str">
        <x:f>"FKA1C05"</x:f>
        <x:v>FKA1C05</x:v>
      </x:c>
      <x:c r="U1884" s="23" t="str">
        <x:v>JONATAN LOREILHE DE OLIVEIRA</x:v>
      </x:c>
      <x:c r="V1884" s="22" t="str">
        <x:f>"398.424.358-81"</x:f>
        <x:v>398.424.358-81</x:v>
      </x:c>
      <x:c r="W1884" s="22" t="str">
        <x:f>"39842435881"</x:f>
        <x:v>39842435881</x:v>
      </x:c>
      <x:c r="X1884" s="23" t="str">
        <x:v>jonatanloreilhe20@gmail.com</x:v>
      </x:c>
      <x:c r="Y1884" s="22" t="str">
        <x:f>"17 99138-4663"</x:f>
        <x:v>17 99138-4663</x:v>
      </x:c>
      <x:c r="Z1884" s="30" t="n">
        <x:v>46430</x:v>
      </x:c>
    </x:row>
    <x:row r="1885" ht="18" customHeight="1">
      <x:c r="A1885" s="22" t="str">
        <x:f>"2942cdbd-f1f3-4dc9-a06d-b953c07f964a"</x:f>
        <x:v>2942cdbd-f1f3-4dc9-a06d-b953c07f964a</x:v>
      </x:c>
      <x:c r="B1885" s="23" t="str">
        <x:v>JONATAS FERREIRA DA SILVA COELHO</x:v>
      </x:c>
      <x:c r="C1885" s="23" t="str">
        <x:v>jonatas ferreira da silva coelho</x:v>
      </x:c>
      <x:c r="D1885" s="22" t="str">
        <x:f>"59.359.986/0001-33"</x:f>
        <x:v>59.359.986/0001-33</x:v>
      </x:c>
      <x:c r="E1885" s="22" t="str">
        <x:f>"59359986000133"</x:f>
        <x:v>59359986000133</x:v>
      </x:c>
      <x:c r="F1885" s="22" t="str">
        <x:f>"094.802.737-13"</x:f>
        <x:v>094.802.737-13</x:v>
      </x:c>
      <x:c r="G1885" s="22" t="str">
        <x:f>"09480273713"</x:f>
        <x:v>09480273713</x:v>
      </x:c>
      <x:c r="H1885" s="23" t="str">
        <x:v>ferreirarj1@gmail.com</x:v>
      </x:c>
      <x:c r="I1885" s="22" t="str">
        <x:f>"21 998025263"</x:f>
        <x:v>21 998025263</x:v>
      </x:c>
      <x:c r="J1885" s="23" t="str">
        <x:v>SPOT</x:v>
      </x:c>
      <x:c r="K1885" s="23" t="str">
        <x:v>favored_only</x:v>
      </x:c>
      <x:c r="L1885" s="24" t="b">
        <x:v>1</x:v>
      </x:c>
      <x:c r="M1885" s="23" t="n">
        <x:v>1</x:v>
      </x:c>
      <x:c r="N1885" s="28" t="n">
        <x:v>46219.812988715275</x:v>
      </x:c>
      <x:c r="O1885" s="28" t="n">
        <x:v>46219.812988715275</x:v>
      </x:c>
      <x:c r="P1885" s="23" t="str">
        <x:v>QUEIMADOS</x:v>
      </x:c>
      <x:c r="Q1885" s="30" t="n">
        <x:v>30145</x:v>
      </x:c>
      <x:c r="R1885" s="22" t="str">
        <x:f>"123008856"</x:f>
        <x:v>123008856</x:v>
      </x:c>
      <x:c r="S1885" s="23" t="str">
        <x:v>masculino</x:v>
      </x:c>
      <x:c r="T1885" s="22" t="str">
        <x:f>"QXR6G02"</x:f>
        <x:v>QXR6G02</x:v>
      </x:c>
      <x:c r="U1885" s="23" t="str">
        <x:v>JONATAS FERREIRA DA SILVA COELHO</x:v>
      </x:c>
      <x:c r="V1885" s="22" t="str">
        <x:f>"094.802.737-13"</x:f>
        <x:v>094.802.737-13</x:v>
      </x:c>
      <x:c r="W1885" s="22" t="str">
        <x:f>"09480273713"</x:f>
        <x:v>09480273713</x:v>
      </x:c>
      <x:c r="X1885" s="23" t="str">
        <x:v>ferreirarj1@gmail.com</x:v>
      </x:c>
      <x:c r="Y1885" s="22" t="str">
        <x:f>"21998025263"</x:f>
        <x:v>21998025263</x:v>
      </x:c>
      <x:c r="Z1885" s="30" t="n">
        <x:v>46497</x:v>
      </x:c>
    </x:row>
    <x:row r="1886" ht="18" customHeight="1">
      <x:c r="A1886" s="22" t="str">
        <x:f>"bc65d571-4220-4afe-85a2-40b845cd085c"</x:f>
        <x:v>bc65d571-4220-4afe-85a2-40b845cd085c</x:v>
      </x:c>
      <x:c r="B1886" s="23" t="str">
        <x:v>JONATAS FERREIRA DE FRANCA</x:v>
      </x:c>
      <x:c r="C1886" s="23" t="str">
        <x:v>jonatas ferreira de franca</x:v>
      </x:c>
      <x:c r="D1886" s="22" t="str">
        <x:f>"65.853.428/0001-22"</x:f>
        <x:v>65.853.428/0001-22</x:v>
      </x:c>
      <x:c r="E1886" s="22" t="str">
        <x:f>"65853428000122"</x:f>
        <x:v>65853428000122</x:v>
      </x:c>
      <x:c r="F1886" s="22" t="str">
        <x:f>"119.673.997-86"</x:f>
        <x:v>119.673.997-86</x:v>
      </x:c>
      <x:c r="G1886" s="22" t="str">
        <x:f>"11967399786"</x:f>
        <x:v>11967399786</x:v>
      </x:c>
      <x:c r="H1886" s="23" t="str">
        <x:v>francamer.cadolivrerj@gmail.com</x:v>
      </x:c>
      <x:c r="I1886" s="22" t="str">
        <x:f>"21971778014"</x:f>
        <x:v>21971778014</x:v>
      </x:c>
      <x:c r="J1886" s="23" t="str">
        <x:v>SPOT</x:v>
      </x:c>
      <x:c r="K1886" s="23" t="str">
        <x:v>favored_only</x:v>
      </x:c>
      <x:c r="L1886" s="24" t="b">
        <x:v>1</x:v>
      </x:c>
      <x:c r="M1886" s="23" t="n">
        <x:v>1</x:v>
      </x:c>
      <x:c r="N1886" s="28" t="n">
        <x:v>46219.812988715275</x:v>
      </x:c>
      <x:c r="O1886" s="28" t="n">
        <x:v>46219.812988715275</x:v>
      </x:c>
      <x:c r="P1886" s="23" t="str">
        <x:v>CAMPO GRANDE</x:v>
      </x:c>
      <x:c r="Q1886" s="30" t="n">
        <x:v>32555</x:v>
      </x:c>
      <x:c r="R1886" s="22" t="str">
        <x:f>"218231405"</x:f>
        <x:v>218231405</x:v>
      </x:c>
      <x:c r="S1886" s="23" t="str">
        <x:v>masculino</x:v>
      </x:c>
      <x:c r="T1886" s="22" t="str">
        <x:f>"KXV8J67"</x:f>
        <x:v>KXV8J67</x:v>
      </x:c>
      <x:c r="U1886" s="23" t="str">
        <x:v>JONATAS FERREIRA DE FRANCA</x:v>
      </x:c>
      <x:c r="V1886" s="22" t="str">
        <x:f>"119.673.997-86"</x:f>
        <x:v>119.673.997-86</x:v>
      </x:c>
      <x:c r="W1886" s="22" t="str">
        <x:f>"11967399786"</x:f>
        <x:v>11967399786</x:v>
      </x:c>
      <x:c r="X1886" s="23" t="str">
        <x:v>francamer.cadolivrerj@gmail.com</x:v>
      </x:c>
      <x:c r="Y1886" s="22" t="str">
        <x:f>"21971778014"</x:f>
        <x:v>21971778014</x:v>
      </x:c>
      <x:c r="Z1886" s="30" t="n">
        <x:v>46473</x:v>
      </x:c>
    </x:row>
    <x:row r="1887" ht="18" customHeight="1">
      <x:c r="A1887" s="22" t="str">
        <x:f>"784cfc00-4594-41a3-9517-f9b19ed7666f"</x:f>
        <x:v>784cfc00-4594-41a3-9517-f9b19ed7666f</x:v>
      </x:c>
      <x:c r="B1887" s="23" t="str">
        <x:v>JONATAS FERREIRA SANTOS</x:v>
      </x:c>
      <x:c r="C1887" s="23" t="str">
        <x:v>jonatas ferreira santos</x:v>
      </x:c>
      <x:c r="D1887" s="22" t="str">
        <x:f>"63.380.888/0001-55"</x:f>
        <x:v>63.380.888/0001-55</x:v>
      </x:c>
      <x:c r="E1887" s="22" t="str">
        <x:f>"63380888000155"</x:f>
        <x:v>63380888000155</x:v>
      </x:c>
      <x:c r="F1887" s="22" t="str">
        <x:f>"240.291.248-01"</x:f>
        <x:v>240.291.248-01</x:v>
      </x:c>
      <x:c r="G1887" s="22" t="str">
        <x:f>"24029124801"</x:f>
        <x:v>24029124801</x:v>
      </x:c>
      <x:c r="H1887" s="23" t="str">
        <x:v>jonatasferreiraelaine@gmail.com</x:v>
      </x:c>
      <x:c r="I1887" s="22" t="str">
        <x:f>"11975545675"</x:f>
        <x:v>11975545675</x:v>
      </x:c>
      <x:c r="J1887" s="23" t="str">
        <x:v>RENTAL</x:v>
      </x:c>
      <x:c r="K1887" s="23" t="str">
        <x:v>rental_company</x:v>
      </x:c>
      <x:c r="L1887" s="24" t="b">
        <x:v>1</x:v>
      </x:c>
      <x:c r="M1887" s="23" t="n">
        <x:v>1</x:v>
      </x:c>
      <x:c r="N1887" s="28" t="n">
        <x:v>46203.92188238426</x:v>
      </x:c>
      <x:c r="O1887" s="28" t="n">
        <x:v>46219.812988715275</x:v>
      </x:c>
      <x:c r="P1887" s="23" t="str">
        <x:v>MADEIRA MADEIRA</x:v>
      </x:c>
      <x:c r="Q1887" s="30" t="n">
        <x:v>1127072</x:v>
      </x:c>
      <x:c r="R1887" s="22" t="str">
        <x:f>"37046212-9"</x:f>
        <x:v>37046212-9</x:v>
      </x:c>
      <x:c r="S1887" s="23" t="str">
        <x:v>masculino</x:v>
      </x:c>
      <x:c r="T1887" s="22" t="str"/>
      <x:c r="U1887" s="23" t="str">
        <x:v>JONATAS FERREIRA SANTOS</x:v>
      </x:c>
      <x:c r="V1887" s="22" t="str">
        <x:f>"240.291.248-01"</x:f>
        <x:v>240.291.248-01</x:v>
      </x:c>
      <x:c r="W1887" s="22" t="str">
        <x:f>"24029124801"</x:f>
        <x:v>24029124801</x:v>
      </x:c>
      <x:c r="X1887" s="23" t="str">
        <x:v>jonatasferreiraelaine@gmail.com</x:v>
      </x:c>
      <x:c r="Y1887" s="22" t="str">
        <x:f>"11975545675"</x:f>
        <x:v>11975545675</x:v>
      </x:c>
      <x:c r="Z1887" s="30" t="n">
        <x:v>46322</x:v>
      </x:c>
    </x:row>
    <x:row r="1888" ht="18" customHeight="1">
      <x:c r="A1888" s="22" t="str">
        <x:f>"32a89ca7-3139-4cdc-a6e3-febcdd328862"</x:f>
        <x:v>32a89ca7-3139-4cdc-a6e3-febcdd328862</x:v>
      </x:c>
      <x:c r="B1888" s="23" t="str">
        <x:v>JONATAS MENDES DA SILVA</x:v>
      </x:c>
      <x:c r="C1888" s="23" t="str">
        <x:v>jonatas mendes da silva</x:v>
      </x:c>
      <x:c r="D1888" s="22" t="str">
        <x:f>"57.684.950/0001-08"</x:f>
        <x:v>57.684.950/0001-08</x:v>
      </x:c>
      <x:c r="E1888" s="22" t="str">
        <x:f>"57684950000108"</x:f>
        <x:v>57684950000108</x:v>
      </x:c>
      <x:c r="F1888" s="22" t="str">
        <x:f>"496.015.391-15"</x:f>
        <x:v>496.015.391-15</x:v>
      </x:c>
      <x:c r="G1888" s="22" t="str">
        <x:f>"49601539115"</x:f>
        <x:v>49601539115</x:v>
      </x:c>
      <x:c r="H1888" s="23" t="str">
        <x:v>jonatasmandesdasilva@gmail.com</x:v>
      </x:c>
      <x:c r="I1888" s="22" t="str">
        <x:f>"65999178422"</x:f>
        <x:v>65999178422</x:v>
      </x:c>
      <x:c r="J1888" s="23" t="str">
        <x:v>SPOT</x:v>
      </x:c>
      <x:c r="K1888" s="23" t="str">
        <x:v>favored_only</x:v>
      </x:c>
      <x:c r="L1888" s="24" t="b">
        <x:v>1</x:v>
      </x:c>
      <x:c r="M1888" s="23" t="n">
        <x:v>1</x:v>
      </x:c>
      <x:c r="N1888" s="28" t="n">
        <x:v>46219.812988715275</x:v>
      </x:c>
      <x:c r="O1888" s="28" t="n">
        <x:v>46219.812988715275</x:v>
      </x:c>
      <x:c r="P1888" s="23" t="str">
        <x:v>CUIABA</x:v>
      </x:c>
      <x:c r="Q1888" s="30" t="n">
        <x:v>25342</x:v>
      </x:c>
      <x:c r="R1888" s="22" t="str">
        <x:f>"677654"</x:f>
        <x:v>677654</x:v>
      </x:c>
      <x:c r="S1888" s="23" t="str">
        <x:v>masculino</x:v>
      </x:c>
      <x:c r="T1888" s="22" t="str">
        <x:f>"RTU6D04"</x:f>
        <x:v>RTU6D04</x:v>
      </x:c>
      <x:c r="U1888" s="23" t="str">
        <x:v>THIAGO JUNIOR MEDEIROS RIBEIRO</x:v>
      </x:c>
      <x:c r="V1888" s="22" t="str">
        <x:f>"081.891.721-07"</x:f>
        <x:v>081.891.721-07</x:v>
      </x:c>
      <x:c r="W1888" s="22" t="str">
        <x:f>"08189172107"</x:f>
        <x:v>08189172107</x:v>
      </x:c>
      <x:c r="X1888" s="23" t="str">
        <x:v>thiagocba1000@gmail.com</x:v>
      </x:c>
      <x:c r="Y1888" s="22" t="str">
        <x:f>"65993005648"</x:f>
        <x:v>65993005648</x:v>
      </x:c>
      <x:c r="Z1888" s="30" t="n">
        <x:v>46513</x:v>
      </x:c>
    </x:row>
    <x:row r="1889" ht="18" customHeight="1">
      <x:c r="A1889" s="22" t="str">
        <x:f>"f0219135-04d3-4222-a2ee-e439e1939dc8"</x:f>
        <x:v>f0219135-04d3-4222-a2ee-e439e1939dc8</x:v>
      </x:c>
      <x:c r="B1889" s="23" t="str">
        <x:v>JONATAS MONTEIRO OLIVEIRA MACHADO</x:v>
      </x:c>
      <x:c r="C1889" s="23" t="str">
        <x:v>jonatas monteiro oliveira machado</x:v>
      </x:c>
      <x:c r="D1889" s="22" t="str">
        <x:f>"54.625.353/0001-06"</x:f>
        <x:v>54.625.353/0001-06</x:v>
      </x:c>
      <x:c r="E1889" s="22" t="str">
        <x:f>"54625353000106"</x:f>
        <x:v>54625353000106</x:v>
      </x:c>
      <x:c r="F1889" s="22" t="str">
        <x:f>"412.830.508-11"</x:f>
        <x:v>412.830.508-11</x:v>
      </x:c>
      <x:c r="G1889" s="22" t="str">
        <x:f>"41283050811"</x:f>
        <x:v>41283050811</x:v>
      </x:c>
      <x:c r="H1889" s="23" t="str">
        <x:v>jonatasmonteiro@live.com</x:v>
      </x:c>
      <x:c r="I1889" s="22" t="str">
        <x:f>"11 94609-8798"</x:f>
        <x:v>11 94609-8798</x:v>
      </x:c>
      <x:c r="J1889" s="23" t="str">
        <x:v>RENTAL</x:v>
      </x:c>
      <x:c r="K1889" s="23" t="str">
        <x:v>rental_company</x:v>
      </x:c>
      <x:c r="L1889" s="24" t="b">
        <x:v>1</x:v>
      </x:c>
      <x:c r="M1889" s="23" t="n">
        <x:v>1</x:v>
      </x:c>
      <x:c r="N1889" s="28" t="n">
        <x:v>46219.812988715275</x:v>
      </x:c>
      <x:c r="O1889" s="28" t="n">
        <x:v>46219.812988715275</x:v>
      </x:c>
      <x:c r="P1889" s="23" t="str">
        <x:v>BARUERI</x:v>
      </x:c>
      <x:c r="Q1889" s="30" t="n">
        <x:v>33878</x:v>
      </x:c>
      <x:c r="R1889" s="22" t="str">
        <x:f>"48265844"</x:f>
        <x:v>48265844</x:v>
      </x:c>
      <x:c r="S1889" s="23" t="str">
        <x:v>masculino</x:v>
      </x:c>
      <x:c r="T1889" s="22" t="str"/>
      <x:c r="U1889" s="23" t="str">
        <x:v>JONATAS MONTEIRO OLIVEIRA MACHADO</x:v>
      </x:c>
      <x:c r="V1889" s="22" t="str">
        <x:f>"412.830.508-11"</x:f>
        <x:v>412.830.508-11</x:v>
      </x:c>
      <x:c r="W1889" s="22" t="str">
        <x:f>"41283050811"</x:f>
        <x:v>41283050811</x:v>
      </x:c>
      <x:c r="X1889" s="23" t="str">
        <x:v>jonatasmonteiro@live.com</x:v>
      </x:c>
      <x:c r="Y1889" s="22" t="str">
        <x:f>"11 94609-8798"</x:f>
        <x:v>11 94609-8798</x:v>
      </x:c>
      <x:c r="Z1889" s="30" t="n">
        <x:v>46409</x:v>
      </x:c>
    </x:row>
    <x:row r="1890" ht="18" customHeight="1">
      <x:c r="A1890" s="22" t="str">
        <x:f>"124e90cf-88e5-4edf-9e74-97f6c4333f87"</x:f>
        <x:v>124e90cf-88e5-4edf-9e74-97f6c4333f87</x:v>
      </x:c>
      <x:c r="B1890" s="23" t="str">
        <x:v>JONATAS SILVA RODRIGUES</x:v>
      </x:c>
      <x:c r="C1890" s="23" t="str">
        <x:v>jonatas silva rodrigues</x:v>
      </x:c>
      <x:c r="D1890" s="22" t="str">
        <x:f>"35.435.514/0001-54"</x:f>
        <x:v>35.435.514/0001-54</x:v>
      </x:c>
      <x:c r="E1890" s="22" t="str">
        <x:f>"35435514000154"</x:f>
        <x:v>35435514000154</x:v>
      </x:c>
      <x:c r="F1890" s="22" t="str">
        <x:f>"083.995.157-44"</x:f>
        <x:v>083.995.157-44</x:v>
      </x:c>
      <x:c r="G1890" s="22" t="str">
        <x:f>"08399515744"</x:f>
        <x:v>08399515744</x:v>
      </x:c>
      <x:c r="H1890" s="23" t="str">
        <x:v>jonnaas@gmail.com</x:v>
      </x:c>
      <x:c r="I1890" s="22" t="str">
        <x:f>"21 96415-6241"</x:f>
        <x:v>21 96415-6241</x:v>
      </x:c>
      <x:c r="J1890" s="23" t="str">
        <x:v>SPOT</x:v>
      </x:c>
      <x:c r="K1890" s="23" t="str">
        <x:v>favored_only</x:v>
      </x:c>
      <x:c r="L1890" s="24" t="b">
        <x:v>1</x:v>
      </x:c>
      <x:c r="M1890" s="23" t="n">
        <x:v>1</x:v>
      </x:c>
      <x:c r="N1890" s="28" t="n">
        <x:v>46219.812988715275</x:v>
      </x:c>
      <x:c r="O1890" s="28" t="n">
        <x:v>46219.812988715275</x:v>
      </x:c>
      <x:c r="P1890" s="23" t="str">
        <x:v>ITABORAI</x:v>
      </x:c>
      <x:c r="Q1890" s="30" t="n">
        <x:v>27761</x:v>
      </x:c>
      <x:c r="R1890" s="22" t="str">
        <x:f>"33340S125"</x:f>
        <x:v>33340S125</x:v>
      </x:c>
      <x:c r="S1890" s="23" t="str">
        <x:v>masculino</x:v>
      </x:c>
      <x:c r="T1890" s="22" t="str">
        <x:f>"KXS7F26"</x:f>
        <x:v>KXS7F26</x:v>
      </x:c>
      <x:c r="U1890" s="23" t="str">
        <x:v>JONATAS SILVA RODRIGUES</x:v>
      </x:c>
      <x:c r="V1890" s="22" t="str">
        <x:f>"083.995.157-44"</x:f>
        <x:v>083.995.157-44</x:v>
      </x:c>
      <x:c r="W1890" s="22" t="str">
        <x:f>"08399515744"</x:f>
        <x:v>08399515744</x:v>
      </x:c>
      <x:c r="X1890" s="23" t="str">
        <x:v>jonnaas@gmail.com</x:v>
      </x:c>
      <x:c r="Y1890" s="22" t="str">
        <x:f>"21 96415-6241"</x:f>
        <x:v>21 96415-6241</x:v>
      </x:c>
      <x:c r="Z1890" s="30" t="n">
        <x:v>46497</x:v>
      </x:c>
    </x:row>
    <x:row r="1891" ht="18" customHeight="1">
      <x:c r="A1891" s="22" t="str">
        <x:f>"aed2f685-5515-4d40-9cd6-7a4e50b0d621"</x:f>
        <x:v>aed2f685-5515-4d40-9cd6-7a4e50b0d621</x:v>
      </x:c>
      <x:c r="B1891" s="23" t="str">
        <x:v>JONATA WESLEY DE OLIVEIRA</x:v>
      </x:c>
      <x:c r="C1891" s="23" t="str">
        <x:v>jonata wesley de oliveira</x:v>
      </x:c>
      <x:c r="D1891" s="22" t="str">
        <x:f>"31.095.678/0001-29"</x:f>
        <x:v>31.095.678/0001-29</x:v>
      </x:c>
      <x:c r="E1891" s="22" t="str">
        <x:f>"31095678000129"</x:f>
        <x:v>31095678000129</x:v>
      </x:c>
      <x:c r="F1891" s="22" t="str">
        <x:f>"141.298.026-74"</x:f>
        <x:v>141.298.026-74</x:v>
      </x:c>
      <x:c r="G1891" s="22" t="str">
        <x:f>"14129802674"</x:f>
        <x:v>14129802674</x:v>
      </x:c>
      <x:c r="H1891" s="23" t="str">
        <x:v>jonata_wesley10@hotmail.com</x:v>
      </x:c>
      <x:c r="I1891" s="22" t="str">
        <x:f>"3498868-2341"</x:f>
        <x:v>3498868-2341</x:v>
      </x:c>
      <x:c r="J1891" s="23" t="str">
        <x:v>SPOT</x:v>
      </x:c>
      <x:c r="K1891" s="23" t="str">
        <x:v>favored_only</x:v>
      </x:c>
      <x:c r="L1891" s="24" t="b">
        <x:v>1</x:v>
      </x:c>
      <x:c r="M1891" s="23" t="n">
        <x:v>1</x:v>
      </x:c>
      <x:c r="N1891" s="28" t="n">
        <x:v>46205.604303761575</x:v>
      </x:c>
      <x:c r="O1891" s="28" t="n">
        <x:v>46219.812988715275</x:v>
      </x:c>
      <x:c r="P1891" s="23" t="str">
        <x:v>ARAXÁ</x:v>
      </x:c>
      <x:c r="Q1891" s="30" t="n">
        <x:v>36432</x:v>
      </x:c>
      <x:c r="R1891" s="22" t="str">
        <x:f>"21366245"</x:f>
        <x:v>21366245</x:v>
      </x:c>
      <x:c r="S1891" s="23" t="str">
        <x:v>masculino</x:v>
      </x:c>
      <x:c r="T1891" s="22" t="str">
        <x:f>"OPF8B39"</x:f>
        <x:v>OPF8B39</x:v>
      </x:c>
      <x:c r="U1891" s="23" t="str">
        <x:v>NATHALIA CAROLINE GOMES DA SILVA</x:v>
      </x:c>
      <x:c r="V1891" s="22" t="str">
        <x:f>"103.851.366-92"</x:f>
        <x:v>103.851.366-92</x:v>
      </x:c>
      <x:c r="W1891" s="22" t="str">
        <x:f>"10385136692"</x:f>
        <x:v>10385136692</x:v>
      </x:c>
      <x:c r="X1891" s="23" t="str">
        <x:v>Nathaliasilvaclara13@outlook.com</x:v>
      </x:c>
      <x:c r="Y1891" s="22" t="str">
        <x:f>"34988633933"</x:f>
        <x:v>34988633933</x:v>
      </x:c>
      <x:c r="Z1891" s="30" t="n">
        <x:v>46267</x:v>
      </x:c>
    </x:row>
    <x:row r="1892" ht="18" customHeight="1">
      <x:c r="A1892" s="22" t="str">
        <x:f>"a5e27237-c29c-4019-ae18-c66f806421a3"</x:f>
        <x:v>a5e27237-c29c-4019-ae18-c66f806421a3</x:v>
      </x:c>
      <x:c r="B1892" s="23" t="str">
        <x:v>JONATHAN BARRETO DE AZEVEDO</x:v>
      </x:c>
      <x:c r="C1892" s="23" t="str">
        <x:v>jonathan barreto de azevedo</x:v>
      </x:c>
      <x:c r="D1892" s="22" t="str">
        <x:f>"41.607.630/0001-06"</x:f>
        <x:v>41.607.630/0001-06</x:v>
      </x:c>
      <x:c r="E1892" s="22" t="str">
        <x:f>"41607630000106"</x:f>
        <x:v>41607630000106</x:v>
      </x:c>
      <x:c r="F1892" s="22" t="str">
        <x:f>"096.145.137-80"</x:f>
        <x:v>096.145.137-80</x:v>
      </x:c>
      <x:c r="G1892" s="22" t="str">
        <x:f>"09614513780"</x:f>
        <x:v>09614513780</x:v>
      </x:c>
      <x:c r="H1892" s="23" t="str">
        <x:v>jonathanbaa35@gmail.com</x:v>
      </x:c>
      <x:c r="I1892" s="22" t="str">
        <x:f>"22999681203"</x:f>
        <x:v>22999681203</x:v>
      </x:c>
      <x:c r="J1892" s="23" t="str">
        <x:v>SPOT</x:v>
      </x:c>
      <x:c r="K1892" s="23" t="str">
        <x:v>favored_only</x:v>
      </x:c>
      <x:c r="L1892" s="24" t="b">
        <x:v>1</x:v>
      </x:c>
      <x:c r="M1892" s="23" t="n">
        <x:v>2</x:v>
      </x:c>
      <x:c r="N1892" s="28" t="n">
        <x:v>46203.92186888889</x:v>
      </x:c>
      <x:c r="O1892" s="28" t="n">
        <x:v>46220.503980497684</x:v>
      </x:c>
      <x:c r="P1892" s="23" t="str">
        <x:v>CAMPOS DOS GOYTACAZES</x:v>
      </x:c>
      <x:c r="Q1892" s="30" t="str"/>
      <x:c r="R1892" s="22" t="str"/>
      <x:c r="S1892" s="23" t="str"/>
      <x:c r="T1892" s="22" t="str"/>
      <x:c r="U1892" s="23" t="str">
        <x:v>JONATHAN BARRETO DE AZEVEDO</x:v>
      </x:c>
      <x:c r="V1892" s="22" t="str">
        <x:f>"096.145.137-80"</x:f>
        <x:v>096.145.137-80</x:v>
      </x:c>
      <x:c r="W1892" s="22" t="str">
        <x:f>"09614513780"</x:f>
        <x:v>09614513780</x:v>
      </x:c>
      <x:c r="X1892" s="23" t="str">
        <x:v>jonathanbaa35@gmail.com</x:v>
      </x:c>
      <x:c r="Y1892" s="22" t="str">
        <x:f>"22999681203"</x:f>
        <x:v>22999681203</x:v>
      </x:c>
      <x:c r="Z1892" s="30" t="str"/>
    </x:row>
    <x:row r="1893" ht="18" customHeight="1">
      <x:c r="A1893" s="22" t="str">
        <x:f>"05d76395-2be7-4344-89ff-997db20b3d25"</x:f>
        <x:v>05d76395-2be7-4344-89ff-997db20b3d25</x:v>
      </x:c>
      <x:c r="B1893" s="23" t="str">
        <x:v>JONATHAN BOMBONATO DE ANDRADE</x:v>
      </x:c>
      <x:c r="C1893" s="23" t="str">
        <x:v>jonathan bombonato de andrade</x:v>
      </x:c>
      <x:c r="D1893" s="22" t="str">
        <x:f>"60.168.849/0001-09"</x:f>
        <x:v>60.168.849/0001-09</x:v>
      </x:c>
      <x:c r="E1893" s="22" t="str">
        <x:f>"60168849000109"</x:f>
        <x:v>60168849000109</x:v>
      </x:c>
      <x:c r="F1893" s="22" t="str">
        <x:f>"480.764.558-71"</x:f>
        <x:v>480.764.558-71</x:v>
      </x:c>
      <x:c r="G1893" s="22" t="str">
        <x:f>"48076455871"</x:f>
        <x:v>48076455871</x:v>
      </x:c>
      <x:c r="H1893" s="23" t="str">
        <x:v>jullyjulianamae1@gmail.com</x:v>
      </x:c>
      <x:c r="I1893" s="22" t="str">
        <x:f>"17 98816-0289"</x:f>
        <x:v>17 98816-0289</x:v>
      </x:c>
      <x:c r="J1893" s="23" t="str">
        <x:v>RENTAL</x:v>
      </x:c>
      <x:c r="K1893" s="23" t="str">
        <x:v>rental_company</x:v>
      </x:c>
      <x:c r="L1893" s="24" t="b">
        <x:v>1</x:v>
      </x:c>
      <x:c r="M1893" s="23" t="n">
        <x:v>1</x:v>
      </x:c>
      <x:c r="N1893" s="28" t="n">
        <x:v>46203.9219084375</x:v>
      </x:c>
      <x:c r="O1893" s="28" t="n">
        <x:v>46219.812988715275</x:v>
      </x:c>
      <x:c r="P1893" s="23" t="str">
        <x:v>SÃO JOSE DO RIO PRETO</x:v>
      </x:c>
      <x:c r="Q1893" s="30" t="n">
        <x:v>37232</x:v>
      </x:c>
      <x:c r="R1893" s="22" t="str">
        <x:f>"56012972"</x:f>
        <x:v>56012972</x:v>
      </x:c>
      <x:c r="S1893" s="23" t="str">
        <x:v>masculino</x:v>
      </x:c>
      <x:c r="T1893" s="22" t="str"/>
      <x:c r="U1893" s="23" t="str">
        <x:v>JONATHAN BOMBONATO DE ANDRADE</x:v>
      </x:c>
      <x:c r="V1893" s="22" t="str">
        <x:f>"480.764.558-71"</x:f>
        <x:v>480.764.558-71</x:v>
      </x:c>
      <x:c r="W1893" s="22" t="str">
        <x:f>"48076455871"</x:f>
        <x:v>48076455871</x:v>
      </x:c>
      <x:c r="X1893" s="23" t="str">
        <x:v>jullyjulianamae1@gmail.com</x:v>
      </x:c>
      <x:c r="Y1893" s="22" t="str">
        <x:f>"17 98816-0289"</x:f>
        <x:v>17 98816-0289</x:v>
      </x:c>
      <x:c r="Z1893" s="30" t="n">
        <x:v>46395</x:v>
      </x:c>
    </x:row>
    <x:row r="1894" ht="18" customHeight="1">
      <x:c r="A1894" s="22" t="str">
        <x:f>"257f5bd5-3e5d-4ffb-bef5-157047002aa7"</x:f>
        <x:v>257f5bd5-3e5d-4ffb-bef5-157047002aa7</x:v>
      </x:c>
      <x:c r="B1894" s="23" t="str">
        <x:v>JONATHAN CESAR RAMOS DA SILVA</x:v>
      </x:c>
      <x:c r="C1894" s="23" t="str">
        <x:v>jonathan cesar ramos da silva</x:v>
      </x:c>
      <x:c r="D1894" s="22" t="str">
        <x:f>"64.461.298/0001-10"</x:f>
        <x:v>64.461.298/0001-10</x:v>
      </x:c>
      <x:c r="E1894" s="22" t="str">
        <x:f>"64461298000110"</x:f>
        <x:v>64461298000110</x:v>
      </x:c>
      <x:c r="F1894" s="22" t="str">
        <x:f>"110.177.187-92"</x:f>
        <x:v>110.177.187-92</x:v>
      </x:c>
      <x:c r="G1894" s="22" t="str">
        <x:f>"11017718792"</x:f>
        <x:v>11017718792</x:v>
      </x:c>
      <x:c r="H1894" s="23" t="str">
        <x:v>jonathancesarramosdasilva1@gmail.com</x:v>
      </x:c>
      <x:c r="I1894" s="22" t="str">
        <x:f>"21969424769"</x:f>
        <x:v>21969424769</x:v>
      </x:c>
      <x:c r="J1894" s="23" t="str">
        <x:v>SPOT</x:v>
      </x:c>
      <x:c r="K1894" s="23" t="str">
        <x:v>favored_only</x:v>
      </x:c>
      <x:c r="L1894" s="24" t="b">
        <x:v>1</x:v>
      </x:c>
      <x:c r="M1894" s="23" t="n">
        <x:v>1</x:v>
      </x:c>
      <x:c r="N1894" s="28" t="n">
        <x:v>46219.812988715275</x:v>
      </x:c>
      <x:c r="O1894" s="28" t="n">
        <x:v>46219.812988715275</x:v>
      </x:c>
      <x:c r="P1894" s="23" t="str">
        <x:v>CAMPO GRANDE</x:v>
      </x:c>
      <x:c r="Q1894" s="30" t="n">
        <x:v>36559</x:v>
      </x:c>
      <x:c r="R1894" s="22" t="str">
        <x:f>"294541479"</x:f>
        <x:v>294541479</x:v>
      </x:c>
      <x:c r="S1894" s="23" t="str">
        <x:v>masculino</x:v>
      </x:c>
      <x:c r="T1894" s="22" t="str">
        <x:f>"KYR6336"</x:f>
        <x:v>KYR6336</x:v>
      </x:c>
      <x:c r="U1894" s="23" t="str">
        <x:v>JONATHAN CESAR RAMOS DA SILVA</x:v>
      </x:c>
      <x:c r="V1894" s="22" t="str">
        <x:f>"110.177.187-92"</x:f>
        <x:v>110.177.187-92</x:v>
      </x:c>
      <x:c r="W1894" s="22" t="str">
        <x:f>"11017718792"</x:f>
        <x:v>11017718792</x:v>
      </x:c>
      <x:c r="X1894" s="23" t="str">
        <x:v>jonathancesarramosdasilva1@gmail.com</x:v>
      </x:c>
      <x:c r="Y1894" s="22" t="str">
        <x:f>"21969424769"</x:f>
        <x:v>21969424769</x:v>
      </x:c>
      <x:c r="Z1894" s="30" t="n">
        <x:v>46416</x:v>
      </x:c>
    </x:row>
    <x:row r="1895" ht="18" customHeight="1">
      <x:c r="A1895" s="22" t="str">
        <x:f>"1345f8b1-eeb1-40f3-acdc-4bbac1bdafa6"</x:f>
        <x:v>1345f8b1-eeb1-40f3-acdc-4bbac1bdafa6</x:v>
      </x:c>
      <x:c r="B1895" s="23" t="str">
        <x:v>JONATHAN DE JESUS ALEXANDRE</x:v>
      </x:c>
      <x:c r="C1895" s="23" t="str">
        <x:v>jonathan de jesus alexandre</x:v>
      </x:c>
      <x:c r="D1895" s="22" t="str">
        <x:f>"64.582.298/0001-78"</x:f>
        <x:v>64.582.298/0001-78</x:v>
      </x:c>
      <x:c r="E1895" s="22" t="str">
        <x:f>"64582298000178"</x:f>
        <x:v>64582298000178</x:v>
      </x:c>
      <x:c r="F1895" s="22" t="str">
        <x:f>"104.801.056-26"</x:f>
        <x:v>104.801.056-26</x:v>
      </x:c>
      <x:c r="G1895" s="22" t="str">
        <x:f>"10480105626"</x:f>
        <x:v>10480105626</x:v>
      </x:c>
      <x:c r="H1895" s="23" t="str">
        <x:v>jlzeferinodavi16@gmail.com</x:v>
      </x:c>
      <x:c r="I1895" s="22" t="str">
        <x:f>"31 8237-3085"</x:f>
        <x:v>31 8237-3085</x:v>
      </x:c>
      <x:c r="J1895" s="23" t="str">
        <x:v>SPOT</x:v>
      </x:c>
      <x:c r="K1895" s="23" t="str">
        <x:v>favored_only</x:v>
      </x:c>
      <x:c r="L1895" s="24" t="b">
        <x:v>1</x:v>
      </x:c>
      <x:c r="M1895" s="23" t="n">
        <x:v>1</x:v>
      </x:c>
      <x:c r="N1895" s="28" t="n">
        <x:v>46219.812988715275</x:v>
      </x:c>
      <x:c r="O1895" s="28" t="n">
        <x:v>46219.812988715275</x:v>
      </x:c>
      <x:c r="P1895" s="23" t="str">
        <x:v>GUANHAES</x:v>
      </x:c>
      <x:c r="Q1895" s="30" t="n">
        <x:v>33563</x:v>
      </x:c>
      <x:c r="R1895" s="22" t="str">
        <x:f>"16199216"</x:f>
        <x:v>16199216</x:v>
      </x:c>
      <x:c r="S1895" s="23" t="str">
        <x:v>masculino</x:v>
      </x:c>
      <x:c r="T1895" s="22" t="str">
        <x:f>"HHE0E39"</x:f>
        <x:v>HHE0E39</x:v>
      </x:c>
      <x:c r="U1895" s="23" t="str">
        <x:v>LUANA BEATRIZ DE MELO MENDES</x:v>
      </x:c>
      <x:c r="V1895" s="22" t="str">
        <x:f>"140.013.166-92"</x:f>
        <x:v>140.013.166-92</x:v>
      </x:c>
      <x:c r="W1895" s="22" t="str">
        <x:f>"14001316692"</x:f>
        <x:v>14001316692</x:v>
      </x:c>
      <x:c r="X1895" s="23" t="str">
        <x:v>luanabeatrizdemelo@gmail.com</x:v>
      </x:c>
      <x:c r="Y1895" s="22" t="str">
        <x:f>"+55 31 98958-6051"</x:f>
        <x:v>+55 31 98958-6051</x:v>
      </x:c>
      <x:c r="Z1895" s="30" t="n">
        <x:v>46570</x:v>
      </x:c>
    </x:row>
    <x:row r="1896" ht="18" customHeight="1">
      <x:c r="A1896" s="22" t="str">
        <x:f>"6672652a-b21e-4af7-be7c-b648b302bc06"</x:f>
        <x:v>6672652a-b21e-4af7-be7c-b648b302bc06</x:v>
      </x:c>
      <x:c r="B1896" s="23" t="str">
        <x:v>JONATHAN DE JESUS ALEXANDRE</x:v>
      </x:c>
      <x:c r="C1896" s="23" t="str">
        <x:v>jonathan de jesus alexandre</x:v>
      </x:c>
      <x:c r="D1896" s="22" t="str">
        <x:f>"61.533.882/0001-45"</x:f>
        <x:v>61.533.882/0001-45</x:v>
      </x:c>
      <x:c r="E1896" s="22" t="str">
        <x:f>"61533882000145"</x:f>
        <x:v>61533882000145</x:v>
      </x:c>
      <x:c r="F1896" s="22" t="str">
        <x:f>"104.801.056-26"</x:f>
        <x:v>104.801.056-26</x:v>
      </x:c>
      <x:c r="G1896" s="22" t="str">
        <x:f>"10480105626"</x:f>
        <x:v>10480105626</x:v>
      </x:c>
      <x:c r="H1896" s="23" t="str">
        <x:v>joukem1991@gmail.com</x:v>
      </x:c>
      <x:c r="I1896" s="22" t="str">
        <x:f>"31982373085"</x:f>
        <x:v>31982373085</x:v>
      </x:c>
      <x:c r="J1896" s="23" t="str">
        <x:v>SPOT</x:v>
      </x:c>
      <x:c r="K1896" s="23" t="str">
        <x:v>favored_only</x:v>
      </x:c>
      <x:c r="L1896" s="24" t="b">
        <x:v>1</x:v>
      </x:c>
      <x:c r="M1896" s="23" t="n">
        <x:v>1</x:v>
      </x:c>
      <x:c r="N1896" s="28" t="n">
        <x:v>46203.92183332176</x:v>
      </x:c>
      <x:c r="O1896" s="28" t="n">
        <x:v>46205.60465292824</x:v>
      </x:c>
      <x:c r="P1896" s="23" t="str">
        <x:v>GUANHAES</x:v>
      </x:c>
      <x:c r="Q1896" s="30" t="n">
        <x:v>33562</x:v>
      </x:c>
      <x:c r="R1896" s="22" t="str">
        <x:f>"16199216"</x:f>
        <x:v>16199216</x:v>
      </x:c>
      <x:c r="S1896" s="23" t="str">
        <x:v>Masculino</x:v>
      </x:c>
      <x:c r="T1896" s="22" t="str">
        <x:f>"HHJ9G28"</x:f>
        <x:v>HHJ9G28</x:v>
      </x:c>
      <x:c r="U1896" s="23" t="str">
        <x:v>JONATHAN DE JESUS ALEXANDRE</x:v>
      </x:c>
      <x:c r="V1896" s="22" t="str">
        <x:f>"10480105626"</x:f>
        <x:v>10480105626</x:v>
      </x:c>
      <x:c r="W1896" s="22" t="str">
        <x:f>"10480105626"</x:f>
        <x:v>10480105626</x:v>
      </x:c>
      <x:c r="X1896" s="23" t="str">
        <x:v>joukem1991@gmail.com</x:v>
      </x:c>
      <x:c r="Y1896" s="22" t="str">
        <x:f>"31982373085"</x:f>
        <x:v>31982373085</x:v>
      </x:c>
      <x:c r="Z1896" s="30" t="n">
        <x:v>46206</x:v>
      </x:c>
    </x:row>
    <x:row r="1897" ht="18" customHeight="1">
      <x:c r="A1897" s="22" t="str">
        <x:f>"d55051fa-52d9-4fec-8ebe-0fdc9561f881"</x:f>
        <x:v>d55051fa-52d9-4fec-8ebe-0fdc9561f881</x:v>
      </x:c>
      <x:c r="B1897" s="23" t="str">
        <x:v>JONATHAN DE JESUS ALEXANDRE</x:v>
      </x:c>
      <x:c r="C1897" s="23" t="str">
        <x:v>jonathan de jesus alexandre</x:v>
      </x:c>
      <x:c r="D1897" s="22" t="str">
        <x:f>"06.458.229/8000-78"</x:f>
        <x:v>06.458.229/8000-78</x:v>
      </x:c>
      <x:c r="E1897" s="22" t="str">
        <x:f>"06458229800078"</x:f>
        <x:v>06458229800078</x:v>
      </x:c>
      <x:c r="F1897" s="22" t="str">
        <x:f>"104.801.056-26"</x:f>
        <x:v>104.801.056-26</x:v>
      </x:c>
      <x:c r="G1897" s="22" t="str">
        <x:f>"10480105626"</x:f>
        <x:v>10480105626</x:v>
      </x:c>
      <x:c r="H1897" s="23" t="str">
        <x:v>joukem1991@gmail.com</x:v>
      </x:c>
      <x:c r="I1897" s="22" t="str">
        <x:f>"31 93618-0253"</x:f>
        <x:v>31 93618-0253</x:v>
      </x:c>
      <x:c r="J1897" s="23" t="str">
        <x:v>SPOT</x:v>
      </x:c>
      <x:c r="K1897" s="23" t="str">
        <x:v>favored_only</x:v>
      </x:c>
      <x:c r="L1897" s="24" t="b">
        <x:v>1</x:v>
      </x:c>
      <x:c r="M1897" s="23" t="n">
        <x:v>1</x:v>
      </x:c>
      <x:c r="N1897" s="28" t="n">
        <x:v>46205.607290625</x:v>
      </x:c>
      <x:c r="O1897" s="28" t="n">
        <x:v>46219.812988715275</x:v>
      </x:c>
      <x:c r="P1897" s="23" t="str">
        <x:v>GUANHAES</x:v>
      </x:c>
      <x:c r="Q1897" s="30" t="n">
        <x:v>33562</x:v>
      </x:c>
      <x:c r="R1897" s="22" t="str">
        <x:f>"16199216"</x:f>
        <x:v>16199216</x:v>
      </x:c>
      <x:c r="S1897" s="23" t="str">
        <x:v>masculino</x:v>
      </x:c>
      <x:c r="T1897" s="22" t="str">
        <x:f>"olo8b61"</x:f>
        <x:v>olo8b61</x:v>
      </x:c>
      <x:c r="U1897" s="23" t="str">
        <x:v>LUANA BEATRIZ DE MELO MENDES</x:v>
      </x:c>
      <x:c r="V1897" s="22" t="str">
        <x:f>"140.013.166-92"</x:f>
        <x:v>140.013.166-92</x:v>
      </x:c>
      <x:c r="W1897" s="22" t="str">
        <x:f>"14001316692"</x:f>
        <x:v>14001316692</x:v>
      </x:c>
      <x:c r="X1897" s="23" t="str">
        <x:v>luanabeatrizemelo@gmail.com</x:v>
      </x:c>
      <x:c r="Y1897" s="22" t="str">
        <x:f>"3189586061"</x:f>
        <x:v>3189586061</x:v>
      </x:c>
      <x:c r="Z1897" s="30" t="str"/>
    </x:row>
    <x:row r="1898" ht="18" customHeight="1">
      <x:c r="A1898" s="22" t="str">
        <x:f>"3e7e8bc6-9d15-44d4-a677-4e46c63508dc"</x:f>
        <x:v>3e7e8bc6-9d15-44d4-a677-4e46c63508dc</x:v>
      </x:c>
      <x:c r="B1898" s="23" t="str">
        <x:v>JONATHAN GOMES DA SILVA</x:v>
      </x:c>
      <x:c r="C1898" s="23" t="str">
        <x:v>jonathan gomes da silva</x:v>
      </x:c>
      <x:c r="D1898" s="22" t="str">
        <x:f>"55.135.541/0001-19"</x:f>
        <x:v>55.135.541/0001-19</x:v>
      </x:c>
      <x:c r="E1898" s="22" t="str">
        <x:f>"55135541000119"</x:f>
        <x:v>55135541000119</x:v>
      </x:c>
      <x:c r="F1898" s="22" t="str">
        <x:f>"139.040.936-81"</x:f>
        <x:v>139.040.936-81</x:v>
      </x:c>
      <x:c r="G1898" s="22" t="str">
        <x:f>"13904093681"</x:f>
        <x:v>13904093681</x:v>
      </x:c>
      <x:c r="H1898" s="23" t="str">
        <x:v>jonathangomes75123@gmail.com</x:v>
      </x:c>
      <x:c r="I1898" s="22" t="str">
        <x:f>"(31) 9 9129-1537"</x:f>
        <x:v>(31) 9 9129-1537</x:v>
      </x:c>
      <x:c r="J1898" s="23" t="str">
        <x:v>SPOT</x:v>
      </x:c>
      <x:c r="K1898" s="23" t="str">
        <x:v>favored_only</x:v>
      </x:c>
      <x:c r="L1898" s="24" t="b">
        <x:v>1</x:v>
      </x:c>
      <x:c r="M1898" s="23" t="n">
        <x:v>1</x:v>
      </x:c>
      <x:c r="N1898" s="28" t="n">
        <x:v>46203.921824756944</x:v>
      </x:c>
      <x:c r="O1898" s="28" t="n">
        <x:v>46219.812988715275</x:v>
      </x:c>
      <x:c r="P1898" s="23" t="str">
        <x:v>CONTAGEM</x:v>
      </x:c>
      <x:c r="Q1898" s="30" t="n">
        <x:v>37062</x:v>
      </x:c>
      <x:c r="R1898" s="22" t="str">
        <x:f>"19777643"</x:f>
        <x:v>19777643</x:v>
      </x:c>
      <x:c r="S1898" s="23" t="str">
        <x:v>masculino</x:v>
      </x:c>
      <x:c r="T1898" s="22" t="str">
        <x:f>"HNL2B04"</x:f>
        <x:v>HNL2B04</x:v>
      </x:c>
      <x:c r="U1898" s="23" t="str">
        <x:v>JONATHAN GOMES DA SILVA</x:v>
      </x:c>
      <x:c r="V1898" s="22" t="str">
        <x:f>"139.040.936-81"</x:f>
        <x:v>139.040.936-81</x:v>
      </x:c>
      <x:c r="W1898" s="22" t="str">
        <x:f>"13904093681"</x:f>
        <x:v>13904093681</x:v>
      </x:c>
      <x:c r="X1898" s="23" t="str">
        <x:v>jonathangomes75123@gmail.com</x:v>
      </x:c>
      <x:c r="Y1898" s="22" t="str">
        <x:f>"(31) 9 9129-1537"</x:f>
        <x:v>(31) 9 9129-1537</x:v>
      </x:c>
      <x:c r="Z1898" s="30" t="n">
        <x:v>46357</x:v>
      </x:c>
    </x:row>
    <x:row r="1899" ht="18" customHeight="1">
      <x:c r="A1899" s="22" t="str">
        <x:f>"f7fcbc07-2bfd-40bb-ac0f-97fff2479781"</x:f>
        <x:v>f7fcbc07-2bfd-40bb-ac0f-97fff2479781</x:v>
      </x:c>
      <x:c r="B1899" s="23" t="str">
        <x:v>JONATHAN LIMA GONCALVES</x:v>
      </x:c>
      <x:c r="C1899" s="23" t="str">
        <x:v>jonathan lima goncalves</x:v>
      </x:c>
      <x:c r="D1899" s="22" t="str">
        <x:f>"56.424.616/0001-44"</x:f>
        <x:v>56.424.616/0001-44</x:v>
      </x:c>
      <x:c r="E1899" s="22" t="str">
        <x:f>"56424616000144"</x:f>
        <x:v>56424616000144</x:v>
      </x:c>
      <x:c r="F1899" s="22" t="str">
        <x:f>"131.853.197-70"</x:f>
        <x:v>131.853.197-70</x:v>
      </x:c>
      <x:c r="G1899" s="22" t="str">
        <x:f>"13185319770"</x:f>
        <x:v>13185319770</x:v>
      </x:c>
      <x:c r="H1899" s="23" t="str">
        <x:v>limaa_2k@hotmail.com</x:v>
      </x:c>
      <x:c r="I1899" s="22" t="str">
        <x:f>"21 969731485"</x:f>
        <x:v>21 969731485</x:v>
      </x:c>
      <x:c r="J1899" s="23" t="str">
        <x:v>SPOT</x:v>
      </x:c>
      <x:c r="K1899" s="23" t="str">
        <x:v>favored_only</x:v>
      </x:c>
      <x:c r="L1899" s="24" t="b">
        <x:v>1</x:v>
      </x:c>
      <x:c r="M1899" s="23" t="n">
        <x:v>1</x:v>
      </x:c>
      <x:c r="N1899" s="28" t="n">
        <x:v>46203.921887453704</x:v>
      </x:c>
      <x:c r="O1899" s="28" t="n">
        <x:v>46219.812988715275</x:v>
      </x:c>
      <x:c r="P1899" s="23" t="str">
        <x:v>CAMPO GRANDE</x:v>
      </x:c>
      <x:c r="Q1899" s="30" t="n">
        <x:v>33824</x:v>
      </x:c>
      <x:c r="R1899" s="22" t="str">
        <x:f>"257156182"</x:f>
        <x:v>257156182</x:v>
      </x:c>
      <x:c r="S1899" s="23" t="str">
        <x:v>masculino</x:v>
      </x:c>
      <x:c r="T1899" s="22" t="str">
        <x:f>"LML0H75"</x:f>
        <x:v>LML0H75</x:v>
      </x:c>
      <x:c r="U1899" s="23" t="str">
        <x:v>JONATHAN LIMA GONCALVES</x:v>
      </x:c>
      <x:c r="V1899" s="22" t="str">
        <x:f>"131.853.197-70"</x:f>
        <x:v>131.853.197-70</x:v>
      </x:c>
      <x:c r="W1899" s="22" t="str">
        <x:f>"13185319770"</x:f>
        <x:v>13185319770</x:v>
      </x:c>
      <x:c r="X1899" s="23" t="str">
        <x:v>limaa_2k@hotmail.com</x:v>
      </x:c>
      <x:c r="Y1899" s="22" t="str">
        <x:f>"21 969731485"</x:f>
        <x:v>21 969731485</x:v>
      </x:c>
      <x:c r="Z1899" s="30" t="n">
        <x:v>46331</x:v>
      </x:c>
    </x:row>
    <x:row r="1900" ht="18" customHeight="1">
      <x:c r="A1900" s="22" t="str">
        <x:f>"2142aa6f-f60f-4ff8-9c73-a084a426a4a6"</x:f>
        <x:v>2142aa6f-f60f-4ff8-9c73-a084a426a4a6</x:v>
      </x:c>
      <x:c r="B1900" s="23" t="str">
        <x:v>JONATHAN LUIZ ZEFERINO</x:v>
      </x:c>
      <x:c r="C1900" s="23" t="str">
        <x:v>jonathan luiz zeferino</x:v>
      </x:c>
      <x:c r="D1900" s="22" t="str">
        <x:f>"62.253.999/0001-38"</x:f>
        <x:v>62.253.999/0001-38</x:v>
      </x:c>
      <x:c r="E1900" s="22" t="str">
        <x:f>"62253999000138"</x:f>
        <x:v>62253999000138</x:v>
      </x:c>
      <x:c r="F1900" s="22" t="str">
        <x:f>"115.114.386-30"</x:f>
        <x:v>115.114.386-30</x:v>
      </x:c>
      <x:c r="G1900" s="22" t="str">
        <x:f>"11511438630"</x:f>
        <x:v>11511438630</x:v>
      </x:c>
      <x:c r="H1900" s="23" t="str">
        <x:v>jlzeferinodavi16@gmail.com</x:v>
      </x:c>
      <x:c r="I1900" s="22" t="str">
        <x:f>"37 999325595"</x:f>
        <x:v>37 999325595</x:v>
      </x:c>
      <x:c r="J1900" s="23" t="str">
        <x:v>SPOT</x:v>
      </x:c>
      <x:c r="K1900" s="23" t="str">
        <x:v>favored_only</x:v>
      </x:c>
      <x:c r="L1900" s="24" t="b">
        <x:v>1</x:v>
      </x:c>
      <x:c r="M1900" s="23" t="n">
        <x:v>1</x:v>
      </x:c>
      <x:c r="N1900" s="28" t="n">
        <x:v>46205.604253171296</x:v>
      </x:c>
      <x:c r="O1900" s="28" t="n">
        <x:v>46219.812988715275</x:v>
      </x:c>
      <x:c r="P1900" s="23" t="str">
        <x:v>GUAXUPE</x:v>
      </x:c>
      <x:c r="Q1900" s="30" t="n">
        <x:v>33448</x:v>
      </x:c>
      <x:c r="R1900" s="22" t="str">
        <x:f>"15789059"</x:f>
        <x:v>15789059</x:v>
      </x:c>
      <x:c r="S1900" s="23" t="str">
        <x:v>masculino</x:v>
      </x:c>
      <x:c r="T1900" s="22" t="str">
        <x:f>"ONO9H89"</x:f>
        <x:v>ONO9H89</x:v>
      </x:c>
      <x:c r="U1900" s="23" t="str">
        <x:v>DEBORA DE ALMEIDA LEONARDO</x:v>
      </x:c>
      <x:c r="V1900" s="22" t="str">
        <x:f>"138.751.776-73"</x:f>
        <x:v>138.751.776-73</x:v>
      </x:c>
      <x:c r="W1900" s="22" t="str">
        <x:f>"13875177673"</x:f>
        <x:v>13875177673</x:v>
      </x:c>
      <x:c r="X1900" s="23" t="str">
        <x:v>deboraaleonardo74@yahoo.com</x:v>
      </x:c>
      <x:c r="Y1900" s="22" t="str">
        <x:f>"35 9133-9950"</x:f>
        <x:v>35 9133-9950</x:v>
      </x:c>
      <x:c r="Z1900" s="30" t="n">
        <x:v>46263</x:v>
      </x:c>
    </x:row>
    <x:row r="1901" ht="18" customHeight="1">
      <x:c r="A1901" s="22" t="str">
        <x:f>"2f5ea719-5372-46ef-b56a-b29ea8efdbb2"</x:f>
        <x:v>2f5ea719-5372-46ef-b56a-b29ea8efdbb2</x:v>
      </x:c>
      <x:c r="B1901" s="23" t="str">
        <x:v>JONATHAN MIRANDA MACHADO</x:v>
      </x:c>
      <x:c r="C1901" s="23" t="str">
        <x:v>jonathan miranda machado</x:v>
      </x:c>
      <x:c r="D1901" s="22" t="str">
        <x:f>"47.459.293/0001-33"</x:f>
        <x:v>47.459.293/0001-33</x:v>
      </x:c>
      <x:c r="E1901" s="22" t="str">
        <x:f>"47459293000133"</x:f>
        <x:v>47459293000133</x:v>
      </x:c>
      <x:c r="F1901" s="22" t="str">
        <x:f>"139.001.647-11"</x:f>
        <x:v>139.001.647-11</x:v>
      </x:c>
      <x:c r="G1901" s="22" t="str">
        <x:f>"13900164711"</x:f>
        <x:v>13900164711</x:v>
      </x:c>
      <x:c r="H1901" s="23" t="str">
        <x:v>jhonmir52.jm@gmail.com</x:v>
      </x:c>
      <x:c r="I1901" s="22" t="str">
        <x:f>"22999097009"</x:f>
        <x:v>22999097009</x:v>
      </x:c>
      <x:c r="J1901" s="23" t="str">
        <x:v>SPOT</x:v>
      </x:c>
      <x:c r="K1901" s="23" t="str">
        <x:v>favored_only</x:v>
      </x:c>
      <x:c r="L1901" s="24" t="b">
        <x:v>1</x:v>
      </x:c>
      <x:c r="M1901" s="23" t="n">
        <x:v>1</x:v>
      </x:c>
      <x:c r="N1901" s="28" t="n">
        <x:v>46219.812988715275</x:v>
      </x:c>
      <x:c r="O1901" s="28" t="n">
        <x:v>46219.812988715275</x:v>
      </x:c>
      <x:c r="P1901" s="23" t="str">
        <x:v>CAMPOS DOS GOYTACAZES</x:v>
      </x:c>
      <x:c r="Q1901" s="30" t="n">
        <x:v>33439</x:v>
      </x:c>
      <x:c r="R1901" s="22" t="str">
        <x:f>"270296312"</x:f>
        <x:v>270296312</x:v>
      </x:c>
      <x:c r="S1901" s="23" t="str">
        <x:v>masculino</x:v>
      </x:c>
      <x:c r="T1901" s="22" t="str">
        <x:f>"LPM4A12"</x:f>
        <x:v>LPM4A12</x:v>
      </x:c>
      <x:c r="U1901" s="23" t="str">
        <x:v>SERGIO VIEIRA MONNERAT JUNIOR</x:v>
      </x:c>
      <x:c r="V1901" s="22" t="str">
        <x:f>"100.877.337-61"</x:f>
        <x:v>100.877.337-61</x:v>
      </x:c>
      <x:c r="W1901" s="22" t="str">
        <x:f>"10087733761"</x:f>
        <x:v>10087733761</x:v>
      </x:c>
      <x:c r="X1901" s="23" t="str">
        <x:v>sergiov.monneratjr@gmail.com</x:v>
      </x:c>
      <x:c r="Y1901" s="22" t="str">
        <x:f>"22981380350"</x:f>
        <x:v>22981380350</x:v>
      </x:c>
      <x:c r="Z1901" s="30" t="n">
        <x:v>46442</x:v>
      </x:c>
    </x:row>
    <x:row r="1902" ht="18" customHeight="1">
      <x:c r="A1902" s="22" t="str">
        <x:f>"eeb8a7fb-1d23-468b-9fd5-a4f0cfa307b8"</x:f>
        <x:v>eeb8a7fb-1d23-468b-9fd5-a4f0cfa307b8</x:v>
      </x:c>
      <x:c r="B1902" s="23" t="str">
        <x:v>JONATHAN RAMOS DA SILVA BRITO</x:v>
      </x:c>
      <x:c r="C1902" s="23" t="str">
        <x:v>jonathan ramos da silva brito</x:v>
      </x:c>
      <x:c r="D1902" s="22" t="str">
        <x:f>"63.823.856/0001-87"</x:f>
        <x:v>63.823.856/0001-87</x:v>
      </x:c>
      <x:c r="E1902" s="22" t="str">
        <x:f>"63823856000187"</x:f>
        <x:v>63823856000187</x:v>
      </x:c>
      <x:c r="F1902" s="22" t="str">
        <x:f>"513.323.088-56"</x:f>
        <x:v>513.323.088-56</x:v>
      </x:c>
      <x:c r="G1902" s="22" t="str">
        <x:f>"51332308856"</x:f>
        <x:v>51332308856</x:v>
      </x:c>
      <x:c r="H1902" s="23" t="str">
        <x:v>jtramostransporte@gmail.com</x:v>
      </x:c>
      <x:c r="I1902" s="22" t="str">
        <x:f>"18 98111-7245"</x:f>
        <x:v>18 98111-7245</x:v>
      </x:c>
      <x:c r="J1902" s="23" t="str">
        <x:v>SPOT</x:v>
      </x:c>
      <x:c r="K1902" s="23" t="str">
        <x:v>favored_only</x:v>
      </x:c>
      <x:c r="L1902" s="24" t="b">
        <x:v>1</x:v>
      </x:c>
      <x:c r="M1902" s="23" t="n">
        <x:v>1</x:v>
      </x:c>
      <x:c r="N1902" s="28" t="n">
        <x:v>46203.921904421295</x:v>
      </x:c>
      <x:c r="O1902" s="28" t="n">
        <x:v>46219.812988715275</x:v>
      </x:c>
      <x:c r="P1902" s="23" t="str">
        <x:v>ARAÇATUBA</x:v>
      </x:c>
      <x:c r="Q1902" s="30" t="n">
        <x:v>37571</x:v>
      </x:c>
      <x:c r="R1902" s="22" t="str">
        <x:f>"62.269.498-4"</x:f>
        <x:v>62.269.498-4</x:v>
      </x:c>
      <x:c r="S1902" s="23" t="str">
        <x:v>masculino</x:v>
      </x:c>
      <x:c r="T1902" s="22" t="str">
        <x:f>"QPG4A70"</x:f>
        <x:v>QPG4A70</x:v>
      </x:c>
      <x:c r="U1902" s="23" t="str">
        <x:v>JONATHAN RAMOS DA SILVA BRITO</x:v>
      </x:c>
      <x:c r="V1902" s="22" t="str">
        <x:f>"513.323.088-56"</x:f>
        <x:v>513.323.088-56</x:v>
      </x:c>
      <x:c r="W1902" s="22" t="str">
        <x:f>"51332308856"</x:f>
        <x:v>51332308856</x:v>
      </x:c>
      <x:c r="X1902" s="23" t="str">
        <x:v>jtramostransporte@gmail.com</x:v>
      </x:c>
      <x:c r="Y1902" s="22" t="str">
        <x:f>"18 98111-7245"</x:f>
        <x:v>18 98111-7245</x:v>
      </x:c>
      <x:c r="Z1902" s="30" t="n">
        <x:v>46366</x:v>
      </x:c>
    </x:row>
    <x:row r="1903" ht="18" customHeight="1">
      <x:c r="A1903" s="22" t="str">
        <x:f>"9083bc04-a71e-4207-ac9d-7636e85fe1a3"</x:f>
        <x:v>9083bc04-a71e-4207-ac9d-7636e85fe1a3</x:v>
      </x:c>
      <x:c r="B1903" s="23" t="str">
        <x:v>JONATHAN ROSA SANTIAGO</x:v>
      </x:c>
      <x:c r="C1903" s="23" t="str">
        <x:v>jonathan rosa santiago</x:v>
      </x:c>
      <x:c r="D1903" s="22" t="str">
        <x:f>"62.521.446/0001-19"</x:f>
        <x:v>62.521.446/0001-19</x:v>
      </x:c>
      <x:c r="E1903" s="22" t="str">
        <x:f>"62521446000119"</x:f>
        <x:v>62521446000119</x:v>
      </x:c>
      <x:c r="F1903" s="22" t="str">
        <x:f>"176.938.956-39"</x:f>
        <x:v>176.938.956-39</x:v>
      </x:c>
      <x:c r="G1903" s="22" t="str">
        <x:f>"17693895639"</x:f>
        <x:v>17693895639</x:v>
      </x:c>
      <x:c r="H1903" s="23" t="str">
        <x:v>Jonathanrosaa007@gmail.com</x:v>
      </x:c>
      <x:c r="I1903" s="22" t="str">
        <x:f>"31972396042"</x:f>
        <x:v>31972396042</x:v>
      </x:c>
      <x:c r="J1903" s="23" t="str">
        <x:v>SPOT</x:v>
      </x:c>
      <x:c r="K1903" s="23" t="str">
        <x:v>favored_only</x:v>
      </x:c>
      <x:c r="L1903" s="24" t="b">
        <x:v>1</x:v>
      </x:c>
      <x:c r="M1903" s="23" t="n">
        <x:v>1</x:v>
      </x:c>
      <x:c r="N1903" s="28" t="n">
        <x:v>46203.92186462963</x:v>
      </x:c>
      <x:c r="O1903" s="28" t="n">
        <x:v>46219.812988715275</x:v>
      </x:c>
      <x:c r="P1903" s="23" t="str">
        <x:v>TEOFILO OTONI</x:v>
      </x:c>
      <x:c r="Q1903" s="30" t="n">
        <x:v>38627</x:v>
      </x:c>
      <x:c r="R1903" s="22" t="str">
        <x:f>"21530113"</x:f>
        <x:v>21530113</x:v>
      </x:c>
      <x:c r="S1903" s="23" t="str">
        <x:v>masculino</x:v>
      </x:c>
      <x:c r="T1903" s="22" t="str">
        <x:f>"OWL5A53"</x:f>
        <x:v>OWL5A53</x:v>
      </x:c>
      <x:c r="U1903" s="23" t="str">
        <x:v>JONATHAN ROSA SANTIAGO</x:v>
      </x:c>
      <x:c r="V1903" s="22" t="str">
        <x:f>"176.938.956-39"</x:f>
        <x:v>176.938.956-39</x:v>
      </x:c>
      <x:c r="W1903" s="22" t="str">
        <x:f>"17693895639"</x:f>
        <x:v>17693895639</x:v>
      </x:c>
      <x:c r="X1903" s="23" t="str">
        <x:v>Jonathanrosaa007@gmail.com</x:v>
      </x:c>
      <x:c r="Y1903" s="22" t="str">
        <x:f>"31972396042"</x:f>
        <x:v>31972396042</x:v>
      </x:c>
      <x:c r="Z1903" s="30" t="n">
        <x:v>46281</x:v>
      </x:c>
    </x:row>
    <x:row r="1904" ht="18" customHeight="1">
      <x:c r="A1904" s="22" t="str">
        <x:f>"3d502378-1a6a-4bda-8288-268963f40d8e"</x:f>
        <x:v>3d502378-1a6a-4bda-8288-268963f40d8e</x:v>
      </x:c>
      <x:c r="B1904" s="23" t="str">
        <x:v>JONATHAN SANDER PRESTES</x:v>
      </x:c>
      <x:c r="C1904" s="23" t="str">
        <x:v>jonathan sander prestes</x:v>
      </x:c>
      <x:c r="D1904" s="22" t="str">
        <x:f>"61.526.816/0001-48"</x:f>
        <x:v>61.526.816/0001-48</x:v>
      </x:c>
      <x:c r="E1904" s="22" t="str">
        <x:f>"61526816000148"</x:f>
        <x:v>61526816000148</x:v>
      </x:c>
      <x:c r="F1904" s="22" t="str">
        <x:f>"050.262.019-62"</x:f>
        <x:v>050.262.019-62</x:v>
      </x:c>
      <x:c r="G1904" s="22" t="str">
        <x:f>"05026201962"</x:f>
        <x:v>05026201962</x:v>
      </x:c>
      <x:c r="H1904" s="23" t="str">
        <x:v>jonathansander22@gmail.com</x:v>
      </x:c>
      <x:c r="I1904" s="22" t="str">
        <x:f>"18 996378116"</x:f>
        <x:v>18 996378116</x:v>
      </x:c>
      <x:c r="J1904" s="23" t="str">
        <x:v>DESCONHECIDO</x:v>
      </x:c>
      <x:c r="K1904" s="23" t="str">
        <x:v>favored_only</x:v>
      </x:c>
      <x:c r="L1904" s="24" t="b">
        <x:v>1</x:v>
      </x:c>
      <x:c r="M1904" s="23" t="n">
        <x:v>1</x:v>
      </x:c>
      <x:c r="N1904" s="28" t="n">
        <x:v>46203.921840393516</x:v>
      </x:c>
      <x:c r="O1904" s="28" t="n">
        <x:v>46219.812988715275</x:v>
      </x:c>
      <x:c r="P1904" s="23" t="str">
        <x:v>PRESIDENTE PRUDENTE</x:v>
      </x:c>
      <x:c r="Q1904" s="30" t="str"/>
      <x:c r="R1904" s="22" t="str">
        <x:f>"93008430"</x:f>
        <x:v>93008430</x:v>
      </x:c>
      <x:c r="S1904" s="23" t="str">
        <x:v>masculino</x:v>
      </x:c>
      <x:c r="T1904" s="22" t="str">
        <x:f>"RTV9J08"</x:f>
        <x:v>RTV9J08</x:v>
      </x:c>
      <x:c r="U1904" s="23" t="str">
        <x:v>JONATHAN SANDER PRESTES</x:v>
      </x:c>
      <x:c r="V1904" s="22" t="str">
        <x:f>"050.262.019-62"</x:f>
        <x:v>050.262.019-62</x:v>
      </x:c>
      <x:c r="W1904" s="22" t="str">
        <x:f>"05026201962"</x:f>
        <x:v>05026201962</x:v>
      </x:c>
      <x:c r="X1904" s="23" t="str">
        <x:v>jonathansander22@gmail.com</x:v>
      </x:c>
      <x:c r="Y1904" s="22" t="str">
        <x:f>"18 996378116"</x:f>
        <x:v>18 996378116</x:v>
      </x:c>
      <x:c r="Z1904" s="30" t="n">
        <x:v>46246</x:v>
      </x:c>
    </x:row>
    <x:row r="1905" ht="18" customHeight="1">
      <x:c r="A1905" s="22" t="str">
        <x:f>"6c341071-49b4-49d6-ba73-afdc9c6ec415"</x:f>
        <x:v>6c341071-49b4-49d6-ba73-afdc9c6ec415</x:v>
      </x:c>
      <x:c r="B1905" s="23" t="str">
        <x:v>JONATHAN VINICIUS GARCIA CARDOSO</x:v>
      </x:c>
      <x:c r="C1905" s="23" t="str">
        <x:v>jonathan vinicius garcia cardoso</x:v>
      </x:c>
      <x:c r="D1905" s="22" t="str">
        <x:f>"63.188.696/0001-41"</x:f>
        <x:v>63.188.696/0001-41</x:v>
      </x:c>
      <x:c r="E1905" s="22" t="str">
        <x:f>"63188696000141"</x:f>
        <x:v>63188696000141</x:v>
      </x:c>
      <x:c r="F1905" s="22" t="str">
        <x:f>"138.255.157-61"</x:f>
        <x:v>138.255.157-61</x:v>
      </x:c>
      <x:c r="G1905" s="22" t="str">
        <x:f>"13825515761"</x:f>
        <x:v>13825515761</x:v>
      </x:c>
      <x:c r="H1905" s="23" t="str">
        <x:v>jonathan_vgc@hotmail.com</x:v>
      </x:c>
      <x:c r="I1905" s="22" t="str">
        <x:f>"(21) 96551-0919"</x:f>
        <x:v>(21) 96551-0919</x:v>
      </x:c>
      <x:c r="J1905" s="23" t="str">
        <x:v>SPOT</x:v>
      </x:c>
      <x:c r="K1905" s="23" t="str">
        <x:v>favored_only</x:v>
      </x:c>
      <x:c r="L1905" s="24" t="b">
        <x:v>1</x:v>
      </x:c>
      <x:c r="M1905" s="23" t="n">
        <x:v>1</x:v>
      </x:c>
      <x:c r="N1905" s="28" t="n">
        <x:v>46203.921904421295</x:v>
      </x:c>
      <x:c r="O1905" s="28" t="n">
        <x:v>46219.812988715275</x:v>
      </x:c>
      <x:c r="P1905" s="23" t="str">
        <x:v>CORDOVIL</x:v>
      </x:c>
      <x:c r="Q1905" s="30" t="n">
        <x:v>34951</x:v>
      </x:c>
      <x:c r="R1905" s="22" t="str">
        <x:f>"342069846"</x:f>
        <x:v>342069846</x:v>
      </x:c>
      <x:c r="S1905" s="23" t="str">
        <x:v>masculino</x:v>
      </x:c>
      <x:c r="T1905" s="22" t="str">
        <x:f>"LQZ4J65"</x:f>
        <x:v>LQZ4J65</x:v>
      </x:c>
      <x:c r="U1905" s="23" t="str">
        <x:v>JONATHAN VINICIUS GARCIA CARDOSO</x:v>
      </x:c>
      <x:c r="V1905" s="22" t="str">
        <x:f>"138.255.157-61"</x:f>
        <x:v>138.255.157-61</x:v>
      </x:c>
      <x:c r="W1905" s="22" t="str">
        <x:f>"13825515761"</x:f>
        <x:v>13825515761</x:v>
      </x:c>
      <x:c r="X1905" s="23" t="str">
        <x:v>jonathan_vgc@hotmail.com</x:v>
      </x:c>
      <x:c r="Y1905" s="22" t="str">
        <x:f>"(21) 96551-0919"</x:f>
        <x:v>(21) 96551-0919</x:v>
      </x:c>
      <x:c r="Z1905" s="30" t="n">
        <x:v>46371</x:v>
      </x:c>
    </x:row>
    <x:row r="1906" ht="18" customHeight="1">
      <x:c r="A1906" s="22" t="str">
        <x:f>"11ef1aeb-1c09-4975-9072-3860eefc13e2"</x:f>
        <x:v>11ef1aeb-1c09-4975-9072-3860eefc13e2</x:v>
      </x:c>
      <x:c r="B1906" s="23" t="str">
        <x:v>JONATHAS CUNHA DA SILVA</x:v>
      </x:c>
      <x:c r="C1906" s="23" t="str">
        <x:v>jonathas cunha da silva</x:v>
      </x:c>
      <x:c r="D1906" s="22" t="str">
        <x:f>"65.686.358/0001-65"</x:f>
        <x:v>65.686.358/0001-65</x:v>
      </x:c>
      <x:c r="E1906" s="22" t="str">
        <x:f>"65686358000165"</x:f>
        <x:v>65686358000165</x:v>
      </x:c>
      <x:c r="F1906" s="22" t="str">
        <x:f>"104.856.477-02"</x:f>
        <x:v>104.856.477-02</x:v>
      </x:c>
      <x:c r="G1906" s="22" t="str">
        <x:f>"10485647702"</x:f>
        <x:v>10485647702</x:v>
      </x:c>
      <x:c r="H1906" s="23" t="str">
        <x:v>cunha.jonathas@gmail.com</x:v>
      </x:c>
      <x:c r="I1906" s="22" t="str">
        <x:f>"21 968392129"</x:f>
        <x:v>21 968392129</x:v>
      </x:c>
      <x:c r="J1906" s="23" t="str">
        <x:v>SPOT</x:v>
      </x:c>
      <x:c r="K1906" s="23" t="str">
        <x:v>favored_only</x:v>
      </x:c>
      <x:c r="L1906" s="24" t="b">
        <x:v>1</x:v>
      </x:c>
      <x:c r="M1906" s="23" t="n">
        <x:v>1</x:v>
      </x:c>
      <x:c r="N1906" s="28" t="n">
        <x:v>46219.812988715275</x:v>
      </x:c>
      <x:c r="O1906" s="28" t="n">
        <x:v>46219.812988715275</x:v>
      </x:c>
      <x:c r="P1906" s="23" t="str">
        <x:v>SÃO JOAO DE MERITI</x:v>
      </x:c>
      <x:c r="Q1906" s="30" t="n">
        <x:v>30848</x:v>
      </x:c>
      <x:c r="R1906" s="22" t="str">
        <x:f>"131978983"</x:f>
        <x:v>131978983</x:v>
      </x:c>
      <x:c r="S1906" s="23" t="str">
        <x:v>masculino</x:v>
      </x:c>
      <x:c r="T1906" s="22" t="str">
        <x:f>"KRW3I93"</x:f>
        <x:v>KRW3I93</x:v>
      </x:c>
      <x:c r="U1906" s="23" t="str">
        <x:v>PRISCILA DOS SANTOS DA SILVA</x:v>
      </x:c>
      <x:c r="V1906" s="22" t="str">
        <x:f>"141.576.437-98"</x:f>
        <x:v>141.576.437-98</x:v>
      </x:c>
      <x:c r="W1906" s="22" t="str">
        <x:f>"14157643798"</x:f>
        <x:v>14157643798</x:v>
      </x:c>
      <x:c r="X1906" s="23" t="str">
        <x:v>pri.cunha595@gmail.com</x:v>
      </x:c>
      <x:c r="Y1906" s="22" t="str">
        <x:f>"21 972349509"</x:f>
        <x:v>21 972349509</x:v>
      </x:c>
      <x:c r="Z1906" s="30" t="n">
        <x:v>46500</x:v>
      </x:c>
    </x:row>
    <x:row r="1907" ht="18" customHeight="1">
      <x:c r="A1907" s="22" t="str">
        <x:f>"2bcb9a84-a767-462d-85af-72e35c4e9d15"</x:f>
        <x:v>2bcb9a84-a767-462d-85af-72e35c4e9d15</x:v>
      </x:c>
      <x:c r="B1907" s="23" t="str">
        <x:v>JONATHAS DE MATOS OLIVEIRA</x:v>
      </x:c>
      <x:c r="C1907" s="23" t="str">
        <x:v>jonathas de matos oliveira</x:v>
      </x:c>
      <x:c r="D1907" s="22" t="str">
        <x:f>"37.723.865/0001-96"</x:f>
        <x:v>37.723.865/0001-96</x:v>
      </x:c>
      <x:c r="E1907" s="22" t="str">
        <x:f>"37723865000196"</x:f>
        <x:v>37723865000196</x:v>
      </x:c>
      <x:c r="F1907" s="22" t="str">
        <x:f>"503.393.948-38"</x:f>
        <x:v>503.393.948-38</x:v>
      </x:c>
      <x:c r="G1907" s="22" t="str">
        <x:f>"50339394838"</x:f>
        <x:v>50339394838</x:v>
      </x:c>
      <x:c r="H1907" s="23" t="str">
        <x:v>jonathasmatos4@gmail.com</x:v>
      </x:c>
      <x:c r="I1907" s="22" t="str">
        <x:f>"11 913672286"</x:f>
        <x:v>11 913672286</x:v>
      </x:c>
      <x:c r="J1907" s="23" t="str">
        <x:v>RENTAL</x:v>
      </x:c>
      <x:c r="K1907" s="23" t="str">
        <x:v>rental_company</x:v>
      </x:c>
      <x:c r="L1907" s="24" t="b">
        <x:v>1</x:v>
      </x:c>
      <x:c r="M1907" s="23" t="n">
        <x:v>1</x:v>
      </x:c>
      <x:c r="N1907" s="28" t="n">
        <x:v>46219.812988715275</x:v>
      </x:c>
      <x:c r="O1907" s="28" t="n">
        <x:v>46219.812988715275</x:v>
      </x:c>
      <x:c r="P1907" s="23" t="str">
        <x:v>BARUERI</x:v>
      </x:c>
      <x:c r="Q1907" s="30" t="n">
        <x:v>37075</x:v>
      </x:c>
      <x:c r="R1907" s="22" t="str">
        <x:f>"60501159X"</x:f>
        <x:v>60501159X</x:v>
      </x:c>
      <x:c r="S1907" s="23" t="str">
        <x:v>masculino</x:v>
      </x:c>
      <x:c r="T1907" s="22" t="str"/>
      <x:c r="U1907" s="23" t="str">
        <x:v>JONATHAS DE MATOS OLIVEIRA</x:v>
      </x:c>
      <x:c r="V1907" s="22" t="str">
        <x:f>"503.393.948-38"</x:f>
        <x:v>503.393.948-38</x:v>
      </x:c>
      <x:c r="W1907" s="22" t="str">
        <x:f>"50339394838"</x:f>
        <x:v>50339394838</x:v>
      </x:c>
      <x:c r="X1907" s="23" t="str">
        <x:v>jonathasmatos4@gmail.com</x:v>
      </x:c>
      <x:c r="Y1907" s="22" t="str">
        <x:f>"11 913672286"</x:f>
        <x:v>11 913672286</x:v>
      </x:c>
      <x:c r="Z1907" s="30" t="n">
        <x:v>46515</x:v>
      </x:c>
    </x:row>
    <x:row r="1908" ht="18" customHeight="1">
      <x:c r="A1908" s="22" t="str">
        <x:f>"6b5faaaa-fe8a-4948-8dd8-5f7f74725c6f"</x:f>
        <x:v>6b5faaaa-fe8a-4948-8dd8-5f7f74725c6f</x:v>
      </x:c>
      <x:c r="B1908" s="23" t="str">
        <x:v>JONATHAS GUEDES DOS SANTOS VASCONCELOS</x:v>
      </x:c>
      <x:c r="C1908" s="23" t="str">
        <x:v>jonathas guedes dos santos vasconcelos</x:v>
      </x:c>
      <x:c r="D1908" s="22" t="str">
        <x:f>"44.166.539/0001-90"</x:f>
        <x:v>44.166.539/0001-90</x:v>
      </x:c>
      <x:c r="E1908" s="22" t="str">
        <x:f>"44166539000190"</x:f>
        <x:v>44166539000190</x:v>
      </x:c>
      <x:c r="F1908" s="22" t="str">
        <x:f>"107.305.897-22"</x:f>
        <x:v>107.305.897-22</x:v>
      </x:c>
      <x:c r="G1908" s="22" t="str">
        <x:f>"10730589722"</x:f>
        <x:v>10730589722</x:v>
      </x:c>
      <x:c r="H1908" s="23" t="str">
        <x:v>jonatha.guedes@gmail.com</x:v>
      </x:c>
      <x:c r="I1908" s="22" t="str">
        <x:f>"21980212471"</x:f>
        <x:v>21980212471</x:v>
      </x:c>
      <x:c r="J1908" s="23" t="str">
        <x:v>rental</x:v>
      </x:c>
      <x:c r="K1908" s="23" t="str">
        <x:v>favored_only</x:v>
      </x:c>
      <x:c r="L1908" s="24" t="b">
        <x:v>1</x:v>
      </x:c>
      <x:c r="M1908" s="23" t="n">
        <x:v>3</x:v>
      </x:c>
      <x:c r="N1908" s="28" t="n">
        <x:v>46203.921887453704</x:v>
      </x:c>
      <x:c r="O1908" s="28" t="n">
        <x:v>46219.812988715275</x:v>
      </x:c>
      <x:c r="P1908" s="23" t="str">
        <x:v>CAMPO GRANDE</x:v>
      </x:c>
      <x:c r="Q1908" s="30" t="n">
        <x:v>33023</x:v>
      </x:c>
      <x:c r="R1908" s="22" t="str">
        <x:f>"212255665"</x:f>
        <x:v>212255665</x:v>
      </x:c>
      <x:c r="S1908" s="23" t="str">
        <x:v>masculino</x:v>
      </x:c>
      <x:c r="T1908" s="22" t="str">
        <x:f>"FLG3809"</x:f>
        <x:v>FLG3809</x:v>
      </x:c>
      <x:c r="U1908" s="23" t="str">
        <x:v>JONATHAS GUEDES DOS SANTOS VASCONCELOS</x:v>
      </x:c>
      <x:c r="V1908" s="22" t="str">
        <x:f>"107.305.897-22"</x:f>
        <x:v>107.305.897-22</x:v>
      </x:c>
      <x:c r="W1908" s="22" t="str">
        <x:f>"10730589722"</x:f>
        <x:v>10730589722</x:v>
      </x:c>
      <x:c r="X1908" s="23" t="str">
        <x:v>jonatha.guedes@gmail.com</x:v>
      </x:c>
      <x:c r="Y1908" s="22" t="str">
        <x:f>"21980212471"</x:f>
        <x:v>21980212471</x:v>
      </x:c>
      <x:c r="Z1908" s="30" t="n">
        <x:v>46549</x:v>
      </x:c>
    </x:row>
    <x:row r="1909" ht="18" customHeight="1">
      <x:c r="A1909" s="22" t="str">
        <x:f>"2895cdc2-4172-492b-be8c-28dd9c515e3f"</x:f>
        <x:v>2895cdc2-4172-492b-be8c-28dd9c515e3f</x:v>
      </x:c>
      <x:c r="B1909" s="23" t="str">
        <x:v>JONATHAS MIGUEL MELO</x:v>
      </x:c>
      <x:c r="C1909" s="23" t="str">
        <x:v>jonathas miguel melo</x:v>
      </x:c>
      <x:c r="D1909" s="22" t="str">
        <x:f>"66530592000161"</x:f>
        <x:v>66530592000161</x:v>
      </x:c>
      <x:c r="E1909" s="22" t="str">
        <x:f>"66530592000161"</x:f>
        <x:v>66530592000161</x:v>
      </x:c>
      <x:c r="F1909" s="22" t="str">
        <x:f>"14850274625"</x:f>
        <x:v>14850274625</x:v>
      </x:c>
      <x:c r="G1909" s="22" t="str">
        <x:f>"14850274625"</x:f>
        <x:v>14850274625</x:v>
      </x:c>
      <x:c r="H1909" s="23" t="str">
        <x:v>jonathasmelo022@gmail.com</x:v>
      </x:c>
      <x:c r="I1909" s="22" t="str">
        <x:f>"34996566857"</x:f>
        <x:v>34996566857</x:v>
      </x:c>
      <x:c r="J1909" s="23" t="str">
        <x:v>SPOT</x:v>
      </x:c>
      <x:c r="K1909" s="23" t="str">
        <x:v>favored_only</x:v>
      </x:c>
      <x:c r="L1909" s="24" t="b">
        <x:v>1</x:v>
      </x:c>
      <x:c r="M1909" s="23" t="n">
        <x:v>1</x:v>
      </x:c>
      <x:c r="N1909" s="28" t="n">
        <x:v>46203.92191240741</x:v>
      </x:c>
      <x:c r="O1909" s="28" t="n">
        <x:v>46203.92191240741</x:v>
      </x:c>
      <x:c r="P1909" s="23" t="str"/>
      <x:c r="Q1909" s="30" t="str"/>
      <x:c r="R1909" s="22" t="str"/>
      <x:c r="S1909" s="23" t="str"/>
      <x:c r="T1909" s="22" t="str"/>
      <x:c r="U1909" s="23" t="str">
        <x:v>JONATHAS MIGUEL MELO</x:v>
      </x:c>
      <x:c r="V1909" s="22" t="str">
        <x:f>"14850274625"</x:f>
        <x:v>14850274625</x:v>
      </x:c>
      <x:c r="W1909" s="22" t="str">
        <x:f>"14850274625"</x:f>
        <x:v>14850274625</x:v>
      </x:c>
      <x:c r="X1909" s="23" t="str">
        <x:v>jonathasmelo022@gmail.com</x:v>
      </x:c>
      <x:c r="Y1909" s="22" t="str">
        <x:f>"34996566857"</x:f>
        <x:v>34996566857</x:v>
      </x:c>
      <x:c r="Z1909" s="30" t="str"/>
    </x:row>
    <x:row r="1910" ht="18" customHeight="1">
      <x:c r="A1910" s="22" t="str">
        <x:f>"064197e2-e6a4-4549-ba41-381bfe3bdfb1"</x:f>
        <x:v>064197e2-e6a4-4549-ba41-381bfe3bdfb1</x:v>
      </x:c>
      <x:c r="B1910" s="23" t="str">
        <x:v>JONNATHA GONCALVES MENDES</x:v>
      </x:c>
      <x:c r="C1910" s="23" t="str">
        <x:v>jonnatha goncalves mendes</x:v>
      </x:c>
      <x:c r="D1910" s="22" t="str">
        <x:f>"59.374.478/0001-24"</x:f>
        <x:v>59.374.478/0001-24</x:v>
      </x:c>
      <x:c r="E1910" s="22" t="str">
        <x:f>"59374478000124"</x:f>
        <x:v>59374478000124</x:v>
      </x:c>
      <x:c r="F1910" s="22" t="str">
        <x:f>"073.998.226-54"</x:f>
        <x:v>073.998.226-54</x:v>
      </x:c>
      <x:c r="G1910" s="22" t="str">
        <x:f>"07399822654"</x:f>
        <x:v>07399822654</x:v>
      </x:c>
      <x:c r="H1910" s="23" t="str">
        <x:v>jonnathagm10@gmail.com</x:v>
      </x:c>
      <x:c r="I1910" s="22" t="str">
        <x:f>"34991861858"</x:f>
        <x:v>34991861858</x:v>
      </x:c>
      <x:c r="J1910" s="23" t="str">
        <x:v>RENTAL</x:v>
      </x:c>
      <x:c r="K1910" s="23" t="str">
        <x:v>rental_company</x:v>
      </x:c>
      <x:c r="L1910" s="24" t="b">
        <x:v>1</x:v>
      </x:c>
      <x:c r="M1910" s="23" t="n">
        <x:v>1</x:v>
      </x:c>
      <x:c r="N1910" s="28" t="n">
        <x:v>46219.812988715275</x:v>
      </x:c>
      <x:c r="O1910" s="28" t="n">
        <x:v>46219.812988715275</x:v>
      </x:c>
      <x:c r="P1910" s="23" t="str">
        <x:v>UBERABA</x:v>
      </x:c>
      <x:c r="Q1910" s="30" t="n">
        <x:v>30995</x:v>
      </x:c>
      <x:c r="R1910" s="22" t="str">
        <x:f>"MG3363555"</x:f>
        <x:v>MG3363555</x:v>
      </x:c>
      <x:c r="S1910" s="23" t="str">
        <x:v>masculino</x:v>
      </x:c>
      <x:c r="T1910" s="22" t="str"/>
      <x:c r="U1910" s="23" t="str">
        <x:v>JONNATHA GONCALVES MENDES</x:v>
      </x:c>
      <x:c r="V1910" s="22" t="str">
        <x:f>"073.998.226-54"</x:f>
        <x:v>073.998.226-54</x:v>
      </x:c>
      <x:c r="W1910" s="22" t="str">
        <x:f>"07399822654"</x:f>
        <x:v>07399822654</x:v>
      </x:c>
      <x:c r="X1910" s="23" t="str">
        <x:v>jonnathagm10@gmail.com</x:v>
      </x:c>
      <x:c r="Y1910" s="22" t="str">
        <x:f>"34991861858"</x:f>
        <x:v>34991861858</x:v>
      </x:c>
      <x:c r="Z1910" s="30" t="n">
        <x:v>46488</x:v>
      </x:c>
    </x:row>
    <x:row r="1911" ht="18" customHeight="1">
      <x:c r="A1911" s="22" t="str">
        <x:f>"c7bd0f8f-3de8-4d18-8dde-0cb59a3f6e67"</x:f>
        <x:v>c7bd0f8f-3de8-4d18-8dde-0cb59a3f6e67</x:v>
      </x:c>
      <x:c r="B1911" s="23" t="str">
        <x:v>JONYS ROQUE HERCULANO</x:v>
      </x:c>
      <x:c r="C1911" s="23" t="str">
        <x:v>jonys roque herculano</x:v>
      </x:c>
      <x:c r="D1911" s="22" t="str">
        <x:f>"67.788.115/0001-63"</x:f>
        <x:v>67.788.115/0001-63</x:v>
      </x:c>
      <x:c r="E1911" s="22" t="str">
        <x:f>"67788115000163"</x:f>
        <x:v>67788115000163</x:v>
      </x:c>
      <x:c r="F1911" s="22" t="str">
        <x:f>"141.297.386-40"</x:f>
        <x:v>141.297.386-40</x:v>
      </x:c>
      <x:c r="G1911" s="22" t="str">
        <x:f>"14129738640"</x:f>
        <x:v>14129738640</x:v>
      </x:c>
      <x:c r="H1911" s="23" t="str">
        <x:v>jonysroque2010@hotmail.com</x:v>
      </x:c>
      <x:c r="I1911" s="22" t="str">
        <x:f>"(35) 99822-9009"</x:f>
        <x:v>(35) 99822-9009</x:v>
      </x:c>
      <x:c r="J1911" s="23" t="str">
        <x:v>RENTAL</x:v>
      </x:c>
      <x:c r="K1911" s="23" t="str">
        <x:v>rental_company</x:v>
      </x:c>
      <x:c r="L1911" s="24" t="b">
        <x:v>1</x:v>
      </x:c>
      <x:c r="M1911" s="23" t="n">
        <x:v>1</x:v>
      </x:c>
      <x:c r="N1911" s="28" t="n">
        <x:v>46219.812988715275</x:v>
      </x:c>
      <x:c r="O1911" s="28" t="n">
        <x:v>46219.812988715275</x:v>
      </x:c>
      <x:c r="P1911" s="23" t="str">
        <x:v>POUSO ALEGRE</x:v>
      </x:c>
      <x:c r="Q1911" s="30" t="n">
        <x:v>36078</x:v>
      </x:c>
      <x:c r="R1911" s="22" t="str">
        <x:f>"00007914854004 MT MG"</x:f>
        <x:v>00007914854004 MT MG</x:v>
      </x:c>
      <x:c r="S1911" s="23" t="str">
        <x:v>masculino</x:v>
      </x:c>
      <x:c r="T1911" s="22" t="str"/>
      <x:c r="U1911" s="23" t="str">
        <x:v>JONYS ROQUE HERCULANO</x:v>
      </x:c>
      <x:c r="V1911" s="22" t="str">
        <x:f>"141.297.386-40"</x:f>
        <x:v>141.297.386-40</x:v>
      </x:c>
      <x:c r="W1911" s="22" t="str">
        <x:f>"14129738640"</x:f>
        <x:v>14129738640</x:v>
      </x:c>
      <x:c r="X1911" s="23" t="str">
        <x:v>jonysroque2010@hotmail.com</x:v>
      </x:c>
      <x:c r="Y1911" s="22" t="str">
        <x:f>"(35) 99822-9009"</x:f>
        <x:v>(35) 99822-9009</x:v>
      </x:c>
      <x:c r="Z1911" s="30" t="n">
        <x:v>46581</x:v>
      </x:c>
    </x:row>
    <x:row r="1912" ht="18" customHeight="1">
      <x:c r="A1912" s="22" t="str">
        <x:f>"4918e34e-d251-4bea-8e7b-a1210cb4fb51"</x:f>
        <x:v>4918e34e-d251-4bea-8e7b-a1210cb4fb51</x:v>
      </x:c>
      <x:c r="B1912" s="23" t="str">
        <x:v>JORCELO JOSE DA SILVA</x:v>
      </x:c>
      <x:c r="C1912" s="23" t="str">
        <x:v>jorcelo jose da silva</x:v>
      </x:c>
      <x:c r="D1912" s="22" t="str">
        <x:f>"14.213.240/0001-89"</x:f>
        <x:v>14.213.240/0001-89</x:v>
      </x:c>
      <x:c r="E1912" s="22" t="str">
        <x:f>"14213240000189"</x:f>
        <x:v>14213240000189</x:v>
      </x:c>
      <x:c r="F1912" s="22" t="str">
        <x:f>"058.999.716-57"</x:f>
        <x:v>058.999.716-57</x:v>
      </x:c>
      <x:c r="G1912" s="22" t="str">
        <x:f>"05899971657"</x:f>
        <x:v>05899971657</x:v>
      </x:c>
      <x:c r="H1912" s="23" t="str">
        <x:v>jjorcelojosesilva@gmail.com</x:v>
      </x:c>
      <x:c r="I1912" s="22" t="str">
        <x:f>"31983322403"</x:f>
        <x:v>31983322403</x:v>
      </x:c>
      <x:c r="J1912" s="23" t="str">
        <x:v>SPOT</x:v>
      </x:c>
      <x:c r="K1912" s="23" t="str">
        <x:v>favored_only</x:v>
      </x:c>
      <x:c r="L1912" s="24" t="b">
        <x:v>1</x:v>
      </x:c>
      <x:c r="M1912" s="23" t="n">
        <x:v>1</x:v>
      </x:c>
      <x:c r="N1912" s="28" t="n">
        <x:v>46219.812988715275</x:v>
      </x:c>
      <x:c r="O1912" s="28" t="n">
        <x:v>46219.812988715275</x:v>
      </x:c>
      <x:c r="P1912" s="23" t="str">
        <x:v>CONCEIÇÃO DO MATO DENTRO</x:v>
      </x:c>
      <x:c r="Q1912" s="30" t="n">
        <x:v>30910</x:v>
      </x:c>
      <x:c r="R1912" s="22" t="str">
        <x:f>"MG13329990"</x:f>
        <x:v>MG13329990</x:v>
      </x:c>
      <x:c r="S1912" s="23" t="str">
        <x:v>masculino</x:v>
      </x:c>
      <x:c r="T1912" s="22" t="str">
        <x:f>"NDC8297"</x:f>
        <x:v>NDC8297</x:v>
      </x:c>
      <x:c r="U1912" s="23" t="str">
        <x:v>JORCELO JOSE DA SILVA</x:v>
      </x:c>
      <x:c r="V1912" s="22" t="str">
        <x:f>"058.999.716-57"</x:f>
        <x:v>058.999.716-57</x:v>
      </x:c>
      <x:c r="W1912" s="22" t="str">
        <x:f>"05899971657"</x:f>
        <x:v>05899971657</x:v>
      </x:c>
      <x:c r="X1912" s="23" t="str">
        <x:v>jjorcelojosesilva@gmail.com</x:v>
      </x:c>
      <x:c r="Y1912" s="22" t="str">
        <x:f>"31983322403"</x:f>
        <x:v>31983322403</x:v>
      </x:c>
      <x:c r="Z1912" s="30" t="n">
        <x:v>46466</x:v>
      </x:c>
    </x:row>
    <x:row r="1913" ht="18" customHeight="1">
      <x:c r="A1913" s="22" t="str">
        <x:f>"d9e8228d-5014-42f7-b2a4-5a6a96963a95"</x:f>
        <x:v>d9e8228d-5014-42f7-b2a4-5a6a96963a95</x:v>
      </x:c>
      <x:c r="B1913" s="23" t="str">
        <x:v>JORDANA RODRIGUES VAROLLO</x:v>
      </x:c>
      <x:c r="C1913" s="23" t="str">
        <x:v>jordana rodrigues varollo</x:v>
      </x:c>
      <x:c r="D1913" s="22" t="str">
        <x:f>"28.620.844/0001-54"</x:f>
        <x:v>28.620.844/0001-54</x:v>
      </x:c>
      <x:c r="E1913" s="22" t="str">
        <x:f>"28620844000154"</x:f>
        <x:v>28620844000154</x:v>
      </x:c>
      <x:c r="F1913" s="22" t="str">
        <x:f>"443.416.568-21"</x:f>
        <x:v>443.416.568-21</x:v>
      </x:c>
      <x:c r="G1913" s="22" t="str">
        <x:f>"44341656821"</x:f>
        <x:v>44341656821</x:v>
      </x:c>
      <x:c r="H1913" s="23" t="str">
        <x:v>jordananeto@outlook.com</x:v>
      </x:c>
      <x:c r="I1913" s="22" t="str">
        <x:f>"17 98192-6523"</x:f>
        <x:v>17 98192-6523</x:v>
      </x:c>
      <x:c r="J1913" s="23" t="str">
        <x:v>RENTAL</x:v>
      </x:c>
      <x:c r="K1913" s="23" t="str">
        <x:v>rental_company</x:v>
      </x:c>
      <x:c r="L1913" s="24" t="b">
        <x:v>1</x:v>
      </x:c>
      <x:c r="M1913" s="23" t="n">
        <x:v>2</x:v>
      </x:c>
      <x:c r="N1913" s="28" t="n">
        <x:v>46205.603321979164</x:v>
      </x:c>
      <x:c r="O1913" s="28" t="n">
        <x:v>46219.81489466435</x:v>
      </x:c>
      <x:c r="P1913" s="23" t="str">
        <x:v>BARRETOS</x:v>
      </x:c>
      <x:c r="Q1913" s="30" t="n">
        <x:v>28413</x:v>
      </x:c>
      <x:c r="R1913" s="22" t="str">
        <x:f>"539632338"</x:f>
        <x:v>539632338</x:v>
      </x:c>
      <x:c r="S1913" s="23" t="str">
        <x:v>Feminino</x:v>
      </x:c>
      <x:c r="T1913" s="22" t="str"/>
      <x:c r="U1913" s="23" t="str">
        <x:v>JORDANA RODRIGUES CAROLLO</x:v>
      </x:c>
      <x:c r="V1913" s="22" t="str">
        <x:f>"44341656821"</x:f>
        <x:v>44341656821</x:v>
      </x:c>
      <x:c r="W1913" s="22" t="str">
        <x:f>"44341656821"</x:f>
        <x:v>44341656821</x:v>
      </x:c>
      <x:c r="X1913" s="23" t="str">
        <x:v>jordananeto@outlook.com</x:v>
      </x:c>
      <x:c r="Y1913" s="22" t="str">
        <x:f>"17 98192-6523"</x:f>
        <x:v>17 98192-6523</x:v>
      </x:c>
      <x:c r="Z1913" s="30" t="n">
        <x:v>46214</x:v>
      </x:c>
    </x:row>
    <x:row r="1914" ht="18" customHeight="1">
      <x:c r="A1914" s="22" t="str">
        <x:f>"3a99e5bd-b1b7-4b5b-8c45-d64a120ff934"</x:f>
        <x:v>3a99e5bd-b1b7-4b5b-8c45-d64a120ff934</x:v>
      </x:c>
      <x:c r="B1914" s="23" t="str">
        <x:v>JORGE ANTONIO VASCONCELOS</x:v>
      </x:c>
      <x:c r="C1914" s="23" t="str">
        <x:v>jorge antonio vasconcelos</x:v>
      </x:c>
      <x:c r="D1914" s="22" t="str">
        <x:f>"51.103.774/0001-89"</x:f>
        <x:v>51.103.774/0001-89</x:v>
      </x:c>
      <x:c r="E1914" s="22" t="str">
        <x:f>"51103774000189"</x:f>
        <x:v>51103774000189</x:v>
      </x:c>
      <x:c r="F1914" s="22" t="str">
        <x:f>"474.519.556-72"</x:f>
        <x:v>474.519.556-72</x:v>
      </x:c>
      <x:c r="G1914" s="22" t="str">
        <x:f>"47451955672"</x:f>
        <x:v>47451955672</x:v>
      </x:c>
      <x:c r="H1914" s="23" t="str">
        <x:v>jvasconcelosvendas@gmail.com</x:v>
      </x:c>
      <x:c r="I1914" s="22" t="str">
        <x:f>"(34) 99777-0702"</x:f>
        <x:v>(34) 99777-0702</x:v>
      </x:c>
      <x:c r="J1914" s="23" t="str">
        <x:v>RENTAL</x:v>
      </x:c>
      <x:c r="K1914" s="23" t="str">
        <x:v>rental_company</x:v>
      </x:c>
      <x:c r="L1914" s="24" t="b">
        <x:v>1</x:v>
      </x:c>
      <x:c r="M1914" s="23" t="n">
        <x:v>1</x:v>
      </x:c>
      <x:c r="N1914" s="28" t="n">
        <x:v>46219.812988715275</x:v>
      </x:c>
      <x:c r="O1914" s="28" t="n">
        <x:v>46219.812988715275</x:v>
      </x:c>
      <x:c r="P1914" s="23" t="str">
        <x:v>UBERLANDIA</x:v>
      </x:c>
      <x:c r="Q1914" s="30" t="n">
        <x:v>23201</x:v>
      </x:c>
      <x:c r="R1914" s="22" t="str">
        <x:f>"MG11765580 SSP MG"</x:f>
        <x:v>MG11765580 SSP MG</x:v>
      </x:c>
      <x:c r="S1914" s="23" t="str">
        <x:v>masculino</x:v>
      </x:c>
      <x:c r="T1914" s="22" t="str"/>
      <x:c r="U1914" s="23" t="str">
        <x:v>JORGE ANTONIO VASCONCELOS</x:v>
      </x:c>
      <x:c r="V1914" s="22" t="str">
        <x:f>"474.519.556-72"</x:f>
        <x:v>474.519.556-72</x:v>
      </x:c>
      <x:c r="W1914" s="22" t="str">
        <x:f>"47451955672"</x:f>
        <x:v>47451955672</x:v>
      </x:c>
      <x:c r="X1914" s="23" t="str">
        <x:v>jvasconcelosvendas@gmail.com</x:v>
      </x:c>
      <x:c r="Y1914" s="22" t="str">
        <x:f>"(34) 99777-0702"</x:f>
        <x:v>(34) 99777-0702</x:v>
      </x:c>
      <x:c r="Z1914" s="30" t="n">
        <x:v>46428</x:v>
      </x:c>
    </x:row>
    <x:row r="1915" ht="18" customHeight="1">
      <x:c r="A1915" s="22" t="str">
        <x:f>"632a8662-d593-4815-9d19-ccfd24328f2d"</x:f>
        <x:v>632a8662-d593-4815-9d19-ccfd24328f2d</x:v>
      </x:c>
      <x:c r="B1915" s="23" t="str">
        <x:v>JORGE AUGUSTO DOS SANTOS</x:v>
      </x:c>
      <x:c r="C1915" s="23" t="str">
        <x:v>jorge augusto dos santos</x:v>
      </x:c>
      <x:c r="D1915" s="22" t="str">
        <x:f>"58.945.856/0001-10"</x:f>
        <x:v>58.945.856/0001-10</x:v>
      </x:c>
      <x:c r="E1915" s="22" t="str">
        <x:f>"58945856000110"</x:f>
        <x:v>58945856000110</x:v>
      </x:c>
      <x:c r="F1915" s="22" t="str">
        <x:f>"341.636.338-80"</x:f>
        <x:v>341.636.338-80</x:v>
      </x:c>
      <x:c r="G1915" s="22" t="str">
        <x:f>"34163633880"</x:f>
        <x:v>34163633880</x:v>
      </x:c>
      <x:c r="H1915" s="23" t="str">
        <x:v>Jorgeaugusto_santos@yahoo.com.br</x:v>
      </x:c>
      <x:c r="I1915" s="22" t="str">
        <x:f>"18996239981"</x:f>
        <x:v>18996239981</x:v>
      </x:c>
      <x:c r="J1915" s="23" t="str">
        <x:v>SPOT</x:v>
      </x:c>
      <x:c r="K1915" s="23" t="str">
        <x:v>favored_only</x:v>
      </x:c>
      <x:c r="L1915" s="24" t="b">
        <x:v>1</x:v>
      </x:c>
      <x:c r="M1915" s="23" t="n">
        <x:v>1</x:v>
      </x:c>
      <x:c r="N1915" s="28" t="n">
        <x:v>46205.60518503472</x:v>
      </x:c>
      <x:c r="O1915" s="28" t="n">
        <x:v>46219.812988715275</x:v>
      </x:c>
      <x:c r="P1915" s="23" t="str">
        <x:v>PRESIDENTE PRUDENTE</x:v>
      </x:c>
      <x:c r="Q1915" s="30" t="n">
        <x:v>31690</x:v>
      </x:c>
      <x:c r="R1915" s="22" t="str">
        <x:f>"42078190"</x:f>
        <x:v>42078190</x:v>
      </x:c>
      <x:c r="S1915" s="23" t="str">
        <x:v>masculino</x:v>
      </x:c>
      <x:c r="T1915" s="22" t="str">
        <x:f>"AUK4G33"</x:f>
        <x:v>AUK4G33</x:v>
      </x:c>
      <x:c r="U1915" s="23" t="str">
        <x:v>DANIELA DE OLIVEIRA MACEDO</x:v>
      </x:c>
      <x:c r="V1915" s="22" t="str">
        <x:f>"404.175.258-26"</x:f>
        <x:v>404.175.258-26</x:v>
      </x:c>
      <x:c r="W1915" s="22" t="str">
        <x:f>"40417525826"</x:f>
        <x:v>40417525826</x:v>
      </x:c>
      <x:c r="X1915" s="23" t="str">
        <x:v>macedodaniela942@gmail.com</x:v>
      </x:c>
      <x:c r="Y1915" s="22" t="str">
        <x:f>"18-996189566"</x:f>
        <x:v>18-996189566</x:v>
      </x:c>
      <x:c r="Z1915" s="30" t="n">
        <x:v>46315</x:v>
      </x:c>
    </x:row>
    <x:row r="1916" ht="18" customHeight="1">
      <x:c r="A1916" s="22" t="str">
        <x:f>"907c216f-f616-49eb-90f4-8c7b23ce161c"</x:f>
        <x:v>907c216f-f616-49eb-90f4-8c7b23ce161c</x:v>
      </x:c>
      <x:c r="B1916" s="23" t="str">
        <x:v>JORGEDRE RODRIGUES</x:v>
      </x:c>
      <x:c r="C1916" s="23" t="str">
        <x:v>jorgedre rodrigues</x:v>
      </x:c>
      <x:c r="D1916" s="22" t="str">
        <x:f>"43.579.691/0001-32"</x:f>
        <x:v>43.579.691/0001-32</x:v>
      </x:c>
      <x:c r="E1916" s="22" t="str">
        <x:f>"43579691000132"</x:f>
        <x:v>43579691000132</x:v>
      </x:c>
      <x:c r="F1916" s="22" t="str">
        <x:f>"569.633.001-00"</x:f>
        <x:v>569.633.001-00</x:v>
      </x:c>
      <x:c r="G1916" s="22" t="str">
        <x:f>"56963300100"</x:f>
        <x:v>56963300100</x:v>
      </x:c>
      <x:c r="H1916" s="23" t="str">
        <x:v>jorgedrerodrigues@gmail.com</x:v>
      </x:c>
      <x:c r="I1916" s="22" t="str">
        <x:f>"65984451108"</x:f>
        <x:v>65984451108</x:v>
      </x:c>
      <x:c r="J1916" s="23" t="str">
        <x:v>SPOT</x:v>
      </x:c>
      <x:c r="K1916" s="23" t="str">
        <x:v>favored_only</x:v>
      </x:c>
      <x:c r="L1916" s="24" t="b">
        <x:v>1</x:v>
      </x:c>
      <x:c r="M1916" s="23" t="n">
        <x:v>1</x:v>
      </x:c>
      <x:c r="N1916" s="28" t="n">
        <x:v>46205.607286053244</x:v>
      </x:c>
      <x:c r="O1916" s="28" t="n">
        <x:v>46219.812988715275</x:v>
      </x:c>
      <x:c r="P1916" s="23" t="str">
        <x:v>CUIABA</x:v>
      </x:c>
      <x:c r="Q1916" s="30" t="n">
        <x:v>26756</x:v>
      </x:c>
      <x:c r="R1916" s="22" t="str">
        <x:f>"891632"</x:f>
        <x:v>891632</x:v>
      </x:c>
      <x:c r="S1916" s="23" t="str">
        <x:v>masculino</x:v>
      </x:c>
      <x:c r="T1916" s="22" t="str">
        <x:f>"QBG1G36"</x:f>
        <x:v>QBG1G36</x:v>
      </x:c>
      <x:c r="U1916" s="23" t="str">
        <x:v>FELIPE RODRIGUES</x:v>
      </x:c>
      <x:c r="V1916" s="22" t="str">
        <x:f>"055.042.621-35"</x:f>
        <x:v>055.042.621-35</x:v>
      </x:c>
      <x:c r="W1916" s="22" t="str">
        <x:f>"05504262135"</x:f>
        <x:v>05504262135</x:v>
      </x:c>
      <x:c r="X1916" s="23" t="str">
        <x:v>felipinhoyt@hotmail.com</x:v>
      </x:c>
      <x:c r="Y1916" s="22" t="str">
        <x:f>"65993342996"</x:f>
        <x:v>65993342996</x:v>
      </x:c>
      <x:c r="Z1916" s="30" t="n">
        <x:v>46485</x:v>
      </x:c>
    </x:row>
    <x:row r="1917" ht="18" customHeight="1">
      <x:c r="A1917" s="22" t="str">
        <x:f>"e9f760e4-c95b-4331-8b4a-a3a293751835"</x:f>
        <x:v>e9f760e4-c95b-4331-8b4a-a3a293751835</x:v>
      </x:c>
      <x:c r="B1917" s="23" t="str">
        <x:v>JORGE FERREIRA DOS SANTOS</x:v>
      </x:c>
      <x:c r="C1917" s="23" t="str">
        <x:v>jorge ferreira dos santos</x:v>
      </x:c>
      <x:c r="D1917" s="22" t="str">
        <x:f>"59.482.587/0001-65"</x:f>
        <x:v>59.482.587/0001-65</x:v>
      </x:c>
      <x:c r="E1917" s="22" t="str">
        <x:f>"59482587000165"</x:f>
        <x:v>59482587000165</x:v>
      </x:c>
      <x:c r="F1917" s="22" t="str">
        <x:f>"112.671.766-52"</x:f>
        <x:v>112.671.766-52</x:v>
      </x:c>
      <x:c r="G1917" s="22" t="str">
        <x:f>"11267176652"</x:f>
        <x:v>11267176652</x:v>
      </x:c>
      <x:c r="H1917" s="23" t="str">
        <x:v>fasttransportes01@gmail.com</x:v>
      </x:c>
      <x:c r="I1917" s="22" t="str">
        <x:f>"31 996390889"</x:f>
        <x:v>31 996390889</x:v>
      </x:c>
      <x:c r="J1917" s="23" t="str">
        <x:v>RENTAL</x:v>
      </x:c>
      <x:c r="K1917" s="23" t="str">
        <x:v>rental_company</x:v>
      </x:c>
      <x:c r="L1917" s="24" t="b">
        <x:v>1</x:v>
      </x:c>
      <x:c r="M1917" s="23" t="n">
        <x:v>1</x:v>
      </x:c>
      <x:c r="N1917" s="28" t="n">
        <x:v>46203.921824756944</x:v>
      </x:c>
      <x:c r="O1917" s="28" t="n">
        <x:v>46219.812988715275</x:v>
      </x:c>
      <x:c r="P1917" s="23" t="str">
        <x:v>CONTAGEM</x:v>
      </x:c>
      <x:c r="Q1917" s="30" t="n">
        <x:v>36840</x:v>
      </x:c>
      <x:c r="R1917" s="22" t="str">
        <x:f>"17485332"</x:f>
        <x:v>17485332</x:v>
      </x:c>
      <x:c r="S1917" s="23" t="str">
        <x:v>masculino</x:v>
      </x:c>
      <x:c r="T1917" s="22" t="str"/>
      <x:c r="U1917" s="23" t="str">
        <x:v>JORGE FERREIRA DOS SANTOS</x:v>
      </x:c>
      <x:c r="V1917" s="22" t="str">
        <x:f>"112.671.766-52"</x:f>
        <x:v>112.671.766-52</x:v>
      </x:c>
      <x:c r="W1917" s="22" t="str">
        <x:f>"11267176652"</x:f>
        <x:v>11267176652</x:v>
      </x:c>
      <x:c r="X1917" s="23" t="str">
        <x:v>fasttransportes01@gmail.com</x:v>
      </x:c>
      <x:c r="Y1917" s="22" t="str">
        <x:f>"31 996390889"</x:f>
        <x:v>31 996390889</x:v>
      </x:c>
      <x:c r="Z1917" s="30" t="n">
        <x:v>46249</x:v>
      </x:c>
    </x:row>
    <x:row r="1918" ht="18" customHeight="1">
      <x:c r="A1918" s="22" t="str">
        <x:f>"7a6a39bc-6992-498f-a895-5e849ae9522e"</x:f>
        <x:v>7a6a39bc-6992-498f-a895-5e849ae9522e</x:v>
      </x:c>
      <x:c r="B1918" s="23" t="str">
        <x:v>JORGE LUCAS DOS SANTOS GONCALVES</x:v>
      </x:c>
      <x:c r="C1918" s="23" t="str">
        <x:v>jorge lucas dos santos goncalves</x:v>
      </x:c>
      <x:c r="D1918" s="22" t="str">
        <x:f>"64.769.306/0001-90"</x:f>
        <x:v>64.769.306/0001-90</x:v>
      </x:c>
      <x:c r="E1918" s="22" t="str">
        <x:f>"64769306000190"</x:f>
        <x:v>64769306000190</x:v>
      </x:c>
      <x:c r="F1918" s="22" t="str">
        <x:f>"121.620.697-09"</x:f>
        <x:v>121.620.697-09</x:v>
      </x:c>
      <x:c r="G1918" s="22" t="str">
        <x:f>"12162069709"</x:f>
        <x:v>12162069709</x:v>
      </x:c>
      <x:c r="H1918" s="23" t="str">
        <x:v>mercadotrabalho1174@gmail.com</x:v>
      </x:c>
      <x:c r="I1918" s="22" t="str">
        <x:f>"21975885758"</x:f>
        <x:v>21975885758</x:v>
      </x:c>
      <x:c r="J1918" s="23" t="str">
        <x:v>SPOT</x:v>
      </x:c>
      <x:c r="K1918" s="23" t="str">
        <x:v>favored_only</x:v>
      </x:c>
      <x:c r="L1918" s="24" t="b">
        <x:v>1</x:v>
      </x:c>
      <x:c r="M1918" s="23" t="n">
        <x:v>1</x:v>
      </x:c>
      <x:c r="N1918" s="28" t="n">
        <x:v>46219.812988715275</x:v>
      </x:c>
      <x:c r="O1918" s="28" t="n">
        <x:v>46219.812988715275</x:v>
      </x:c>
      <x:c r="P1918" s="23" t="str">
        <x:v>SÃO JOAO DE MERITI</x:v>
      </x:c>
      <x:c r="Q1918" s="30" t="n">
        <x:v>31546</x:v>
      </x:c>
      <x:c r="R1918" s="22" t="str">
        <x:f>"212323737"</x:f>
        <x:v>212323737</x:v>
      </x:c>
      <x:c r="S1918" s="23" t="str">
        <x:v>masculino</x:v>
      </x:c>
      <x:c r="T1918" s="22" t="str">
        <x:f>"KVL5D68"</x:f>
        <x:v>KVL5D68</x:v>
      </x:c>
      <x:c r="U1918" s="23" t="str">
        <x:v>JORGE LUCAS DOS SANTOS GONCALVES</x:v>
      </x:c>
      <x:c r="V1918" s="22" t="str">
        <x:f>"121.620.697-09"</x:f>
        <x:v>121.620.697-09</x:v>
      </x:c>
      <x:c r="W1918" s="22" t="str">
        <x:f>"12162069709"</x:f>
        <x:v>12162069709</x:v>
      </x:c>
      <x:c r="X1918" s="23" t="str">
        <x:v>mercadotrabalho1174@gmail.com</x:v>
      </x:c>
      <x:c r="Y1918" s="22" t="str">
        <x:f>"21975885758"</x:f>
        <x:v>21975885758</x:v>
      </x:c>
      <x:c r="Z1918" s="30" t="n">
        <x:v>46458</x:v>
      </x:c>
    </x:row>
    <x:row r="1919" ht="18" customHeight="1">
      <x:c r="A1919" s="22" t="str">
        <x:f>"89c3b448-12c4-4bff-bccb-2999687a1839"</x:f>
        <x:v>89c3b448-12c4-4bff-bccb-2999687a1839</x:v>
      </x:c>
      <x:c r="B1919" s="23" t="str">
        <x:v>JORGE LUIS DA CUNHA</x:v>
      </x:c>
      <x:c r="C1919" s="23" t="str">
        <x:v>jorge luis da cunha</x:v>
      </x:c>
      <x:c r="D1919" s="22" t="str">
        <x:f>"50.346.757/0001-00"</x:f>
        <x:v>50.346.757/0001-00</x:v>
      </x:c>
      <x:c r="E1919" s="22" t="str">
        <x:f>"50346757000100"</x:f>
        <x:v>50346757000100</x:v>
      </x:c>
      <x:c r="F1919" s="22" t="str">
        <x:f>"218.508.638-30"</x:f>
        <x:v>218.508.638-30</x:v>
      </x:c>
      <x:c r="G1919" s="22" t="str">
        <x:f>"21850863830"</x:f>
        <x:v>21850863830</x:v>
      </x:c>
      <x:c r="H1919" s="23" t="str">
        <x:v>jorgeluis_cunha@hotmail.com</x:v>
      </x:c>
      <x:c r="I1919" s="22" t="str">
        <x:f>"(16)99173-1715"</x:f>
        <x:v>(16)99173-1715</x:v>
      </x:c>
      <x:c r="J1919" s="23" t="str">
        <x:v>RENTAL</x:v>
      </x:c>
      <x:c r="K1919" s="23" t="str">
        <x:v>rental_company</x:v>
      </x:c>
      <x:c r="L1919" s="24" t="b">
        <x:v>1</x:v>
      </x:c>
      <x:c r="M1919" s="23" t="n">
        <x:v>1</x:v>
      </x:c>
      <x:c r="N1919" s="28" t="n">
        <x:v>46219.812988715275</x:v>
      </x:c>
      <x:c r="O1919" s="28" t="n">
        <x:v>46219.812988715275</x:v>
      </x:c>
      <x:c r="P1919" s="23" t="str">
        <x:v>RIBEIRAO PRETO</x:v>
      </x:c>
      <x:c r="Q1919" s="30" t="n">
        <x:v>29672</x:v>
      </x:c>
      <x:c r="R1919" s="22" t="str">
        <x:f>"28.091.836-7"</x:f>
        <x:v>28.091.836-7</x:v>
      </x:c>
      <x:c r="S1919" s="23" t="str">
        <x:v>masculino</x:v>
      </x:c>
      <x:c r="T1919" s="22" t="str"/>
      <x:c r="U1919" s="23" t="str">
        <x:v>JORGE LUIS DA CUNHA</x:v>
      </x:c>
      <x:c r="V1919" s="22" t="str">
        <x:f>"218.508.638-30"</x:f>
        <x:v>218.508.638-30</x:v>
      </x:c>
      <x:c r="W1919" s="22" t="str">
        <x:f>"21850863830"</x:f>
        <x:v>21850863830</x:v>
      </x:c>
      <x:c r="X1919" s="23" t="str">
        <x:v>jorgeluis_cunha@hotmail.com</x:v>
      </x:c>
      <x:c r="Y1919" s="22" t="str">
        <x:f>"(16)99173-1715"</x:f>
        <x:v>(16)99173-1715</x:v>
      </x:c>
      <x:c r="Z1919" s="30" t="n">
        <x:v>46463</x:v>
      </x:c>
    </x:row>
    <x:row r="1920" ht="18" customHeight="1">
      <x:c r="A1920" s="22" t="str">
        <x:f>"d05ce0f6-5efa-48b1-bedb-e7e861548a20"</x:f>
        <x:v>d05ce0f6-5efa-48b1-bedb-e7e861548a20</x:v>
      </x:c>
      <x:c r="B1920" s="23" t="str">
        <x:v>JORGE LUIZ DE ANDRADE</x:v>
      </x:c>
      <x:c r="C1920" s="23" t="str">
        <x:v>jorge luiz de andrade</x:v>
      </x:c>
      <x:c r="D1920" s="22" t="str">
        <x:f>"65.592.387/0001-68"</x:f>
        <x:v>65.592.387/0001-68</x:v>
      </x:c>
      <x:c r="E1920" s="22" t="str">
        <x:f>"65592387000168"</x:f>
        <x:v>65592387000168</x:v>
      </x:c>
      <x:c r="F1920" s="22" t="str">
        <x:f>"121.375.596-41"</x:f>
        <x:v>121.375.596-41</x:v>
      </x:c>
      <x:c r="G1920" s="22" t="str">
        <x:f>"12137559641"</x:f>
        <x:v>12137559641</x:v>
      </x:c>
      <x:c r="H1920" s="23" t="str">
        <x:v>jorgespa027@hotmail.com</x:v>
      </x:c>
      <x:c r="I1920" s="22" t="str">
        <x:f>"(35)99734-8603"</x:f>
        <x:v>(35)99734-8603</x:v>
      </x:c>
      <x:c r="J1920" s="23" t="str">
        <x:v>RENTAL</x:v>
      </x:c>
      <x:c r="K1920" s="23" t="str">
        <x:v>rental_company</x:v>
      </x:c>
      <x:c r="L1920" s="24" t="b">
        <x:v>1</x:v>
      </x:c>
      <x:c r="M1920" s="23" t="n">
        <x:v>1</x:v>
      </x:c>
      <x:c r="N1920" s="28" t="n">
        <x:v>46219.812988715275</x:v>
      </x:c>
      <x:c r="O1920" s="28" t="n">
        <x:v>46219.812988715275</x:v>
      </x:c>
      <x:c r="P1920" s="23" t="str">
        <x:v>POUSO ALEGRE</x:v>
      </x:c>
      <x:c r="Q1920" s="30" t="n">
        <x:v>34239</x:v>
      </x:c>
      <x:c r="R1920" s="22" t="str">
        <x:f>"16811871 SSP MG"</x:f>
        <x:v>16811871 SSP MG</x:v>
      </x:c>
      <x:c r="S1920" s="23" t="str">
        <x:v>masculino</x:v>
      </x:c>
      <x:c r="T1920" s="22" t="str"/>
      <x:c r="U1920" s="23" t="str">
        <x:v>JORGE LUIZ DE ANDRADE</x:v>
      </x:c>
      <x:c r="V1920" s="22" t="str">
        <x:f>"121.375.596-41"</x:f>
        <x:v>121.375.596-41</x:v>
      </x:c>
      <x:c r="W1920" s="22" t="str">
        <x:f>"12137559641"</x:f>
        <x:v>12137559641</x:v>
      </x:c>
      <x:c r="X1920" s="23" t="str">
        <x:v>jorgespa027@hotmail.com</x:v>
      </x:c>
      <x:c r="Y1920" s="22" t="str">
        <x:f>"(35)99734-8603"</x:f>
        <x:v>(35)99734-8603</x:v>
      </x:c>
      <x:c r="Z1920" s="30" t="n">
        <x:v>46539</x:v>
      </x:c>
    </x:row>
    <x:row r="1921" ht="18" customHeight="1">
      <x:c r="A1921" s="22" t="str">
        <x:f>"d0891fe4-d284-4cb6-80c9-20e98ebc234b"</x:f>
        <x:v>d0891fe4-d284-4cb6-80c9-20e98ebc234b</x:v>
      </x:c>
      <x:c r="B1921" s="23" t="str">
        <x:v>JORGE TADEU DE ALMEIDA RAMOS</x:v>
      </x:c>
      <x:c r="C1921" s="23" t="str">
        <x:v>jorge tadeu de almeida ramos</x:v>
      </x:c>
      <x:c r="D1921" s="22" t="str">
        <x:f>"64.559.841/0001-16"</x:f>
        <x:v>64.559.841/0001-16</x:v>
      </x:c>
      <x:c r="E1921" s="22" t="str">
        <x:f>"64559841000116"</x:f>
        <x:v>64559841000116</x:v>
      </x:c>
      <x:c r="F1921" s="22" t="str">
        <x:f>"706.086.367-20"</x:f>
        <x:v>706.086.367-20</x:v>
      </x:c>
      <x:c r="G1921" s="22" t="str">
        <x:f>"70608636720"</x:f>
        <x:v>70608636720</x:v>
      </x:c>
      <x:c r="H1921" s="23" t="str">
        <x:v>jtaramos@gmail.com</x:v>
      </x:c>
      <x:c r="I1921" s="22" t="str">
        <x:f>"21982796124"</x:f>
        <x:v>21982796124</x:v>
      </x:c>
      <x:c r="J1921" s="23" t="str">
        <x:v>SPOT</x:v>
      </x:c>
      <x:c r="K1921" s="23" t="str">
        <x:v>favored_only</x:v>
      </x:c>
      <x:c r="L1921" s="24" t="b">
        <x:v>1</x:v>
      </x:c>
      <x:c r="M1921" s="23" t="n">
        <x:v>1</x:v>
      </x:c>
      <x:c r="N1921" s="28" t="n">
        <x:v>46219.812988715275</x:v>
      </x:c>
      <x:c r="O1921" s="28" t="n">
        <x:v>46219.812988715275</x:v>
      </x:c>
      <x:c r="P1921" s="23" t="str">
        <x:v>QUEIMADOS</x:v>
      </x:c>
      <x:c r="Q1921" s="30" t="n">
        <x:v>22572</x:v>
      </x:c>
      <x:c r="R1921" s="22" t="str">
        <x:f>"56807134"</x:f>
        <x:v>56807134</x:v>
      </x:c>
      <x:c r="S1921" s="23" t="str">
        <x:v>masculino</x:v>
      </x:c>
      <x:c r="T1921" s="22" t="str">
        <x:f>"KWC8I98"</x:f>
        <x:v>KWC8I98</x:v>
      </x:c>
      <x:c r="U1921" s="23" t="str">
        <x:v>JORGE TADEU DE ALMEIDA RAMOS</x:v>
      </x:c>
      <x:c r="V1921" s="22" t="str">
        <x:f>"706.086.367-20"</x:f>
        <x:v>706.086.367-20</x:v>
      </x:c>
      <x:c r="W1921" s="22" t="str">
        <x:f>"70608636720"</x:f>
        <x:v>70608636720</x:v>
      </x:c>
      <x:c r="X1921" s="23" t="str">
        <x:v>jtaramos@gmail.com</x:v>
      </x:c>
      <x:c r="Y1921" s="22" t="str">
        <x:f>"21982796124"</x:f>
        <x:v>21982796124</x:v>
      </x:c>
      <x:c r="Z1921" s="30" t="n">
        <x:v>46441</x:v>
      </x:c>
    </x:row>
    <x:row r="1922" ht="18" customHeight="1">
      <x:c r="A1922" s="22" t="str">
        <x:f>"f51c363b-177b-4e3a-8996-bb4e64171cef"</x:f>
        <x:v>f51c363b-177b-4e3a-8996-bb4e64171cef</x:v>
      </x:c>
      <x:c r="B1922" s="23" t="str">
        <x:v>JOSAFA GOMES SANTANA</x:v>
      </x:c>
      <x:c r="C1922" s="23" t="str">
        <x:v>josafa gomes santana</x:v>
      </x:c>
      <x:c r="D1922" s="22" t="str">
        <x:f>"28.634.021/0001-88"</x:f>
        <x:v>28.634.021/0001-88</x:v>
      </x:c>
      <x:c r="E1922" s="22" t="str">
        <x:f>"28634021000188"</x:f>
        <x:v>28634021000188</x:v>
      </x:c>
      <x:c r="F1922" s="22" t="str">
        <x:f>"158.752.547-00"</x:f>
        <x:v>158.752.547-00</x:v>
      </x:c>
      <x:c r="G1922" s="22" t="str">
        <x:f>"15875254700"</x:f>
        <x:v>15875254700</x:v>
      </x:c>
      <x:c r="H1922" s="23" t="str">
        <x:v>k3agathasophia2016@gmail.com</x:v>
      </x:c>
      <x:c r="I1922" s="22" t="str">
        <x:f>"21 976699897"</x:f>
        <x:v>21 976699897</x:v>
      </x:c>
      <x:c r="J1922" s="23" t="str">
        <x:v>SPOT</x:v>
      </x:c>
      <x:c r="K1922" s="23" t="str">
        <x:v>favored_only</x:v>
      </x:c>
      <x:c r="L1922" s="24" t="b">
        <x:v>1</x:v>
      </x:c>
      <x:c r="M1922" s="23" t="n">
        <x:v>1</x:v>
      </x:c>
      <x:c r="N1922" s="28" t="n">
        <x:v>46203.921824756944</x:v>
      </x:c>
      <x:c r="O1922" s="28" t="n">
        <x:v>46219.812988715275</x:v>
      </x:c>
      <x:c r="P1922" s="23" t="str">
        <x:v>QUEIMADOS</x:v>
      </x:c>
      <x:c r="Q1922" s="30" t="n">
        <x:v>34744</x:v>
      </x:c>
      <x:c r="R1922" s="22" t="str">
        <x:f>"265611681"</x:f>
        <x:v>265611681</x:v>
      </x:c>
      <x:c r="S1922" s="23" t="str">
        <x:v>masculino</x:v>
      </x:c>
      <x:c r="T1922" s="22" t="str">
        <x:f>"QQN0H49"</x:f>
        <x:v>QQN0H49</x:v>
      </x:c>
      <x:c r="U1922" s="23" t="str">
        <x:v>JOSAFA GOMES SANTANA</x:v>
      </x:c>
      <x:c r="V1922" s="22" t="str"/>
      <x:c r="W1922" s="22" t="str"/>
      <x:c r="X1922" s="23" t="str"/>
      <x:c r="Y1922" s="22" t="str"/>
      <x:c r="Z1922" s="30" t="n">
        <x:v>46562</x:v>
      </x:c>
    </x:row>
    <x:row r="1923" ht="18" customHeight="1">
      <x:c r="A1923" s="22" t="str">
        <x:f>"3097b7bb-96ea-44c7-8530-caf1c4f089a8"</x:f>
        <x:v>3097b7bb-96ea-44c7-8530-caf1c4f089a8</x:v>
      </x:c>
      <x:c r="B1923" s="23" t="str">
        <x:v>JOSE ADRIANO DE SOUSA</x:v>
      </x:c>
      <x:c r="C1923" s="23" t="str">
        <x:v>jose adriano de sousa</x:v>
      </x:c>
      <x:c r="D1923" s="22" t="str">
        <x:f>"40439409000123"</x:f>
        <x:v>40439409000123</x:v>
      </x:c>
      <x:c r="E1923" s="22" t="str">
        <x:f>"40439409000123"</x:f>
        <x:v>40439409000123</x:v>
      </x:c>
      <x:c r="F1923" s="22" t="str">
        <x:f>"04806878626"</x:f>
        <x:v>04806878626</x:v>
      </x:c>
      <x:c r="G1923" s="22" t="str">
        <x:f>"04806878626"</x:f>
        <x:v>04806878626</x:v>
      </x:c>
      <x:c r="H1923" s="23" t="str">
        <x:v>adrianomljose@gmail.com</x:v>
      </x:c>
      <x:c r="I1923" s="22" t="str">
        <x:f>"19971518601"</x:f>
        <x:v>19971518601</x:v>
      </x:c>
      <x:c r="J1923" s="23" t="str">
        <x:v>SPOT</x:v>
      </x:c>
      <x:c r="K1923" s="23" t="str">
        <x:v>favored_only</x:v>
      </x:c>
      <x:c r="L1923" s="24" t="b">
        <x:v>1</x:v>
      </x:c>
      <x:c r="M1923" s="23" t="n">
        <x:v>3</x:v>
      </x:c>
      <x:c r="N1923" s="28" t="n">
        <x:v>46203.92184908565</x:v>
      </x:c>
      <x:c r="O1923" s="28" t="n">
        <x:v>46219.81489466435</x:v>
      </x:c>
      <x:c r="P1923" s="23" t="str"/>
      <x:c r="Q1923" s="30" t="str"/>
      <x:c r="R1923" s="22" t="str"/>
      <x:c r="S1923" s="23" t="str"/>
      <x:c r="T1923" s="22" t="str"/>
      <x:c r="U1923" s="23" t="str">
        <x:v>JOSE ADRIANO DE SOUSA</x:v>
      </x:c>
      <x:c r="V1923" s="22" t="str">
        <x:f>"048.068.786-26"</x:f>
        <x:v>048.068.786-26</x:v>
      </x:c>
      <x:c r="W1923" s="22" t="str">
        <x:f>"04806878626"</x:f>
        <x:v>04806878626</x:v>
      </x:c>
      <x:c r="X1923" s="23" t="str">
        <x:v>adrianomljose@gmail.com</x:v>
      </x:c>
      <x:c r="Y1923" s="22" t="str">
        <x:f>"35991931364"</x:f>
        <x:v>35991931364</x:v>
      </x:c>
      <x:c r="Z1923" s="30" t="str"/>
    </x:row>
    <x:row r="1924" ht="18" customHeight="1">
      <x:c r="A1924" s="22" t="str">
        <x:f>"0bd0858f-9f3b-480b-bfc4-2fa2020eb8d3"</x:f>
        <x:v>0bd0858f-9f3b-480b-bfc4-2fa2020eb8d3</x:v>
      </x:c>
      <x:c r="B1924" s="23" t="str">
        <x:v>JOSE ALVES GONZAGA</x:v>
      </x:c>
      <x:c r="C1924" s="23" t="str">
        <x:v>jose alves gonzaga</x:v>
      </x:c>
      <x:c r="D1924" s="22" t="str">
        <x:f>"67.587.281/0001-00"</x:f>
        <x:v>67.587.281/0001-00</x:v>
      </x:c>
      <x:c r="E1924" s="22" t="str">
        <x:f>"67587281000100"</x:f>
        <x:v>67587281000100</x:v>
      </x:c>
      <x:c r="F1924" s="22" t="str">
        <x:f>"366.998.969-20"</x:f>
        <x:v>366.998.969-20</x:v>
      </x:c>
      <x:c r="G1924" s="22" t="str">
        <x:f>"36699896920"</x:f>
        <x:v>36699896920</x:v>
      </x:c>
      <x:c r="H1924" s="23" t="str">
        <x:v>gozagaalves0@gmail.com</x:v>
      </x:c>
      <x:c r="I1924" s="22" t="str">
        <x:f>"43 998711920"</x:f>
        <x:v>43 998711920</x:v>
      </x:c>
      <x:c r="J1924" s="23" t="str">
        <x:v>SPOT</x:v>
      </x:c>
      <x:c r="K1924" s="23" t="str">
        <x:v>favored_only</x:v>
      </x:c>
      <x:c r="L1924" s="24" t="b">
        <x:v>1</x:v>
      </x:c>
      <x:c r="M1924" s="23" t="n">
        <x:v>1</x:v>
      </x:c>
      <x:c r="N1924" s="28" t="n">
        <x:v>46205.60734574074</x:v>
      </x:c>
      <x:c r="O1924" s="28" t="n">
        <x:v>46205.608912662035</x:v>
      </x:c>
      <x:c r="P1924" s="23" t="str">
        <x:v>SANTO ANTONIO DA PLATINA</x:v>
      </x:c>
      <x:c r="Q1924" s="30" t="n">
        <x:v>21616</x:v>
      </x:c>
      <x:c r="R1924" s="22" t="str">
        <x:f>"21168513"</x:f>
        <x:v>21168513</x:v>
      </x:c>
      <x:c r="S1924" s="23" t="str">
        <x:v>Masculino</x:v>
      </x:c>
      <x:c r="T1924" s="22" t="str">
        <x:f>"SEE6D67"</x:f>
        <x:v>SEE6D67</x:v>
      </x:c>
      <x:c r="U1924" s="23" t="str">
        <x:v>67.587.281 PATRICIA ALCANTARA DA SILVA</x:v>
      </x:c>
      <x:c r="V1924" s="22" t="str">
        <x:f>"047.311.859-98"</x:f>
        <x:v>047.311.859-98</x:v>
      </x:c>
      <x:c r="W1924" s="22" t="str">
        <x:f>"04731185998"</x:f>
        <x:v>04731185998</x:v>
      </x:c>
      <x:c r="X1924" s="23" t="str">
        <x:v>patalcantaradasilva@gmail.com</x:v>
      </x:c>
      <x:c r="Y1924" s="22" t="str">
        <x:f>"43 99602-1221"</x:f>
        <x:v>43 99602-1221</x:v>
      </x:c>
      <x:c r="Z1924" s="30" t="n">
        <x:v>46230</x:v>
      </x:c>
    </x:row>
    <x:row r="1925" ht="18" customHeight="1">
      <x:c r="A1925" s="22" t="str">
        <x:f>"d7e4aeb3-61d5-4de5-8aee-441dbb45b7c5"</x:f>
        <x:v>d7e4aeb3-61d5-4de5-8aee-441dbb45b7c5</x:v>
      </x:c>
      <x:c r="B1925" s="23" t="str">
        <x:v>JOSE ANTONIO DA SILVA</x:v>
      </x:c>
      <x:c r="C1925" s="23" t="str">
        <x:v>jose antonio da silva</x:v>
      </x:c>
      <x:c r="D1925" s="22" t="str">
        <x:f>"62.865.211/0001-44"</x:f>
        <x:v>62.865.211/0001-44</x:v>
      </x:c>
      <x:c r="E1925" s="22" t="str">
        <x:f>"62865211000144"</x:f>
        <x:v>62865211000144</x:v>
      </x:c>
      <x:c r="F1925" s="22" t="str">
        <x:f>"781.228.131-00"</x:f>
        <x:v>781.228.131-00</x:v>
      </x:c>
      <x:c r="G1925" s="22" t="str">
        <x:f>"78122813100"</x:f>
        <x:v>78122813100</x:v>
      </x:c>
      <x:c r="H1925" s="23" t="str">
        <x:v>evelincampanella2019@gmail.com</x:v>
      </x:c>
      <x:c r="I1925" s="22" t="str">
        <x:f>"3492057552"</x:f>
        <x:v>3492057552</x:v>
      </x:c>
      <x:c r="J1925" s="23" t="str">
        <x:v>SPOT</x:v>
      </x:c>
      <x:c r="K1925" s="23" t="str">
        <x:v>favored_only</x:v>
      </x:c>
      <x:c r="L1925" s="24" t="b">
        <x:v>1</x:v>
      </x:c>
      <x:c r="M1925" s="23" t="n">
        <x:v>1</x:v>
      </x:c>
      <x:c r="N1925" s="28" t="n">
        <x:v>46219.812988715275</x:v>
      </x:c>
      <x:c r="O1925" s="28" t="n">
        <x:v>46219.812988715275</x:v>
      </x:c>
      <x:c r="P1925" s="23" t="str">
        <x:v>PATOS DE MINAS</x:v>
      </x:c>
      <x:c r="Q1925" s="30" t="n">
        <x:v>27689</x:v>
      </x:c>
      <x:c r="R1925" s="22" t="str">
        <x:f>"2223159 SSP"</x:f>
        <x:v>2223159 SSP</x:v>
      </x:c>
      <x:c r="S1925" s="23" t="str">
        <x:v>masculino</x:v>
      </x:c>
      <x:c r="T1925" s="22" t="str">
        <x:f>"AVD3H98"</x:f>
        <x:v>AVD3H98</x:v>
      </x:c>
      <x:c r="U1925" s="23" t="str">
        <x:v>EVELIN MARTINIANO CAMPANELLA</x:v>
      </x:c>
      <x:c r="V1925" s="22" t="str">
        <x:f>"218.587.788-75"</x:f>
        <x:v>218.587.788-75</x:v>
      </x:c>
      <x:c r="W1925" s="22" t="str">
        <x:f>"21858778875"</x:f>
        <x:v>21858778875</x:v>
      </x:c>
      <x:c r="X1925" s="23" t="str">
        <x:v>evelincampanella2019@gmail.com</x:v>
      </x:c>
      <x:c r="Y1925" s="22" t="str">
        <x:f>"34 9205-7552"</x:f>
        <x:v>34 9205-7552</x:v>
      </x:c>
      <x:c r="Z1925" s="30" t="n">
        <x:v>46567</x:v>
      </x:c>
    </x:row>
    <x:row r="1926" ht="18" customHeight="1">
      <x:c r="A1926" s="22" t="str">
        <x:f>"12482d2c-0019-49fc-bc52-198eee8473fd"</x:f>
        <x:v>12482d2c-0019-49fc-bc52-198eee8473fd</x:v>
      </x:c>
      <x:c r="B1926" s="23" t="str">
        <x:v>JOSE APARECIDO GOMES FERRAZ</x:v>
      </x:c>
      <x:c r="C1926" s="23" t="str">
        <x:v>jose aparecido gomes ferraz</x:v>
      </x:c>
      <x:c r="D1926" s="22" t="str">
        <x:f>"65.862.648/0001-12"</x:f>
        <x:v>65.862.648/0001-12</x:v>
      </x:c>
      <x:c r="E1926" s="22" t="str">
        <x:f>"65862648000112"</x:f>
        <x:v>65862648000112</x:v>
      </x:c>
      <x:c r="F1926" s="22" t="str">
        <x:f>"017.777.018-05"</x:f>
        <x:v>017.777.018-05</x:v>
      </x:c>
      <x:c r="G1926" s="22" t="str">
        <x:f>"01777701805"</x:f>
        <x:v>01777701805</x:v>
      </x:c>
      <x:c r="H1926" s="23" t="str">
        <x:v>Zecarecagomes@outlook.com</x:v>
      </x:c>
      <x:c r="I1926" s="22" t="str">
        <x:f>"18 996914889"</x:f>
        <x:v>18 996914889</x:v>
      </x:c>
      <x:c r="J1926" s="23" t="str">
        <x:v>RENTAL</x:v>
      </x:c>
      <x:c r="K1926" s="23" t="str">
        <x:v>rental_company</x:v>
      </x:c>
      <x:c r="L1926" s="24" t="b">
        <x:v>1</x:v>
      </x:c>
      <x:c r="M1926" s="23" t="n">
        <x:v>1</x:v>
      </x:c>
      <x:c r="N1926" s="28" t="n">
        <x:v>46219.812988715275</x:v>
      </x:c>
      <x:c r="O1926" s="28" t="n">
        <x:v>46219.812988715275</x:v>
      </x:c>
      <x:c r="P1926" s="23" t="str">
        <x:v>PRESIDENTE PRUDENTE</x:v>
      </x:c>
      <x:c r="Q1926" s="30" t="n">
        <x:v>21627</x:v>
      </x:c>
      <x:c r="R1926" s="22" t="str">
        <x:f>"11514300_2"</x:f>
        <x:v>11514300_2</x:v>
      </x:c>
      <x:c r="S1926" s="23" t="str">
        <x:v>masculino</x:v>
      </x:c>
      <x:c r="T1926" s="22" t="str"/>
      <x:c r="U1926" s="23" t="str">
        <x:v>JOSE APARECIDO GOMES FERRAZ</x:v>
      </x:c>
      <x:c r="V1926" s="22" t="str">
        <x:f>"017.777.018-05"</x:f>
        <x:v>017.777.018-05</x:v>
      </x:c>
      <x:c r="W1926" s="22" t="str">
        <x:f>"01777701805"</x:f>
        <x:v>01777701805</x:v>
      </x:c>
      <x:c r="X1926" s="23" t="str">
        <x:v>Zecarecagomes@outlook.com</x:v>
      </x:c>
      <x:c r="Y1926" s="22" t="str">
        <x:f>"18 996914889"</x:f>
        <x:v>18 996914889</x:v>
      </x:c>
      <x:c r="Z1926" s="30" t="n">
        <x:v>46472</x:v>
      </x:c>
    </x:row>
    <x:row r="1927" ht="18" customHeight="1">
      <x:c r="A1927" s="22" t="str">
        <x:f>"569fb607-492f-4565-bab7-b955a1f73315"</x:f>
        <x:v>569fb607-492f-4565-bab7-b955a1f73315</x:v>
      </x:c>
      <x:c r="B1927" s="23" t="str">
        <x:v>JOSE ARIANO DA SILVA</x:v>
      </x:c>
      <x:c r="C1927" s="23" t="str">
        <x:v>jose ariano da silva</x:v>
      </x:c>
      <x:c r="D1927" s="22" t="str">
        <x:f>"53.371.020/0001-35"</x:f>
        <x:v>53.371.020/0001-35</x:v>
      </x:c>
      <x:c r="E1927" s="22" t="str">
        <x:f>"53371020000135"</x:f>
        <x:v>53371020000135</x:v>
      </x:c>
      <x:c r="F1927" s="22" t="str">
        <x:f>"069.395.834-08"</x:f>
        <x:v>069.395.834-08</x:v>
      </x:c>
      <x:c r="G1927" s="22" t="str">
        <x:f>"06939583408"</x:f>
        <x:v>06939583408</x:v>
      </x:c>
      <x:c r="H1927" s="23" t="str">
        <x:v>josearianosilva@gmail.com</x:v>
      </x:c>
      <x:c r="I1927" s="22" t="str">
        <x:f>"21984726912"</x:f>
        <x:v>21984726912</x:v>
      </x:c>
      <x:c r="J1927" s="23" t="str">
        <x:v>SPOT</x:v>
      </x:c>
      <x:c r="K1927" s="23" t="str">
        <x:v>favored_only</x:v>
      </x:c>
      <x:c r="L1927" s="24" t="b">
        <x:v>1</x:v>
      </x:c>
      <x:c r="M1927" s="23" t="n">
        <x:v>1</x:v>
      </x:c>
      <x:c r="N1927" s="28" t="n">
        <x:v>46203.92188238426</x:v>
      </x:c>
      <x:c r="O1927" s="28" t="n">
        <x:v>46219.812988715275</x:v>
      </x:c>
      <x:c r="P1927" s="23" t="str">
        <x:v>CORDOVIL</x:v>
      </x:c>
      <x:c r="Q1927" s="30" t="n">
        <x:v>31282</x:v>
      </x:c>
      <x:c r="R1927" s="22" t="str">
        <x:f>"3261261"</x:f>
        <x:v>3261261</x:v>
      </x:c>
      <x:c r="S1927" s="23" t="str">
        <x:v>masculino</x:v>
      </x:c>
      <x:c r="T1927" s="22" t="str">
        <x:f>"FHK4E49"</x:f>
        <x:v>FHK4E49</x:v>
      </x:c>
      <x:c r="U1927" s="23" t="str">
        <x:v>JOSE ARIANO DA SILVA</x:v>
      </x:c>
      <x:c r="V1927" s="22" t="str">
        <x:f>"069.395.834-08"</x:f>
        <x:v>069.395.834-08</x:v>
      </x:c>
      <x:c r="W1927" s="22" t="str">
        <x:f>"06939583408"</x:f>
        <x:v>06939583408</x:v>
      </x:c>
      <x:c r="X1927" s="23" t="str">
        <x:v>josearianosilva@gmail.com</x:v>
      </x:c>
      <x:c r="Y1927" s="22" t="str">
        <x:f>"21984726912"</x:f>
        <x:v>21984726912</x:v>
      </x:c>
      <x:c r="Z1927" s="30" t="n">
        <x:v>46322</x:v>
      </x:c>
    </x:row>
    <x:row r="1928" ht="18" customHeight="1">
      <x:c r="A1928" s="22" t="str">
        <x:f>"5c5bc69c-0f79-4792-b657-904020c02371"</x:f>
        <x:v>5c5bc69c-0f79-4792-b657-904020c02371</x:v>
      </x:c>
      <x:c r="B1928" s="23" t="str">
        <x:v>JOSE AUGUSTO SOUSA SANTOS</x:v>
      </x:c>
      <x:c r="C1928" s="23" t="str">
        <x:v>jose augusto sousa santos</x:v>
      </x:c>
      <x:c r="D1928" s="22" t="str">
        <x:f>"62.698.470/0001-28"</x:f>
        <x:v>62.698.470/0001-28</x:v>
      </x:c>
      <x:c r="E1928" s="22" t="str">
        <x:f>"62698470000128"</x:f>
        <x:v>62698470000128</x:v>
      </x:c>
      <x:c r="F1928" s="22" t="str">
        <x:f>"459.182.298-25"</x:f>
        <x:v>459.182.298-25</x:v>
      </x:c>
      <x:c r="G1928" s="22" t="str">
        <x:f>"45918229825"</x:f>
        <x:v>45918229825</x:v>
      </x:c>
      <x:c r="H1928" s="23" t="str">
        <x:v>jose-august@outlook.com.br</x:v>
      </x:c>
      <x:c r="I1928" s="22" t="str">
        <x:f>"18996399748"</x:f>
        <x:v>18996399748</x:v>
      </x:c>
      <x:c r="J1928" s="23" t="str">
        <x:v>RENTAL</x:v>
      </x:c>
      <x:c r="K1928" s="23" t="str">
        <x:v>rental_company</x:v>
      </x:c>
      <x:c r="L1928" s="24" t="b">
        <x:v>1</x:v>
      </x:c>
      <x:c r="M1928" s="23" t="n">
        <x:v>1</x:v>
      </x:c>
      <x:c r="N1928" s="28" t="n">
        <x:v>46203.921887453704</x:v>
      </x:c>
      <x:c r="O1928" s="28" t="n">
        <x:v>46219.812988715275</x:v>
      </x:c>
      <x:c r="P1928" s="23" t="str">
        <x:v>PRESIDENTE PRUDENTE</x:v>
      </x:c>
      <x:c r="Q1928" s="30" t="n">
        <x:v>36151</x:v>
      </x:c>
      <x:c r="R1928" s="22" t="str">
        <x:f>"568784297"</x:f>
        <x:v>568784297</x:v>
      </x:c>
      <x:c r="S1928" s="23" t="str">
        <x:v>masculino</x:v>
      </x:c>
      <x:c r="T1928" s="22" t="str"/>
      <x:c r="U1928" s="23" t="str">
        <x:v>JOSE AUGUSTO SOUSA SANTOS</x:v>
      </x:c>
      <x:c r="V1928" s="22" t="str">
        <x:f>"459.182.298-25"</x:f>
        <x:v>459.182.298-25</x:v>
      </x:c>
      <x:c r="W1928" s="22" t="str">
        <x:f>"45918229825"</x:f>
        <x:v>45918229825</x:v>
      </x:c>
      <x:c r="X1928" s="23" t="str">
        <x:v>jose-august@outlook.com.br</x:v>
      </x:c>
      <x:c r="Y1928" s="22" t="str">
        <x:f>"18996399748"</x:f>
        <x:v>18996399748</x:v>
      </x:c>
      <x:c r="Z1928" s="30" t="n">
        <x:v>46326</x:v>
      </x:c>
    </x:row>
    <x:row r="1929" ht="18" customHeight="1">
      <x:c r="A1929" s="22" t="str">
        <x:f>"5021f65a-6f18-4458-91cf-b515f9088931"</x:f>
        <x:v>5021f65a-6f18-4458-91cf-b515f9088931</x:v>
      </x:c>
      <x:c r="B1929" s="23" t="str">
        <x:v>JOSE AURELIO ROCHA DOS SANTOS</x:v>
      </x:c>
      <x:c r="C1929" s="23" t="str">
        <x:v>jose aurelio rocha dos santos</x:v>
      </x:c>
      <x:c r="D1929" s="22" t="str">
        <x:f>"66.807.586/0001-09"</x:f>
        <x:v>66.807.586/0001-09</x:v>
      </x:c>
      <x:c r="E1929" s="22" t="str">
        <x:f>"66807586000109"</x:f>
        <x:v>66807586000109</x:v>
      </x:c>
      <x:c r="F1929" s="22" t="str">
        <x:f>"814.179.857-04"</x:f>
        <x:v>814.179.857-04</x:v>
      </x:c>
      <x:c r="G1929" s="22" t="str">
        <x:f>"81417985704"</x:f>
        <x:v>81417985704</x:v>
      </x:c>
      <x:c r="H1929" s="23" t="str">
        <x:v>aurelliojose22@gmail.com</x:v>
      </x:c>
      <x:c r="I1929" s="22" t="str">
        <x:f>"21964658885"</x:f>
        <x:v>21964658885</x:v>
      </x:c>
      <x:c r="J1929" s="23" t="str">
        <x:v>SPOT</x:v>
      </x:c>
      <x:c r="K1929" s="23" t="str">
        <x:v>favored_only</x:v>
      </x:c>
      <x:c r="L1929" s="24" t="b">
        <x:v>1</x:v>
      </x:c>
      <x:c r="M1929" s="23" t="n">
        <x:v>1</x:v>
      </x:c>
      <x:c r="N1929" s="28" t="n">
        <x:v>46219.812988715275</x:v>
      </x:c>
      <x:c r="O1929" s="28" t="n">
        <x:v>46219.812988715275</x:v>
      </x:c>
      <x:c r="P1929" s="23" t="str">
        <x:v>SÃO JOAO DE MERITI</x:v>
      </x:c>
      <x:c r="Q1929" s="30" t="n">
        <x:v>23336</x:v>
      </x:c>
      <x:c r="R1929" s="22" t="str">
        <x:f>"60330974"</x:f>
        <x:v>60330974</x:v>
      </x:c>
      <x:c r="S1929" s="23" t="str">
        <x:v>masculino</x:v>
      </x:c>
      <x:c r="T1929" s="22" t="str">
        <x:f>"SHS7E44"</x:f>
        <x:v>SHS7E44</x:v>
      </x:c>
      <x:c r="U1929" s="23" t="str">
        <x:v>JOSE AURELIO ROCHA DOS SANTOS</x:v>
      </x:c>
      <x:c r="V1929" s="22" t="str">
        <x:f>"814.179.857-04"</x:f>
        <x:v>814.179.857-04</x:v>
      </x:c>
      <x:c r="W1929" s="22" t="str">
        <x:f>"81417985704"</x:f>
        <x:v>81417985704</x:v>
      </x:c>
      <x:c r="X1929" s="23" t="str">
        <x:v>aurelliojose22@gmail.com</x:v>
      </x:c>
      <x:c r="Y1929" s="22" t="str">
        <x:f>"21964658885"</x:f>
        <x:v>21964658885</x:v>
      </x:c>
      <x:c r="Z1929" s="30" t="n">
        <x:v>46542</x:v>
      </x:c>
    </x:row>
    <x:row r="1930" ht="18" customHeight="1">
      <x:c r="A1930" s="22" t="str">
        <x:f>"32bf936e-8d34-4b87-b521-3630990f9ef0"</x:f>
        <x:v>32bf936e-8d34-4b87-b521-3630990f9ef0</x:v>
      </x:c>
      <x:c r="B1930" s="23" t="str">
        <x:v>JOSE BRAZ NETO</x:v>
      </x:c>
      <x:c r="C1930" s="23" t="str">
        <x:v>jose braz neto</x:v>
      </x:c>
      <x:c r="D1930" s="22" t="str">
        <x:f>"37.823.997/0001-90"</x:f>
        <x:v>37.823.997/0001-90</x:v>
      </x:c>
      <x:c r="E1930" s="22" t="str">
        <x:f>"37823997000190"</x:f>
        <x:v>37823997000190</x:v>
      </x:c>
      <x:c r="F1930" s="22" t="str">
        <x:f>"045.325.721-69"</x:f>
        <x:v>045.325.721-69</x:v>
      </x:c>
      <x:c r="G1930" s="22" t="str">
        <x:f>"04532572169"</x:f>
        <x:v>04532572169</x:v>
      </x:c>
      <x:c r="H1930" s="23" t="str">
        <x:v>braz45400@gmail.com</x:v>
      </x:c>
      <x:c r="I1930" s="22" t="str">
        <x:f>"62 8121-9868"</x:f>
        <x:v>62 8121-9868</x:v>
      </x:c>
      <x:c r="J1930" s="23" t="str">
        <x:v>SPOT</x:v>
      </x:c>
      <x:c r="K1930" s="23" t="str">
        <x:v>favored_only</x:v>
      </x:c>
      <x:c r="L1930" s="24" t="b">
        <x:v>1</x:v>
      </x:c>
      <x:c r="M1930" s="23" t="n">
        <x:v>1</x:v>
      </x:c>
      <x:c r="N1930" s="28" t="n">
        <x:v>46219.812988715275</x:v>
      </x:c>
      <x:c r="O1930" s="28" t="n">
        <x:v>46219.812988715275</x:v>
      </x:c>
      <x:c r="P1930" s="23" t="str">
        <x:v>MOZARLANDIA</x:v>
      </x:c>
      <x:c r="Q1930" s="30" t="n">
        <x:v>33924</x:v>
      </x:c>
      <x:c r="R1930" s="22" t="str">
        <x:f>"5780370"</x:f>
        <x:v>5780370</x:v>
      </x:c>
      <x:c r="S1930" s="23" t="str">
        <x:v>masculino</x:v>
      </x:c>
      <x:c r="T1930" s="22" t="str">
        <x:f>"OGH6J14"</x:f>
        <x:v>OGH6J14</x:v>
      </x:c>
      <x:c r="U1930" s="23" t="str">
        <x:v>RODOPRIME TRANSPORTES E CARGAS LTDA</x:v>
      </x:c>
      <x:c r="V1930" s="22" t="str">
        <x:f>"038.768.901-01"</x:f>
        <x:v>038.768.901-01</x:v>
      </x:c>
      <x:c r="W1930" s="22" t="str">
        <x:f>"03876890101"</x:f>
        <x:v>03876890101</x:v>
      </x:c>
      <x:c r="X1930" s="23" t="str">
        <x:v>rtp.cargas@gmail.com</x:v>
      </x:c>
      <x:c r="Y1930" s="22" t="str">
        <x:f>"62991277279"</x:f>
        <x:v>62991277279</x:v>
      </x:c>
      <x:c r="Z1930" s="30" t="n">
        <x:v>46528</x:v>
      </x:c>
    </x:row>
    <x:row r="1931" ht="18" customHeight="1">
      <x:c r="A1931" s="22" t="str">
        <x:f>"796f6a6d-d461-4827-96ef-a39524d3bc47"</x:f>
        <x:v>796f6a6d-d461-4827-96ef-a39524d3bc47</x:v>
      </x:c>
      <x:c r="B1931" s="23" t="str">
        <x:v>JOSE CARLOS DE ALMEIDA</x:v>
      </x:c>
      <x:c r="C1931" s="23" t="str">
        <x:v>jose carlos de almeida</x:v>
      </x:c>
      <x:c r="D1931" s="22" t="str">
        <x:f>"60.403.146/0001-00"</x:f>
        <x:v>60.403.146/0001-00</x:v>
      </x:c>
      <x:c r="E1931" s="22" t="str">
        <x:f>"60403146000100"</x:f>
        <x:v>60403146000100</x:v>
      </x:c>
      <x:c r="F1931" s="22" t="str">
        <x:f>"143.528.278-78"</x:f>
        <x:v>143.528.278-78</x:v>
      </x:c>
      <x:c r="G1931" s="22" t="str">
        <x:f>"14352827878"</x:f>
        <x:v>14352827878</x:v>
      </x:c>
      <x:c r="H1931" s="23" t="str">
        <x:v>Josecarlos19almeida@gmail.com</x:v>
      </x:c>
      <x:c r="I1931" s="22" t="str">
        <x:f>"31999032340"</x:f>
        <x:v>31999032340</x:v>
      </x:c>
      <x:c r="J1931" s="23" t="str">
        <x:v>SPOT</x:v>
      </x:c>
      <x:c r="K1931" s="23" t="str">
        <x:v>favored_only</x:v>
      </x:c>
      <x:c r="L1931" s="24" t="b">
        <x:v>1</x:v>
      </x:c>
      <x:c r="M1931" s="23" t="n">
        <x:v>1</x:v>
      </x:c>
      <x:c r="N1931" s="28" t="n">
        <x:v>46219.812988715275</x:v>
      </x:c>
      <x:c r="O1931" s="28" t="n">
        <x:v>46219.812988715275</x:v>
      </x:c>
      <x:c r="P1931" s="23" t="str">
        <x:v>IPATINGA</x:v>
      </x:c>
      <x:c r="Q1931" s="30" t="n">
        <x:v>25307</x:v>
      </x:c>
      <x:c r="R1931" s="22" t="str">
        <x:f>"M5949078"</x:f>
        <x:v>M5949078</x:v>
      </x:c>
      <x:c r="S1931" s="23" t="str">
        <x:v>masculino</x:v>
      </x:c>
      <x:c r="T1931" s="22" t="str">
        <x:f>"EMU5F30"</x:f>
        <x:v>EMU5F30</x:v>
      </x:c>
      <x:c r="U1931" s="23" t="str">
        <x:v>JOSE CARLOS DE ALMEIDA</x:v>
      </x:c>
      <x:c r="V1931" s="22" t="str">
        <x:f>"143.528.278-78"</x:f>
        <x:v>143.528.278-78</x:v>
      </x:c>
      <x:c r="W1931" s="22" t="str">
        <x:f>"14352827878"</x:f>
        <x:v>14352827878</x:v>
      </x:c>
      <x:c r="X1931" s="23" t="str">
        <x:v>Josecarlos19almeida@gmail.com</x:v>
      </x:c>
      <x:c r="Y1931" s="22" t="str">
        <x:f>"31999032340"</x:f>
        <x:v>31999032340</x:v>
      </x:c>
      <x:c r="Z1931" s="30" t="n">
        <x:v>46553</x:v>
      </x:c>
    </x:row>
    <x:row r="1932" ht="18" customHeight="1">
      <x:c r="A1932" s="22" t="str">
        <x:f>"be5ade59-ca25-466d-9c9c-3615562cdf0e"</x:f>
        <x:v>be5ade59-ca25-466d-9c9c-3615562cdf0e</x:v>
      </x:c>
      <x:c r="B1932" s="23" t="str">
        <x:v>JOSE CARLOS DE ALMEIDA</x:v>
      </x:c>
      <x:c r="C1932" s="23" t="str">
        <x:v>jose carlos de almeida</x:v>
      </x:c>
      <x:c r="D1932" s="22" t="str">
        <x:f>"66.765.695/0001-00"</x:f>
        <x:v>66.765.695/0001-00</x:v>
      </x:c>
      <x:c r="E1932" s="22" t="str">
        <x:f>"66765695000100"</x:f>
        <x:v>66765695000100</x:v>
      </x:c>
      <x:c r="F1932" s="22" t="str">
        <x:f>"143.528.278-78"</x:f>
        <x:v>143.528.278-78</x:v>
      </x:c>
      <x:c r="G1932" s="22" t="str">
        <x:f>"14352827878"</x:f>
        <x:v>14352827878</x:v>
      </x:c>
      <x:c r="H1932" s="23" t="str">
        <x:v>Josecarlos19almeida@gmail.com</x:v>
      </x:c>
      <x:c r="I1932" s="22" t="str">
        <x:f>"31999032340"</x:f>
        <x:v>31999032340</x:v>
      </x:c>
      <x:c r="J1932" s="23" t="str">
        <x:v>SPOT</x:v>
      </x:c>
      <x:c r="K1932" s="23" t="str">
        <x:v>favored_only</x:v>
      </x:c>
      <x:c r="L1932" s="24" t="b">
        <x:v>1</x:v>
      </x:c>
      <x:c r="M1932" s="23" t="n">
        <x:v>1</x:v>
      </x:c>
      <x:c r="N1932" s="28" t="n">
        <x:v>46219.812988715275</x:v>
      </x:c>
      <x:c r="O1932" s="28" t="n">
        <x:v>46219.812988715275</x:v>
      </x:c>
      <x:c r="P1932" s="23" t="str">
        <x:v>IPATINGA</x:v>
      </x:c>
      <x:c r="Q1932" s="30" t="n">
        <x:v>25307</x:v>
      </x:c>
      <x:c r="R1932" s="22" t="str">
        <x:f>"MG5949078"</x:f>
        <x:v>MG5949078</x:v>
      </x:c>
      <x:c r="S1932" s="23" t="str">
        <x:v>masculino</x:v>
      </x:c>
      <x:c r="T1932" s="22" t="str">
        <x:f>"EMU5F30"</x:f>
        <x:v>EMU5F30</x:v>
      </x:c>
      <x:c r="U1932" s="23" t="str">
        <x:v>JOSE CARLOS DE ALMEIDA</x:v>
      </x:c>
      <x:c r="V1932" s="22" t="str">
        <x:f>"143.528.278-78"</x:f>
        <x:v>143.528.278-78</x:v>
      </x:c>
      <x:c r="W1932" s="22" t="str">
        <x:f>"14352827878"</x:f>
        <x:v>14352827878</x:v>
      </x:c>
      <x:c r="X1932" s="23" t="str">
        <x:v>Josecarlos19almeida@gmail.com</x:v>
      </x:c>
      <x:c r="Y1932" s="22" t="str">
        <x:f>"31999032340"</x:f>
        <x:v>31999032340</x:v>
      </x:c>
      <x:c r="Z1932" s="30" t="n">
        <x:v>46553</x:v>
      </x:c>
    </x:row>
    <x:row r="1933" ht="18" customHeight="1">
      <x:c r="A1933" s="22" t="str">
        <x:f>"4fb8823f-341b-496b-a966-4f54b56f4647"</x:f>
        <x:v>4fb8823f-341b-496b-a966-4f54b56f4647</x:v>
      </x:c>
      <x:c r="B1933" s="23" t="str">
        <x:v>JOSE CARLOS PIMENTEL JUNIOR</x:v>
      </x:c>
      <x:c r="C1933" s="23" t="str">
        <x:v>jose carlos pimentel junior</x:v>
      </x:c>
      <x:c r="D1933" s="22" t="str">
        <x:f>"58.539.365/0001-79"</x:f>
        <x:v>58.539.365/0001-79</x:v>
      </x:c>
      <x:c r="E1933" s="22" t="str">
        <x:f>"58539365000179"</x:f>
        <x:v>58539365000179</x:v>
      </x:c>
      <x:c r="F1933" s="22" t="str">
        <x:f>"708.667.781-79"</x:f>
        <x:v>708.667.781-79</x:v>
      </x:c>
      <x:c r="G1933" s="22" t="str">
        <x:f>"70866778179"</x:f>
        <x:v>70866778179</x:v>
      </x:c>
      <x:c r="H1933" s="23" t="str">
        <x:v>pimentelj029@gmail.com</x:v>
      </x:c>
      <x:c r="I1933" s="22" t="str">
        <x:f>"62 993446424"</x:f>
        <x:v>62 993446424</x:v>
      </x:c>
      <x:c r="J1933" s="23" t="str">
        <x:v>RENTAL</x:v>
      </x:c>
      <x:c r="K1933" s="23" t="str">
        <x:v>rental_company</x:v>
      </x:c>
      <x:c r="L1933" s="24" t="b">
        <x:v>1</x:v>
      </x:c>
      <x:c r="M1933" s="23" t="n">
        <x:v>2</x:v>
      </x:c>
      <x:c r="N1933" s="28" t="n">
        <x:v>46203.92184908565</x:v>
      </x:c>
      <x:c r="O1933" s="28" t="n">
        <x:v>46219.812988715275</x:v>
      </x:c>
      <x:c r="P1933" s="23" t="str">
        <x:v>GOIANIA</x:v>
      </x:c>
      <x:c r="Q1933" s="30" t="n">
        <x:v>38472</x:v>
      </x:c>
      <x:c r="R1933" s="22" t="str">
        <x:f>"8037989"</x:f>
        <x:v>8037989</x:v>
      </x:c>
      <x:c r="S1933" s="23" t="str">
        <x:v>masculino</x:v>
      </x:c>
      <x:c r="T1933" s="22" t="str">
        <x:f>"ORC1E69"</x:f>
        <x:v>ORC1E69</x:v>
      </x:c>
      <x:c r="U1933" s="23" t="str">
        <x:v>JOSE CARLOS PIMENTEL JUNIOR</x:v>
      </x:c>
      <x:c r="V1933" s="22" t="str">
        <x:f>"708.667.781-79"</x:f>
        <x:v>708.667.781-79</x:v>
      </x:c>
      <x:c r="W1933" s="22" t="str">
        <x:f>"70866778179"</x:f>
        <x:v>70866778179</x:v>
      </x:c>
      <x:c r="X1933" s="23" t="str">
        <x:v>pimentelj029@gmail.com</x:v>
      </x:c>
      <x:c r="Y1933" s="22" t="str">
        <x:f>"62 993446424"</x:f>
        <x:v>62 993446424</x:v>
      </x:c>
      <x:c r="Z1933" s="30" t="n">
        <x:v>46324</x:v>
      </x:c>
    </x:row>
    <x:row r="1934" ht="18" customHeight="1">
      <x:c r="A1934" s="22" t="str">
        <x:f>"c3029b8a-3381-47c0-a8e3-bfb98ef3994e"</x:f>
        <x:v>c3029b8a-3381-47c0-a8e3-bfb98ef3994e</x:v>
      </x:c>
      <x:c r="B1934" s="23" t="str">
        <x:v>JOSE CARLOS PINTO FERREIRA DE OLIVEIRA</x:v>
      </x:c>
      <x:c r="C1934" s="23" t="str">
        <x:v>jose carlos pinto ferreira de oliveira</x:v>
      </x:c>
      <x:c r="D1934" s="22" t="str">
        <x:f>"63.548.401/0001-09"</x:f>
        <x:v>63.548.401/0001-09</x:v>
      </x:c>
      <x:c r="E1934" s="22" t="str">
        <x:f>"63548401000109"</x:f>
        <x:v>63548401000109</x:v>
      </x:c>
      <x:c r="F1934" s="22" t="str">
        <x:f>"125.608.137-00"</x:f>
        <x:v>125.608.137-00</x:v>
      </x:c>
      <x:c r="G1934" s="22" t="str">
        <x:f>"12560813700"</x:f>
        <x:v>12560813700</x:v>
      </x:c>
      <x:c r="H1934" s="23" t="str">
        <x:v>josecpf2025@gmail.com</x:v>
      </x:c>
      <x:c r="I1934" s="22" t="str">
        <x:f>"21960119882"</x:f>
        <x:v>21960119882</x:v>
      </x:c>
      <x:c r="J1934" s="23" t="str">
        <x:v>SPOT</x:v>
      </x:c>
      <x:c r="K1934" s="23" t="str">
        <x:v>favored_only</x:v>
      </x:c>
      <x:c r="L1934" s="24" t="b">
        <x:v>1</x:v>
      </x:c>
      <x:c r="M1934" s="23" t="n">
        <x:v>1</x:v>
      </x:c>
      <x:c r="N1934" s="28" t="n">
        <x:v>46205.60652641203</x:v>
      </x:c>
      <x:c r="O1934" s="28" t="n">
        <x:v>46219.812988715275</x:v>
      </x:c>
      <x:c r="P1934" s="23" t="str">
        <x:v>CORDOVIL</x:v>
      </x:c>
      <x:c r="Q1934" s="30" t="n">
        <x:v>31863</x:v>
      </x:c>
      <x:c r="R1934" s="22" t="str">
        <x:f>"224010736"</x:f>
        <x:v>224010736</x:v>
      </x:c>
      <x:c r="S1934" s="23" t="str">
        <x:v>masculino</x:v>
      </x:c>
      <x:c r="T1934" s="22" t="str">
        <x:f>"RVN8D18"</x:f>
        <x:v>RVN8D18</x:v>
      </x:c>
      <x:c r="U1934" s="23" t="str">
        <x:v>ALINE VASCONCELLOS PEIXOTO FORTUNA</x:v>
      </x:c>
      <x:c r="V1934" s="22" t="str">
        <x:f>"098.785.967-97"</x:f>
        <x:v>098.785.967-97</x:v>
      </x:c>
      <x:c r="W1934" s="22" t="str">
        <x:f>"09878596797"</x:f>
        <x:v>09878596797</x:v>
      </x:c>
      <x:c r="X1934" s="23" t="str">
        <x:v>alinepfortuna@yahoo.com.br</x:v>
      </x:c>
      <x:c r="Y1934" s="22" t="str">
        <x:f>"21993335193"</x:f>
        <x:v>21993335193</x:v>
      </x:c>
      <x:c r="Z1934" s="30" t="n">
        <x:v>46362</x:v>
      </x:c>
    </x:row>
    <x:row r="1935" ht="18" customHeight="1">
      <x:c r="A1935" s="22" t="str">
        <x:f>"4044a529-57a4-4c13-9836-2eb620c2997d"</x:f>
        <x:v>4044a529-57a4-4c13-9836-2eb620c2997d</x:v>
      </x:c>
      <x:c r="B1935" s="23" t="str">
        <x:v>JOSE CARLOS RIBEIRO DA SILVA FILHO</x:v>
      </x:c>
      <x:c r="C1935" s="23" t="str">
        <x:v>jose carlos ribeiro da silva filho</x:v>
      </x:c>
      <x:c r="D1935" s="22" t="str">
        <x:f>"20.769.401/0001-18"</x:f>
        <x:v>20.769.401/0001-18</x:v>
      </x:c>
      <x:c r="E1935" s="22" t="str">
        <x:f>"20769401000118"</x:f>
        <x:v>20769401000118</x:v>
      </x:c>
      <x:c r="F1935" s="22" t="str">
        <x:f>"114.263.937-17"</x:f>
        <x:v>114.263.937-17</x:v>
      </x:c>
      <x:c r="G1935" s="22" t="str">
        <x:f>"11426393717"</x:f>
        <x:v>11426393717</x:v>
      </x:c>
      <x:c r="H1935" s="23" t="str">
        <x:v>JCARLOSMECANICA@GMAIL.COM</x:v>
      </x:c>
      <x:c r="I1935" s="22" t="str">
        <x:f>"22 997954781"</x:f>
        <x:v>22 997954781</x:v>
      </x:c>
      <x:c r="J1935" s="23" t="str">
        <x:v>SPOT</x:v>
      </x:c>
      <x:c r="K1935" s="23" t="str">
        <x:v>favored_only</x:v>
      </x:c>
      <x:c r="L1935" s="24" t="b">
        <x:v>1</x:v>
      </x:c>
      <x:c r="M1935" s="23" t="n">
        <x:v>1</x:v>
      </x:c>
      <x:c r="N1935" s="28" t="n">
        <x:v>46203.92191240741</x:v>
      </x:c>
      <x:c r="O1935" s="28" t="n">
        <x:v>46219.812988715275</x:v>
      </x:c>
      <x:c r="P1935" s="23" t="str">
        <x:v>CAMPOS DOS GOYTACAZES</x:v>
      </x:c>
      <x:c r="Q1935" s="30" t="n">
        <x:v>31286</x:v>
      </x:c>
      <x:c r="R1935" s="22" t="str">
        <x:f>"216048942"</x:f>
        <x:v>216048942</x:v>
      </x:c>
      <x:c r="S1935" s="23" t="str">
        <x:v>masculino</x:v>
      </x:c>
      <x:c r="T1935" s="22" t="str">
        <x:f>"QXX2E39"</x:f>
        <x:v>QXX2E39</x:v>
      </x:c>
      <x:c r="U1935" s="23" t="str">
        <x:v>JOSE CARLOS RIBEIRO DA SILVA FILHO</x:v>
      </x:c>
      <x:c r="V1935" s="22" t="str">
        <x:f>"114.263.937-17"</x:f>
        <x:v>114.263.937-17</x:v>
      </x:c>
      <x:c r="W1935" s="22" t="str">
        <x:f>"11426393717"</x:f>
        <x:v>11426393717</x:v>
      </x:c>
      <x:c r="X1935" s="23" t="str">
        <x:v>JCARLOSMECANICA@GMAIL.COM</x:v>
      </x:c>
      <x:c r="Y1935" s="22" t="str">
        <x:f>"22 997954781"</x:f>
        <x:v>22 997954781</x:v>
      </x:c>
      <x:c r="Z1935" s="30" t="n">
        <x:v>46410</x:v>
      </x:c>
    </x:row>
    <x:row r="1936" ht="18" customHeight="1">
      <x:c r="A1936" s="22" t="str">
        <x:f>"616c2d6a-3b44-4ab0-87e9-84ee3d6b101d"</x:f>
        <x:v>616c2d6a-3b44-4ab0-87e9-84ee3d6b101d</x:v>
      </x:c>
      <x:c r="B1936" s="23" t="str">
        <x:v>JOSE CARVALHO DE ARAUJO NETO</x:v>
      </x:c>
      <x:c r="C1936" s="23" t="str">
        <x:v>jose carvalho de araujo neto</x:v>
      </x:c>
      <x:c r="D1936" s="22" t="str">
        <x:f>"42.583.782/0001-89"</x:f>
        <x:v>42.583.782/0001-89</x:v>
      </x:c>
      <x:c r="E1936" s="22" t="str">
        <x:f>"42583782000189"</x:f>
        <x:v>42583782000189</x:v>
      </x:c>
      <x:c r="F1936" s="22" t="str">
        <x:f>"701.223.801-18"</x:f>
        <x:v>701.223.801-18</x:v>
      </x:c>
      <x:c r="G1936" s="22" t="str">
        <x:f>"70122380118"</x:f>
        <x:v>70122380118</x:v>
      </x:c>
      <x:c r="H1936" s="23" t="str">
        <x:v>netocdj1@gmail.com</x:v>
      </x:c>
      <x:c r="I1936" s="22" t="str">
        <x:f>"62981490973"</x:f>
        <x:v>62981490973</x:v>
      </x:c>
      <x:c r="J1936" s="23" t="str">
        <x:v>SPOT</x:v>
      </x:c>
      <x:c r="K1936" s="23" t="str">
        <x:v>favored_only</x:v>
      </x:c>
      <x:c r="L1936" s="24" t="b">
        <x:v>1</x:v>
      </x:c>
      <x:c r="M1936" s="23" t="n">
        <x:v>1</x:v>
      </x:c>
      <x:c r="N1936" s="28" t="n">
        <x:v>46219.812988715275</x:v>
      </x:c>
      <x:c r="O1936" s="28" t="n">
        <x:v>46219.812988715275</x:v>
      </x:c>
      <x:c r="P1936" s="23" t="str">
        <x:v>GOIANIA</x:v>
      </x:c>
      <x:c r="Q1936" s="30" t="n">
        <x:v>35285</x:v>
      </x:c>
      <x:c r="R1936" s="22" t="str">
        <x:f>"6014607"</x:f>
        <x:v>6014607</x:v>
      </x:c>
      <x:c r="S1936" s="23" t="str">
        <x:v>masculino</x:v>
      </x:c>
      <x:c r="T1936" s="22" t="str">
        <x:f>"RBO0G86"</x:f>
        <x:v>RBO0G86</x:v>
      </x:c>
      <x:c r="U1936" s="23" t="str">
        <x:v>JOSE CARVALHO DE ARAUJO NETO</x:v>
      </x:c>
      <x:c r="V1936" s="22" t="str">
        <x:f>"701.223.801-18"</x:f>
        <x:v>701.223.801-18</x:v>
      </x:c>
      <x:c r="W1936" s="22" t="str">
        <x:f>"70122380118"</x:f>
        <x:v>70122380118</x:v>
      </x:c>
      <x:c r="X1936" s="23" t="str">
        <x:v>netocdj1@gmail.com</x:v>
      </x:c>
      <x:c r="Y1936" s="22" t="str">
        <x:f>"62981490973"</x:f>
        <x:v>62981490973</x:v>
      </x:c>
      <x:c r="Z1936" s="30" t="n">
        <x:v>46457</x:v>
      </x:c>
    </x:row>
    <x:row r="1937" ht="18" customHeight="1">
      <x:c r="A1937" s="22" t="str">
        <x:f>"ef6f65ac-0364-40f4-aa0e-f2a2b34730af"</x:f>
        <x:v>ef6f65ac-0364-40f4-aa0e-f2a2b34730af</x:v>
      </x:c>
      <x:c r="B1937" s="23" t="str">
        <x:v>JOSE CARVALHO DE ARAUJO NETO</x:v>
      </x:c>
      <x:c r="C1937" s="23" t="str">
        <x:v>jose carvalho de araujo neto</x:v>
      </x:c>
      <x:c r="D1937" s="22" t="str">
        <x:f>"37.823.997/0001-90"</x:f>
        <x:v>37.823.997/0001-90</x:v>
      </x:c>
      <x:c r="E1937" s="22" t="str">
        <x:f>"37823997000190"</x:f>
        <x:v>37823997000190</x:v>
      </x:c>
      <x:c r="F1937" s="22" t="str">
        <x:f>"701.223.801-18"</x:f>
        <x:v>701.223.801-18</x:v>
      </x:c>
      <x:c r="G1937" s="22" t="str">
        <x:f>"70122380118"</x:f>
        <x:v>70122380118</x:v>
      </x:c>
      <x:c r="H1937" s="23" t="str">
        <x:v>netocdj3@gmail.com</x:v>
      </x:c>
      <x:c r="I1937" s="22" t="str">
        <x:f>"62981490973"</x:f>
        <x:v>62981490973</x:v>
      </x:c>
      <x:c r="J1937" s="23" t="str">
        <x:v>SPOT</x:v>
      </x:c>
      <x:c r="K1937" s="23" t="str">
        <x:v>favored_only</x:v>
      </x:c>
      <x:c r="L1937" s="24" t="b">
        <x:v>1</x:v>
      </x:c>
      <x:c r="M1937" s="23" t="n">
        <x:v>1</x:v>
      </x:c>
      <x:c r="N1937" s="28" t="n">
        <x:v>46205.601928923614</x:v>
      </x:c>
      <x:c r="O1937" s="28" t="n">
        <x:v>46219.812988715275</x:v>
      </x:c>
      <x:c r="P1937" s="23" t="str">
        <x:v>GOIANIA</x:v>
      </x:c>
      <x:c r="Q1937" s="30" t="n">
        <x:v>35285</x:v>
      </x:c>
      <x:c r="R1937" s="22" t="str">
        <x:f>"6014607"</x:f>
        <x:v>6014607</x:v>
      </x:c>
      <x:c r="S1937" s="23" t="str">
        <x:v>masculino</x:v>
      </x:c>
      <x:c r="T1937" s="22" t="str">
        <x:f>"NWB6778"</x:f>
        <x:v>NWB6778</x:v>
      </x:c>
      <x:c r="U1937" s="23" t="str">
        <x:v>DANILLO BACIEL ALMEIDA</x:v>
      </x:c>
      <x:c r="V1937" s="22" t="str">
        <x:f>"962.005.291-91"</x:f>
        <x:v>962.005.291-91</x:v>
      </x:c>
      <x:c r="W1937" s="22" t="str">
        <x:f>"96200529191"</x:f>
        <x:v>96200529191</x:v>
      </x:c>
      <x:c r="X1937" s="23" t="str">
        <x:v>rpt.cargas@gmail.com</x:v>
      </x:c>
      <x:c r="Y1937" s="22" t="str">
        <x:f>"62 996610607"</x:f>
        <x:v>62 996610607</x:v>
      </x:c>
      <x:c r="Z1937" s="30" t="n">
        <x:v>46294</x:v>
      </x:c>
    </x:row>
    <x:row r="1938" ht="18" customHeight="1">
      <x:c r="A1938" s="22" t="str">
        <x:f>"63c65e44-b404-40fe-bd10-4604889004b8"</x:f>
        <x:v>63c65e44-b404-40fe-bd10-4604889004b8</x:v>
      </x:c>
      <x:c r="B1938" s="23" t="str">
        <x:v>JOSE CLAUDENSE DA SILVA</x:v>
      </x:c>
      <x:c r="C1938" s="23" t="str">
        <x:v>jose claudense da silva</x:v>
      </x:c>
      <x:c r="D1938" s="22" t="str">
        <x:f>"58.042.746/0001-48"</x:f>
        <x:v>58.042.746/0001-48</x:v>
      </x:c>
      <x:c r="E1938" s="22" t="str">
        <x:f>"58042746000148"</x:f>
        <x:v>58042746000148</x:v>
      </x:c>
      <x:c r="F1938" s="22" t="str">
        <x:f>"014.982.564-14"</x:f>
        <x:v>014.982.564-14</x:v>
      </x:c>
      <x:c r="G1938" s="22" t="str">
        <x:f>"01498256414"</x:f>
        <x:v>01498256414</x:v>
      </x:c>
      <x:c r="H1938" s="23" t="str">
        <x:v>claudensesilva09@gmail.com</x:v>
      </x:c>
      <x:c r="I1938" s="22" t="str">
        <x:f>"34 9963-8484"</x:f>
        <x:v>34 9963-8484</x:v>
      </x:c>
      <x:c r="J1938" s="23" t="str">
        <x:v>RENTAL</x:v>
      </x:c>
      <x:c r="K1938" s="23" t="str">
        <x:v>rental_company</x:v>
      </x:c>
      <x:c r="L1938" s="24" t="b">
        <x:v>1</x:v>
      </x:c>
      <x:c r="M1938" s="23" t="n">
        <x:v>1</x:v>
      </x:c>
      <x:c r="N1938" s="28" t="n">
        <x:v>46219.812988715275</x:v>
      </x:c>
      <x:c r="O1938" s="28" t="n">
        <x:v>46219.812988715275</x:v>
      </x:c>
      <x:c r="P1938" s="23" t="str">
        <x:v>UBERLANDIA</x:v>
      </x:c>
      <x:c r="Q1938" s="30" t="n">
        <x:v>30464</x:v>
      </x:c>
      <x:c r="R1938" s="22" t="str">
        <x:f>"23452978"</x:f>
        <x:v>23452978</x:v>
      </x:c>
      <x:c r="S1938" s="23" t="str">
        <x:v>masculino</x:v>
      </x:c>
      <x:c r="T1938" s="22" t="str"/>
      <x:c r="U1938" s="23" t="str">
        <x:v>JOSE CLAUDIO DA SILVA</x:v>
      </x:c>
      <x:c r="V1938" s="22" t="str">
        <x:f>"014.982.564-14"</x:f>
        <x:v>014.982.564-14</x:v>
      </x:c>
      <x:c r="W1938" s="22" t="str">
        <x:f>"01498256414"</x:f>
        <x:v>01498256414</x:v>
      </x:c>
      <x:c r="X1938" s="23" t="str">
        <x:v>claudensesilva09@gmail.com</x:v>
      </x:c>
      <x:c r="Y1938" s="22" t="str">
        <x:f>"34 9963-8484"</x:f>
        <x:v>34 9963-8484</x:v>
      </x:c>
      <x:c r="Z1938" s="30" t="n">
        <x:v>46429</x:v>
      </x:c>
    </x:row>
    <x:row r="1939" ht="18" customHeight="1">
      <x:c r="A1939" s="22" t="str">
        <x:f>"09a21105-6dd9-4a68-ab8b-30e5d8799345"</x:f>
        <x:v>09a21105-6dd9-4a68-ab8b-30e5d8799345</x:v>
      </x:c>
      <x:c r="B1939" s="23" t="str">
        <x:v>JOSE DANIEL DE SOUZA</x:v>
      </x:c>
      <x:c r="C1939" s="23" t="str">
        <x:v>jose daniel de souza</x:v>
      </x:c>
      <x:c r="D1939" s="22" t="str">
        <x:f>"66.543.685/0001-20"</x:f>
        <x:v>66.543.685/0001-20</x:v>
      </x:c>
      <x:c r="E1939" s="22" t="str">
        <x:f>"66543685000120"</x:f>
        <x:v>66543685000120</x:v>
      </x:c>
      <x:c r="F1939" s="22" t="str">
        <x:f>"466.935.137-00"</x:f>
        <x:v>466.935.137-00</x:v>
      </x:c>
      <x:c r="G1939" s="22" t="str">
        <x:f>"46693513700"</x:f>
        <x:v>46693513700</x:v>
      </x:c>
      <x:c r="H1939" s="23" t="str">
        <x:v>danielsouzario@gmail.com</x:v>
      </x:c>
      <x:c r="I1939" s="22" t="str">
        <x:f>"(21)993063794"</x:f>
        <x:v>(21)993063794</x:v>
      </x:c>
      <x:c r="J1939" s="23" t="str">
        <x:v>SPOT</x:v>
      </x:c>
      <x:c r="K1939" s="23" t="str">
        <x:v>favored_only</x:v>
      </x:c>
      <x:c r="L1939" s="24" t="b">
        <x:v>1</x:v>
      </x:c>
      <x:c r="M1939" s="23" t="n">
        <x:v>1</x:v>
      </x:c>
      <x:c r="N1939" s="28" t="n">
        <x:v>46219.812988715275</x:v>
      </x:c>
      <x:c r="O1939" s="28" t="n">
        <x:v>46219.812988715275</x:v>
      </x:c>
      <x:c r="P1939" s="23" t="str">
        <x:v>CORDOVIL</x:v>
      </x:c>
      <x:c r="Q1939" s="30" t="n">
        <x:v>20823</x:v>
      </x:c>
      <x:c r="R1939" s="22" t="str">
        <x:f>"303145"</x:f>
        <x:v>303145</x:v>
      </x:c>
      <x:c r="S1939" s="23" t="str">
        <x:v>masculino</x:v>
      </x:c>
      <x:c r="T1939" s="22" t="str">
        <x:f>"KUV 7034"</x:f>
        <x:v>KUV 7034</x:v>
      </x:c>
      <x:c r="U1939" s="23" t="str">
        <x:v>JOSE DANIEL DE SOUZA</x:v>
      </x:c>
      <x:c r="V1939" s="22" t="str">
        <x:f>"466.935.137-00"</x:f>
        <x:v>466.935.137-00</x:v>
      </x:c>
      <x:c r="W1939" s="22" t="str">
        <x:f>"46693513700"</x:f>
        <x:v>46693513700</x:v>
      </x:c>
      <x:c r="X1939" s="23" t="str">
        <x:v>danielsouzario@gmail.com</x:v>
      </x:c>
      <x:c r="Y1939" s="22" t="str">
        <x:f>"(21)993063794"</x:f>
        <x:v>(21)993063794</x:v>
      </x:c>
      <x:c r="Z1939" s="30" t="n">
        <x:v>46554</x:v>
      </x:c>
    </x:row>
    <x:row r="1940" ht="18" customHeight="1">
      <x:c r="A1940" s="22" t="str">
        <x:f>"032e7504-f168-49b3-bdf2-f8b5966d1184"</x:f>
        <x:v>032e7504-f168-49b3-bdf2-f8b5966d1184</x:v>
      </x:c>
      <x:c r="B1940" s="23" t="str">
        <x:v>JOSE EDELSON LIMA SAKAMOTO</x:v>
      </x:c>
      <x:c r="C1940" s="23" t="str">
        <x:v>jose edelson lima sakamoto</x:v>
      </x:c>
      <x:c r="D1940" s="22" t="str">
        <x:f>"40.930.797/0001-40"</x:f>
        <x:v>40.930.797/0001-40</x:v>
      </x:c>
      <x:c r="E1940" s="22" t="str">
        <x:f>"40930797000140"</x:f>
        <x:v>40930797000140</x:v>
      </x:c>
      <x:c r="F1940" s="22" t="str">
        <x:f>"962.294.381-00"</x:f>
        <x:v>962.294.381-00</x:v>
      </x:c>
      <x:c r="G1940" s="22" t="str">
        <x:f>"96229438100"</x:f>
        <x:v>96229438100</x:v>
      </x:c>
      <x:c r="H1940" s="23" t="str">
        <x:v>edelson.sakamoto@yahoo.com</x:v>
      </x:c>
      <x:c r="I1940" s="22" t="str">
        <x:f>"6796979462"</x:f>
        <x:v>6796979462</x:v>
      </x:c>
      <x:c r="J1940" s="23" t="str">
        <x:v>SPOT</x:v>
      </x:c>
      <x:c r="K1940" s="23" t="str">
        <x:v>favored_only</x:v>
      </x:c>
      <x:c r="L1940" s="24" t="b">
        <x:v>1</x:v>
      </x:c>
      <x:c r="M1940" s="23" t="n">
        <x:v>1</x:v>
      </x:c>
      <x:c r="N1940" s="28" t="n">
        <x:v>46219.812988715275</x:v>
      </x:c>
      <x:c r="O1940" s="28" t="n">
        <x:v>46219.812988715275</x:v>
      </x:c>
      <x:c r="P1940" s="23" t="str">
        <x:v>CHAPADÃO DO SUL</x:v>
      </x:c>
      <x:c r="Q1940" s="30" t="n">
        <x:v>30175</x:v>
      </x:c>
      <x:c r="R1940" s="22" t="str">
        <x:f>"1634973859"</x:f>
        <x:v>1634973859</x:v>
      </x:c>
      <x:c r="S1940" s="23" t="str">
        <x:v>masculino</x:v>
      </x:c>
      <x:c r="T1940" s="22" t="str">
        <x:f>"NRP3A86"</x:f>
        <x:v>NRP3A86</x:v>
      </x:c>
      <x:c r="U1940" s="23" t="str">
        <x:v>MARCIA CARINA LOCATELLI LIMA</x:v>
      </x:c>
      <x:c r="V1940" s="22" t="str">
        <x:f>"717.151.421-87"</x:f>
        <x:v>717.151.421-87</x:v>
      </x:c>
      <x:c r="W1940" s="22" t="str">
        <x:f>"71715142187"</x:f>
        <x:v>71715142187</x:v>
      </x:c>
      <x:c r="X1940" s="23" t="str">
        <x:v>marciacarinalocatelli@hotmail.com</x:v>
      </x:c>
      <x:c r="Y1940" s="22" t="str">
        <x:f>"67 9916-1748"</x:f>
        <x:v>67 9916-1748</x:v>
      </x:c>
      <x:c r="Z1940" s="30" t="n">
        <x:v>46581</x:v>
      </x:c>
    </x:row>
    <x:row r="1941" ht="18" customHeight="1">
      <x:c r="A1941" s="22" t="str">
        <x:f>"6cb8acc3-9b3e-4adb-ac7e-ca1ae5f6ad55"</x:f>
        <x:v>6cb8acc3-9b3e-4adb-ac7e-ca1ae5f6ad55</x:v>
      </x:c>
      <x:c r="B1941" s="23" t="str">
        <x:v>JOSE EDELSON PIRES MOURAO</x:v>
      </x:c>
      <x:c r="C1941" s="23" t="str">
        <x:v>jose edelson pires mourao</x:v>
      </x:c>
      <x:c r="D1941" s="22" t="str">
        <x:f>"61.768.937/0001-04"</x:f>
        <x:v>61.768.937/0001-04</x:v>
      </x:c>
      <x:c r="E1941" s="22" t="str">
        <x:f>"61768937000104"</x:f>
        <x:v>61768937000104</x:v>
      </x:c>
      <x:c r="F1941" s="22" t="str">
        <x:f>"897.275.416-15"</x:f>
        <x:v>897.275.416-15</x:v>
      </x:c>
      <x:c r="G1941" s="22" t="str">
        <x:f>"89727541615"</x:f>
        <x:v>89727541615</x:v>
      </x:c>
      <x:c r="H1941" s="23" t="str">
        <x:v>joseedelsonpiresmourao@gmail.com</x:v>
      </x:c>
      <x:c r="I1941" s="22" t="str">
        <x:f>"33 988113698"</x:f>
        <x:v>33 988113698</x:v>
      </x:c>
      <x:c r="J1941" s="23" t="str">
        <x:v>SOPT</x:v>
      </x:c>
      <x:c r="K1941" s="23" t="str">
        <x:v>favored_only</x:v>
      </x:c>
      <x:c r="L1941" s="24" t="b">
        <x:v>1</x:v>
      </x:c>
      <x:c r="M1941" s="23" t="n">
        <x:v>1</x:v>
      </x:c>
      <x:c r="N1941" s="28" t="n">
        <x:v>46205.60367924769</x:v>
      </x:c>
      <x:c r="O1941" s="28" t="n">
        <x:v>46219.812988715275</x:v>
      </x:c>
      <x:c r="P1941" s="23" t="str">
        <x:v>GUANHAES</x:v>
      </x:c>
      <x:c r="Q1941" s="30" t="n">
        <x:v>26771</x:v>
      </x:c>
      <x:c r="R1941" s="22" t="str">
        <x:f>"6601533"</x:f>
        <x:v>6601533</x:v>
      </x:c>
      <x:c r="S1941" s="23" t="str">
        <x:v>masculino</x:v>
      </x:c>
      <x:c r="T1941" s="22" t="str">
        <x:f>"puv7195"</x:f>
        <x:v>puv7195</x:v>
      </x:c>
      <x:c r="U1941" s="23" t="str">
        <x:v>MARCILIO PIRES MOURAO</x:v>
      </x:c>
      <x:c r="V1941" s="22" t="str">
        <x:f>"001.633.266-06"</x:f>
        <x:v>001.633.266-06</x:v>
      </x:c>
      <x:c r="W1941" s="22" t="str">
        <x:f>"00163326606"</x:f>
        <x:v>00163326606</x:v>
      </x:c>
      <x:c r="X1941" s="23" t="str">
        <x:v>marcilio.barramansa@hotmail.com</x:v>
      </x:c>
      <x:c r="Y1941" s="22" t="str">
        <x:f>"33-9-8811-3698"</x:f>
        <x:v>33-9-8811-3698</x:v>
      </x:c>
      <x:c r="Z1941" s="30" t="n">
        <x:v>46579</x:v>
      </x:c>
    </x:row>
    <x:row r="1942" ht="18" customHeight="1">
      <x:c r="A1942" s="22" t="str">
        <x:f>"ed64190c-7756-4e6e-b34e-b8aec275cc15"</x:f>
        <x:v>ed64190c-7756-4e6e-b34e-b8aec275cc15</x:v>
      </x:c>
      <x:c r="B1942" s="23" t="str">
        <x:v>JOSE FERNANDO MARTINS DA SILVA</x:v>
      </x:c>
      <x:c r="C1942" s="23" t="str">
        <x:v>jose fernando martins da silva</x:v>
      </x:c>
      <x:c r="D1942" s="22" t="str">
        <x:f>"58.396.530/0001-80"</x:f>
        <x:v>58.396.530/0001-80</x:v>
      </x:c>
      <x:c r="E1942" s="22" t="str">
        <x:f>"58396530000180"</x:f>
        <x:v>58396530000180</x:v>
      </x:c>
      <x:c r="F1942" s="22" t="str">
        <x:f>"030.903.891-00"</x:f>
        <x:v>030.903.891-00</x:v>
      </x:c>
      <x:c r="G1942" s="22" t="str">
        <x:f>"03090389100"</x:f>
        <x:v>03090389100</x:v>
      </x:c>
      <x:c r="H1942" s="23" t="str">
        <x:v>fernando.thalifer@gmail.com</x:v>
      </x:c>
      <x:c r="I1942" s="22" t="str">
        <x:f>"65992723114"</x:f>
        <x:v>65992723114</x:v>
      </x:c>
      <x:c r="J1942" s="23" t="str">
        <x:v>SPOT</x:v>
      </x:c>
      <x:c r="K1942" s="23" t="str">
        <x:v>favored_only</x:v>
      </x:c>
      <x:c r="L1942" s="24" t="b">
        <x:v>1</x:v>
      </x:c>
      <x:c r="M1942" s="23" t="n">
        <x:v>1</x:v>
      </x:c>
      <x:c r="N1942" s="28" t="n">
        <x:v>46205.60480540509</x:v>
      </x:c>
      <x:c r="O1942" s="28" t="n">
        <x:v>46219.812988715275</x:v>
      </x:c>
      <x:c r="P1942" s="23" t="str">
        <x:v>CUIABA</x:v>
      </x:c>
      <x:c r="Q1942" s="30" t="n">
        <x:v>32332</x:v>
      </x:c>
      <x:c r="R1942" s="22" t="str">
        <x:f>"17589100"</x:f>
        <x:v>17589100</x:v>
      </x:c>
      <x:c r="S1942" s="23" t="str">
        <x:v>masculino</x:v>
      </x:c>
      <x:c r="T1942" s="22" t="str">
        <x:f>"QBC4D09"</x:f>
        <x:v>QBC4D09</x:v>
      </x:c>
      <x:c r="U1942" s="23" t="str">
        <x:v>THALITA SILVA ARENA</x:v>
      </x:c>
      <x:c r="V1942" s="22" t="str">
        <x:f>"021.450.801-39"</x:f>
        <x:v>021.450.801-39</x:v>
      </x:c>
      <x:c r="W1942" s="22" t="str">
        <x:f>"02145080139"</x:f>
        <x:v>02145080139</x:v>
      </x:c>
      <x:c r="X1942" s="23" t="str">
        <x:v>thalita_arena@live.com</x:v>
      </x:c>
      <x:c r="Y1942" s="22" t="str">
        <x:f>"65 992242096"</x:f>
        <x:v>65 992242096</x:v>
      </x:c>
      <x:c r="Z1942" s="30" t="n">
        <x:v>46297</x:v>
      </x:c>
    </x:row>
    <x:row r="1943" ht="18" customHeight="1">
      <x:c r="A1943" s="22" t="str">
        <x:f>"65536a72-9f7e-4b7c-92c7-4ada723b1c1e"</x:f>
        <x:v>65536a72-9f7e-4b7c-92c7-4ada723b1c1e</x:v>
      </x:c>
      <x:c r="B1943" s="23" t="str">
        <x:v>JOSE FRANCISCO DE PAULA</x:v>
      </x:c>
      <x:c r="C1943" s="23" t="str">
        <x:v>jose francisco de paula</x:v>
      </x:c>
      <x:c r="D1943" s="22" t="str">
        <x:f>"45.180.425/0001-68"</x:f>
        <x:v>45.180.425/0001-68</x:v>
      </x:c>
      <x:c r="E1943" s="22" t="str">
        <x:f>"45180425000168"</x:f>
        <x:v>45180425000168</x:v>
      </x:c>
      <x:c r="F1943" s="22" t="str">
        <x:f>"073.447.318-43"</x:f>
        <x:v>073.447.318-43</x:v>
      </x:c>
      <x:c r="G1943" s="22" t="str">
        <x:f>"07344731843"</x:f>
        <x:v>07344731843</x:v>
      </x:c>
      <x:c r="H1943" s="23" t="str">
        <x:v>jose.francisco.depaula.100@gmail.com</x:v>
      </x:c>
      <x:c r="I1943" s="22" t="str">
        <x:f>"18 99703-9301"</x:f>
        <x:v>18 99703-9301</x:v>
      </x:c>
      <x:c r="J1943" s="23" t="str">
        <x:v>SPOT</x:v>
      </x:c>
      <x:c r="K1943" s="23" t="str">
        <x:v>favored_only</x:v>
      </x:c>
      <x:c r="L1943" s="24" t="b">
        <x:v>1</x:v>
      </x:c>
      <x:c r="M1943" s="23" t="n">
        <x:v>1</x:v>
      </x:c>
      <x:c r="N1943" s="28" t="n">
        <x:v>46203.921858726855</x:v>
      </x:c>
      <x:c r="O1943" s="28" t="n">
        <x:v>46219.812988715275</x:v>
      </x:c>
      <x:c r="P1943" s="23" t="str">
        <x:v>ARAÇATUBA</x:v>
      </x:c>
      <x:c r="Q1943" s="30" t="n">
        <x:v>23964</x:v>
      </x:c>
      <x:c r="R1943" s="22" t="str">
        <x:f>"18358565"</x:f>
        <x:v>18358565</x:v>
      </x:c>
      <x:c r="S1943" s="23" t="str">
        <x:v>masculino</x:v>
      </x:c>
      <x:c r="T1943" s="22" t="str">
        <x:f>"BZR2H72"</x:f>
        <x:v>BZR2H72</x:v>
      </x:c>
      <x:c r="U1943" s="23" t="str">
        <x:v>JOSE FRANCISCO DE PAULA</x:v>
      </x:c>
      <x:c r="V1943" s="22" t="str">
        <x:f>"073.447.318-43"</x:f>
        <x:v>073.447.318-43</x:v>
      </x:c>
      <x:c r="W1943" s="22" t="str">
        <x:f>"07344731843"</x:f>
        <x:v>07344731843</x:v>
      </x:c>
      <x:c r="X1943" s="23" t="str">
        <x:v>jose.francisco.depaula.100@gmail.com</x:v>
      </x:c>
      <x:c r="Y1943" s="22" t="str">
        <x:f>"18 99703-9301"</x:f>
        <x:v>18 99703-9301</x:v>
      </x:c>
      <x:c r="Z1943" s="30" t="n">
        <x:v>46260</x:v>
      </x:c>
    </x:row>
    <x:row r="1944" ht="18" customHeight="1">
      <x:c r="A1944" s="22" t="str">
        <x:f>"aa8370dc-c7cc-440f-a2ca-b3086aded7f7"</x:f>
        <x:v>aa8370dc-c7cc-440f-a2ca-b3086aded7f7</x:v>
      </x:c>
      <x:c r="B1944" s="23" t="str">
        <x:v>JOSE FREDERICO SILVA BALDUINO</x:v>
      </x:c>
      <x:c r="C1944" s="23" t="str">
        <x:v>jose frederico silva balduino</x:v>
      </x:c>
      <x:c r="D1944" s="22" t="str">
        <x:f>"51.105.452/0001-79"</x:f>
        <x:v>51.105.452/0001-79</x:v>
      </x:c>
      <x:c r="E1944" s="22" t="str">
        <x:f>"51105452000179"</x:f>
        <x:v>51105452000179</x:v>
      </x:c>
      <x:c r="F1944" s="22" t="str">
        <x:f>"013.493.526-83"</x:f>
        <x:v>013.493.526-83</x:v>
      </x:c>
      <x:c r="G1944" s="22" t="str">
        <x:f>"01349352683"</x:f>
        <x:v>01349352683</x:v>
      </x:c>
      <x:c r="H1944" s="23" t="str">
        <x:v>jose.f.balduino@hotmail.com</x:v>
      </x:c>
      <x:c r="I1944" s="22" t="str">
        <x:f>"(34) 9 9118 5294"</x:f>
        <x:v>(34) 9 9118 5294</x:v>
      </x:c>
      <x:c r="J1944" s="23" t="str">
        <x:v>RENTAL</x:v>
      </x:c>
      <x:c r="K1944" s="23" t="str">
        <x:v>rental_company</x:v>
      </x:c>
      <x:c r="L1944" s="24" t="b">
        <x:v>1</x:v>
      </x:c>
      <x:c r="M1944" s="23" t="n">
        <x:v>1</x:v>
      </x:c>
      <x:c r="N1944" s="28" t="n">
        <x:v>46203.92186462963</x:v>
      </x:c>
      <x:c r="O1944" s="28" t="n">
        <x:v>46219.812988715275</x:v>
      </x:c>
      <x:c r="P1944" s="23" t="str">
        <x:v>UBERABA</x:v>
      </x:c>
      <x:c r="Q1944" s="30" t="n">
        <x:v>29676</x:v>
      </x:c>
      <x:c r="R1944" s="22" t="str">
        <x:f>"12389738"</x:f>
        <x:v>12389738</x:v>
      </x:c>
      <x:c r="S1944" s="23" t="str">
        <x:v>masculino</x:v>
      </x:c>
      <x:c r="T1944" s="22" t="str"/>
      <x:c r="U1944" s="23" t="str">
        <x:v>JOSE FREDERICO SILVA BALDUINO</x:v>
      </x:c>
      <x:c r="V1944" s="22" t="str">
        <x:f>"013.493.526-83"</x:f>
        <x:v>013.493.526-83</x:v>
      </x:c>
      <x:c r="W1944" s="22" t="str">
        <x:f>"01349352683"</x:f>
        <x:v>01349352683</x:v>
      </x:c>
      <x:c r="X1944" s="23" t="str">
        <x:v>jose.f.balduino@hotmail.com</x:v>
      </x:c>
      <x:c r="Y1944" s="22" t="str">
        <x:f>"(34) 9 9118 5294"</x:f>
        <x:v>(34) 9 9118 5294</x:v>
      </x:c>
      <x:c r="Z1944" s="30" t="n">
        <x:v>46274</x:v>
      </x:c>
    </x:row>
    <x:row r="1945" ht="18" customHeight="1">
      <x:c r="A1945" s="22" t="str">
        <x:f>"f7a05817-372e-4108-8f7e-ab16a580c405"</x:f>
        <x:v>f7a05817-372e-4108-8f7e-ab16a580c405</x:v>
      </x:c>
      <x:c r="B1945" s="23" t="str">
        <x:v>JOSE GARCIA DE OLIVEIRA NETO</x:v>
      </x:c>
      <x:c r="C1945" s="23" t="str">
        <x:v>jose garcia de oliveira neto</x:v>
      </x:c>
      <x:c r="D1945" s="22" t="str">
        <x:f>"50.073.217/0001-08"</x:f>
        <x:v>50.073.217/0001-08</x:v>
      </x:c>
      <x:c r="E1945" s="22" t="str">
        <x:f>"50073217000108"</x:f>
        <x:v>50073217000108</x:v>
      </x:c>
      <x:c r="F1945" s="22" t="str">
        <x:f>"701.801.808-00"</x:f>
        <x:v>701.801.808-00</x:v>
      </x:c>
      <x:c r="G1945" s="22" t="str">
        <x:f>"70180180800"</x:f>
        <x:v>70180180800</x:v>
      </x:c>
      <x:c r="H1945" s="23" t="str">
        <x:v>zegacac@gmail.com</x:v>
      </x:c>
      <x:c r="I1945" s="22" t="str">
        <x:f>"65999577333"</x:f>
        <x:v>65999577333</x:v>
      </x:c>
      <x:c r="J1945" s="23" t="str">
        <x:v>SPOT</x:v>
      </x:c>
      <x:c r="K1945" s="23" t="str">
        <x:v>favored_only</x:v>
      </x:c>
      <x:c r="L1945" s="24" t="b">
        <x:v>1</x:v>
      </x:c>
      <x:c r="M1945" s="23" t="n">
        <x:v>1</x:v>
      </x:c>
      <x:c r="N1945" s="28" t="n">
        <x:v>46205.60638631944</x:v>
      </x:c>
      <x:c r="O1945" s="28" t="n">
        <x:v>46219.812988715275</x:v>
      </x:c>
      <x:c r="P1945" s="23" t="str">
        <x:v>CÁCERES</x:v>
      </x:c>
      <x:c r="Q1945" s="30" t="n">
        <x:v>19484</x:v>
      </x:c>
      <x:c r="R1945" s="22" t="str">
        <x:f>"70180180800"</x:f>
        <x:v>70180180800</x:v>
      </x:c>
      <x:c r="S1945" s="23" t="str">
        <x:v>masculino</x:v>
      </x:c>
      <x:c r="T1945" s="22" t="str">
        <x:f>"AXR7H88"</x:f>
        <x:v>AXR7H88</x:v>
      </x:c>
      <x:c r="U1945" s="23" t="str">
        <x:v>EVANDRO DE OLIVEIRA LOURENCO</x:v>
      </x:c>
      <x:c r="V1945" s="22" t="str">
        <x:f>"012.957.851-70"</x:f>
        <x:v>012.957.851-70</x:v>
      </x:c>
      <x:c r="W1945" s="22" t="str">
        <x:f>"01295785170"</x:f>
        <x:v>01295785170</x:v>
      </x:c>
      <x:c r="X1945" s="23" t="str">
        <x:v>evandromsoliveira@gmail.com</x:v>
      </x:c>
      <x:c r="Y1945" s="22" t="str">
        <x:f>"65992188094"</x:f>
        <x:v>65992188094</x:v>
      </x:c>
      <x:c r="Z1945" s="30" t="n">
        <x:v>46357</x:v>
      </x:c>
    </x:row>
    <x:row r="1946" ht="18" customHeight="1">
      <x:c r="A1946" s="22" t="str">
        <x:f>"73ab7558-bd9b-4bbc-84ea-524486f232b7"</x:f>
        <x:v>73ab7558-bd9b-4bbc-84ea-524486f232b7</x:v>
      </x:c>
      <x:c r="B1946" s="23" t="str">
        <x:v>José Geraldo de matos</x:v>
      </x:c>
      <x:c r="C1946" s="23" t="str">
        <x:v>jose geraldo de matos</x:v>
      </x:c>
      <x:c r="D1946" s="22" t="str">
        <x:f>"59.839.581/0001-00"</x:f>
        <x:v>59.839.581/0001-00</x:v>
      </x:c>
      <x:c r="E1946" s="22" t="str">
        <x:f>"59839581000100"</x:f>
        <x:v>59839581000100</x:v>
      </x:c>
      <x:c r="F1946" s="22" t="str">
        <x:f>"932.964.106-78"</x:f>
        <x:v>932.964.106-78</x:v>
      </x:c>
      <x:c r="G1946" s="22" t="str">
        <x:f>"93296410678"</x:f>
        <x:v>93296410678</x:v>
      </x:c>
      <x:c r="H1946" s="23" t="str">
        <x:v>zegeraldomatos@gmail.com</x:v>
      </x:c>
      <x:c r="I1946" s="22" t="str">
        <x:f>"31971893026"</x:f>
        <x:v>31971893026</x:v>
      </x:c>
      <x:c r="J1946" s="23" t="str">
        <x:v>SPOT</x:v>
      </x:c>
      <x:c r="K1946" s="23" t="str">
        <x:v>favored_only</x:v>
      </x:c>
      <x:c r="L1946" s="24" t="b">
        <x:v>1</x:v>
      </x:c>
      <x:c r="M1946" s="23" t="n">
        <x:v>1</x:v>
      </x:c>
      <x:c r="N1946" s="28" t="n">
        <x:v>46203.92184908565</x:v>
      </x:c>
      <x:c r="O1946" s="28" t="n">
        <x:v>46205.60524560185</x:v>
      </x:c>
      <x:c r="P1946" s="23" t="str">
        <x:v>CONTAGEM</x:v>
      </x:c>
      <x:c r="Q1946" s="30" t="n">
        <x:v>26147</x:v>
      </x:c>
      <x:c r="R1946" s="22" t="str">
        <x:f>"50448241-5"</x:f>
        <x:v>50448241-5</x:v>
      </x:c>
      <x:c r="S1946" s="23" t="str">
        <x:v>Masculino</x:v>
      </x:c>
      <x:c r="T1946" s="22" t="str">
        <x:f>"HOD6c38"</x:f>
        <x:v>HOD6c38</x:v>
      </x:c>
      <x:c r="U1946" s="23" t="str">
        <x:v>José Geraldo de matos</x:v>
      </x:c>
      <x:c r="V1946" s="22" t="str">
        <x:f>"93296410678"</x:f>
        <x:v>93296410678</x:v>
      </x:c>
      <x:c r="W1946" s="22" t="str">
        <x:f>"93296410678"</x:f>
        <x:v>93296410678</x:v>
      </x:c>
      <x:c r="X1946" s="23" t="str">
        <x:v>zegeraldomatos@gmail.com</x:v>
      </x:c>
      <x:c r="Y1946" s="22" t="str">
        <x:f>"31971893026"</x:f>
        <x:v>31971893026</x:v>
      </x:c>
      <x:c r="Z1946" s="30" t="n">
        <x:v>46234</x:v>
      </x:c>
    </x:row>
    <x:row r="1947" ht="18" customHeight="1">
      <x:c r="A1947" s="22" t="str">
        <x:f>"45f34e79-5b9e-460a-a510-6751a4bd14c8"</x:f>
        <x:v>45f34e79-5b9e-460a-a510-6751a4bd14c8</x:v>
      </x:c>
      <x:c r="B1947" s="23" t="str">
        <x:v>JOSE GERALDO GOMES LEAL</x:v>
      </x:c>
      <x:c r="C1947" s="23" t="str">
        <x:v>jose geraldo gomes leal</x:v>
      </x:c>
      <x:c r="D1947" s="22" t="str">
        <x:f>"49.948.090/0001-36"</x:f>
        <x:v>49.948.090/0001-36</x:v>
      </x:c>
      <x:c r="E1947" s="22" t="str">
        <x:f>"49948090000136"</x:f>
        <x:v>49948090000136</x:v>
      </x:c>
      <x:c r="F1947" s="22" t="str">
        <x:f>"947.242.026-53"</x:f>
        <x:v>947.242.026-53</x:v>
      </x:c>
      <x:c r="G1947" s="22" t="str">
        <x:f>"94724202653"</x:f>
        <x:v>94724202653</x:v>
      </x:c>
      <x:c r="H1947" s="23" t="str">
        <x:v>nenaleal744@gmail.com</x:v>
      </x:c>
      <x:c r="I1947" s="22" t="str">
        <x:f>"31 92006-2347"</x:f>
        <x:v>31 92006-2347</x:v>
      </x:c>
      <x:c r="J1947" s="23" t="str">
        <x:v>RENTAL</x:v>
      </x:c>
      <x:c r="K1947" s="23" t="str">
        <x:v>rental_company</x:v>
      </x:c>
      <x:c r="L1947" s="24" t="b">
        <x:v>1</x:v>
      </x:c>
      <x:c r="M1947" s="23" t="n">
        <x:v>1</x:v>
      </x:c>
      <x:c r="N1947" s="28" t="n">
        <x:v>46219.812988715275</x:v>
      </x:c>
      <x:c r="O1947" s="28" t="n">
        <x:v>46219.812988715275</x:v>
      </x:c>
      <x:c r="P1947" s="23" t="str">
        <x:v>NOVA LIMA</x:v>
      </x:c>
      <x:c r="Q1947" s="30" t="n">
        <x:v>27178</x:v>
      </x:c>
      <x:c r="R1947" s="22" t="str">
        <x:f>"M8693062"</x:f>
        <x:v>M8693062</x:v>
      </x:c>
      <x:c r="S1947" s="23" t="str">
        <x:v>masculino</x:v>
      </x:c>
      <x:c r="T1947" s="22" t="str"/>
      <x:c r="U1947" s="23" t="str">
        <x:v>JOSE GERALDO GOMES LEAL</x:v>
      </x:c>
      <x:c r="V1947" s="22" t="str">
        <x:f>"947.242.026-53"</x:f>
        <x:v>947.242.026-53</x:v>
      </x:c>
      <x:c r="W1947" s="22" t="str">
        <x:f>"94724202653"</x:f>
        <x:v>94724202653</x:v>
      </x:c>
      <x:c r="X1947" s="23" t="str">
        <x:v>nenaleal744@gmail.com</x:v>
      </x:c>
      <x:c r="Y1947" s="22" t="str">
        <x:f>"31 92006-2347"</x:f>
        <x:v>31 92006-2347</x:v>
      </x:c>
      <x:c r="Z1947" s="30" t="n">
        <x:v>46438</x:v>
      </x:c>
    </x:row>
    <x:row r="1948" ht="18" customHeight="1">
      <x:c r="A1948" s="22" t="str">
        <x:f>"4013cd04-af9b-4dd1-b0da-52a0997d697a"</x:f>
        <x:v>4013cd04-af9b-4dd1-b0da-52a0997d697a</x:v>
      </x:c>
      <x:c r="B1948" s="23" t="str">
        <x:v>JOSE GERALDO LIMA</x:v>
      </x:c>
      <x:c r="C1948" s="23" t="str">
        <x:v>jose geraldo lima</x:v>
      </x:c>
      <x:c r="D1948" s="22" t="str">
        <x:f>"66.977.147/0001-44"</x:f>
        <x:v>66.977.147/0001-44</x:v>
      </x:c>
      <x:c r="E1948" s="22" t="str">
        <x:f>"66977147000144"</x:f>
        <x:v>66977147000144</x:v>
      </x:c>
      <x:c r="F1948" s="22" t="str">
        <x:f>"501.607.886-68"</x:f>
        <x:v>501.607.886-68</x:v>
      </x:c>
      <x:c r="G1948" s="22" t="str">
        <x:f>"50160788668"</x:f>
        <x:v>50160788668</x:v>
      </x:c>
      <x:c r="H1948" s="23" t="str">
        <x:v>limageraldo305@gmail.com</x:v>
      </x:c>
      <x:c r="I1948" s="22" t="str">
        <x:f>"(31) 986553401"</x:f>
        <x:v>(31) 986553401</x:v>
      </x:c>
      <x:c r="J1948" s="23" t="str">
        <x:v>SPOT</x:v>
      </x:c>
      <x:c r="K1948" s="23" t="str">
        <x:v>favored_only</x:v>
      </x:c>
      <x:c r="L1948" s="24" t="b">
        <x:v>1</x:v>
      </x:c>
      <x:c r="M1948" s="23" t="n">
        <x:v>1</x:v>
      </x:c>
      <x:c r="N1948" s="28" t="n">
        <x:v>46219.812988715275</x:v>
      </x:c>
      <x:c r="O1948" s="28" t="n">
        <x:v>46219.812988715275</x:v>
      </x:c>
      <x:c r="P1948" s="23" t="str">
        <x:v>IPATINGA</x:v>
      </x:c>
      <x:c r="Q1948" s="30" t="n">
        <x:v>23751</x:v>
      </x:c>
      <x:c r="R1948" s="22" t="str">
        <x:f>"MG 3351525 SSP MG"</x:f>
        <x:v>MG 3351525 SSP MG</x:v>
      </x:c>
      <x:c r="S1948" s="23" t="str">
        <x:v>masculino</x:v>
      </x:c>
      <x:c r="T1948" s="22" t="str">
        <x:f>"QNS1141"</x:f>
        <x:v>QNS1141</x:v>
      </x:c>
      <x:c r="U1948" s="23" t="str">
        <x:v>JOSE GERALDO LIMA</x:v>
      </x:c>
      <x:c r="V1948" s="22" t="str">
        <x:f>"501.607.886-68"</x:f>
        <x:v>501.607.886-68</x:v>
      </x:c>
      <x:c r="W1948" s="22" t="str">
        <x:f>"50160788668"</x:f>
        <x:v>50160788668</x:v>
      </x:c>
      <x:c r="X1948" s="23" t="str">
        <x:v>limageraldo305@gmail.com</x:v>
      </x:c>
      <x:c r="Y1948" s="22" t="str">
        <x:f>"(31) 986553401"</x:f>
        <x:v>(31) 986553401</x:v>
      </x:c>
      <x:c r="Z1948" s="30" t="n">
        <x:v>46540</x:v>
      </x:c>
    </x:row>
    <x:row r="1949" ht="18" customHeight="1">
      <x:c r="A1949" s="22" t="str">
        <x:f>"bbc1f091-54d7-454c-bc49-35a879df688d"</x:f>
        <x:v>bbc1f091-54d7-454c-bc49-35a879df688d</x:v>
      </x:c>
      <x:c r="B1949" s="23" t="str">
        <x:v>JOSE GILMAR DE CARVALHO JUNIOR</x:v>
      </x:c>
      <x:c r="C1949" s="23" t="str">
        <x:v>jose gilmar de carvalho junior</x:v>
      </x:c>
      <x:c r="D1949" s="22" t="str">
        <x:f>"35.073.393/0001-48"</x:f>
        <x:v>35.073.393/0001-48</x:v>
      </x:c>
      <x:c r="E1949" s="22" t="str">
        <x:f>"35073393000148"</x:f>
        <x:v>35073393000148</x:v>
      </x:c>
      <x:c r="F1949" s="22" t="str">
        <x:f>"104.199.026-00"</x:f>
        <x:v>104.199.026-00</x:v>
      </x:c>
      <x:c r="G1949" s="22" t="str">
        <x:f>"10419902600"</x:f>
        <x:v>10419902600</x:v>
      </x:c>
      <x:c r="H1949" s="23" t="str">
        <x:v>juninho_2096@hotmail.com</x:v>
      </x:c>
      <x:c r="I1949" s="22" t="str">
        <x:f>"35999282516"</x:f>
        <x:v>35999282516</x:v>
      </x:c>
      <x:c r="J1949" s="23" t="str">
        <x:v>SPOT</x:v>
      </x:c>
      <x:c r="K1949" s="23" t="str">
        <x:v>favored_only</x:v>
      </x:c>
      <x:c r="L1949" s="24" t="b">
        <x:v>1</x:v>
      </x:c>
      <x:c r="M1949" s="23" t="n">
        <x:v>1</x:v>
      </x:c>
      <x:c r="N1949" s="28" t="n">
        <x:v>46203.921858726855</x:v>
      </x:c>
      <x:c r="O1949" s="28" t="n">
        <x:v>46219.812988715275</x:v>
      </x:c>
      <x:c r="P1949" s="23" t="str">
        <x:v>GUAXUPE</x:v>
      </x:c>
      <x:c r="Q1949" s="30" t="n">
        <x:v>35391</x:v>
      </x:c>
      <x:c r="R1949" s="22" t="str">
        <x:f>"286252"</x:f>
        <x:v>286252</x:v>
      </x:c>
      <x:c r="S1949" s="23" t="str">
        <x:v>masculino</x:v>
      </x:c>
      <x:c r="T1949" s="22" t="str">
        <x:f>"RMX3H80"</x:f>
        <x:v>RMX3H80</x:v>
      </x:c>
      <x:c r="U1949" s="23" t="str">
        <x:v>JOSE GILMAR DE CARVALHO JUNIOR</x:v>
      </x:c>
      <x:c r="V1949" s="22" t="str">
        <x:f>"104.199.026-00"</x:f>
        <x:v>104.199.026-00</x:v>
      </x:c>
      <x:c r="W1949" s="22" t="str">
        <x:f>"10419902600"</x:f>
        <x:v>10419902600</x:v>
      </x:c>
      <x:c r="X1949" s="23" t="str">
        <x:v>juninho_2096@hotmail.com</x:v>
      </x:c>
      <x:c r="Y1949" s="22" t="str">
        <x:f>"35999282516"</x:f>
        <x:v>35999282516</x:v>
      </x:c>
      <x:c r="Z1949" s="30" t="n">
        <x:v>46262</x:v>
      </x:c>
    </x:row>
    <x:row r="1950" ht="18" customHeight="1">
      <x:c r="A1950" s="22" t="str">
        <x:f>"c3815203-856d-4d24-bd31-88e615f23cb3"</x:f>
        <x:v>c3815203-856d-4d24-bd31-88e615f23cb3</x:v>
      </x:c>
      <x:c r="B1950" s="23" t="str">
        <x:v>JOSE ISMAEL SOARES SILVA</x:v>
      </x:c>
      <x:c r="C1950" s="23" t="str">
        <x:v>jose ismael soares silva</x:v>
      </x:c>
      <x:c r="D1950" s="22" t="str">
        <x:f>"61.190.326/0003-13"</x:f>
        <x:v>61.190.326/0003-13</x:v>
      </x:c>
      <x:c r="E1950" s="22" t="str">
        <x:f>"61190326000313"</x:f>
        <x:v>61190326000313</x:v>
      </x:c>
      <x:c r="F1950" s="22" t="str">
        <x:f>"373.773.328-75"</x:f>
        <x:v>373.773.328-75</x:v>
      </x:c>
      <x:c r="G1950" s="22" t="str">
        <x:f>"37377332875"</x:f>
        <x:v>37377332875</x:v>
      </x:c>
      <x:c r="H1950" s="23" t="str">
        <x:v>ij31665255@gmail.com</x:v>
      </x:c>
      <x:c r="I1950" s="22" t="str">
        <x:f>"(11) 986643577"</x:f>
        <x:v>(11) 986643577</x:v>
      </x:c>
      <x:c r="J1950" s="23" t="str">
        <x:v>RENTAL</x:v>
      </x:c>
      <x:c r="K1950" s="23" t="str">
        <x:v>rental_company</x:v>
      </x:c>
      <x:c r="L1950" s="24" t="b">
        <x:v>1</x:v>
      </x:c>
      <x:c r="M1950" s="23" t="n">
        <x:v>1</x:v>
      </x:c>
      <x:c r="N1950" s="28" t="n">
        <x:v>46203.92188238426</x:v>
      </x:c>
      <x:c r="O1950" s="28" t="n">
        <x:v>46219.812988715275</x:v>
      </x:c>
      <x:c r="P1950" s="23" t="str">
        <x:v>MADEIRA MADEIRA</x:v>
      </x:c>
      <x:c r="Q1950" s="30" t="n">
        <x:v>37039</x:v>
      </x:c>
      <x:c r="R1950" s="22" t="str">
        <x:f>"39141284x"</x:f>
        <x:v>39141284x</x:v>
      </x:c>
      <x:c r="S1950" s="23" t="str">
        <x:v>masculino</x:v>
      </x:c>
      <x:c r="T1950" s="22" t="str"/>
      <x:c r="U1950" s="23" t="str">
        <x:v>JOSE ISMAEL SOARES SILVA</x:v>
      </x:c>
      <x:c r="V1950" s="22" t="str">
        <x:f>"373.773.328-75"</x:f>
        <x:v>373.773.328-75</x:v>
      </x:c>
      <x:c r="W1950" s="22" t="str">
        <x:f>"37377332875"</x:f>
        <x:v>37377332875</x:v>
      </x:c>
      <x:c r="X1950" s="23" t="str">
        <x:v>ij31665255@gmail.com</x:v>
      </x:c>
      <x:c r="Y1950" s="22" t="str">
        <x:f>"(11) 986643577"</x:f>
        <x:v>(11) 986643577</x:v>
      </x:c>
      <x:c r="Z1950" s="30" t="n">
        <x:v>46324</x:v>
      </x:c>
    </x:row>
    <x:row r="1951" ht="18" customHeight="1">
      <x:c r="A1951" s="22" t="str">
        <x:f>"4535fac9-8814-41b4-a7bb-bfb89d898582"</x:f>
        <x:v>4535fac9-8814-41b4-a7bb-bfb89d898582</x:v>
      </x:c>
      <x:c r="B1951" s="23" t="str">
        <x:v>JOSE IVANI DE SIQUEIRA DIAS</x:v>
      </x:c>
      <x:c r="C1951" s="23" t="str">
        <x:v>jose ivani de siqueira dias</x:v>
      </x:c>
      <x:c r="D1951" s="22" t="str">
        <x:f>"48.357.592/0001-20"</x:f>
        <x:v>48.357.592/0001-20</x:v>
      </x:c>
      <x:c r="E1951" s="22" t="str">
        <x:f>"48357592000120"</x:f>
        <x:v>48357592000120</x:v>
      </x:c>
      <x:c r="F1951" s="22" t="str">
        <x:f>"418.175.406-53"</x:f>
        <x:v>418.175.406-53</x:v>
      </x:c>
      <x:c r="G1951" s="22" t="str">
        <x:f>"41817540653"</x:f>
        <x:v>41817540653</x:v>
      </x:c>
      <x:c r="H1951" s="23" t="str">
        <x:v>ivanijose177@gmail.com</x:v>
      </x:c>
      <x:c r="I1951" s="22" t="str">
        <x:f>"+55 31 9570-9939"</x:f>
        <x:v>+55 31 9570-9939</x:v>
      </x:c>
      <x:c r="J1951" s="23" t="str">
        <x:v>SPOT</x:v>
      </x:c>
      <x:c r="K1951" s="23" t="str">
        <x:v>favored_only</x:v>
      </x:c>
      <x:c r="L1951" s="24" t="b">
        <x:v>1</x:v>
      </x:c>
      <x:c r="M1951" s="23" t="n">
        <x:v>2</x:v>
      </x:c>
      <x:c r="N1951" s="28" t="n">
        <x:v>46203.92183017361</x:v>
      </x:c>
      <x:c r="O1951" s="28" t="n">
        <x:v>46219.812988715275</x:v>
      </x:c>
      <x:c r="P1951" s="23" t="str">
        <x:v>GUANHAES</x:v>
      </x:c>
      <x:c r="Q1951" s="30" t="n">
        <x:v>24099</x:v>
      </x:c>
      <x:c r="R1951" s="22" t="str">
        <x:f>"4076239"</x:f>
        <x:v>4076239</x:v>
      </x:c>
      <x:c r="S1951" s="23" t="str">
        <x:v>masculino</x:v>
      </x:c>
      <x:c r="T1951" s="22" t="str">
        <x:f>"HJU2E41"</x:f>
        <x:v>HJU2E41</x:v>
      </x:c>
      <x:c r="U1951" s="23" t="str">
        <x:v>JOSE IVANI DE SIQUEIRA DIAS</x:v>
      </x:c>
      <x:c r="V1951" s="22" t="str">
        <x:f>"418.175.406-53"</x:f>
        <x:v>418.175.406-53</x:v>
      </x:c>
      <x:c r="W1951" s="22" t="str">
        <x:f>"41817540653"</x:f>
        <x:v>41817540653</x:v>
      </x:c>
      <x:c r="X1951" s="23" t="str">
        <x:v>ivanijose177@gmail.com</x:v>
      </x:c>
      <x:c r="Y1951" s="22" t="str">
        <x:f>"+55 31 9570-9939"</x:f>
        <x:v>+55 31 9570-9939</x:v>
      </x:c>
      <x:c r="Z1951" s="30" t="n">
        <x:v>46578</x:v>
      </x:c>
    </x:row>
    <x:row r="1952" ht="18" customHeight="1">
      <x:c r="A1952" s="22" t="str">
        <x:f>"36c9ac86-3dd3-45f4-b5e6-89bb5e35da22"</x:f>
        <x:v>36c9ac86-3dd3-45f4-b5e6-89bb5e35da22</x:v>
      </x:c>
      <x:c r="B1952" s="23" t="str">
        <x:v>JOSE KLEBSON SILVA DOS SANTOS</x:v>
      </x:c>
      <x:c r="C1952" s="23" t="str">
        <x:v>jose klebson silva dos santos</x:v>
      </x:c>
      <x:c r="D1952" s="22" t="str">
        <x:f>"66.730.154/0001-47"</x:f>
        <x:v>66.730.154/0001-47</x:v>
      </x:c>
      <x:c r="E1952" s="22" t="str">
        <x:f>"66730154000147"</x:f>
        <x:v>66730154000147</x:v>
      </x:c>
      <x:c r="F1952" s="22" t="str">
        <x:f>"101.484.034-17"</x:f>
        <x:v>101.484.034-17</x:v>
      </x:c>
      <x:c r="G1952" s="22" t="str">
        <x:f>"10148403417"</x:f>
        <x:v>10148403417</x:v>
      </x:c>
      <x:c r="H1952" s="23" t="str">
        <x:v>klebsonsilvasantos9@gmail.com</x:v>
      </x:c>
      <x:c r="I1952" s="22" t="str">
        <x:f>"67 8114-8278"</x:f>
        <x:v>67 8114-8278</x:v>
      </x:c>
      <x:c r="J1952" s="23" t="str">
        <x:v>SPOT</x:v>
      </x:c>
      <x:c r="K1952" s="23" t="str">
        <x:v>favored_only</x:v>
      </x:c>
      <x:c r="L1952" s="24" t="b">
        <x:v>1</x:v>
      </x:c>
      <x:c r="M1952" s="23" t="n">
        <x:v>1</x:v>
      </x:c>
      <x:c r="N1952" s="28" t="n">
        <x:v>46219.812988715275</x:v>
      </x:c>
      <x:c r="O1952" s="28" t="n">
        <x:v>46219.812988715275</x:v>
      </x:c>
      <x:c r="P1952" s="23" t="str">
        <x:v>CHAPADÃO DO SUL</x:v>
      </x:c>
      <x:c r="Q1952" s="30" t="n">
        <x:v>33375</x:v>
      </x:c>
      <x:c r="R1952" s="22" t="str">
        <x:f>"643159"</x:f>
        <x:v>643159</x:v>
      </x:c>
      <x:c r="S1952" s="23" t="str">
        <x:v>masculino</x:v>
      </x:c>
      <x:c r="T1952" s="22" t="str">
        <x:f>"NRZ1J35"</x:f>
        <x:v>NRZ1J35</x:v>
      </x:c>
      <x:c r="U1952" s="23" t="str">
        <x:v>JOSE KLEBSON SILVA DOS SANTOS</x:v>
      </x:c>
      <x:c r="V1952" s="22" t="str">
        <x:f>"101.484.034-17"</x:f>
        <x:v>101.484.034-17</x:v>
      </x:c>
      <x:c r="W1952" s="22" t="str">
        <x:f>"10148403417"</x:f>
        <x:v>10148403417</x:v>
      </x:c>
      <x:c r="X1952" s="23" t="str">
        <x:v>klebsonsilvasantos9@gmail.com</x:v>
      </x:c>
      <x:c r="Y1952" s="22" t="str">
        <x:f>"67 8114-8278"</x:f>
        <x:v>67 8114-8278</x:v>
      </x:c>
      <x:c r="Z1952" s="30" t="n">
        <x:v>46519</x:v>
      </x:c>
    </x:row>
    <x:row r="1953" ht="18" customHeight="1">
      <x:c r="A1953" s="22" t="str">
        <x:f>"fa9195d5-1fb0-4ad0-8ac1-62776f24c982"</x:f>
        <x:v>fa9195d5-1fb0-4ad0-8ac1-62776f24c982</x:v>
      </x:c>
      <x:c r="B1953" s="23" t="str">
        <x:v>JOSE KLEBSON SILVA DOS SANTOS</x:v>
      </x:c>
      <x:c r="C1953" s="23" t="str">
        <x:v>jose klebson silva dos santos</x:v>
      </x:c>
      <x:c r="D1953" s="22" t="str">
        <x:f>"58.049.315/0001-03"</x:f>
        <x:v>58.049.315/0001-03</x:v>
      </x:c>
      <x:c r="E1953" s="22" t="str">
        <x:f>"58049315000103"</x:f>
        <x:v>58049315000103</x:v>
      </x:c>
      <x:c r="F1953" s="22" t="str">
        <x:f>"101.484.034-17"</x:f>
        <x:v>101.484.034-17</x:v>
      </x:c>
      <x:c r="G1953" s="22" t="str">
        <x:f>"10148403417"</x:f>
        <x:v>10148403417</x:v>
      </x:c>
      <x:c r="H1953" s="23" t="str">
        <x:v>klebsonsilvasantos9@gmail.com</x:v>
      </x:c>
      <x:c r="I1953" s="22" t="str">
        <x:f>"678114-8278"</x:f>
        <x:v>678114-8278</x:v>
      </x:c>
      <x:c r="J1953" s="23" t="str">
        <x:v>SPOT</x:v>
      </x:c>
      <x:c r="K1953" s="23" t="str">
        <x:v>favored_only</x:v>
      </x:c>
      <x:c r="L1953" s="24" t="b">
        <x:v>1</x:v>
      </x:c>
      <x:c r="M1953" s="23" t="n">
        <x:v>1</x:v>
      </x:c>
      <x:c r="N1953" s="28" t="n">
        <x:v>46205.60705628472</x:v>
      </x:c>
      <x:c r="O1953" s="28" t="n">
        <x:v>46219.812988715275</x:v>
      </x:c>
      <x:c r="P1953" s="23" t="str">
        <x:v>CHAPADÃO DO SUL</x:v>
      </x:c>
      <x:c r="Q1953" s="30" t="n">
        <x:v>33375</x:v>
      </x:c>
      <x:c r="R1953" s="22" t="str">
        <x:f>"643159"</x:f>
        <x:v>643159</x:v>
      </x:c>
      <x:c r="S1953" s="23" t="str">
        <x:v>masculino</x:v>
      </x:c>
      <x:c r="T1953" s="22" t="str">
        <x:f>"NRZ1J35"</x:f>
        <x:v>NRZ1J35</x:v>
      </x:c>
      <x:c r="U1953" s="23" t="str">
        <x:v>BEATRIZ ALINE BALERO DA SILVA</x:v>
      </x:c>
      <x:c r="V1953" s="22" t="str">
        <x:f>"431.195.398-48"</x:f>
        <x:v>431.195.398-48</x:v>
      </x:c>
      <x:c r="W1953" s="22" t="str">
        <x:f>"43119539848"</x:f>
        <x:v>43119539848</x:v>
      </x:c>
      <x:c r="X1953" s="23" t="str">
        <x:v>beatrizbalerodasilva@gmail.com</x:v>
      </x:c>
      <x:c r="Y1953" s="22" t="str">
        <x:f>"67 9959-3287"</x:f>
        <x:v>67 9959-3287</x:v>
      </x:c>
      <x:c r="Z1953" s="30" t="n">
        <x:v>46396</x:v>
      </x:c>
    </x:row>
    <x:row r="1954" ht="18" customHeight="1">
      <x:c r="A1954" s="22" t="str">
        <x:f>"a55a8e2e-0ed0-422d-8263-18e4937e3702"</x:f>
        <x:v>a55a8e2e-0ed0-422d-8263-18e4937e3702</x:v>
      </x:c>
      <x:c r="B1954" s="23" t="str">
        <x:v>JOSE LEONEL PEREIRA DA SILVA</x:v>
      </x:c>
      <x:c r="C1954" s="23" t="str">
        <x:v>jose leonel pereira da silva</x:v>
      </x:c>
      <x:c r="D1954" s="22" t="str">
        <x:f>"38.401.445/0001-56"</x:f>
        <x:v>38.401.445/0001-56</x:v>
      </x:c>
      <x:c r="E1954" s="22" t="str">
        <x:f>"38401445000156"</x:f>
        <x:v>38401445000156</x:v>
      </x:c>
      <x:c r="F1954" s="22" t="str">
        <x:f>"107.410.877-90"</x:f>
        <x:v>107.410.877-90</x:v>
      </x:c>
      <x:c r="G1954" s="22" t="str">
        <x:f>"10741087790"</x:f>
        <x:v>10741087790</x:v>
      </x:c>
      <x:c r="H1954" s="23" t="str">
        <x:v>Barrigajoseleonel@gmail.com</x:v>
      </x:c>
      <x:c r="I1954" s="22" t="str">
        <x:f>"21 96841-9295"</x:f>
        <x:v>21 96841-9295</x:v>
      </x:c>
      <x:c r="J1954" s="23" t="str">
        <x:v>SPOT</x:v>
      </x:c>
      <x:c r="K1954" s="23" t="str">
        <x:v>favored_only</x:v>
      </x:c>
      <x:c r="L1954" s="24" t="b">
        <x:v>1</x:v>
      </x:c>
      <x:c r="M1954" s="23" t="n">
        <x:v>1</x:v>
      </x:c>
      <x:c r="N1954" s="28" t="n">
        <x:v>46203.9219084375</x:v>
      </x:c>
      <x:c r="O1954" s="28" t="n">
        <x:v>46219.812988715275</x:v>
      </x:c>
      <x:c r="P1954" s="23" t="str">
        <x:v>CAMPO GRANDE</x:v>
      </x:c>
      <x:c r="Q1954" s="30" t="n">
        <x:v>30302</x:v>
      </x:c>
      <x:c r="R1954" s="22" t="str">
        <x:f>"208747360"</x:f>
        <x:v>208747360</x:v>
      </x:c>
      <x:c r="S1954" s="23" t="str">
        <x:v>masculino</x:v>
      </x:c>
      <x:c r="T1954" s="22" t="str">
        <x:f>"QUV8C99"</x:f>
        <x:v>QUV8C99</x:v>
      </x:c>
      <x:c r="U1954" s="23" t="str">
        <x:v>JOSE LEONEL PEREIRA DA SILVA</x:v>
      </x:c>
      <x:c r="V1954" s="22" t="str">
        <x:f>"107.410.877-90"</x:f>
        <x:v>107.410.877-90</x:v>
      </x:c>
      <x:c r="W1954" s="22" t="str">
        <x:f>"10741087790"</x:f>
        <x:v>10741087790</x:v>
      </x:c>
      <x:c r="X1954" s="23" t="str">
        <x:v>Barrigajoseleonel@gmail.com</x:v>
      </x:c>
      <x:c r="Y1954" s="22" t="str">
        <x:f>"21 96841-9295"</x:f>
        <x:v>21 96841-9295</x:v>
      </x:c>
      <x:c r="Z1954" s="30" t="n">
        <x:v>46397</x:v>
      </x:c>
    </x:row>
    <x:row r="1955" ht="18" customHeight="1">
      <x:c r="A1955" s="22" t="str">
        <x:f>"e75ce493-c5a6-4cdd-a576-19ae8cbe43b4"</x:f>
        <x:v>e75ce493-c5a6-4cdd-a576-19ae8cbe43b4</x:v>
      </x:c>
      <x:c r="B1955" s="23" t="str">
        <x:v>JOSE LINO DOS SANTOS</x:v>
      </x:c>
      <x:c r="C1955" s="23" t="str">
        <x:v>jose lino dos santos</x:v>
      </x:c>
      <x:c r="D1955" s="22" t="str">
        <x:f>"64.016.749/0001-00"</x:f>
        <x:v>64.016.749/0001-00</x:v>
      </x:c>
      <x:c r="E1955" s="22" t="str">
        <x:f>"64016749000100"</x:f>
        <x:v>64016749000100</x:v>
      </x:c>
      <x:c r="F1955" s="22" t="str">
        <x:f>"068.593.265-65"</x:f>
        <x:v>068.593.265-65</x:v>
      </x:c>
      <x:c r="G1955" s="22" t="str">
        <x:f>"06859326565"</x:f>
        <x:v>06859326565</x:v>
      </x:c>
      <x:c r="H1955" s="23" t="str">
        <x:v>jolino0328@gmail.com</x:v>
      </x:c>
      <x:c r="I1955" s="22" t="str">
        <x:f>"(34)99738-7182"</x:f>
        <x:v>(34)99738-7182</x:v>
      </x:c>
      <x:c r="J1955" s="23" t="str">
        <x:v>RENTAL</x:v>
      </x:c>
      <x:c r="K1955" s="23" t="str">
        <x:v>rental_company</x:v>
      </x:c>
      <x:c r="L1955" s="24" t="b">
        <x:v>1</x:v>
      </x:c>
      <x:c r="M1955" s="23" t="n">
        <x:v>1</x:v>
      </x:c>
      <x:c r="N1955" s="28" t="n">
        <x:v>46219.812988715275</x:v>
      </x:c>
      <x:c r="O1955" s="28" t="n">
        <x:v>46219.812988715275</x:v>
      </x:c>
      <x:c r="P1955" s="23" t="str">
        <x:v>UBERLANDIA</x:v>
      </x:c>
      <x:c r="Q1955" s="30" t="n">
        <x:v>34260</x:v>
      </x:c>
      <x:c r="R1955" s="22" t="str">
        <x:f>"62301849 SSP SP"</x:f>
        <x:v>62301849 SSP SP</x:v>
      </x:c>
      <x:c r="S1955" s="23" t="str">
        <x:v>masculino</x:v>
      </x:c>
      <x:c r="T1955" s="22" t="str"/>
      <x:c r="U1955" s="23" t="str">
        <x:v>JOSE LINO DOS SANTOS</x:v>
      </x:c>
      <x:c r="V1955" s="22" t="str">
        <x:f>"068.593.265-65"</x:f>
        <x:v>068.593.265-65</x:v>
      </x:c>
      <x:c r="W1955" s="22" t="str">
        <x:f>"06859326565"</x:f>
        <x:v>06859326565</x:v>
      </x:c>
      <x:c r="X1955" s="23" t="str">
        <x:v>jolino0328@gmail.com</x:v>
      </x:c>
      <x:c r="Y1955" s="22" t="str">
        <x:f>"(34)99738-7182"</x:f>
        <x:v>(34)99738-7182</x:v>
      </x:c>
      <x:c r="Z1955" s="30" t="n">
        <x:v>46436</x:v>
      </x:c>
    </x:row>
    <x:row r="1956" ht="18" customHeight="1">
      <x:c r="A1956" s="22" t="str">
        <x:f>"b6612260-0a6b-46bf-8082-46fbb3b37d6b"</x:f>
        <x:v>b6612260-0a6b-46bf-8082-46fbb3b37d6b</x:v>
      </x:c>
      <x:c r="B1956" s="23" t="str">
        <x:v>JOSE LOPES DE MORAIS JUNIOR</x:v>
      </x:c>
      <x:c r="C1956" s="23" t="str">
        <x:v>jose lopes de morais junior</x:v>
      </x:c>
      <x:c r="D1956" s="22" t="str">
        <x:f>"67.936.588/0001-60"</x:f>
        <x:v>67.936.588/0001-60</x:v>
      </x:c>
      <x:c r="E1956" s="22" t="str">
        <x:f>"67936588000160"</x:f>
        <x:v>67936588000160</x:v>
      </x:c>
      <x:c r="F1956" s="22" t="str">
        <x:f>"915.831.523-34"</x:f>
        <x:v>915.831.523-34</x:v>
      </x:c>
      <x:c r="G1956" s="22" t="str">
        <x:f>"91583152334"</x:f>
        <x:v>91583152334</x:v>
      </x:c>
      <x:c r="H1956" s="23" t="str">
        <x:v>jlopesmj@gmail.com</x:v>
      </x:c>
      <x:c r="I1956" s="22" t="str">
        <x:f>"(35) 98881-8421"</x:f>
        <x:v>(35) 98881-8421</x:v>
      </x:c>
      <x:c r="J1956" s="23" t="str">
        <x:v>RENTAL</x:v>
      </x:c>
      <x:c r="K1956" s="23" t="str">
        <x:v>rental_company</x:v>
      </x:c>
      <x:c r="L1956" s="24" t="b">
        <x:v>1</x:v>
      </x:c>
      <x:c r="M1956" s="23" t="n">
        <x:v>1</x:v>
      </x:c>
      <x:c r="N1956" s="28" t="n">
        <x:v>46219.812988715275</x:v>
      </x:c>
      <x:c r="O1956" s="28" t="n">
        <x:v>46219.812988715275</x:v>
      </x:c>
      <x:c r="P1956" s="23" t="str">
        <x:v>POUSO ALEGRE</x:v>
      </x:c>
      <x:c r="Q1956" s="30" t="n">
        <x:v>30064</x:v>
      </x:c>
      <x:c r="R1956" s="22" t="str">
        <x:f>"2056950 SSP PI"</x:f>
        <x:v>2056950 SSP PI</x:v>
      </x:c>
      <x:c r="S1956" s="23" t="str">
        <x:v>masculino</x:v>
      </x:c>
      <x:c r="T1956" s="22" t="str"/>
      <x:c r="U1956" s="23" t="str">
        <x:v>JOSE LOPES DE MORAIS JUNIOR</x:v>
      </x:c>
      <x:c r="V1956" s="22" t="str">
        <x:f>"915.831.523-34"</x:f>
        <x:v>915.831.523-34</x:v>
      </x:c>
      <x:c r="W1956" s="22" t="str">
        <x:f>"91583152334"</x:f>
        <x:v>91583152334</x:v>
      </x:c>
      <x:c r="X1956" s="23" t="str">
        <x:v>jlopesmj@gmail.com</x:v>
      </x:c>
      <x:c r="Y1956" s="22" t="str">
        <x:f>"(35) 98881-8421"</x:f>
        <x:v>(35) 98881-8421</x:v>
      </x:c>
      <x:c r="Z1956" s="30" t="n">
        <x:v>46578</x:v>
      </x:c>
    </x:row>
    <x:row r="1957" ht="18" customHeight="1">
      <x:c r="A1957" s="22" t="str">
        <x:f>"18fbd721-ab37-43b0-9ccb-85febefff7ce"</x:f>
        <x:v>18fbd721-ab37-43b0-9ccb-85febefff7ce</x:v>
      </x:c>
      <x:c r="B1957" s="23" t="str">
        <x:v>JOSE LUAN JHONE GRANJA DE OLIVEIRA</x:v>
      </x:c>
      <x:c r="C1957" s="23" t="str">
        <x:v>jose luan jhone granja de oliveira</x:v>
      </x:c>
      <x:c r="D1957" s="22" t="str">
        <x:f>"57.585.157/0001-43"</x:f>
        <x:v>57.585.157/0001-43</x:v>
      </x:c>
      <x:c r="E1957" s="22" t="str">
        <x:f>"57585157000143"</x:f>
        <x:v>57585157000143</x:v>
      </x:c>
      <x:c r="F1957" s="22" t="str">
        <x:f>"057.816.651-88"</x:f>
        <x:v>057.816.651-88</x:v>
      </x:c>
      <x:c r="G1957" s="22" t="str">
        <x:f>"05781665188"</x:f>
        <x:v>05781665188</x:v>
      </x:c>
      <x:c r="H1957" s="23" t="str">
        <x:v>joseluanjhon3@gmail.com</x:v>
      </x:c>
      <x:c r="I1957" s="22" t="str">
        <x:f>"(62)996029028"</x:f>
        <x:v>(62)996029028</x:v>
      </x:c>
      <x:c r="J1957" s="23" t="str">
        <x:v>RENTAL</x:v>
      </x:c>
      <x:c r="K1957" s="23" t="str">
        <x:v>rental_company</x:v>
      </x:c>
      <x:c r="L1957" s="24" t="b">
        <x:v>1</x:v>
      </x:c>
      <x:c r="M1957" s="23" t="n">
        <x:v>1</x:v>
      </x:c>
      <x:c r="N1957" s="28" t="n">
        <x:v>46203.92186888889</x:v>
      </x:c>
      <x:c r="O1957" s="28" t="n">
        <x:v>46219.812988715275</x:v>
      </x:c>
      <x:c r="P1957" s="23" t="str">
        <x:v>GOIANIA</x:v>
      </x:c>
      <x:c r="Q1957" s="30" t="n">
        <x:v>38498</x:v>
      </x:c>
      <x:c r="R1957" s="22" t="str">
        <x:f>"6809643"</x:f>
        <x:v>6809643</x:v>
      </x:c>
      <x:c r="S1957" s="23" t="str">
        <x:v>masculino</x:v>
      </x:c>
      <x:c r="T1957" s="22" t="str"/>
      <x:c r="U1957" s="23" t="str">
        <x:v>JOSE LUAN JHONE GRANJA DE OLIVEIRA</x:v>
      </x:c>
      <x:c r="V1957" s="22" t="str">
        <x:f>"057.816.651-88"</x:f>
        <x:v>057.816.651-88</x:v>
      </x:c>
      <x:c r="W1957" s="22" t="str">
        <x:f>"05781665188"</x:f>
        <x:v>05781665188</x:v>
      </x:c>
      <x:c r="X1957" s="23" t="str">
        <x:v>joseluanjhon3@gmail.com</x:v>
      </x:c>
      <x:c r="Y1957" s="22" t="str">
        <x:f>"(62)996029028"</x:f>
        <x:v>(62)996029028</x:v>
      </x:c>
      <x:c r="Z1957" s="30" t="n">
        <x:v>46301</x:v>
      </x:c>
    </x:row>
    <x:row r="1958" ht="18" customHeight="1">
      <x:c r="A1958" s="22" t="str">
        <x:f>"67cd972c-52ed-47a9-bc7d-607ec2ad50c8"</x:f>
        <x:v>67cd972c-52ed-47a9-bc7d-607ec2ad50c8</x:v>
      </x:c>
      <x:c r="B1958" s="23" t="str">
        <x:v>JOSE LUAN JHONE GRANJA DE OLIVEIRA</x:v>
      </x:c>
      <x:c r="C1958" s="23" t="str">
        <x:v>jose luan jhone granja de oliveira</x:v>
      </x:c>
      <x:c r="D1958" s="22" t="str">
        <x:f>"63.074.333/0001-85"</x:f>
        <x:v>63.074.333/0001-85</x:v>
      </x:c>
      <x:c r="E1958" s="22" t="str">
        <x:f>"63074333000185"</x:f>
        <x:v>63074333000185</x:v>
      </x:c>
      <x:c r="F1958" s="22" t="str">
        <x:f>"057.816.651-88"</x:f>
        <x:v>057.816.651-88</x:v>
      </x:c>
      <x:c r="G1958" s="22" t="str">
        <x:f>"05781665188"</x:f>
        <x:v>05781665188</x:v>
      </x:c>
      <x:c r="H1958" s="23" t="str">
        <x:v>joseluanjhon3@gmail.com</x:v>
      </x:c>
      <x:c r="I1958" s="22" t="str">
        <x:f>"(62)996029028"</x:f>
        <x:v>(62)996029028</x:v>
      </x:c>
      <x:c r="J1958" s="23" t="str">
        <x:v>RENTAL</x:v>
      </x:c>
      <x:c r="K1958" s="23" t="str">
        <x:v>rental_company</x:v>
      </x:c>
      <x:c r="L1958" s="24" t="b">
        <x:v>1</x:v>
      </x:c>
      <x:c r="M1958" s="23" t="n">
        <x:v>1</x:v>
      </x:c>
      <x:c r="N1958" s="28" t="n">
        <x:v>46203.9218771875</x:v>
      </x:c>
      <x:c r="O1958" s="28" t="n">
        <x:v>46219.812988715275</x:v>
      </x:c>
      <x:c r="P1958" s="23" t="str">
        <x:v>GOIANIA</x:v>
      </x:c>
      <x:c r="Q1958" s="30" t="n">
        <x:v>38409</x:v>
      </x:c>
      <x:c r="R1958" s="22" t="str">
        <x:f>"6809643"</x:f>
        <x:v>6809643</x:v>
      </x:c>
      <x:c r="S1958" s="23" t="str">
        <x:v>masculino</x:v>
      </x:c>
      <x:c r="T1958" s="22" t="str"/>
      <x:c r="U1958" s="23" t="str">
        <x:v>JOSE LUAN JHONE GRANJA DE OLIVEIRA</x:v>
      </x:c>
      <x:c r="V1958" s="22" t="str">
        <x:f>"057.816.651-88"</x:f>
        <x:v>057.816.651-88</x:v>
      </x:c>
      <x:c r="W1958" s="22" t="str">
        <x:f>"05781665188"</x:f>
        <x:v>05781665188</x:v>
      </x:c>
      <x:c r="X1958" s="23" t="str">
        <x:v>joseluanjhon3@gmail.com</x:v>
      </x:c>
      <x:c r="Y1958" s="22" t="str">
        <x:f>"(62)996029028"</x:f>
        <x:v>(62)996029028</x:v>
      </x:c>
      <x:c r="Z1958" s="30" t="n">
        <x:v>46304</x:v>
      </x:c>
    </x:row>
    <x:row r="1959" ht="18" customHeight="1">
      <x:c r="A1959" s="22" t="str">
        <x:f>"cea4350e-dc7b-469f-a45d-2ce7af248053"</x:f>
        <x:v>cea4350e-dc7b-469f-a45d-2ce7af248053</x:v>
      </x:c>
      <x:c r="B1959" s="23" t="str">
        <x:v>JOSE LUCAS MAGALHAES RIBEIRO</x:v>
      </x:c>
      <x:c r="C1959" s="23" t="str">
        <x:v>jose lucas magalhaes ribeiro</x:v>
      </x:c>
      <x:c r="D1959" s="22" t="str">
        <x:f>"59.740.634/0001-23"</x:f>
        <x:v>59.740.634/0001-23</x:v>
      </x:c>
      <x:c r="E1959" s="22" t="str">
        <x:f>"59740634000123"</x:f>
        <x:v>59740634000123</x:v>
      </x:c>
      <x:c r="F1959" s="22" t="str">
        <x:f>"133.375.666-69"</x:f>
        <x:v>133.375.666-69</x:v>
      </x:c>
      <x:c r="G1959" s="22" t="str">
        <x:f>"13337566669"</x:f>
        <x:v>13337566669</x:v>
      </x:c>
      <x:c r="H1959" s="23" t="str">
        <x:v>lukasmagalhaesreserva@gmail.com</x:v>
      </x:c>
      <x:c r="I1959" s="22" t="str">
        <x:f>"(35) 99116-7199"</x:f>
        <x:v>(35) 99116-7199</x:v>
      </x:c>
      <x:c r="J1959" s="23" t="str">
        <x:v>SPOT</x:v>
      </x:c>
      <x:c r="K1959" s="23" t="str">
        <x:v>rental_company</x:v>
      </x:c>
      <x:c r="L1959" s="24" t="b">
        <x:v>1</x:v>
      </x:c>
      <x:c r="M1959" s="23" t="n">
        <x:v>2</x:v>
      </x:c>
      <x:c r="N1959" s="28" t="n">
        <x:v>46203.921824756944</x:v>
      </x:c>
      <x:c r="O1959" s="28" t="n">
        <x:v>46219.812988715275</x:v>
      </x:c>
      <x:c r="P1959" s="23" t="str">
        <x:v>POUSO ALEGRE</x:v>
      </x:c>
      <x:c r="Q1959" s="30" t="n">
        <x:v>36097</x:v>
      </x:c>
      <x:c r="R1959" s="22" t="str">
        <x:f>"MG19619242 SSP MG"</x:f>
        <x:v>MG19619242 SSP MG</x:v>
      </x:c>
      <x:c r="S1959" s="23" t="str">
        <x:v>masculino</x:v>
      </x:c>
      <x:c r="T1959" s="22" t="str">
        <x:f>"RFF0I41"</x:f>
        <x:v>RFF0I41</x:v>
      </x:c>
      <x:c r="U1959" s="23" t="str">
        <x:v>JOSE LUCAS MAGALHAES RIBEIRO</x:v>
      </x:c>
      <x:c r="V1959" s="22" t="str">
        <x:f>"133.375.666-69"</x:f>
        <x:v>133.375.666-69</x:v>
      </x:c>
      <x:c r="W1959" s="22" t="str">
        <x:f>"13337566669"</x:f>
        <x:v>13337566669</x:v>
      </x:c>
      <x:c r="X1959" s="23" t="str">
        <x:v>lukasmagalhaesreserva@gmail.com</x:v>
      </x:c>
      <x:c r="Y1959" s="22" t="str">
        <x:f>"(35) 99116-7199"</x:f>
        <x:v>(35) 99116-7199</x:v>
      </x:c>
      <x:c r="Z1959" s="30" t="n">
        <x:v>46466</x:v>
      </x:c>
    </x:row>
    <x:row r="1960" ht="18" customHeight="1">
      <x:c r="A1960" s="22" t="str">
        <x:f>"847c680b-da1f-4476-bd4f-ad1ef8c32d19"</x:f>
        <x:v>847c680b-da1f-4476-bd4f-ad1ef8c32d19</x:v>
      </x:c>
      <x:c r="B1960" s="23" t="str">
        <x:v>JOSE LUIS MALAQUIAS</x:v>
      </x:c>
      <x:c r="C1960" s="23" t="str">
        <x:v>jose luis malaquias</x:v>
      </x:c>
      <x:c r="D1960" s="22" t="str">
        <x:f>"57.502.565/0001-94"</x:f>
        <x:v>57.502.565/0001-94</x:v>
      </x:c>
      <x:c r="E1960" s="22" t="str">
        <x:f>"57502565000194"</x:f>
        <x:v>57502565000194</x:v>
      </x:c>
      <x:c r="F1960" s="22" t="str">
        <x:f>"331.214.428-02"</x:f>
        <x:v>331.214.428-02</x:v>
      </x:c>
      <x:c r="G1960" s="22" t="str">
        <x:f>"33121442802"</x:f>
        <x:v>33121442802</x:v>
      </x:c>
      <x:c r="H1960" s="23" t="str">
        <x:v>JOSELUISMALAQUIAD86@GMAIL.COM</x:v>
      </x:c>
      <x:c r="I1960" s="22" t="str">
        <x:f>"11916655460"</x:f>
        <x:v>11916655460</x:v>
      </x:c>
      <x:c r="J1960" s="23" t="str">
        <x:v>RENTAL</x:v>
      </x:c>
      <x:c r="K1960" s="23" t="str">
        <x:v>rental_company</x:v>
      </x:c>
      <x:c r="L1960" s="24" t="b">
        <x:v>1</x:v>
      </x:c>
      <x:c r="M1960" s="23" t="n">
        <x:v>1</x:v>
      </x:c>
      <x:c r="N1960" s="28" t="n">
        <x:v>46203.921840393516</x:v>
      </x:c>
      <x:c r="O1960" s="28" t="n">
        <x:v>46205.604869131945</x:v>
      </x:c>
      <x:c r="P1960" s="23" t="str">
        <x:v>MADEIRA MADEIRA</x:v>
      </x:c>
      <x:c r="Q1960" s="30" t="n">
        <x:v>35718</x:v>
      </x:c>
      <x:c r="R1960" s="22" t="str">
        <x:f>"456184363"</x:f>
        <x:v>456184363</x:v>
      </x:c>
      <x:c r="S1960" s="23" t="str">
        <x:v>Masculino</x:v>
      </x:c>
      <x:c r="T1960" s="22" t="str"/>
      <x:c r="U1960" s="23" t="str">
        <x:v>JOSE LUIS MALAQUIAS</x:v>
      </x:c>
      <x:c r="V1960" s="22" t="str">
        <x:f>"33121442802"</x:f>
        <x:v>33121442802</x:v>
      </x:c>
      <x:c r="W1960" s="22" t="str">
        <x:f>"33121442802"</x:f>
        <x:v>33121442802</x:v>
      </x:c>
      <x:c r="X1960" s="23" t="str">
        <x:v>JOSELUISMALAQUIAD86@GMAIL.COM</x:v>
      </x:c>
      <x:c r="Y1960" s="22" t="str">
        <x:f>"11916655460"</x:f>
        <x:v>11916655460</x:v>
      </x:c>
      <x:c r="Z1960" s="30" t="n">
        <x:v>46214</x:v>
      </x:c>
    </x:row>
    <x:row r="1961" ht="18" customHeight="1">
      <x:c r="A1961" s="22" t="str">
        <x:f>"996580f5-09cf-4e37-aabe-1328d476d5aa"</x:f>
        <x:v>996580f5-09cf-4e37-aabe-1328d476d5aa</x:v>
      </x:c>
      <x:c r="B1961" s="23" t="str">
        <x:v>JOSE LUIZ SANTANA FROEDE MACHADO</x:v>
      </x:c>
      <x:c r="C1961" s="23" t="str">
        <x:v>jose luiz santana froede machado</x:v>
      </x:c>
      <x:c r="D1961" s="22" t="str">
        <x:f>"67.509.906/0001-07"</x:f>
        <x:v>67.509.906/0001-07</x:v>
      </x:c>
      <x:c r="E1961" s="22" t="str">
        <x:f>"67509906000107"</x:f>
        <x:v>67509906000107</x:v>
      </x:c>
      <x:c r="F1961" s="22" t="str">
        <x:f>"022.206.436-62"</x:f>
        <x:v>022.206.436-62</x:v>
      </x:c>
      <x:c r="G1961" s="22" t="str">
        <x:f>"02220643662"</x:f>
        <x:v>02220643662</x:v>
      </x:c>
      <x:c r="H1961" s="23" t="str">
        <x:v>joseluizsfm@gmail.com</x:v>
      </x:c>
      <x:c r="I1961" s="22" t="str">
        <x:f>"(33) 9 8722 5132"</x:f>
        <x:v>(33) 9 8722 5132</x:v>
      </x:c>
      <x:c r="J1961" s="23" t="str">
        <x:v>RENTAL</x:v>
      </x:c>
      <x:c r="K1961" s="23" t="str">
        <x:v>rental_company</x:v>
      </x:c>
      <x:c r="L1961" s="24" t="b">
        <x:v>1</x:v>
      </x:c>
      <x:c r="M1961" s="23" t="n">
        <x:v>1</x:v>
      </x:c>
      <x:c r="N1961" s="28" t="n">
        <x:v>46219.812988715275</x:v>
      </x:c>
      <x:c r="O1961" s="28" t="n">
        <x:v>46219.812988715275</x:v>
      </x:c>
      <x:c r="P1961" s="23" t="str">
        <x:v>TEOFILO OTONI</x:v>
      </x:c>
      <x:c r="Q1961" s="30" t="n">
        <x:v>36483</x:v>
      </x:c>
      <x:c r="R1961" s="22" t="str">
        <x:f>"20589567"</x:f>
        <x:v>20589567</x:v>
      </x:c>
      <x:c r="S1961" s="23" t="str">
        <x:v>masculino</x:v>
      </x:c>
      <x:c r="T1961" s="22" t="str"/>
      <x:c r="U1961" s="23" t="str">
        <x:v>JOSE LUIZ SANTANA FROEDE MACHADO</x:v>
      </x:c>
      <x:c r="V1961" s="22" t="str">
        <x:f>"022.206.436-62"</x:f>
        <x:v>022.206.436-62</x:v>
      </x:c>
      <x:c r="W1961" s="22" t="str">
        <x:f>"02220643662"</x:f>
        <x:v>02220643662</x:v>
      </x:c>
      <x:c r="X1961" s="23" t="str">
        <x:v>joseluizsfm@gmail.com</x:v>
      </x:c>
      <x:c r="Y1961" s="22" t="str">
        <x:f>"(33) 9 8722 5132"</x:f>
        <x:v>(33) 9 8722 5132</x:v>
      </x:c>
      <x:c r="Z1961" s="30" t="n">
        <x:v>46556</x:v>
      </x:c>
    </x:row>
    <x:row r="1962" ht="18" customHeight="1">
      <x:c r="A1962" s="22" t="str">
        <x:f>"23fa113d-c479-4dd5-a858-02d9b577470f"</x:f>
        <x:v>23fa113d-c479-4dd5-a858-02d9b577470f</x:v>
      </x:c>
      <x:c r="B1962" s="23" t="str">
        <x:v>JOSE MANOEL RIBEIRO BATISTA COSTA</x:v>
      </x:c>
      <x:c r="C1962" s="23" t="str">
        <x:v>jose manoel ribeiro batista costa</x:v>
      </x:c>
      <x:c r="D1962" s="22" t="str">
        <x:f>"65.715.176/0001-75"</x:f>
        <x:v>65.715.176/0001-75</x:v>
      </x:c>
      <x:c r="E1962" s="22" t="str">
        <x:f>"65715176000175"</x:f>
        <x:v>65715176000175</x:v>
      </x:c>
      <x:c r="F1962" s="22" t="str">
        <x:f>"122.852.966-30"</x:f>
        <x:v>122.852.966-30</x:v>
      </x:c>
      <x:c r="G1962" s="22" t="str">
        <x:f>"12285296630"</x:f>
        <x:v>12285296630</x:v>
      </x:c>
      <x:c r="H1962" s="23" t="str">
        <x:v>josemanoelrbcc@gmail.com</x:v>
      </x:c>
      <x:c r="I1962" s="22" t="str">
        <x:f>"35998396030"</x:f>
        <x:v>35998396030</x:v>
      </x:c>
      <x:c r="J1962" s="23" t="str">
        <x:v>RENTAL</x:v>
      </x:c>
      <x:c r="K1962" s="23" t="str">
        <x:v>rental_company</x:v>
      </x:c>
      <x:c r="L1962" s="24" t="b">
        <x:v>1</x:v>
      </x:c>
      <x:c r="M1962" s="23" t="n">
        <x:v>1</x:v>
      </x:c>
      <x:c r="N1962" s="28" t="n">
        <x:v>46219.812988715275</x:v>
      </x:c>
      <x:c r="O1962" s="28" t="n">
        <x:v>46219.812988715275</x:v>
      </x:c>
      <x:c r="P1962" s="23" t="str">
        <x:v>POUSO ALEGRE</x:v>
      </x:c>
      <x:c r="Q1962" s="30" t="n">
        <x:v>33573</x:v>
      </x:c>
      <x:c r="R1962" s="22" t="str">
        <x:f>"17837516"</x:f>
        <x:v>17837516</x:v>
      </x:c>
      <x:c r="S1962" s="23" t="str">
        <x:v>masculino</x:v>
      </x:c>
      <x:c r="T1962" s="22" t="str"/>
      <x:c r="U1962" s="23" t="str">
        <x:v>JOSE MANOEL RIBEIRO BATISTA COSTA</x:v>
      </x:c>
      <x:c r="V1962" s="22" t="str">
        <x:f>"122.852.966-30"</x:f>
        <x:v>122.852.966-30</x:v>
      </x:c>
      <x:c r="W1962" s="22" t="str">
        <x:f>"12285296630"</x:f>
        <x:v>12285296630</x:v>
      </x:c>
      <x:c r="X1962" s="23" t="str">
        <x:v>josemanoelrbcc@gmail.com</x:v>
      </x:c>
      <x:c r="Y1962" s="22" t="str">
        <x:f>"35998396030"</x:f>
        <x:v>35998396030</x:v>
      </x:c>
      <x:c r="Z1962" s="30" t="n">
        <x:v>46464</x:v>
      </x:c>
    </x:row>
    <x:row r="1963" ht="18" customHeight="1">
      <x:c r="A1963" s="22" t="str">
        <x:f>"0819cd5b-7b65-49c2-9999-be06692648e6"</x:f>
        <x:v>0819cd5b-7b65-49c2-9999-be06692648e6</x:v>
      </x:c>
      <x:c r="B1963" s="23" t="str">
        <x:v>JOSEMARA PONTES PINTO BORGES</x:v>
      </x:c>
      <x:c r="C1963" s="23" t="str">
        <x:v>josemara pontes pinto borges</x:v>
      </x:c>
      <x:c r="D1963" s="22" t="str">
        <x:f>"57.292.557/0001-60"</x:f>
        <x:v>57.292.557/0001-60</x:v>
      </x:c>
      <x:c r="E1963" s="22" t="str">
        <x:f>"57292557000160"</x:f>
        <x:v>57292557000160</x:v>
      </x:c>
      <x:c r="F1963" s="22" t="str">
        <x:f>"122.203.287-24"</x:f>
        <x:v>122.203.287-24</x:v>
      </x:c>
      <x:c r="G1963" s="22" t="str">
        <x:f>"12220328724"</x:f>
        <x:v>12220328724</x:v>
      </x:c>
      <x:c r="H1963" s="23" t="str">
        <x:v>josemaraborges35@gmail.com</x:v>
      </x:c>
      <x:c r="I1963" s="22" t="str">
        <x:f>"31983784745"</x:f>
        <x:v>31983784745</x:v>
      </x:c>
      <x:c r="J1963" s="23" t="str">
        <x:v>SPOT</x:v>
      </x:c>
      <x:c r="K1963" s="23" t="str">
        <x:v>favored_only</x:v>
      </x:c>
      <x:c r="L1963" s="24" t="b">
        <x:v>1</x:v>
      </x:c>
      <x:c r="M1963" s="23" t="n">
        <x:v>3</x:v>
      </x:c>
      <x:c r="N1963" s="28" t="n">
        <x:v>46203.921887453704</x:v>
      </x:c>
      <x:c r="O1963" s="28" t="n">
        <x:v>46203.921887453704</x:v>
      </x:c>
      <x:c r="P1963" s="23" t="str"/>
      <x:c r="Q1963" s="30" t="str"/>
      <x:c r="R1963" s="22" t="str"/>
      <x:c r="S1963" s="23" t="str"/>
      <x:c r="T1963" s="22" t="str"/>
      <x:c r="U1963" s="23" t="str">
        <x:v>JOSEMARA PONTES PINTO BORGES</x:v>
      </x:c>
      <x:c r="V1963" s="22" t="str">
        <x:f>"12220328724"</x:f>
        <x:v>12220328724</x:v>
      </x:c>
      <x:c r="W1963" s="22" t="str">
        <x:f>"12220328724"</x:f>
        <x:v>12220328724</x:v>
      </x:c>
      <x:c r="X1963" s="23" t="str">
        <x:v>josemaraborges35@gmail.com</x:v>
      </x:c>
      <x:c r="Y1963" s="22" t="str">
        <x:f>"31972042138"</x:f>
        <x:v>31972042138</x:v>
      </x:c>
      <x:c r="Z1963" s="30" t="str"/>
    </x:row>
    <x:row r="1964" ht="18" customHeight="1">
      <x:c r="A1964" s="22" t="str">
        <x:f>"4731d3bf-4ce6-4dfe-9091-3f065c6ba9c3"</x:f>
        <x:v>4731d3bf-4ce6-4dfe-9091-3f065c6ba9c3</x:v>
      </x:c>
      <x:c r="B1964" s="23" t="str">
        <x:v>JOSE MARCIO DE OLIVEIRA</x:v>
      </x:c>
      <x:c r="C1964" s="23" t="str">
        <x:v>jose marcio de oliveira</x:v>
      </x:c>
      <x:c r="D1964" s="22" t="str">
        <x:f>"67.068.501/0001-80"</x:f>
        <x:v>67.068.501/0001-80</x:v>
      </x:c>
      <x:c r="E1964" s="22" t="str">
        <x:f>"67068501000180"</x:f>
        <x:v>67068501000180</x:v>
      </x:c>
      <x:c r="F1964" s="22" t="str">
        <x:f>"039.880.706-02"</x:f>
        <x:v>039.880.706-02</x:v>
      </x:c>
      <x:c r="G1964" s="22" t="str">
        <x:f>"03988070602"</x:f>
        <x:v>03988070602</x:v>
      </x:c>
      <x:c r="H1964" s="23" t="str">
        <x:v>Jmarcioo805@gmail.com</x:v>
      </x:c>
      <x:c r="I1964" s="22" t="str">
        <x:f>"35 99896-6152"</x:f>
        <x:v>35 99896-6152</x:v>
      </x:c>
      <x:c r="J1964" s="23" t="str">
        <x:v>RENTAL</x:v>
      </x:c>
      <x:c r="K1964" s="23" t="str">
        <x:v>rental_company</x:v>
      </x:c>
      <x:c r="L1964" s="24" t="b">
        <x:v>1</x:v>
      </x:c>
      <x:c r="M1964" s="23" t="n">
        <x:v>1</x:v>
      </x:c>
      <x:c r="N1964" s="28" t="n">
        <x:v>46219.812988715275</x:v>
      </x:c>
      <x:c r="O1964" s="28" t="n">
        <x:v>46219.812988715275</x:v>
      </x:c>
      <x:c r="P1964" s="23" t="str">
        <x:v>POCOS DE CALDAS</x:v>
      </x:c>
      <x:c r="Q1964" s="30" t="n">
        <x:v>28346</x:v>
      </x:c>
      <x:c r="R1964" s="22" t="str">
        <x:f>"10716680"</x:f>
        <x:v>10716680</x:v>
      </x:c>
      <x:c r="S1964" s="23" t="str">
        <x:v>masculino</x:v>
      </x:c>
      <x:c r="T1964" s="22" t="str"/>
      <x:c r="U1964" s="23" t="str">
        <x:v>JOSE MARCIO DE OLIVEIRA</x:v>
      </x:c>
      <x:c r="V1964" s="22" t="str">
        <x:f>"039.880.706-02"</x:f>
        <x:v>039.880.706-02</x:v>
      </x:c>
      <x:c r="W1964" s="22" t="str">
        <x:f>"03988070602"</x:f>
        <x:v>03988070602</x:v>
      </x:c>
      <x:c r="X1964" s="23" t="str">
        <x:v>Jmarcioo805@gmail.com</x:v>
      </x:c>
      <x:c r="Y1964" s="22" t="str">
        <x:f>"35 99896-6152"</x:f>
        <x:v>35 99896-6152</x:v>
      </x:c>
      <x:c r="Z1964" s="30" t="n">
        <x:v>46536</x:v>
      </x:c>
    </x:row>
    <x:row r="1965" ht="18" customHeight="1">
      <x:c r="A1965" s="22" t="str">
        <x:f>"21b633f0-9da8-48f8-8da7-c67b32c03d71"</x:f>
        <x:v>21b633f0-9da8-48f8-8da7-c67b32c03d71</x:v>
      </x:c>
      <x:c r="B1965" s="23" t="str">
        <x:v>JOSEMARI DA SILVA MACIEL</x:v>
      </x:c>
      <x:c r="C1965" s="23" t="str">
        <x:v>josemari da silva maciel</x:v>
      </x:c>
      <x:c r="D1965" s="22" t="str">
        <x:f>"66.743.197/0001-67"</x:f>
        <x:v>66.743.197/0001-67</x:v>
      </x:c>
      <x:c r="E1965" s="22" t="str">
        <x:f>"66743197000167"</x:f>
        <x:v>66743197000167</x:v>
      </x:c>
      <x:c r="F1965" s="22" t="str">
        <x:f>"268.463.968-02"</x:f>
        <x:v>268.463.968-02</x:v>
      </x:c>
      <x:c r="G1965" s="22" t="str">
        <x:f>"26846396802"</x:f>
        <x:v>26846396802</x:v>
      </x:c>
      <x:c r="H1965" s="23" t="str">
        <x:v>jose47mari@gmail.com</x:v>
      </x:c>
      <x:c r="I1965" s="22" t="str">
        <x:f>"16997764193"</x:f>
        <x:v>16997764193</x:v>
      </x:c>
      <x:c r="J1965" s="23" t="str">
        <x:v>RENTAL</x:v>
      </x:c>
      <x:c r="K1965" s="23" t="str">
        <x:v>rental_company</x:v>
      </x:c>
      <x:c r="L1965" s="24" t="b">
        <x:v>1</x:v>
      </x:c>
      <x:c r="M1965" s="23" t="n">
        <x:v>1</x:v>
      </x:c>
      <x:c r="N1965" s="28" t="n">
        <x:v>46219.812988715275</x:v>
      </x:c>
      <x:c r="O1965" s="28" t="n">
        <x:v>46219.812988715275</x:v>
      </x:c>
      <x:c r="P1965" s="23" t="str">
        <x:v>SÃO CARLOS</x:v>
      </x:c>
      <x:c r="Q1965" s="30" t="n">
        <x:v>29033</x:v>
      </x:c>
      <x:c r="R1965" s="22" t="str">
        <x:f>"320916479"</x:f>
        <x:v>320916479</x:v>
      </x:c>
      <x:c r="S1965" s="23" t="str">
        <x:v>feminino</x:v>
      </x:c>
      <x:c r="T1965" s="22" t="str"/>
      <x:c r="U1965" s="23" t="str">
        <x:v>JOSEMARI DA SILVA MACIEL</x:v>
      </x:c>
      <x:c r="V1965" s="22" t="str">
        <x:f>"268.463.968-02"</x:f>
        <x:v>268.463.968-02</x:v>
      </x:c>
      <x:c r="W1965" s="22" t="str">
        <x:f>"26846396802"</x:f>
        <x:v>26846396802</x:v>
      </x:c>
      <x:c r="X1965" s="23" t="str">
        <x:v>jose47mari@gmail.com</x:v>
      </x:c>
      <x:c r="Y1965" s="22" t="str">
        <x:f>"16997764193"</x:f>
        <x:v>16997764193</x:v>
      </x:c>
      <x:c r="Z1965" s="30" t="n">
        <x:v>46576</x:v>
      </x:c>
    </x:row>
    <x:row r="1966" ht="18" customHeight="1">
      <x:c r="A1966" s="22" t="str">
        <x:f>"c890d73a-55e8-4960-be78-4bc8dda922d5"</x:f>
        <x:v>c890d73a-55e8-4960-be78-4bc8dda922d5</x:v>
      </x:c>
      <x:c r="B1966" s="23" t="str">
        <x:v>JOSE MATHEUS GONCALVES MIRANDA</x:v>
      </x:c>
      <x:c r="C1966" s="23" t="str">
        <x:v>jose matheus goncalves miranda</x:v>
      </x:c>
      <x:c r="D1966" s="22" t="str">
        <x:f>"59.460.108/0001-00"</x:f>
        <x:v>59.460.108/0001-00</x:v>
      </x:c>
      <x:c r="E1966" s="22" t="str">
        <x:f>"59460108000100"</x:f>
        <x:v>59460108000100</x:v>
      </x:c>
      <x:c r="F1966" s="22" t="str">
        <x:f>"053.233.661-50"</x:f>
        <x:v>053.233.661-50</x:v>
      </x:c>
      <x:c r="G1966" s="22" t="str">
        <x:f>"05323366150"</x:f>
        <x:v>05323366150</x:v>
      </x:c>
      <x:c r="H1966" s="23" t="str">
        <x:v>matheusloko1305@gmail.com</x:v>
      </x:c>
      <x:c r="I1966" s="22" t="str">
        <x:f>"65-99680-7147"</x:f>
        <x:v>65-99680-7147</x:v>
      </x:c>
      <x:c r="J1966" s="23" t="str">
        <x:v>SOPT</x:v>
      </x:c>
      <x:c r="K1966" s="23" t="str">
        <x:v>favored_only</x:v>
      </x:c>
      <x:c r="L1966" s="24" t="b">
        <x:v>1</x:v>
      </x:c>
      <x:c r="M1966" s="23" t="n">
        <x:v>1</x:v>
      </x:c>
      <x:c r="N1966" s="28" t="n">
        <x:v>46203.92183017361</x:v>
      </x:c>
      <x:c r="O1966" s="28" t="n">
        <x:v>46219.812988715275</x:v>
      </x:c>
      <x:c r="P1966" s="23" t="str">
        <x:v>CÁCERES</x:v>
      </x:c>
      <x:c r="Q1966" s="30" t="n">
        <x:v>37754</x:v>
      </x:c>
      <x:c r="R1966" s="22" t="str">
        <x:f>"30569389"</x:f>
        <x:v>30569389</x:v>
      </x:c>
      <x:c r="S1966" s="23" t="str">
        <x:v>masculino</x:v>
      </x:c>
      <x:c r="T1966" s="22" t="str">
        <x:f>"NUF7H50"</x:f>
        <x:v>NUF7H50</x:v>
      </x:c>
      <x:c r="U1966" s="23" t="str">
        <x:v>JOSE MATHEUS GONCALVES MIRANDA</x:v>
      </x:c>
      <x:c r="V1966" s="22" t="str">
        <x:f>"053.233.661-50"</x:f>
        <x:v>053.233.661-50</x:v>
      </x:c>
      <x:c r="W1966" s="22" t="str">
        <x:f>"05323366150"</x:f>
        <x:v>05323366150</x:v>
      </x:c>
      <x:c r="X1966" s="23" t="str">
        <x:v>matheusloko1305@gmail.com</x:v>
      </x:c>
      <x:c r="Y1966" s="22" t="str">
        <x:f>"65-99680-7147"</x:f>
        <x:v>65-99680-7147</x:v>
      </x:c>
      <x:c r="Z1966" s="30" t="n">
        <x:v>46247</x:v>
      </x:c>
    </x:row>
    <x:row r="1967" ht="18" customHeight="1">
      <x:c r="A1967" s="22" t="str">
        <x:f>"077c6d31-bc13-4071-b7c6-8298e779edd5"</x:f>
        <x:v>077c6d31-bc13-4071-b7c6-8298e779edd5</x:v>
      </x:c>
      <x:c r="B1967" s="23" t="str">
        <x:v>JOSE MAURICIO ALVES PIMENTA</x:v>
      </x:c>
      <x:c r="C1967" s="23" t="str">
        <x:v>jose mauricio alves pimenta</x:v>
      </x:c>
      <x:c r="D1967" s="22" t="str">
        <x:f>"52.548.593/0001-29"</x:f>
        <x:v>52.548.593/0001-29</x:v>
      </x:c>
      <x:c r="E1967" s="22" t="str">
        <x:f>"52548593000129"</x:f>
        <x:v>52548593000129</x:v>
      </x:c>
      <x:c r="F1967" s="22" t="str">
        <x:f>"136.744.137-44"</x:f>
        <x:v>136.744.137-44</x:v>
      </x:c>
      <x:c r="G1967" s="22" t="str">
        <x:f>"13674413744"</x:f>
        <x:v>13674413744</x:v>
      </x:c>
      <x:c r="H1967" s="23" t="str">
        <x:v>josemauricioalvespimenta160@gmail.com</x:v>
      </x:c>
      <x:c r="I1967" s="22" t="str">
        <x:f>"22 991019213"</x:f>
        <x:v>22 991019213</x:v>
      </x:c>
      <x:c r="J1967" s="23" t="str">
        <x:v>SPOT</x:v>
      </x:c>
      <x:c r="K1967" s="23" t="str">
        <x:v>favored_only</x:v>
      </x:c>
      <x:c r="L1967" s="24" t="b">
        <x:v>1</x:v>
      </x:c>
      <x:c r="M1967" s="23" t="n">
        <x:v>1</x:v>
      </x:c>
      <x:c r="N1967" s="28" t="n">
        <x:v>46203.921887453704</x:v>
      </x:c>
      <x:c r="O1967" s="28" t="n">
        <x:v>46219.812988715275</x:v>
      </x:c>
      <x:c r="P1967" s="23" t="str">
        <x:v>CAMPOS DOS GOYTACAZES</x:v>
      </x:c>
      <x:c r="Q1967" s="30" t="n">
        <x:v>32934</x:v>
      </x:c>
      <x:c r="R1967" s="22" t="str">
        <x:f>"257531020"</x:f>
        <x:v>257531020</x:v>
      </x:c>
      <x:c r="S1967" s="23" t="str">
        <x:v>masculino</x:v>
      </x:c>
      <x:c r="T1967" s="22" t="str">
        <x:f>"KZT9J95"</x:f>
        <x:v>KZT9J95</x:v>
      </x:c>
      <x:c r="U1967" s="23" t="str">
        <x:v>JOSE MAURICIO ALVES PIMENTA</x:v>
      </x:c>
      <x:c r="V1967" s="22" t="str">
        <x:f>"136.744.137-44"</x:f>
        <x:v>136.744.137-44</x:v>
      </x:c>
      <x:c r="W1967" s="22" t="str">
        <x:f>"13674413744"</x:f>
        <x:v>13674413744</x:v>
      </x:c>
      <x:c r="X1967" s="23" t="str">
        <x:v>josemauricioalvespimenta160@gmail.com</x:v>
      </x:c>
      <x:c r="Y1967" s="22" t="str">
        <x:f>"22 991019213"</x:f>
        <x:v>22 991019213</x:v>
      </x:c>
      <x:c r="Z1967" s="30" t="n">
        <x:v>46333</x:v>
      </x:c>
    </x:row>
    <x:row r="1968" ht="18" customHeight="1">
      <x:c r="A1968" s="22" t="str">
        <x:f>"51437b1c-1e5d-42c6-927f-53e9c0dabcc2"</x:f>
        <x:v>51437b1c-1e5d-42c6-927f-53e9c0dabcc2</x:v>
      </x:c>
      <x:c r="B1968" s="23" t="str">
        <x:v>JOSE MAURICIO ALVES PIMENTA</x:v>
      </x:c>
      <x:c r="C1968" s="23" t="str">
        <x:v>jose mauricio alves pimenta</x:v>
      </x:c>
      <x:c r="D1968" s="22" t="str">
        <x:f>"64.277.664/0001-85"</x:f>
        <x:v>64.277.664/0001-85</x:v>
      </x:c>
      <x:c r="E1968" s="22" t="str">
        <x:f>"64277664000185"</x:f>
        <x:v>64277664000185</x:v>
      </x:c>
      <x:c r="F1968" s="22" t="str">
        <x:f>"136.744.137-44"</x:f>
        <x:v>136.744.137-44</x:v>
      </x:c>
      <x:c r="G1968" s="22" t="str">
        <x:f>"13674413744"</x:f>
        <x:v>13674413744</x:v>
      </x:c>
      <x:c r="H1968" s="23" t="str">
        <x:v>JOSEMAURICIOALVESPIMENTA160@GMAIL.COM</x:v>
      </x:c>
      <x:c r="I1968" s="22" t="str">
        <x:f>"22991019213"</x:f>
        <x:v>22991019213</x:v>
      </x:c>
      <x:c r="J1968" s="23" t="str">
        <x:v>SPOT</x:v>
      </x:c>
      <x:c r="K1968" s="23" t="str">
        <x:v>favored_only</x:v>
      </x:c>
      <x:c r="L1968" s="24" t="b">
        <x:v>1</x:v>
      </x:c>
      <x:c r="M1968" s="23" t="n">
        <x:v>1</x:v>
      </x:c>
      <x:c r="N1968" s="28" t="n">
        <x:v>46203.9219084375</x:v>
      </x:c>
      <x:c r="O1968" s="28" t="n">
        <x:v>46219.812988715275</x:v>
      </x:c>
      <x:c r="P1968" s="23" t="str">
        <x:v>CAMPOS DOS GOYTACAZES</x:v>
      </x:c>
      <x:c r="Q1968" s="30" t="n">
        <x:v>32934</x:v>
      </x:c>
      <x:c r="R1968" s="22" t="str">
        <x:f>"257531020"</x:f>
        <x:v>257531020</x:v>
      </x:c>
      <x:c r="S1968" s="23" t="str">
        <x:v>masculino</x:v>
      </x:c>
      <x:c r="T1968" s="22" t="str">
        <x:f>"KZT9J95"</x:f>
        <x:v>KZT9J95</x:v>
      </x:c>
      <x:c r="U1968" s="23" t="str">
        <x:v>JOSE MAURICIO ALVES PIMENTA</x:v>
      </x:c>
      <x:c r="V1968" s="22" t="str">
        <x:f>"136.744.137-44"</x:f>
        <x:v>136.744.137-44</x:v>
      </x:c>
      <x:c r="W1968" s="22" t="str">
        <x:f>"13674413744"</x:f>
        <x:v>13674413744</x:v>
      </x:c>
      <x:c r="X1968" s="23" t="str">
        <x:v>JOSEMAURICIOALVESPIMENTA160@GMAIL.COM</x:v>
      </x:c>
      <x:c r="Y1968" s="22" t="str">
        <x:f>"22991019213"</x:f>
        <x:v>22991019213</x:v>
      </x:c>
      <x:c r="Z1968" s="30" t="n">
        <x:v>46394</x:v>
      </x:c>
    </x:row>
    <x:row r="1969" ht="18" customHeight="1">
      <x:c r="A1969" s="22" t="str">
        <x:f>"a9a4a229-9469-4ea3-adb4-213ba9660cb8"</x:f>
        <x:v>a9a4a229-9469-4ea3-adb4-213ba9660cb8</x:v>
      </x:c>
      <x:c r="B1969" s="23" t="str">
        <x:v>JOSE MAURICIO SARNO SANTOS</x:v>
      </x:c>
      <x:c r="C1969" s="23" t="str">
        <x:v>jose mauricio sarno santos</x:v>
      </x:c>
      <x:c r="D1969" s="22" t="str">
        <x:f>"46.465.408/0001-30"</x:f>
        <x:v>46.465.408/0001-30</x:v>
      </x:c>
      <x:c r="E1969" s="22" t="str">
        <x:f>"46465408000130"</x:f>
        <x:v>46465408000130</x:v>
      </x:c>
      <x:c r="F1969" s="22" t="str">
        <x:f>"066.056.906-05"</x:f>
        <x:v>066.056.906-05</x:v>
      </x:c>
      <x:c r="G1969" s="22" t="str">
        <x:f>"06605690605"</x:f>
        <x:v>06605690605</x:v>
      </x:c>
      <x:c r="H1969" s="23" t="str">
        <x:v>mauriciosarno1986@gmail.com</x:v>
      </x:c>
      <x:c r="I1969" s="22" t="str">
        <x:f>"(35) 99723-2970"</x:f>
        <x:v>(35) 99723-2970</x:v>
      </x:c>
      <x:c r="J1969" s="23" t="str">
        <x:v>RENTAL</x:v>
      </x:c>
      <x:c r="K1969" s="23" t="str">
        <x:v>rental_company</x:v>
      </x:c>
      <x:c r="L1969" s="24" t="b">
        <x:v>1</x:v>
      </x:c>
      <x:c r="M1969" s="23" t="n">
        <x:v>1</x:v>
      </x:c>
      <x:c r="N1969" s="28" t="n">
        <x:v>46219.812988715275</x:v>
      </x:c>
      <x:c r="O1969" s="28" t="n">
        <x:v>46219.812988715275</x:v>
      </x:c>
      <x:c r="P1969" s="23" t="str">
        <x:v>POUSO ALEGRE</x:v>
      </x:c>
      <x:c r="Q1969" s="30" t="n">
        <x:v>31456</x:v>
      </x:c>
      <x:c r="R1969" s="22" t="str">
        <x:f>"MG13547468 SSP MG"</x:f>
        <x:v>MG13547468 SSP MG</x:v>
      </x:c>
      <x:c r="S1969" s="23" t="str">
        <x:v>masculino</x:v>
      </x:c>
      <x:c r="T1969" s="22" t="str"/>
      <x:c r="U1969" s="23" t="str">
        <x:v>JOSE MAURICIO SARNO SANTOS</x:v>
      </x:c>
      <x:c r="V1969" s="22" t="str">
        <x:f>"066.056.906-05"</x:f>
        <x:v>066.056.906-05</x:v>
      </x:c>
      <x:c r="W1969" s="22" t="str">
        <x:f>"06605690605"</x:f>
        <x:v>06605690605</x:v>
      </x:c>
      <x:c r="X1969" s="23" t="str">
        <x:v>mauriciosarno1986@gmail.com</x:v>
      </x:c>
      <x:c r="Y1969" s="22" t="str">
        <x:f>"(35) 99723-2970"</x:f>
        <x:v>(35) 99723-2970</x:v>
      </x:c>
      <x:c r="Z1969" s="30" t="n">
        <x:v>46557</x:v>
      </x:c>
    </x:row>
    <x:row r="1970" ht="18" customHeight="1">
      <x:c r="A1970" s="22" t="str">
        <x:f>"ac282dfe-12a7-4d2b-ba8f-651ca4848198"</x:f>
        <x:v>ac282dfe-12a7-4d2b-ba8f-651ca4848198</x:v>
      </x:c>
      <x:c r="B1970" s="23" t="str">
        <x:v>JOSEMIR RIBEIRO DA SILVA</x:v>
      </x:c>
      <x:c r="C1970" s="23" t="str">
        <x:v>josemir ribeiro da silva</x:v>
      </x:c>
      <x:c r="D1970" s="22" t="str">
        <x:f>"60.736.509/0001-29"</x:f>
        <x:v>60.736.509/0001-29</x:v>
      </x:c>
      <x:c r="E1970" s="22" t="str">
        <x:f>"60736509000129"</x:f>
        <x:v>60736509000129</x:v>
      </x:c>
      <x:c r="F1970" s="22" t="str">
        <x:f>"419.910.648-02"</x:f>
        <x:v>419.910.648-02</x:v>
      </x:c>
      <x:c r="G1970" s="22" t="str">
        <x:f>"41991064802"</x:f>
        <x:v>41991064802</x:v>
      </x:c>
      <x:c r="H1970" s="23" t="str">
        <x:v>josemirjosemir1993@gmail.com</x:v>
      </x:c>
      <x:c r="I1970" s="22" t="str">
        <x:f>"14 99684-8573"</x:f>
        <x:v>14 99684-8573</x:v>
      </x:c>
      <x:c r="J1970" s="23" t="str">
        <x:v>RENTAL</x:v>
      </x:c>
      <x:c r="K1970" s="23" t="str">
        <x:v>rental_company</x:v>
      </x:c>
      <x:c r="L1970" s="24" t="b">
        <x:v>1</x:v>
      </x:c>
      <x:c r="M1970" s="23" t="n">
        <x:v>1</x:v>
      </x:c>
      <x:c r="N1970" s="28" t="n">
        <x:v>46219.812988715275</x:v>
      </x:c>
      <x:c r="O1970" s="28" t="n">
        <x:v>46219.812988715275</x:v>
      </x:c>
      <x:c r="P1970" s="23" t="str">
        <x:v>MARILIA</x:v>
      </x:c>
      <x:c r="Q1970" s="30" t="n">
        <x:v>34290</x:v>
      </x:c>
      <x:c r="R1970" s="22" t="str">
        <x:f>"406055361"</x:f>
        <x:v>406055361</x:v>
      </x:c>
      <x:c r="S1970" s="23" t="str">
        <x:v>masculino</x:v>
      </x:c>
      <x:c r="T1970" s="22" t="str"/>
      <x:c r="U1970" s="23" t="str">
        <x:v>JOSEMIR RIBEIRO DA SILVA</x:v>
      </x:c>
      <x:c r="V1970" s="22" t="str">
        <x:f>"419.910.648-02"</x:f>
        <x:v>419.910.648-02</x:v>
      </x:c>
      <x:c r="W1970" s="22" t="str">
        <x:f>"41991064802"</x:f>
        <x:v>41991064802</x:v>
      </x:c>
      <x:c r="X1970" s="23" t="str">
        <x:v>josemirjosemir1993@gmail.com</x:v>
      </x:c>
      <x:c r="Y1970" s="22" t="str">
        <x:f>"14 99684-8573"</x:f>
        <x:v>14 99684-8573</x:v>
      </x:c>
      <x:c r="Z1970" s="30" t="n">
        <x:v>46452</x:v>
      </x:c>
    </x:row>
    <x:row r="1971" ht="18" customHeight="1">
      <x:c r="A1971" s="22" t="str">
        <x:f>"2a1aac87-700f-46ef-bf3a-de72a29a9b3c"</x:f>
        <x:v>2a1aac87-700f-46ef-bf3a-de72a29a9b3c</x:v>
      </x:c>
      <x:c r="B1971" s="23" t="str">
        <x:v>JOSE NILSON JUNIOR PINHEIRO MARQUES</x:v>
      </x:c>
      <x:c r="C1971" s="23" t="str">
        <x:v>jose nilson junior pinheiro marques</x:v>
      </x:c>
      <x:c r="D1971" s="22" t="str">
        <x:f>"34.150.240/0001-94"</x:f>
        <x:v>34.150.240/0001-94</x:v>
      </x:c>
      <x:c r="E1971" s="22" t="str">
        <x:f>"34150240000194"</x:f>
        <x:v>34150240000194</x:v>
      </x:c>
      <x:c r="F1971" s="22" t="str">
        <x:f>"162.813.197-70"</x:f>
        <x:v>162.813.197-70</x:v>
      </x:c>
      <x:c r="G1971" s="22" t="str">
        <x:f>"16281319770"</x:f>
        <x:v>16281319770</x:v>
      </x:c>
      <x:c r="H1971" s="23" t="str">
        <x:v>pinheirojosenilson549@gmail.com</x:v>
      </x:c>
      <x:c r="I1971" s="22" t="str">
        <x:f>"3198111-7607"</x:f>
        <x:v>3198111-7607</x:v>
      </x:c>
      <x:c r="J1971" s="23" t="str">
        <x:v>RENTAL</x:v>
      </x:c>
      <x:c r="K1971" s="23" t="str">
        <x:v>rental_company</x:v>
      </x:c>
      <x:c r="L1971" s="24" t="b">
        <x:v>1</x:v>
      </x:c>
      <x:c r="M1971" s="23" t="n">
        <x:v>1</x:v>
      </x:c>
      <x:c r="N1971" s="28" t="n">
        <x:v>46219.812988715275</x:v>
      </x:c>
      <x:c r="O1971" s="28" t="n">
        <x:v>46219.812988715275</x:v>
      </x:c>
      <x:c r="P1971" s="23" t="str">
        <x:v>VESPASIANO</x:v>
      </x:c>
      <x:c r="Q1971" s="30" t="n">
        <x:v>35162</x:v>
      </x:c>
      <x:c r="R1971" s="22" t="str">
        <x:f>"3581229"</x:f>
        <x:v>3581229</x:v>
      </x:c>
      <x:c r="S1971" s="23" t="str">
        <x:v>masculino</x:v>
      </x:c>
      <x:c r="T1971" s="22" t="str"/>
      <x:c r="U1971" s="23" t="str">
        <x:v>JOSE NILSON JUNIOR PINHEIRO MARQUES</x:v>
      </x:c>
      <x:c r="V1971" s="22" t="str">
        <x:f>"162.813.197-70"</x:f>
        <x:v>162.813.197-70</x:v>
      </x:c>
      <x:c r="W1971" s="22" t="str">
        <x:f>"16281319770"</x:f>
        <x:v>16281319770</x:v>
      </x:c>
      <x:c r="X1971" s="23" t="str">
        <x:v>pinheirojosenilson549@gmail.com</x:v>
      </x:c>
      <x:c r="Y1971" s="22" t="str">
        <x:f>"3198111-7607"</x:f>
        <x:v>3198111-7607</x:v>
      </x:c>
      <x:c r="Z1971" s="30" t="n">
        <x:v>46414</x:v>
      </x:c>
    </x:row>
    <x:row r="1972" ht="18" customHeight="1">
      <x:c r="A1972" s="22" t="str">
        <x:f>"819100b9-5b03-4b05-8339-c831754e9746"</x:f>
        <x:v>819100b9-5b03-4b05-8339-c831754e9746</x:v>
      </x:c>
      <x:c r="B1972" s="23" t="str">
        <x:v>JOSENIR HENRIQUES DA PAIXAO</x:v>
      </x:c>
      <x:c r="C1972" s="23" t="str">
        <x:v>josenir henriques da paixao</x:v>
      </x:c>
      <x:c r="D1972" s="22" t="str">
        <x:f>"596961940001-54"</x:f>
        <x:v>596961940001-54</x:v>
      </x:c>
      <x:c r="E1972" s="22" t="str">
        <x:f>"59696194000154"</x:f>
        <x:v>59696194000154</x:v>
      </x:c>
      <x:c r="F1972" s="22" t="str">
        <x:f>"05958100718"</x:f>
        <x:v>05958100718</x:v>
      </x:c>
      <x:c r="G1972" s="22" t="str">
        <x:f>"05958100718"</x:f>
        <x:v>05958100718</x:v>
      </x:c>
      <x:c r="H1972" s="23" t="str">
        <x:v>JOSENIRH@YAHOO.COM</x:v>
      </x:c>
      <x:c r="I1972" s="22" t="str">
        <x:f>"22 999313108"</x:f>
        <x:v>22 999313108</x:v>
      </x:c>
      <x:c r="J1972" s="23" t="str">
        <x:v>SPOT</x:v>
      </x:c>
      <x:c r="K1972" s="23" t="str">
        <x:v>favored_only</x:v>
      </x:c>
      <x:c r="L1972" s="24" t="b">
        <x:v>1</x:v>
      </x:c>
      <x:c r="M1972" s="23" t="n">
        <x:v>1</x:v>
      </x:c>
      <x:c r="N1972" s="28" t="n">
        <x:v>46203.9219084375</x:v>
      </x:c>
      <x:c r="O1972" s="28" t="n">
        <x:v>46220.5039828125</x:v>
      </x:c>
      <x:c r="P1972" s="23" t="str">
        <x:v>CAMPOS DOS GOYTACAZES</x:v>
      </x:c>
      <x:c r="Q1972" s="30" t="str"/>
      <x:c r="R1972" s="22" t="str"/>
      <x:c r="S1972" s="23" t="str"/>
      <x:c r="T1972" s="22" t="str"/>
      <x:c r="U1972" s="23" t="str">
        <x:v>JOSENIR HENRIQUES DA PAIXAO</x:v>
      </x:c>
      <x:c r="V1972" s="22" t="str">
        <x:f>"05958100718"</x:f>
        <x:v>05958100718</x:v>
      </x:c>
      <x:c r="W1972" s="22" t="str">
        <x:f>"05958100718"</x:f>
        <x:v>05958100718</x:v>
      </x:c>
      <x:c r="X1972" s="23" t="str">
        <x:v>JOSENIRH@YAHOO.COM</x:v>
      </x:c>
      <x:c r="Y1972" s="22" t="str">
        <x:f>"22 999313108"</x:f>
        <x:v>22 999313108</x:v>
      </x:c>
      <x:c r="Z1972" s="30" t="str"/>
    </x:row>
    <x:row r="1973" ht="18" customHeight="1">
      <x:c r="A1973" s="22" t="str">
        <x:f>"0cf95114-4479-44f8-8e5a-f74bc137024e"</x:f>
        <x:v>0cf95114-4479-44f8-8e5a-f74bc137024e</x:v>
      </x:c>
      <x:c r="B1973" s="23" t="str">
        <x:v>JOSE NONATO DE CARVALHO FILHO</x:v>
      </x:c>
      <x:c r="C1973" s="23" t="str">
        <x:v>jose nonato de carvalho filho</x:v>
      </x:c>
      <x:c r="D1973" s="22" t="str">
        <x:f>"62.820.727/0001-72"</x:f>
        <x:v>62.820.727/0001-72</x:v>
      </x:c>
      <x:c r="E1973" s="22" t="str">
        <x:f>"62820727000172"</x:f>
        <x:v>62820727000172</x:v>
      </x:c>
      <x:c r="F1973" s="22" t="str">
        <x:f>"074.706.898-42"</x:f>
        <x:v>074.706.898-42</x:v>
      </x:c>
      <x:c r="G1973" s="22" t="str">
        <x:f>"07470689842"</x:f>
        <x:v>07470689842</x:v>
      </x:c>
      <x:c r="H1973" s="23" t="str">
        <x:v>nato.filho69@gmail.com</x:v>
      </x:c>
      <x:c r="I1973" s="22" t="str">
        <x:f>"(18)996127596"</x:f>
        <x:v>(18)996127596</x:v>
      </x:c>
      <x:c r="J1973" s="23" t="str">
        <x:v>RENTAL</x:v>
      </x:c>
      <x:c r="K1973" s="23" t="str">
        <x:v>rental_company</x:v>
      </x:c>
      <x:c r="L1973" s="24" t="b">
        <x:v>1</x:v>
      </x:c>
      <x:c r="M1973" s="23" t="n">
        <x:v>1</x:v>
      </x:c>
      <x:c r="N1973" s="28" t="n">
        <x:v>46203.92186888889</x:v>
      </x:c>
      <x:c r="O1973" s="28" t="n">
        <x:v>46219.812988715275</x:v>
      </x:c>
      <x:c r="P1973" s="23" t="str">
        <x:v>PRESIDENTE PRUDENTE</x:v>
      </x:c>
      <x:c r="Q1973" s="30" t="n">
        <x:v>24016</x:v>
      </x:c>
      <x:c r="R1973" s="22" t="str">
        <x:f>"17416548"</x:f>
        <x:v>17416548</x:v>
      </x:c>
      <x:c r="S1973" s="23" t="str">
        <x:v>masculino</x:v>
      </x:c>
      <x:c r="T1973" s="22" t="str"/>
      <x:c r="U1973" s="23" t="str">
        <x:v>JOSE NONATO DE CARVALHO FILHO</x:v>
      </x:c>
      <x:c r="V1973" s="22" t="str">
        <x:f>"074.706.898-42"</x:f>
        <x:v>074.706.898-42</x:v>
      </x:c>
      <x:c r="W1973" s="22" t="str">
        <x:f>"07470689842"</x:f>
        <x:v>07470689842</x:v>
      </x:c>
      <x:c r="X1973" s="23" t="str">
        <x:v>nato.filho69@gmail.com</x:v>
      </x:c>
      <x:c r="Y1973" s="22" t="str">
        <x:f>"(18)996127596"</x:f>
        <x:v>(18)996127596</x:v>
      </x:c>
      <x:c r="Z1973" s="30" t="n">
        <x:v>46290</x:v>
      </x:c>
    </x:row>
    <x:row r="1974" ht="18" customHeight="1">
      <x:c r="A1974" s="22" t="str">
        <x:f>"d825b037-fc9d-4822-9dc4-f1a9c6c16ab0"</x:f>
        <x:v>d825b037-fc9d-4822-9dc4-f1a9c6c16ab0</x:v>
      </x:c>
      <x:c r="B1974" s="23" t="str">
        <x:v>JOSE ORLANDO BENTO</x:v>
      </x:c>
      <x:c r="C1974" s="23" t="str">
        <x:v>jose orlando bento</x:v>
      </x:c>
      <x:c r="D1974" s="22" t="str">
        <x:f>"63.806.124/0001-89"</x:f>
        <x:v>63.806.124/0001-89</x:v>
      </x:c>
      <x:c r="E1974" s="22" t="str">
        <x:f>"63806124000189"</x:f>
        <x:v>63806124000189</x:v>
      </x:c>
      <x:c r="F1974" s="22" t="str">
        <x:f>"248.565.686-04"</x:f>
        <x:v>248.565.686-04</x:v>
      </x:c>
      <x:c r="G1974" s="22" t="str">
        <x:f>"24856568604"</x:f>
        <x:v>24856568604</x:v>
      </x:c>
      <x:c r="H1974" s="23" t="str">
        <x:v>bentinhorlando@gmail.com</x:v>
      </x:c>
      <x:c r="I1974" s="22" t="str">
        <x:f>"(34) 99813-9557"</x:f>
        <x:v>(34) 99813-9557</x:v>
      </x:c>
      <x:c r="J1974" s="23" t="str">
        <x:v>SPOT</x:v>
      </x:c>
      <x:c r="K1974" s="23" t="str">
        <x:v>favored_only</x:v>
      </x:c>
      <x:c r="L1974" s="24" t="b">
        <x:v>1</x:v>
      </x:c>
      <x:c r="M1974" s="23" t="n">
        <x:v>1</x:v>
      </x:c>
      <x:c r="N1974" s="28" t="n">
        <x:v>46219.812988715275</x:v>
      </x:c>
      <x:c r="O1974" s="28" t="n">
        <x:v>46219.812988715275</x:v>
      </x:c>
      <x:c r="P1974" s="23" t="str">
        <x:v>ARAXÁ</x:v>
      </x:c>
      <x:c r="Q1974" s="30" t="n">
        <x:v>21033</x:v>
      </x:c>
      <x:c r="R1974" s="22" t="str">
        <x:f>"M1790581"</x:f>
        <x:v>M1790581</x:v>
      </x:c>
      <x:c r="S1974" s="23" t="str">
        <x:v>masculino</x:v>
      </x:c>
      <x:c r="T1974" s="22" t="str">
        <x:f>"HAZ3105"</x:f>
        <x:v>HAZ3105</x:v>
      </x:c>
      <x:c r="U1974" s="23" t="str">
        <x:v>JOSE ORLANDO BENTO</x:v>
      </x:c>
      <x:c r="V1974" s="22" t="str">
        <x:f>"248.565.686-04"</x:f>
        <x:v>248.565.686-04</x:v>
      </x:c>
      <x:c r="W1974" s="22" t="str">
        <x:f>"24856568604"</x:f>
        <x:v>24856568604</x:v>
      </x:c>
      <x:c r="X1974" s="23" t="str">
        <x:v>bentinhorlando@gmail.com</x:v>
      </x:c>
      <x:c r="Y1974" s="22" t="str">
        <x:f>"(34) 99813-9557"</x:f>
        <x:v>(34) 99813-9557</x:v>
      </x:c>
      <x:c r="Z1974" s="30" t="n">
        <x:v>46303</x:v>
      </x:c>
    </x:row>
    <x:row r="1975" ht="18" customHeight="1">
      <x:c r="A1975" s="22" t="str">
        <x:f>"f65e3e74-bbe8-4c0d-8e14-49b0454bb195"</x:f>
        <x:v>f65e3e74-bbe8-4c0d-8e14-49b0454bb195</x:v>
      </x:c>
      <x:c r="B1975" s="23" t="str">
        <x:v>JOSE OSVALDO DA SILVA JUNIOR</x:v>
      </x:c>
      <x:c r="C1975" s="23" t="str">
        <x:v>jose osvaldo da silva junior</x:v>
      </x:c>
      <x:c r="D1975" s="22" t="str">
        <x:f>"61.001.584/0001-04"</x:f>
        <x:v>61.001.584/0001-04</x:v>
      </x:c>
      <x:c r="E1975" s="22" t="str">
        <x:f>"61001584000104"</x:f>
        <x:v>61001584000104</x:v>
      </x:c>
      <x:c r="F1975" s="22" t="str">
        <x:f>"484.809.258-25"</x:f>
        <x:v>484.809.258-25</x:v>
      </x:c>
      <x:c r="G1975" s="22" t="str">
        <x:f>"48480925825"</x:f>
        <x:v>48480925825</x:v>
      </x:c>
      <x:c r="H1975" s="23" t="str">
        <x:v>juniorrsilva120301@gmail.com</x:v>
      </x:c>
      <x:c r="I1975" s="22" t="str">
        <x:f>"16992071683"</x:f>
        <x:v>16992071683</x:v>
      </x:c>
      <x:c r="J1975" s="23" t="str">
        <x:v>RENTAL</x:v>
      </x:c>
      <x:c r="K1975" s="23" t="str">
        <x:v>rental_company</x:v>
      </x:c>
      <x:c r="L1975" s="24" t="b">
        <x:v>1</x:v>
      </x:c>
      <x:c r="M1975" s="23" t="n">
        <x:v>1</x:v>
      </x:c>
      <x:c r="N1975" s="28" t="n">
        <x:v>46219.812988715275</x:v>
      </x:c>
      <x:c r="O1975" s="28" t="n">
        <x:v>46219.812988715275</x:v>
      </x:c>
      <x:c r="P1975" s="23" t="str">
        <x:v>RIBEIRAO PRETO</x:v>
      </x:c>
      <x:c r="Q1975" s="30" t="n">
        <x:v>36962</x:v>
      </x:c>
      <x:c r="R1975" s="22" t="str">
        <x:f>"58709659-7"</x:f>
        <x:v>58709659-7</x:v>
      </x:c>
      <x:c r="S1975" s="23" t="str">
        <x:v>masculino</x:v>
      </x:c>
      <x:c r="T1975" s="22" t="str"/>
      <x:c r="U1975" s="23" t="str">
        <x:v>JOSE OSVALDO DA SILVA JUNIOR</x:v>
      </x:c>
      <x:c r="V1975" s="22" t="str">
        <x:f>"484.809.258-25"</x:f>
        <x:v>484.809.258-25</x:v>
      </x:c>
      <x:c r="W1975" s="22" t="str">
        <x:f>"48480925825"</x:f>
        <x:v>48480925825</x:v>
      </x:c>
      <x:c r="X1975" s="23" t="str">
        <x:v>juniorrsilva120301@gmail.com</x:v>
      </x:c>
      <x:c r="Y1975" s="22" t="str">
        <x:f>"16992071683"</x:f>
        <x:v>16992071683</x:v>
      </x:c>
      <x:c r="Z1975" s="30" t="n">
        <x:v>46555</x:v>
      </x:c>
    </x:row>
    <x:row r="1976" ht="18" customHeight="1">
      <x:c r="A1976" s="22" t="str">
        <x:f>"b3bf9c59-631b-4ac8-84f5-8a74e22518bb"</x:f>
        <x:v>b3bf9c59-631b-4ac8-84f5-8a74e22518bb</x:v>
      </x:c>
      <x:c r="B1976" s="23" t="str">
        <x:v>JOSEPH FERNANDES RUAS</x:v>
      </x:c>
      <x:c r="C1976" s="23" t="str">
        <x:v>joseph fernandes ruas</x:v>
      </x:c>
      <x:c r="D1976" s="22" t="str">
        <x:f>"63.980.609/0001-94"</x:f>
        <x:v>63.980.609/0001-94</x:v>
      </x:c>
      <x:c r="E1976" s="22" t="str">
        <x:f>"63980609000194"</x:f>
        <x:v>63980609000194</x:v>
      </x:c>
      <x:c r="F1976" s="22" t="str">
        <x:f>"169.227.847-90"</x:f>
        <x:v>169.227.847-90</x:v>
      </x:c>
      <x:c r="G1976" s="22" t="str">
        <x:f>"16922784790"</x:f>
        <x:v>16922784790</x:v>
      </x:c>
      <x:c r="H1976" s="23" t="str">
        <x:v>josephdqbrn@gmail.com</x:v>
      </x:c>
      <x:c r="I1976" s="22" t="str">
        <x:f>"21964806160"</x:f>
        <x:v>21964806160</x:v>
      </x:c>
      <x:c r="J1976" s="23" t="str">
        <x:v>SPOT</x:v>
      </x:c>
      <x:c r="K1976" s="23" t="str">
        <x:v>favored_only</x:v>
      </x:c>
      <x:c r="L1976" s="24" t="b">
        <x:v>1</x:v>
      </x:c>
      <x:c r="M1976" s="23" t="n">
        <x:v>1</x:v>
      </x:c>
      <x:c r="N1976" s="28" t="n">
        <x:v>46219.812988715275</x:v>
      </x:c>
      <x:c r="O1976" s="28" t="n">
        <x:v>46219.812988715275</x:v>
      </x:c>
      <x:c r="P1976" s="23" t="str">
        <x:v>SÃO JOAO DE MERITI</x:v>
      </x:c>
      <x:c r="Q1976" s="30" t="n">
        <x:v>36117</x:v>
      </x:c>
      <x:c r="R1976" s="22" t="str">
        <x:f>"303211239"</x:f>
        <x:v>303211239</x:v>
      </x:c>
      <x:c r="S1976" s="23" t="str">
        <x:v>masculino</x:v>
      </x:c>
      <x:c r="T1976" s="22" t="str">
        <x:f>"OOR3D37"</x:f>
        <x:v>OOR3D37</x:v>
      </x:c>
      <x:c r="U1976" s="23" t="str">
        <x:v>JOSEPH FERNANDES RUAS</x:v>
      </x:c>
      <x:c r="V1976" s="22" t="str">
        <x:f>"169.227.847-90"</x:f>
        <x:v>169.227.847-90</x:v>
      </x:c>
      <x:c r="W1976" s="22" t="str">
        <x:f>"16922784790"</x:f>
        <x:v>16922784790</x:v>
      </x:c>
      <x:c r="X1976" s="23" t="str">
        <x:v>josephdqbrn@gmail.com</x:v>
      </x:c>
      <x:c r="Y1976" s="22" t="str">
        <x:f>"21964806160"</x:f>
        <x:v>21964806160</x:v>
      </x:c>
      <x:c r="Z1976" s="30" t="n">
        <x:v>46529</x:v>
      </x:c>
    </x:row>
    <x:row r="1977" ht="18" customHeight="1">
      <x:c r="A1977" s="22" t="str">
        <x:f>"d8b61a55-401a-4240-aa1e-610474aea587"</x:f>
        <x:v>d8b61a55-401a-4240-aa1e-610474aea587</x:v>
      </x:c>
      <x:c r="B1977" s="23" t="str">
        <x:v>JOSE RIBEIRO DE NOVAES NETO</x:v>
      </x:c>
      <x:c r="C1977" s="23" t="str">
        <x:v>jose ribeiro de novaes neto</x:v>
      </x:c>
      <x:c r="D1977" s="22" t="str">
        <x:f>"60.520.340/0001-75"</x:f>
        <x:v>60.520.340/0001-75</x:v>
      </x:c>
      <x:c r="E1977" s="22" t="str">
        <x:f>"60520340000175"</x:f>
        <x:v>60520340000175</x:v>
      </x:c>
      <x:c r="F1977" s="22" t="str">
        <x:f>"031.939.077-23"</x:f>
        <x:v>031.939.077-23</x:v>
      </x:c>
      <x:c r="G1977" s="22" t="str">
        <x:f>"03193907723"</x:f>
        <x:v>03193907723</x:v>
      </x:c>
      <x:c r="H1977" s="23" t="str">
        <x:v>jr.transporteadm2025@gmail.com</x:v>
      </x:c>
      <x:c r="I1977" s="22" t="str">
        <x:f>"(34) 9 9991 4782"</x:f>
        <x:v>(34) 9 9991 4782</x:v>
      </x:c>
      <x:c r="J1977" s="23" t="str">
        <x:v>SPOT</x:v>
      </x:c>
      <x:c r="K1977" s="23" t="str">
        <x:v>favored_only</x:v>
      </x:c>
      <x:c r="L1977" s="24" t="b">
        <x:v>1</x:v>
      </x:c>
      <x:c r="M1977" s="23" t="n">
        <x:v>1</x:v>
      </x:c>
      <x:c r="N1977" s="28" t="n">
        <x:v>46203.92186888889</x:v>
      </x:c>
      <x:c r="O1977" s="28" t="n">
        <x:v>46219.812988715275</x:v>
      </x:c>
      <x:c r="P1977" s="23" t="str">
        <x:v>UBERABA</x:v>
      </x:c>
      <x:c r="Q1977" s="30" t="n">
        <x:v>27402</x:v>
      </x:c>
      <x:c r="R1977" s="22" t="str">
        <x:f>"21734201"</x:f>
        <x:v>21734201</x:v>
      </x:c>
      <x:c r="S1977" s="23" t="str">
        <x:v>masculino</x:v>
      </x:c>
      <x:c r="T1977" s="22" t="str">
        <x:f>"QQH5C57"</x:f>
        <x:v>QQH5C57</x:v>
      </x:c>
      <x:c r="U1977" s="23" t="str">
        <x:v>JOSE RIBEIRO DE NOVAES NETO</x:v>
      </x:c>
      <x:c r="V1977" s="22" t="str">
        <x:f>"031.939.077-23"</x:f>
        <x:v>031.939.077-23</x:v>
      </x:c>
      <x:c r="W1977" s="22" t="str">
        <x:f>"03193907723"</x:f>
        <x:v>03193907723</x:v>
      </x:c>
      <x:c r="X1977" s="23" t="str">
        <x:v>jr.transporteadm2025@gmail.com</x:v>
      </x:c>
      <x:c r="Y1977" s="22" t="str">
        <x:f>"(34) 9 9991 4782"</x:f>
        <x:v>(34) 9 9991 4782</x:v>
      </x:c>
      <x:c r="Z1977" s="30" t="n">
        <x:v>46298</x:v>
      </x:c>
    </x:row>
    <x:row r="1978" ht="18" customHeight="1">
      <x:c r="A1978" s="22" t="str">
        <x:f>"78d94414-8dce-4561-be17-4a587134d57f"</x:f>
        <x:v>78d94414-8dce-4561-be17-4a587134d57f</x:v>
      </x:c>
      <x:c r="B1978" s="23" t="str">
        <x:v>JOSE RICARDO BARBOSA DA SILVA</x:v>
      </x:c>
      <x:c r="C1978" s="23" t="str">
        <x:v>jose ricardo barbosa da silva</x:v>
      </x:c>
      <x:c r="D1978" s="22" t="str">
        <x:f>"30.804.501/0001-91"</x:f>
        <x:v>30.804.501/0001-91</x:v>
      </x:c>
      <x:c r="E1978" s="22" t="str">
        <x:f>"30804501000191"</x:f>
        <x:v>30804501000191</x:v>
      </x:c>
      <x:c r="F1978" s="22" t="str">
        <x:f>"358.157.428-48"</x:f>
        <x:v>358.157.428-48</x:v>
      </x:c>
      <x:c r="G1978" s="22" t="str">
        <x:f>"35815742848"</x:f>
        <x:v>35815742848</x:v>
      </x:c>
      <x:c r="H1978" s="23" t="str">
        <x:v>RICARDOSB030@GMAIL.COM</x:v>
      </x:c>
      <x:c r="I1978" s="22" t="str">
        <x:f>"16 992349204"</x:f>
        <x:v>16 992349204</x:v>
      </x:c>
      <x:c r="J1978" s="23" t="str">
        <x:v>RENTAL</x:v>
      </x:c>
      <x:c r="K1978" s="23" t="str">
        <x:v>rental_company</x:v>
      </x:c>
      <x:c r="L1978" s="24" t="b">
        <x:v>1</x:v>
      </x:c>
      <x:c r="M1978" s="23" t="n">
        <x:v>1</x:v>
      </x:c>
      <x:c r="N1978" s="28" t="n">
        <x:v>46219.812988715275</x:v>
      </x:c>
      <x:c r="O1978" s="28" t="n">
        <x:v>46219.812988715275</x:v>
      </x:c>
      <x:c r="P1978" s="23" t="str">
        <x:v>RIBEIRAO PRETO</x:v>
      </x:c>
      <x:c r="Q1978" s="30" t="n">
        <x:v>30574</x:v>
      </x:c>
      <x:c r="R1978" s="22" t="str">
        <x:f>"44.947.458.6"</x:f>
        <x:v>44.947.458.6</x:v>
      </x:c>
      <x:c r="S1978" s="23" t="str">
        <x:v>masculino</x:v>
      </x:c>
      <x:c r="T1978" s="22" t="str"/>
      <x:c r="U1978" s="23" t="str">
        <x:v>JOSE RICARDO BARBOSA DA SILVA</x:v>
      </x:c>
      <x:c r="V1978" s="22" t="str">
        <x:f>"358.157.428-48"</x:f>
        <x:v>358.157.428-48</x:v>
      </x:c>
      <x:c r="W1978" s="22" t="str">
        <x:f>"35815742848"</x:f>
        <x:v>35815742848</x:v>
      </x:c>
      <x:c r="X1978" s="23" t="str">
        <x:v>RICARDOSB030@GMAIL.COM</x:v>
      </x:c>
      <x:c r="Y1978" s="22" t="str">
        <x:f>"16 992349204"</x:f>
        <x:v>16 992349204</x:v>
      </x:c>
      <x:c r="Z1978" s="30" t="n">
        <x:v>46578</x:v>
      </x:c>
    </x:row>
    <x:row r="1979" ht="18" customHeight="1">
      <x:c r="A1979" s="22" t="str">
        <x:f>"3c4955f0-0883-4ae8-a9bb-75dc1b8f1e78"</x:f>
        <x:v>3c4955f0-0883-4ae8-a9bb-75dc1b8f1e78</x:v>
      </x:c>
      <x:c r="B1979" s="23" t="str">
        <x:v>JOSE ROBERTO APARECIDO RODRIGUES DA SILVA</x:v>
      </x:c>
      <x:c r="C1979" s="23" t="str">
        <x:v>jose roberto aparecido rodrigues da silva</x:v>
      </x:c>
      <x:c r="D1979" s="22" t="str">
        <x:f>"64.361.341/0001-75"</x:f>
        <x:v>64.361.341/0001-75</x:v>
      </x:c>
      <x:c r="E1979" s="22" t="str">
        <x:f>"64361341000175"</x:f>
        <x:v>64361341000175</x:v>
      </x:c>
      <x:c r="F1979" s="22" t="str">
        <x:f>"565.612.248-41"</x:f>
        <x:v>565.612.248-41</x:v>
      </x:c>
      <x:c r="G1979" s="22" t="str">
        <x:f>"56561224841"</x:f>
        <x:v>56561224841</x:v>
      </x:c>
      <x:c r="H1979" s="23" t="str">
        <x:v>jr10182122@gmail.com</x:v>
      </x:c>
      <x:c r="I1979" s="22" t="str">
        <x:f>"18988129870"</x:f>
        <x:v>18988129870</x:v>
      </x:c>
      <x:c r="J1979" s="23" t="str">
        <x:v>RENTAL</x:v>
      </x:c>
      <x:c r="K1979" s="23" t="str">
        <x:v>rental_company</x:v>
      </x:c>
      <x:c r="L1979" s="24" t="b">
        <x:v>1</x:v>
      </x:c>
      <x:c r="M1979" s="23" t="n">
        <x:v>1</x:v>
      </x:c>
      <x:c r="N1979" s="28" t="n">
        <x:v>46203.9219084375</x:v>
      </x:c>
      <x:c r="O1979" s="28" t="n">
        <x:v>46219.812988715275</x:v>
      </x:c>
      <x:c r="P1979" s="23" t="str">
        <x:v>PRESIDENTE PRUDENTE</x:v>
      </x:c>
      <x:c r="Q1979" s="30" t="n">
        <x:v>37712</x:v>
      </x:c>
      <x:c r="R1979" s="22" t="str">
        <x:f>"65528669x"</x:f>
        <x:v>65528669x</x:v>
      </x:c>
      <x:c r="S1979" s="23" t="str">
        <x:v>masculino</x:v>
      </x:c>
      <x:c r="T1979" s="22" t="str"/>
      <x:c r="U1979" s="23" t="str">
        <x:v>JOSE ROBERTO APARECIDO RODRIGUES DA SILVA</x:v>
      </x:c>
      <x:c r="V1979" s="22" t="str">
        <x:f>"565.612.248-41"</x:f>
        <x:v>565.612.248-41</x:v>
      </x:c>
      <x:c r="W1979" s="22" t="str">
        <x:f>"56561224841"</x:f>
        <x:v>56561224841</x:v>
      </x:c>
      <x:c r="X1979" s="23" t="str">
        <x:v>jr10182122@gmail.com</x:v>
      </x:c>
      <x:c r="Y1979" s="22" t="str">
        <x:f>"18988129870"</x:f>
        <x:v>18988129870</x:v>
      </x:c>
      <x:c r="Z1979" s="30" t="n">
        <x:v>46399</x:v>
      </x:c>
    </x:row>
    <x:row r="1980" ht="18" customHeight="1">
      <x:c r="A1980" s="22" t="str">
        <x:f>"a4c8faee-0e64-47f7-9602-7679f967248e"</x:f>
        <x:v>a4c8faee-0e64-47f7-9602-7679f967248e</x:v>
      </x:c>
      <x:c r="B1980" s="23" t="str">
        <x:v>JOSE ROBERTO DA SILVA</x:v>
      </x:c>
      <x:c r="C1980" s="23" t="str">
        <x:v>jose roberto da silva</x:v>
      </x:c>
      <x:c r="D1980" s="22" t="str">
        <x:f>"63.199.984/0001-00"</x:f>
        <x:v>63.199.984/0001-00</x:v>
      </x:c>
      <x:c r="E1980" s="22" t="str">
        <x:f>"63199984000100"</x:f>
        <x:v>63199984000100</x:v>
      </x:c>
      <x:c r="F1980" s="22" t="str">
        <x:f>"152.458.547-59"</x:f>
        <x:v>152.458.547-59</x:v>
      </x:c>
      <x:c r="G1980" s="22" t="str">
        <x:f>"15245854759"</x:f>
        <x:v>15245854759</x:v>
      </x:c>
      <x:c r="H1980" s="23" t="str">
        <x:v>beto_colty@hotmail.com</x:v>
      </x:c>
      <x:c r="I1980" s="22" t="str">
        <x:f>"(21)993257076"</x:f>
        <x:v>(21)993257076</x:v>
      </x:c>
      <x:c r="J1980" s="23" t="str">
        <x:v>SPOT</x:v>
      </x:c>
      <x:c r="K1980" s="23" t="str">
        <x:v>favored_only</x:v>
      </x:c>
      <x:c r="L1980" s="24" t="b">
        <x:v>1</x:v>
      </x:c>
      <x:c r="M1980" s="23" t="n">
        <x:v>2</x:v>
      </x:c>
      <x:c r="N1980" s="28" t="n">
        <x:v>46203.92189349537</x:v>
      </x:c>
      <x:c r="O1980" s="28" t="n">
        <x:v>46219.812988715275</x:v>
      </x:c>
      <x:c r="P1980" s="23" t="str">
        <x:v>QUEIMADOS</x:v>
      </x:c>
      <x:c r="Q1980" s="30" t="n">
        <x:v>34506</x:v>
      </x:c>
      <x:c r="R1980" s="22" t="str">
        <x:f>"280782897"</x:f>
        <x:v>280782897</x:v>
      </x:c>
      <x:c r="S1980" s="23" t="str">
        <x:v>masculino</x:v>
      </x:c>
      <x:c r="T1980" s="22" t="str">
        <x:f>"LRY5C01"</x:f>
        <x:v>LRY5C01</x:v>
      </x:c>
      <x:c r="U1980" s="23" t="str">
        <x:v>JOSE ROBERTO DA SILVA</x:v>
      </x:c>
      <x:c r="V1980" s="22" t="str">
        <x:f>"152.458.547-59"</x:f>
        <x:v>152.458.547-59</x:v>
      </x:c>
      <x:c r="W1980" s="22" t="str">
        <x:f>"15245854759"</x:f>
        <x:v>15245854759</x:v>
      </x:c>
      <x:c r="X1980" s="23" t="str">
        <x:v>beto_colty@hotmail.com</x:v>
      </x:c>
      <x:c r="Y1980" s="22" t="str">
        <x:f>"(21)993257076"</x:f>
        <x:v>(21)993257076</x:v>
      </x:c>
      <x:c r="Z1980" s="30" t="n">
        <x:v>46367</x:v>
      </x:c>
    </x:row>
    <x:row r="1981" ht="18" customHeight="1">
      <x:c r="A1981" s="22" t="str">
        <x:f>"3d66d461-7804-4d53-bec4-785dab3a19b3"</x:f>
        <x:v>3d66d461-7804-4d53-bec4-785dab3a19b3</x:v>
      </x:c>
      <x:c r="B1981" s="23" t="str">
        <x:v>JOSE ROBERTO DE FARIAS</x:v>
      </x:c>
      <x:c r="C1981" s="23" t="str">
        <x:v>jose roberto de farias</x:v>
      </x:c>
      <x:c r="D1981" s="22" t="str">
        <x:f>"52.769.987/0001-07"</x:f>
        <x:v>52.769.987/0001-07</x:v>
      </x:c>
      <x:c r="E1981" s="22" t="str">
        <x:f>"52769987000107"</x:f>
        <x:v>52769987000107</x:v>
      </x:c>
      <x:c r="F1981" s="22" t="str">
        <x:f>"861.319.826-00"</x:f>
        <x:v>861.319.826-00</x:v>
      </x:c>
      <x:c r="G1981" s="22" t="str">
        <x:f>"86131982600"</x:f>
        <x:v>86131982600</x:v>
      </x:c>
      <x:c r="H1981" s="23" t="str">
        <x:v>Fariasjosroberto@gmail.com</x:v>
      </x:c>
      <x:c r="I1981" s="22" t="str">
        <x:f>"35 992356404"</x:f>
        <x:v>35 992356404</x:v>
      </x:c>
      <x:c r="J1981" s="23" t="str">
        <x:v>SPOT</x:v>
      </x:c>
      <x:c r="K1981" s="23" t="str">
        <x:v>favored_only</x:v>
      </x:c>
      <x:c r="L1981" s="24" t="b">
        <x:v>1</x:v>
      </x:c>
      <x:c r="M1981" s="23" t="n">
        <x:v>2</x:v>
      </x:c>
      <x:c r="N1981" s="28" t="n">
        <x:v>46205.60423710648</x:v>
      </x:c>
      <x:c r="O1981" s="28" t="n">
        <x:v>46219.812988715275</x:v>
      </x:c>
      <x:c r="P1981" s="23" t="str">
        <x:v>GUAXUPE</x:v>
      </x:c>
      <x:c r="Q1981" s="30" t="n">
        <x:v>27463</x:v>
      </x:c>
      <x:c r="R1981" s="22" t="str">
        <x:f>"10205837"</x:f>
        <x:v>10205837</x:v>
      </x:c>
      <x:c r="S1981" s="23" t="str">
        <x:v>masculino</x:v>
      </x:c>
      <x:c r="T1981" s="22" t="str">
        <x:f>"HHK2H02"</x:f>
        <x:v>HHK2H02</x:v>
      </x:c>
      <x:c r="U1981" s="23" t="str">
        <x:v>REINALDO CORSI LEITE</x:v>
      </x:c>
      <x:c r="V1981" s="22" t="str">
        <x:f>"015.364.116-98"</x:f>
        <x:v>015.364.116-98</x:v>
      </x:c>
      <x:c r="W1981" s="22" t="str">
        <x:f>"01536411698"</x:f>
        <x:v>01536411698</x:v>
      </x:c>
      <x:c r="X1981" s="23" t="str">
        <x:v>reinaldocorsi@hotmail.com</x:v>
      </x:c>
      <x:c r="Y1981" s="22" t="str">
        <x:f>"35991579570"</x:f>
        <x:v>35991579570</x:v>
      </x:c>
      <x:c r="Z1981" s="30" t="n">
        <x:v>46262</x:v>
      </x:c>
    </x:row>
    <x:row r="1982" ht="18" customHeight="1">
      <x:c r="A1982" s="22" t="str">
        <x:f>"73549d6e-045e-4644-9848-132071813109"</x:f>
        <x:v>73549d6e-045e-4644-9848-132071813109</x:v>
      </x:c>
      <x:c r="B1982" s="23" t="str">
        <x:v>JOSE ROBERTO FERREIRA MONCAO</x:v>
      </x:c>
      <x:c r="C1982" s="23" t="str">
        <x:v>jose roberto ferreira moncao</x:v>
      </x:c>
      <x:c r="D1982" s="22" t="str">
        <x:f>"65.608.857/0001-34"</x:f>
        <x:v>65.608.857/0001-34</x:v>
      </x:c>
      <x:c r="E1982" s="22" t="str">
        <x:f>"65608857000134"</x:f>
        <x:v>65608857000134</x:v>
      </x:c>
      <x:c r="F1982" s="22" t="str">
        <x:f>"357.489.088-59"</x:f>
        <x:v>357.489.088-59</x:v>
      </x:c>
      <x:c r="G1982" s="22" t="str">
        <x:f>"35748908859"</x:f>
        <x:v>35748908859</x:v>
      </x:c>
      <x:c r="H1982" s="23" t="str">
        <x:v>robertoteofilo_otoni@hotmail.com</x:v>
      </x:c>
      <x:c r="I1982" s="22" t="str">
        <x:f>"33997328108"</x:f>
        <x:v>33997328108</x:v>
      </x:c>
      <x:c r="J1982" s="23" t="str">
        <x:v>RENTAL</x:v>
      </x:c>
      <x:c r="K1982" s="23" t="str">
        <x:v>rental_company</x:v>
      </x:c>
      <x:c r="L1982" s="24" t="b">
        <x:v>1</x:v>
      </x:c>
      <x:c r="M1982" s="23" t="n">
        <x:v>1</x:v>
      </x:c>
      <x:c r="N1982" s="28" t="n">
        <x:v>46219.812988715275</x:v>
      </x:c>
      <x:c r="O1982" s="28" t="n">
        <x:v>46219.812988715275</x:v>
      </x:c>
      <x:c r="P1982" s="23" t="str">
        <x:v>TEOFILO OTONI</x:v>
      </x:c>
      <x:c r="Q1982" s="30" t="n">
        <x:v>31095</x:v>
      </x:c>
      <x:c r="R1982" s="22" t="str">
        <x:f>"49813"</x:f>
        <x:v>49813</x:v>
      </x:c>
      <x:c r="S1982" s="23" t="str">
        <x:v>masculino</x:v>
      </x:c>
      <x:c r="T1982" s="22" t="str"/>
      <x:c r="U1982" s="23" t="str">
        <x:v>JOSE ROBERTO FERREIRA MONCAO</x:v>
      </x:c>
      <x:c r="V1982" s="22" t="str">
        <x:f>"357.489.088-59"</x:f>
        <x:v>357.489.088-59</x:v>
      </x:c>
      <x:c r="W1982" s="22" t="str">
        <x:f>"35748908859"</x:f>
        <x:v>35748908859</x:v>
      </x:c>
      <x:c r="X1982" s="23" t="str">
        <x:v>robertoteofilo_otoni@hotmail.com</x:v>
      </x:c>
      <x:c r="Y1982" s="22" t="str">
        <x:f>"33997328108"</x:f>
        <x:v>33997328108</x:v>
      </x:c>
      <x:c r="Z1982" s="30" t="n">
        <x:v>46546</x:v>
      </x:c>
    </x:row>
    <x:row r="1983" ht="18" customHeight="1">
      <x:c r="A1983" s="22" t="str">
        <x:f>"aea53745-c9f5-4e18-b872-e201e70aee3f"</x:f>
        <x:v>aea53745-c9f5-4e18-b872-e201e70aee3f</x:v>
      </x:c>
      <x:c r="B1983" s="23" t="str">
        <x:v>JOSE RODRIGUES</x:v>
      </x:c>
      <x:c r="C1983" s="23" t="str">
        <x:v>jose rodrigues</x:v>
      </x:c>
      <x:c r="D1983" s="22" t="str">
        <x:f>"61.944.194/0001-78"</x:f>
        <x:v>61.944.194/0001-78</x:v>
      </x:c>
      <x:c r="E1983" s="22" t="str">
        <x:f>"61944194000178"</x:f>
        <x:v>61944194000178</x:v>
      </x:c>
      <x:c r="F1983" s="22" t="str">
        <x:f>"026.573.146-19"</x:f>
        <x:v>026.573.146-19</x:v>
      </x:c>
      <x:c r="G1983" s="22" t="str">
        <x:f>"02657314619"</x:f>
        <x:v>02657314619</x:v>
      </x:c>
      <x:c r="H1983" s="23" t="str">
        <x:v>rodrigorodriguesbill@gmail.com</x:v>
      </x:c>
      <x:c r="I1983" s="22" t="str">
        <x:f>"33988176967"</x:f>
        <x:v>33988176967</x:v>
      </x:c>
      <x:c r="J1983" s="23" t="str">
        <x:v>SPOT</x:v>
      </x:c>
      <x:c r="K1983" s="23" t="str">
        <x:v>favored_only</x:v>
      </x:c>
      <x:c r="L1983" s="24" t="b">
        <x:v>1</x:v>
      </x:c>
      <x:c r="M1983" s="23" t="n">
        <x:v>1</x:v>
      </x:c>
      <x:c r="N1983" s="28" t="n">
        <x:v>46203.92191240741</x:v>
      </x:c>
      <x:c r="O1983" s="28" t="n">
        <x:v>46219.812988715275</x:v>
      </x:c>
      <x:c r="P1983" s="23" t="str">
        <x:v>TEOFILO OTONI</x:v>
      </x:c>
      <x:c r="Q1983" s="30" t="n">
        <x:v>27450</x:v>
      </x:c>
      <x:c r="R1983" s="22" t="str">
        <x:f>"8350996"</x:f>
        <x:v>8350996</x:v>
      </x:c>
      <x:c r="S1983" s="23" t="str">
        <x:v>masculino</x:v>
      </x:c>
      <x:c r="T1983" s="22" t="str">
        <x:f>"PVN231"</x:f>
        <x:v>PVN231</x:v>
      </x:c>
      <x:c r="U1983" s="23" t="str">
        <x:v>JOSE RODRIGUES</x:v>
      </x:c>
      <x:c r="V1983" s="22" t="str">
        <x:f>"026.573.146-19"</x:f>
        <x:v>026.573.146-19</x:v>
      </x:c>
      <x:c r="W1983" s="22" t="str">
        <x:f>"02657314619"</x:f>
        <x:v>02657314619</x:v>
      </x:c>
      <x:c r="X1983" s="23" t="str">
        <x:v>rodrigorodriguesbill@gmail.com</x:v>
      </x:c>
      <x:c r="Y1983" s="22" t="str">
        <x:f>"33988176967"</x:f>
        <x:v>33988176967</x:v>
      </x:c>
      <x:c r="Z1983" s="30" t="n">
        <x:v>46344</x:v>
      </x:c>
    </x:row>
    <x:row r="1984" ht="18" customHeight="1">
      <x:c r="A1984" s="22" t="str">
        <x:f>"eb6536da-766a-4492-bf91-da7d9ee1a570"</x:f>
        <x:v>eb6536da-766a-4492-bf91-da7d9ee1a570</x:v>
      </x:c>
      <x:c r="B1984" s="23" t="str">
        <x:v>JOSE RODRIGUES SOUSA</x:v>
      </x:c>
      <x:c r="C1984" s="23" t="str">
        <x:v>jose rodrigues sousa</x:v>
      </x:c>
      <x:c r="D1984" s="22" t="str">
        <x:f>"63.170.234/0001-05"</x:f>
        <x:v>63.170.234/0001-05</x:v>
      </x:c>
      <x:c r="E1984" s="22" t="str">
        <x:f>"63170234000105"</x:f>
        <x:v>63170234000105</x:v>
      </x:c>
      <x:c r="F1984" s="22" t="str">
        <x:f>"288.501.223-49"</x:f>
        <x:v>288.501.223-49</x:v>
      </x:c>
      <x:c r="G1984" s="22" t="str">
        <x:f>"28850122349"</x:f>
        <x:v>28850122349</x:v>
      </x:c>
      <x:c r="H1984" s="23" t="str">
        <x:v>Wanderleysolteito@gmail.com</x:v>
      </x:c>
      <x:c r="I1984" s="22" t="str">
        <x:f>"(99)991305649"</x:f>
        <x:v>(99)991305649</x:v>
      </x:c>
      <x:c r="J1984" s="23" t="str">
        <x:v>SPOT</x:v>
      </x:c>
      <x:c r="K1984" s="23" t="str">
        <x:v>favored_only</x:v>
      </x:c>
      <x:c r="L1984" s="24" t="b">
        <x:v>1</x:v>
      </x:c>
      <x:c r="M1984" s="23" t="n">
        <x:v>1</x:v>
      </x:c>
      <x:c r="N1984" s="28" t="n">
        <x:v>46203.9218771875</x:v>
      </x:c>
      <x:c r="O1984" s="28" t="n">
        <x:v>46219.812988715275</x:v>
      </x:c>
      <x:c r="P1984" s="23" t="str">
        <x:v>RIO VERDE</x:v>
      </x:c>
      <x:c r="Q1984" s="30" t="n">
        <x:v>25129</x:v>
      </x:c>
      <x:c r="R1984" s="22" t="str">
        <x:f>"337640947"</x:f>
        <x:v>337640947</x:v>
      </x:c>
      <x:c r="S1984" s="23" t="str">
        <x:v>masculino</x:v>
      </x:c>
      <x:c r="T1984" s="22" t="str">
        <x:f>"BAA6138"</x:f>
        <x:v>BAA6138</x:v>
      </x:c>
      <x:c r="U1984" s="23" t="str">
        <x:v>JOSE RODRIGUES SOUSA</x:v>
      </x:c>
      <x:c r="V1984" s="22" t="str">
        <x:f>"288.501.223-49"</x:f>
        <x:v>288.501.223-49</x:v>
      </x:c>
      <x:c r="W1984" s="22" t="str">
        <x:f>"28850122349"</x:f>
        <x:v>28850122349</x:v>
      </x:c>
      <x:c r="X1984" s="23" t="str">
        <x:v>Wanderleysolteito@gmail.com</x:v>
      </x:c>
      <x:c r="Y1984" s="22" t="str">
        <x:f>"(99)991305649"</x:f>
        <x:v>(99)991305649</x:v>
      </x:c>
      <x:c r="Z1984" s="30" t="n">
        <x:v>46311</x:v>
      </x:c>
    </x:row>
    <x:row r="1985" ht="18" customHeight="1">
      <x:c r="A1985" s="22" t="str">
        <x:f>"59304255-b9f0-4ab4-a39f-e8e186fd64b2"</x:f>
        <x:v>59304255-b9f0-4ab4-a39f-e8e186fd64b2</x:v>
      </x:c>
      <x:c r="B1985" s="23" t="str">
        <x:v>JOSE SAMUEL DOS SANTOS</x:v>
      </x:c>
      <x:c r="C1985" s="23" t="str">
        <x:v>jose samuel dos santos</x:v>
      </x:c>
      <x:c r="D1985" s="22" t="str">
        <x:f>"55.993.147/0001-11"</x:f>
        <x:v>55.993.147/0001-11</x:v>
      </x:c>
      <x:c r="E1985" s="22" t="str">
        <x:f>"55993147000111"</x:f>
        <x:v>55993147000111</x:v>
      </x:c>
      <x:c r="F1985" s="22" t="str">
        <x:f>"412.984.108-43"</x:f>
        <x:v>412.984.108-43</x:v>
      </x:c>
      <x:c r="G1985" s="22" t="str">
        <x:f>"41298410843"</x:f>
        <x:v>41298410843</x:v>
      </x:c>
      <x:c r="H1985" s="23" t="str">
        <x:v>samuka303@gmail.com</x:v>
      </x:c>
      <x:c r="I1985" s="22" t="str">
        <x:f>"(16)996203860"</x:f>
        <x:v>(16)996203860</x:v>
      </x:c>
      <x:c r="J1985" s="23" t="str">
        <x:v>RENTAL</x:v>
      </x:c>
      <x:c r="K1985" s="23" t="str">
        <x:v>rental_company</x:v>
      </x:c>
      <x:c r="L1985" s="24" t="b">
        <x:v>1</x:v>
      </x:c>
      <x:c r="M1985" s="23" t="n">
        <x:v>1</x:v>
      </x:c>
      <x:c r="N1985" s="28" t="n">
        <x:v>46203.92183017361</x:v>
      </x:c>
      <x:c r="O1985" s="28" t="n">
        <x:v>46219.812988715275</x:v>
      </x:c>
      <x:c r="P1985" s="23" t="str">
        <x:v>SÃO CARLOS</x:v>
      </x:c>
      <x:c r="Q1985" s="30" t="n">
        <x:v>34140</x:v>
      </x:c>
      <x:c r="R1985" s="22" t="str">
        <x:f>"45190820"</x:f>
        <x:v>45190820</x:v>
      </x:c>
      <x:c r="S1985" s="23" t="str">
        <x:v>masculino</x:v>
      </x:c>
      <x:c r="T1985" s="22" t="str"/>
      <x:c r="U1985" s="23" t="str">
        <x:v>JOSE SAMUEL DOS SANTOS</x:v>
      </x:c>
      <x:c r="V1985" s="22" t="str">
        <x:f>"412.984.108-43"</x:f>
        <x:v>412.984.108-43</x:v>
      </x:c>
      <x:c r="W1985" s="22" t="str">
        <x:f>"41298410843"</x:f>
        <x:v>41298410843</x:v>
      </x:c>
      <x:c r="X1985" s="23" t="str">
        <x:v>samuka303@gmail.com</x:v>
      </x:c>
      <x:c r="Y1985" s="22" t="str">
        <x:f>"(16)996203860"</x:f>
        <x:v>(16)996203860</x:v>
      </x:c>
      <x:c r="Z1985" s="30" t="n">
        <x:v>46526</x:v>
      </x:c>
    </x:row>
    <x:row r="1986" ht="18" customHeight="1">
      <x:c r="A1986" s="22" t="str">
        <x:f>"3e1f1833-88f8-47d0-a266-8cbb449261ed"</x:f>
        <x:v>3e1f1833-88f8-47d0-a266-8cbb449261ed</x:v>
      </x:c>
      <x:c r="B1986" s="23" t="str">
        <x:v>JOSE SIDJONE DA SILVA</x:v>
      </x:c>
      <x:c r="C1986" s="23" t="str">
        <x:v>jose sidjone da silva</x:v>
      </x:c>
      <x:c r="D1986" s="22" t="str">
        <x:f>"58.907.284/0001-84"</x:f>
        <x:v>58.907.284/0001-84</x:v>
      </x:c>
      <x:c r="E1986" s="22" t="str">
        <x:f>"58907284000184"</x:f>
        <x:v>58907284000184</x:v>
      </x:c>
      <x:c r="F1986" s="22" t="str">
        <x:f>"083.106.506-04"</x:f>
        <x:v>083.106.506-04</x:v>
      </x:c>
      <x:c r="G1986" s="22" t="str">
        <x:f>"08310650604"</x:f>
        <x:v>08310650604</x:v>
      </x:c>
      <x:c r="H1986" s="23" t="str">
        <x:v>avecproducciones@gmail.com</x:v>
      </x:c>
      <x:c r="I1986" s="22" t="str">
        <x:f>"31 998404945"</x:f>
        <x:v>31 998404945</x:v>
      </x:c>
      <x:c r="J1986" s="23" t="str">
        <x:v>SPOT</x:v>
      </x:c>
      <x:c r="K1986" s="23" t="str">
        <x:v>favored_only</x:v>
      </x:c>
      <x:c r="L1986" s="24" t="b">
        <x:v>1</x:v>
      </x:c>
      <x:c r="M1986" s="23" t="n">
        <x:v>1</x:v>
      </x:c>
      <x:c r="N1986" s="28" t="n">
        <x:v>46219.812988715275</x:v>
      </x:c>
      <x:c r="O1986" s="28" t="n">
        <x:v>46219.812988715275</x:v>
      </x:c>
      <x:c r="P1986" s="23" t="str">
        <x:v>NOVA LIMA</x:v>
      </x:c>
      <x:c r="Q1986" s="30" t="n">
        <x:v>32205</x:v>
      </x:c>
      <x:c r="R1986" s="22" t="str">
        <x:f>"3843264870"</x:f>
        <x:v>3843264870</x:v>
      </x:c>
      <x:c r="S1986" s="23" t="str">
        <x:v>masculino</x:v>
      </x:c>
      <x:c r="T1986" s="22" t="str"/>
      <x:c r="U1986" s="23" t="str">
        <x:v>JOSE SIDJONE DA SILVA</x:v>
      </x:c>
      <x:c r="V1986" s="22" t="str">
        <x:f>"083.106.506-04"</x:f>
        <x:v>083.106.506-04</x:v>
      </x:c>
      <x:c r="W1986" s="22" t="str">
        <x:f>"08310650604"</x:f>
        <x:v>08310650604</x:v>
      </x:c>
      <x:c r="X1986" s="23" t="str">
        <x:v>avecproducciones@gmail.com</x:v>
      </x:c>
      <x:c r="Y1986" s="22" t="str">
        <x:f>"31 998404945"</x:f>
        <x:v>31 998404945</x:v>
      </x:c>
      <x:c r="Z1986" s="30" t="n">
        <x:v>46550</x:v>
      </x:c>
    </x:row>
    <x:row r="1987" ht="18" customHeight="1">
      <x:c r="A1987" s="22" t="str">
        <x:f>"74a6500a-9db9-4ea6-91c3-d051adc4819f"</x:f>
        <x:v>74a6500a-9db9-4ea6-91c3-d051adc4819f</x:v>
      </x:c>
      <x:c r="B1987" s="23" t="str">
        <x:v>JOSE SODRE DE OLIVEIRA</x:v>
      </x:c>
      <x:c r="C1987" s="23" t="str">
        <x:v>jose sodre de oliveira</x:v>
      </x:c>
      <x:c r="D1987" s="22" t="str">
        <x:f>"63.293.326/0001-74"</x:f>
        <x:v>63.293.326/0001-74</x:v>
      </x:c>
      <x:c r="E1987" s="22" t="str">
        <x:f>"63293326000174"</x:f>
        <x:v>63293326000174</x:v>
      </x:c>
      <x:c r="F1987" s="22" t="str">
        <x:f>"621.525.481-91"</x:f>
        <x:v>621.525.481-91</x:v>
      </x:c>
      <x:c r="G1987" s="22" t="str">
        <x:f>"62152548191"</x:f>
        <x:v>62152548191</x:v>
      </x:c>
      <x:c r="H1987" s="23" t="str">
        <x:v>capicapele@gmail.com</x:v>
      </x:c>
      <x:c r="I1987" s="22" t="str">
        <x:f>"65 9640-5483"</x:f>
        <x:v>65 9640-5483</x:v>
      </x:c>
      <x:c r="J1987" s="23" t="str">
        <x:v>SPOT</x:v>
      </x:c>
      <x:c r="K1987" s="23" t="str">
        <x:v>favored_only</x:v>
      </x:c>
      <x:c r="L1987" s="24" t="b">
        <x:v>1</x:v>
      </x:c>
      <x:c r="M1987" s="23" t="n">
        <x:v>1</x:v>
      </x:c>
      <x:c r="N1987" s="28" t="n">
        <x:v>46205.605630798615</x:v>
      </x:c>
      <x:c r="O1987" s="28" t="n">
        <x:v>46219.812988715275</x:v>
      </x:c>
      <x:c r="P1987" s="23" t="str">
        <x:v>ARAPUTANGA</x:v>
      </x:c>
      <x:c r="Q1987" s="30" t="n">
        <x:v>39322</x:v>
      </x:c>
      <x:c r="R1987" s="22" t="str">
        <x:f>"10164022"</x:f>
        <x:v>10164022</x:v>
      </x:c>
      <x:c r="S1987" s="23" t="str">
        <x:v>masculino</x:v>
      </x:c>
      <x:c r="T1987" s="22" t="str">
        <x:f>"OBN7E46"</x:f>
        <x:v>OBN7E46</x:v>
      </x:c>
      <x:c r="U1987" s="23" t="str">
        <x:v>LUCIMAR GOMES HARTHCOPF</x:v>
      </x:c>
      <x:c r="V1987" s="22" t="str">
        <x:f>"050.840.511-45"</x:f>
        <x:v>050.840.511-45</x:v>
      </x:c>
      <x:c r="W1987" s="22" t="str">
        <x:f>"05084051145"</x:f>
        <x:v>05084051145</x:v>
      </x:c>
      <x:c r="X1987" s="23" t="str">
        <x:v>lucimar_harthcopf@hotmail.com</x:v>
      </x:c>
      <x:c r="Y1987" s="22" t="str">
        <x:f>"65 984050346"</x:f>
        <x:v>65 984050346</x:v>
      </x:c>
      <x:c r="Z1987" s="30" t="n">
        <x:v>46329</x:v>
      </x:c>
    </x:row>
    <x:row r="1988" ht="18" customHeight="1">
      <x:c r="A1988" s="22" t="str">
        <x:f>"103b7fb2-dae9-4b99-8ad0-aa969e9af12e"</x:f>
        <x:v>103b7fb2-dae9-4b99-8ad0-aa969e9af12e</x:v>
      </x:c>
      <x:c r="B1988" s="23" t="str">
        <x:v>JOSE VILSON RODRIGUES LEITE</x:v>
      </x:c>
      <x:c r="C1988" s="23" t="str">
        <x:v>jose vilson rodrigues leite</x:v>
      </x:c>
      <x:c r="D1988" s="22" t="str">
        <x:f>"50.963.802/0001-75"</x:f>
        <x:v>50.963.802/0001-75</x:v>
      </x:c>
      <x:c r="E1988" s="22" t="str">
        <x:f>"50963802000175"</x:f>
        <x:v>50963802000175</x:v>
      </x:c>
      <x:c r="F1988" s="22" t="str">
        <x:f>"004.063.071-48"</x:f>
        <x:v>004.063.071-48</x:v>
      </x:c>
      <x:c r="G1988" s="22" t="str">
        <x:f>"00406307148"</x:f>
        <x:v>00406307148</x:v>
      </x:c>
      <x:c r="H1988" s="23" t="str">
        <x:v>gipsonpereira1@gmail.com</x:v>
      </x:c>
      <x:c r="I1988" s="22" t="str">
        <x:f>"67992788119"</x:f>
        <x:v>67992788119</x:v>
      </x:c>
      <x:c r="J1988" s="23" t="str">
        <x:v>SPOT</x:v>
      </x:c>
      <x:c r="K1988" s="23" t="str">
        <x:v>favored_only</x:v>
      </x:c>
      <x:c r="L1988" s="24" t="b">
        <x:v>1</x:v>
      </x:c>
      <x:c r="M1988" s="23" t="n">
        <x:v>1</x:v>
      </x:c>
      <x:c r="N1988" s="28" t="n">
        <x:v>46205.60515755787</x:v>
      </x:c>
      <x:c r="O1988" s="28" t="n">
        <x:v>46219.812988715275</x:v>
      </x:c>
      <x:c r="P1988" s="23" t="str">
        <x:v>CÁCERES</x:v>
      </x:c>
      <x:c r="Q1988" s="30" t="n">
        <x:v>30291</x:v>
      </x:c>
      <x:c r="R1988" s="22" t="str">
        <x:f>"15578666"</x:f>
        <x:v>15578666</x:v>
      </x:c>
      <x:c r="S1988" s="23" t="str">
        <x:v>masculino</x:v>
      </x:c>
      <x:c r="T1988" s="22" t="str">
        <x:f>"OBE3D94"</x:f>
        <x:v>OBE3D94</x:v>
      </x:c>
      <x:c r="U1988" s="23" t="str">
        <x:v>BENEDITO GILNEI PEREIRA DO PRADO</x:v>
      </x:c>
      <x:c r="V1988" s="22" t="str">
        <x:f>"725.325.721-91"</x:f>
        <x:v>725.325.721-91</x:v>
      </x:c>
      <x:c r="W1988" s="22" t="str">
        <x:f>"72532572191"</x:f>
        <x:v>72532572191</x:v>
      </x:c>
      <x:c r="X1988" s="23" t="str">
        <x:v>gpisonpereira07@gmail.com</x:v>
      </x:c>
      <x:c r="Y1988" s="22" t="str">
        <x:f>"65996097168"</x:f>
        <x:v>65996097168</x:v>
      </x:c>
      <x:c r="Z1988" s="30" t="n">
        <x:v>46312</x:v>
      </x:c>
    </x:row>
    <x:row r="1989" ht="18" customHeight="1">
      <x:c r="A1989" s="22" t="str">
        <x:f>"77d75246-ca40-4a0e-9b7a-db41173022ac"</x:f>
        <x:v>77d75246-ca40-4a0e-9b7a-db41173022ac</x:v>
      </x:c>
      <x:c r="B1989" s="23" t="str">
        <x:v>JOSIANE PIRES BICALHO</x:v>
      </x:c>
      <x:c r="C1989" s="23" t="str">
        <x:v>josiane pires bicalho</x:v>
      </x:c>
      <x:c r="D1989" s="22" t="str">
        <x:f>"61.768.937/0001-04"</x:f>
        <x:v>61.768.937/0001-04</x:v>
      </x:c>
      <x:c r="E1989" s="22" t="str">
        <x:f>"61768937000104"</x:f>
        <x:v>61768937000104</x:v>
      </x:c>
      <x:c r="F1989" s="22" t="str">
        <x:f>"045.696.416-95"</x:f>
        <x:v>045.696.416-95</x:v>
      </x:c>
      <x:c r="G1989" s="22" t="str">
        <x:f>"04569641695"</x:f>
        <x:v>04569641695</x:v>
      </x:c>
      <x:c r="H1989" s="23" t="str">
        <x:v>josiane.guanhaes@yahoo.com.br</x:v>
      </x:c>
      <x:c r="I1989" s="22" t="str">
        <x:f>"33 98833 0611"</x:f>
        <x:v>33 98833 0611</x:v>
      </x:c>
      <x:c r="J1989" s="23" t="str">
        <x:v>SPOT</x:v>
      </x:c>
      <x:c r="K1989" s="23" t="str">
        <x:v>favored_only</x:v>
      </x:c>
      <x:c r="L1989" s="24" t="b">
        <x:v>1</x:v>
      </x:c>
      <x:c r="M1989" s="23" t="n">
        <x:v>1</x:v>
      </x:c>
      <x:c r="N1989" s="28" t="n">
        <x:v>46219.812988715275</x:v>
      </x:c>
      <x:c r="O1989" s="28" t="n">
        <x:v>46219.812988715275</x:v>
      </x:c>
      <x:c r="P1989" s="23" t="str">
        <x:v>GUANHAES</x:v>
      </x:c>
      <x:c r="Q1989" s="30" t="n">
        <x:v>29120</x:v>
      </x:c>
      <x:c r="R1989" s="22" t="str">
        <x:f>"10504616"</x:f>
        <x:v>10504616</x:v>
      </x:c>
      <x:c r="S1989" s="23" t="str">
        <x:v>feminino</x:v>
      </x:c>
      <x:c r="T1989" s="22" t="str">
        <x:f>"SIF3J33"</x:f>
        <x:v>SIF3J33</x:v>
      </x:c>
      <x:c r="U1989" s="23" t="str">
        <x:v>MARCILIO PIRES MOURAO</x:v>
      </x:c>
      <x:c r="V1989" s="22" t="str">
        <x:f>"001.633.266-06"</x:f>
        <x:v>001.633.266-06</x:v>
      </x:c>
      <x:c r="W1989" s="22" t="str">
        <x:f>"00163326606"</x:f>
        <x:v>00163326606</x:v>
      </x:c>
      <x:c r="X1989" s="23" t="str">
        <x:v>Marcilio.barramansa@hotmail.com</x:v>
      </x:c>
      <x:c r="Y1989" s="22" t="str">
        <x:f>"33-9-8811-3698"</x:f>
        <x:v>33-9-8811-3698</x:v>
      </x:c>
      <x:c r="Z1989" s="30" t="n">
        <x:v>46423</x:v>
      </x:c>
    </x:row>
    <x:row r="1990" ht="18" customHeight="1">
      <x:c r="A1990" s="22" t="str">
        <x:f>"962ebbcd-3ec0-4c26-a608-a5814c42bf6a"</x:f>
        <x:v>962ebbcd-3ec0-4c26-a608-a5814c42bf6a</x:v>
      </x:c>
      <x:c r="B1990" s="23" t="str">
        <x:v>JOSIANE RIBEIRO SOARES</x:v>
      </x:c>
      <x:c r="C1990" s="23" t="str">
        <x:v>josiane ribeiro soares</x:v>
      </x:c>
      <x:c r="D1990" s="22" t="str">
        <x:f>"58.656.509/0001-77"</x:f>
        <x:v>58.656.509/0001-77</x:v>
      </x:c>
      <x:c r="E1990" s="22" t="str">
        <x:f>"58656509000177"</x:f>
        <x:v>58656509000177</x:v>
      </x:c>
      <x:c r="F1990" s="22" t="str">
        <x:f>"730.951.411-49"</x:f>
        <x:v>730.951.411-49</x:v>
      </x:c>
      <x:c r="G1990" s="22" t="str">
        <x:f>"73095141149"</x:f>
        <x:v>73095141149</x:v>
      </x:c>
      <x:c r="H1990" s="23" t="str">
        <x:v>josianeribeirosoares790@gmail.com</x:v>
      </x:c>
      <x:c r="I1990" s="22" t="str">
        <x:f>"62992877422"</x:f>
        <x:v>62992877422</x:v>
      </x:c>
      <x:c r="J1990" s="23" t="str">
        <x:v>SPOT</x:v>
      </x:c>
      <x:c r="K1990" s="23" t="str">
        <x:v>favored_only</x:v>
      </x:c>
      <x:c r="L1990" s="24" t="b">
        <x:v>1</x:v>
      </x:c>
      <x:c r="M1990" s="23" t="n">
        <x:v>2</x:v>
      </x:c>
      <x:c r="N1990" s="28" t="n">
        <x:v>46203.921858726855</x:v>
      </x:c>
      <x:c r="O1990" s="28" t="n">
        <x:v>46219.812988715275</x:v>
      </x:c>
      <x:c r="P1990" s="23" t="str">
        <x:v>GOIANIA</x:v>
      </x:c>
      <x:c r="Q1990" s="30" t="n">
        <x:v>31196</x:v>
      </x:c>
      <x:c r="R1990" s="22" t="str">
        <x:f>"4611631"</x:f>
        <x:v>4611631</x:v>
      </x:c>
      <x:c r="S1990" s="23" t="str">
        <x:v>feminino</x:v>
      </x:c>
      <x:c r="T1990" s="22" t="str">
        <x:f>"OGS3276"</x:f>
        <x:v>OGS3276</x:v>
      </x:c>
      <x:c r="U1990" s="23" t="str">
        <x:v>JOSIANE RIBEIRO SOARES</x:v>
      </x:c>
      <x:c r="V1990" s="22" t="str">
        <x:f>"730.951.411-49"</x:f>
        <x:v>730.951.411-49</x:v>
      </x:c>
      <x:c r="W1990" s="22" t="str">
        <x:f>"73095141149"</x:f>
        <x:v>73095141149</x:v>
      </x:c>
      <x:c r="X1990" s="23" t="str">
        <x:v>josianeribeirosoares790@gmail.com</x:v>
      </x:c>
      <x:c r="Y1990" s="22" t="str">
        <x:f>"62992877422"</x:f>
        <x:v>62992877422</x:v>
      </x:c>
      <x:c r="Z1990" s="30" t="n">
        <x:v>46270</x:v>
      </x:c>
    </x:row>
    <x:row r="1991" ht="18" customHeight="1">
      <x:c r="A1991" s="22" t="str">
        <x:f>"f5d5ee56-3abc-40dd-89d0-b381f7bb85a5"</x:f>
        <x:v>f5d5ee56-3abc-40dd-89d0-b381f7bb85a5</x:v>
      </x:c>
      <x:c r="B1991" s="23" t="str">
        <x:v>JOSIANE SILVA CAMARGO</x:v>
      </x:c>
      <x:c r="C1991" s="23" t="str">
        <x:v>josiane silva camargo</x:v>
      </x:c>
      <x:c r="D1991" s="22" t="str">
        <x:f>"58.207.066/0001-37"</x:f>
        <x:v>58.207.066/0001-37</x:v>
      </x:c>
      <x:c r="E1991" s="22" t="str">
        <x:f>"58207066000137"</x:f>
        <x:v>58207066000137</x:v>
      </x:c>
      <x:c r="F1991" s="22" t="str">
        <x:f>"124.333.046-52"</x:f>
        <x:v>124.333.046-52</x:v>
      </x:c>
      <x:c r="G1991" s="22" t="str">
        <x:f>"12433304652"</x:f>
        <x:v>12433304652</x:v>
      </x:c>
      <x:c r="H1991" s="23" t="str">
        <x:v>josianecbrasil@hotmail.com</x:v>
      </x:c>
      <x:c r="I1991" s="22" t="str">
        <x:f>"(34)98423-3809"</x:f>
        <x:v>(34)98423-3809</x:v>
      </x:c>
      <x:c r="J1991" s="23" t="str">
        <x:v>RENTAL</x:v>
      </x:c>
      <x:c r="K1991" s="23" t="str">
        <x:v>rental_company</x:v>
      </x:c>
      <x:c r="L1991" s="24" t="b">
        <x:v>1</x:v>
      </x:c>
      <x:c r="M1991" s="23" t="n">
        <x:v>1</x:v>
      </x:c>
      <x:c r="N1991" s="28" t="n">
        <x:v>46203.921824756944</x:v>
      </x:c>
      <x:c r="O1991" s="28" t="n">
        <x:v>46219.812988715275</x:v>
      </x:c>
      <x:c r="P1991" s="23" t="str">
        <x:v>UBERLANDIA</x:v>
      </x:c>
      <x:c r="Q1991" s="30" t="n">
        <x:v>35057</x:v>
      </x:c>
      <x:c r="R1991" s="22" t="str">
        <x:f>"MG18744819"</x:f>
        <x:v>MG18744819</x:v>
      </x:c>
      <x:c r="S1991" s="23" t="str">
        <x:v>feminino</x:v>
      </x:c>
      <x:c r="T1991" s="22" t="str"/>
      <x:c r="U1991" s="23" t="str">
        <x:v>JOSIANE SILVA CAMARGO</x:v>
      </x:c>
      <x:c r="V1991" s="22" t="str">
        <x:f>"124.333.046-52"</x:f>
        <x:v>124.333.046-52</x:v>
      </x:c>
      <x:c r="W1991" s="22" t="str">
        <x:f>"12433304652"</x:f>
        <x:v>12433304652</x:v>
      </x:c>
      <x:c r="X1991" s="23" t="str">
        <x:v>josianecbrasil@hotmail.com</x:v>
      </x:c>
      <x:c r="Y1991" s="22" t="str">
        <x:f>"(34)98423-3809"</x:f>
        <x:v>(34)98423-3809</x:v>
      </x:c>
      <x:c r="Z1991" s="30" t="n">
        <x:v>46318</x:v>
      </x:c>
    </x:row>
    <x:row r="1992" ht="18" customHeight="1">
      <x:c r="A1992" s="22" t="str">
        <x:f>"9d23be49-6487-4768-861d-80bc22cdcff6"</x:f>
        <x:v>9d23be49-6487-4768-861d-80bc22cdcff6</x:v>
      </x:c>
      <x:c r="B1992" s="23" t="str">
        <x:v>JOSIAS DE JESUS DA SILVA</x:v>
      </x:c>
      <x:c r="C1992" s="23" t="str">
        <x:v>josias de jesus da silva</x:v>
      </x:c>
      <x:c r="D1992" s="22" t="str">
        <x:f>"39.894.857/0001-38"</x:f>
        <x:v>39.894.857/0001-38</x:v>
      </x:c>
      <x:c r="E1992" s="22" t="str">
        <x:f>"39894857000138"</x:f>
        <x:v>39894857000138</x:v>
      </x:c>
      <x:c r="F1992" s="22" t="str">
        <x:f>"015.297.876-37"</x:f>
        <x:v>015.297.876-37</x:v>
      </x:c>
      <x:c r="G1992" s="22" t="str">
        <x:f>"01529787637"</x:f>
        <x:v>01529787637</x:v>
      </x:c>
      <x:c r="H1992" s="23" t="str">
        <x:v>josiasjesus@hotmail.com</x:v>
      </x:c>
      <x:c r="I1992" s="22" t="str">
        <x:f>"(35) 99743-3266"</x:f>
        <x:v>(35) 99743-3266</x:v>
      </x:c>
      <x:c r="J1992" s="23" t="str">
        <x:v>RENTAL</x:v>
      </x:c>
      <x:c r="K1992" s="23" t="str">
        <x:v>rental_company</x:v>
      </x:c>
      <x:c r="L1992" s="24" t="b">
        <x:v>1</x:v>
      </x:c>
      <x:c r="M1992" s="23" t="n">
        <x:v>1</x:v>
      </x:c>
      <x:c r="N1992" s="28" t="n">
        <x:v>46219.812988715275</x:v>
      </x:c>
      <x:c r="O1992" s="28" t="n">
        <x:v>46219.812988715275</x:v>
      </x:c>
      <x:c r="P1992" s="23" t="str">
        <x:v>POUSO ALEGRE</x:v>
      </x:c>
      <x:c r="Q1992" s="30" t="n">
        <x:v>31948</x:v>
      </x:c>
      <x:c r="R1992" s="22" t="str">
        <x:f>"MG13507166 SSP MG"</x:f>
        <x:v>MG13507166 SSP MG</x:v>
      </x:c>
      <x:c r="S1992" s="23" t="str">
        <x:v>masculino</x:v>
      </x:c>
      <x:c r="T1992" s="22" t="str"/>
      <x:c r="U1992" s="23" t="str">
        <x:v>JOSIAS DE JESUS DA SILVA</x:v>
      </x:c>
      <x:c r="V1992" s="22" t="str">
        <x:f>"015.297.876-37"</x:f>
        <x:v>015.297.876-37</x:v>
      </x:c>
      <x:c r="W1992" s="22" t="str">
        <x:f>"01529787637"</x:f>
        <x:v>01529787637</x:v>
      </x:c>
      <x:c r="X1992" s="23" t="str">
        <x:v>josiasjesus@hotmail.com</x:v>
      </x:c>
      <x:c r="Y1992" s="22" t="str">
        <x:f>"(35) 99743-3266"</x:f>
        <x:v>(35) 99743-3266</x:v>
      </x:c>
      <x:c r="Z1992" s="30" t="n">
        <x:v>46493</x:v>
      </x:c>
    </x:row>
    <x:row r="1993" ht="18" customHeight="1">
      <x:c r="A1993" s="22" t="str">
        <x:f>"0a1392b1-3c5f-4f80-8901-1aa74b4af44b"</x:f>
        <x:v>0a1392b1-3c5f-4f80-8901-1aa74b4af44b</x:v>
      </x:c>
      <x:c r="B1993" s="23" t="str">
        <x:v>JOSIELE ALEXANDRE PEREIRA</x:v>
      </x:c>
      <x:c r="C1993" s="23" t="str">
        <x:v>josiele alexandre pereira</x:v>
      </x:c>
      <x:c r="D1993" s="22" t="str">
        <x:f>"47.352.784/0001-80"</x:f>
        <x:v>47.352.784/0001-80</x:v>
      </x:c>
      <x:c r="E1993" s="22" t="str">
        <x:f>"47352784000180"</x:f>
        <x:v>47352784000180</x:v>
      </x:c>
      <x:c r="F1993" s="22" t="str">
        <x:f>"022.454.171-43"</x:f>
        <x:v>022.454.171-43</x:v>
      </x:c>
      <x:c r="G1993" s="22" t="str">
        <x:f>"02245417143"</x:f>
        <x:v>02245417143</x:v>
      </x:c>
      <x:c r="H1993" s="23" t="str">
        <x:v>josielealexandresila@gmail.com</x:v>
      </x:c>
      <x:c r="I1993" s="22" t="str">
        <x:f>"(65)99355-7763"</x:f>
        <x:v>(65)99355-7763</x:v>
      </x:c>
      <x:c r="J1993" s="23" t="str">
        <x:v>SPOT</x:v>
      </x:c>
      <x:c r="K1993" s="23" t="str">
        <x:v>favored_only</x:v>
      </x:c>
      <x:c r="L1993" s="24" t="b">
        <x:v>1</x:v>
      </x:c>
      <x:c r="M1993" s="23" t="n">
        <x:v>1</x:v>
      </x:c>
      <x:c r="N1993" s="28" t="n">
        <x:v>46205.604202835646</x:v>
      </x:c>
      <x:c r="O1993" s="28" t="n">
        <x:v>46219.812988715275</x:v>
      </x:c>
      <x:c r="P1993" s="23" t="str">
        <x:v>PONTES E LACERDA</x:v>
      </x:c>
      <x:c r="Q1993" s="30" t="n">
        <x:v>34990</x:v>
      </x:c>
      <x:c r="R1993" s="22" t="str">
        <x:f>"20252110"</x:f>
        <x:v>20252110</x:v>
      </x:c>
      <x:c r="S1993" s="23" t="str">
        <x:v>feminino</x:v>
      </x:c>
      <x:c r="T1993" s="22" t="str">
        <x:f>"QXY4D95"</x:f>
        <x:v>QXY4D95</x:v>
      </x:c>
      <x:c r="U1993" s="23" t="str">
        <x:v>WESLEY SANTOS ABREU</x:v>
      </x:c>
      <x:c r="V1993" s="22" t="str">
        <x:f>"062.631.491-75"</x:f>
        <x:v>062.631.491-75</x:v>
      </x:c>
      <x:c r="W1993" s="22" t="str">
        <x:f>"06263149175"</x:f>
        <x:v>06263149175</x:v>
      </x:c>
      <x:c r="X1993" s="23" t="str">
        <x:v>wesleysantosabreu13@gmail.com</x:v>
      </x:c>
      <x:c r="Y1993" s="22" t="str">
        <x:f>"(65)993081162"</x:f>
        <x:v>(65)993081162</x:v>
      </x:c>
      <x:c r="Z1993" s="30" t="n">
        <x:v>46261</x:v>
      </x:c>
    </x:row>
    <x:row r="1994" ht="18" customHeight="1">
      <x:c r="A1994" s="22" t="str">
        <x:f>"4ea620c7-b290-40f6-8e53-52f6c0eb8896"</x:f>
        <x:v>4ea620c7-b290-40f6-8e53-52f6c0eb8896</x:v>
      </x:c>
      <x:c r="B1994" s="23" t="str">
        <x:v>JOSIELE SOARES BARBOSA</x:v>
      </x:c>
      <x:c r="C1994" s="23" t="str">
        <x:v>josiele soares barbosa</x:v>
      </x:c>
      <x:c r="D1994" s="22" t="str">
        <x:f>"66.780.678/0001-42"</x:f>
        <x:v>66.780.678/0001-42</x:v>
      </x:c>
      <x:c r="E1994" s="22" t="str">
        <x:f>"66780678000142"</x:f>
        <x:v>66780678000142</x:v>
      </x:c>
      <x:c r="F1994" s="22" t="str">
        <x:f>"152.484.316-46"</x:f>
        <x:v>152.484.316-46</x:v>
      </x:c>
      <x:c r="G1994" s="22" t="str">
        <x:f>"15248431646"</x:f>
        <x:v>15248431646</x:v>
      </x:c>
      <x:c r="H1994" s="23" t="str">
        <x:v>josielesoares.barbosa@gmail.com</x:v>
      </x:c>
      <x:c r="I1994" s="22" t="str">
        <x:f>"38999095224"</x:f>
        <x:v>38999095224</x:v>
      </x:c>
      <x:c r="J1994" s="23" t="str">
        <x:v>RENTAL</x:v>
      </x:c>
      <x:c r="K1994" s="23" t="str">
        <x:v>rental_company</x:v>
      </x:c>
      <x:c r="L1994" s="24" t="b">
        <x:v>1</x:v>
      </x:c>
      <x:c r="M1994" s="23" t="n">
        <x:v>1</x:v>
      </x:c>
      <x:c r="N1994" s="28" t="n">
        <x:v>46219.812988715275</x:v>
      </x:c>
      <x:c r="O1994" s="28" t="n">
        <x:v>46219.812988715275</x:v>
      </x:c>
      <x:c r="P1994" s="23" t="str">
        <x:v>UBERLANDIA</x:v>
      </x:c>
      <x:c r="Q1994" s="30" t="n">
        <x:v>36614</x:v>
      </x:c>
      <x:c r="R1994" s="22" t="str">
        <x:f>"21930472"</x:f>
        <x:v>21930472</x:v>
      </x:c>
      <x:c r="S1994" s="23" t="str">
        <x:v>feminino</x:v>
      </x:c>
      <x:c r="T1994" s="22" t="str"/>
      <x:c r="U1994" s="23" t="str">
        <x:v>JOSIELE SOARES BARBOSA</x:v>
      </x:c>
      <x:c r="V1994" s="22" t="str">
        <x:f>"152.484.316-46"</x:f>
        <x:v>152.484.316-46</x:v>
      </x:c>
      <x:c r="W1994" s="22" t="str">
        <x:f>"15248431646"</x:f>
        <x:v>15248431646</x:v>
      </x:c>
      <x:c r="X1994" s="23" t="str">
        <x:v>josielesoares.barbosa@gmail.com</x:v>
      </x:c>
      <x:c r="Y1994" s="22" t="str">
        <x:f>"38999095224"</x:f>
        <x:v>38999095224</x:v>
      </x:c>
      <x:c r="Z1994" s="30" t="n">
        <x:v>46521</x:v>
      </x:c>
    </x:row>
    <x:row r="1995" ht="18" customHeight="1">
      <x:c r="A1995" s="22" t="str">
        <x:f>"00ea062b-c007-45b2-8818-a821e918f9c3"</x:f>
        <x:v>00ea062b-c007-45b2-8818-a821e918f9c3</x:v>
      </x:c>
      <x:c r="B1995" s="23" t="str">
        <x:v>JOSIEL PEREIRA DE ARAUJO</x:v>
      </x:c>
      <x:c r="C1995" s="23" t="str">
        <x:v>josiel pereira de araujo</x:v>
      </x:c>
      <x:c r="D1995" s="22" t="str">
        <x:f>"59.785.511/0001-09"</x:f>
        <x:v>59.785.511/0001-09</x:v>
      </x:c>
      <x:c r="E1995" s="22" t="str">
        <x:f>"59785511000109"</x:f>
        <x:v>59785511000109</x:v>
      </x:c>
      <x:c r="F1995" s="22" t="str">
        <x:f>"144.990.227-89"</x:f>
        <x:v>144.990.227-89</x:v>
      </x:c>
      <x:c r="G1995" s="22" t="str">
        <x:f>"14499022789"</x:f>
        <x:v>14499022789</x:v>
      </x:c>
      <x:c r="H1995" s="23" t="str">
        <x:v>josiel.araujo.2991@gmail.com</x:v>
      </x:c>
      <x:c r="I1995" s="22" t="str">
        <x:f>"21976006355"</x:f>
        <x:v>21976006355</x:v>
      </x:c>
      <x:c r="J1995" s="23" t="str">
        <x:v>SPOT</x:v>
      </x:c>
      <x:c r="K1995" s="23" t="str">
        <x:v>favored_only</x:v>
      </x:c>
      <x:c r="L1995" s="24" t="b">
        <x:v>1</x:v>
      </x:c>
      <x:c r="M1995" s="23" t="n">
        <x:v>2</x:v>
      </x:c>
      <x:c r="N1995" s="28" t="n">
        <x:v>46203.92188238426</x:v>
      </x:c>
      <x:c r="O1995" s="28" t="n">
        <x:v>46219.812988715275</x:v>
      </x:c>
      <x:c r="P1995" s="23" t="str">
        <x:v>QUEIMADOS</x:v>
      </x:c>
      <x:c r="Q1995" s="30" t="n">
        <x:v>33799</x:v>
      </x:c>
      <x:c r="R1995" s="22" t="str">
        <x:f>"215135179"</x:f>
        <x:v>215135179</x:v>
      </x:c>
      <x:c r="S1995" s="23" t="str">
        <x:v>masculino</x:v>
      </x:c>
      <x:c r="T1995" s="22" t="str">
        <x:f>"KWG7H87"</x:f>
        <x:v>KWG7H87</x:v>
      </x:c>
      <x:c r="U1995" s="23" t="str">
        <x:v>JOSIEL PEREIRA DE ARAUJO</x:v>
      </x:c>
      <x:c r="V1995" s="22" t="str">
        <x:f>"144.990.227-89"</x:f>
        <x:v>144.990.227-89</x:v>
      </x:c>
      <x:c r="W1995" s="22" t="str">
        <x:f>"14499022789"</x:f>
        <x:v>14499022789</x:v>
      </x:c>
      <x:c r="X1995" s="23" t="str">
        <x:v>josiel.araujo.2991@gmail.com</x:v>
      </x:c>
      <x:c r="Y1995" s="22" t="str">
        <x:f>"21976006355"</x:f>
        <x:v>21976006355</x:v>
      </x:c>
      <x:c r="Z1995" s="30" t="n">
        <x:v>46327</x:v>
      </x:c>
    </x:row>
    <x:row r="1996" ht="18" customHeight="1">
      <x:c r="A1996" s="22" t="str">
        <x:f>"10e06e7b-57b3-4cb5-9723-f3479349dafa"</x:f>
        <x:v>10e06e7b-57b3-4cb5-9723-f3479349dafa</x:v>
      </x:c>
      <x:c r="B1996" s="23" t="str">
        <x:v>JOSILENE DOS SANTOS RODRIGUES</x:v>
      </x:c>
      <x:c r="C1996" s="23" t="str">
        <x:v>josilene dos santos rodrigues</x:v>
      </x:c>
      <x:c r="D1996" s="22" t="str">
        <x:f>"55.783.923/0001-59"</x:f>
        <x:v>55.783.923/0001-59</x:v>
      </x:c>
      <x:c r="E1996" s="22" t="str">
        <x:f>"55783923000159"</x:f>
        <x:v>55783923000159</x:v>
      </x:c>
      <x:c r="F1996" s="22" t="str">
        <x:f>"036.766.941-20"</x:f>
        <x:v>036.766.941-20</x:v>
      </x:c>
      <x:c r="G1996" s="22" t="str">
        <x:f>"03676694120"</x:f>
        <x:v>03676694120</x:v>
      </x:c>
      <x:c r="H1996" s="23" t="str">
        <x:v>josy.santosrodrigues2@gmail.com</x:v>
      </x:c>
      <x:c r="I1996" s="22" t="str">
        <x:f>"65996441193"</x:f>
        <x:v>65996441193</x:v>
      </x:c>
      <x:c r="J1996" s="23" t="str">
        <x:v>SPOT</x:v>
      </x:c>
      <x:c r="K1996" s="23" t="str">
        <x:v>favored_only</x:v>
      </x:c>
      <x:c r="L1996" s="24" t="b">
        <x:v>1</x:v>
      </x:c>
      <x:c r="M1996" s="23" t="n">
        <x:v>1</x:v>
      </x:c>
      <x:c r="N1996" s="28" t="n">
        <x:v>46205.60510721065</x:v>
      </x:c>
      <x:c r="O1996" s="28" t="n">
        <x:v>46219.812988715275</x:v>
      </x:c>
      <x:c r="P1996" s="23" t="str">
        <x:v>CÁCERES</x:v>
      </x:c>
      <x:c r="Q1996" s="30" t="n">
        <x:v>33211</x:v>
      </x:c>
      <x:c r="R1996" s="22" t="str">
        <x:f>"21503109"</x:f>
        <x:v>21503109</x:v>
      </x:c>
      <x:c r="S1996" s="23" t="str">
        <x:v>feminino</x:v>
      </x:c>
      <x:c r="T1996" s="22" t="str">
        <x:f>"OBE6H74"</x:f>
        <x:v>OBE6H74</x:v>
      </x:c>
      <x:c r="U1996" s="23" t="str">
        <x:v>CAIQUE HENRIQUE DA CRUZ</x:v>
      </x:c>
      <x:c r="V1996" s="22" t="str">
        <x:f>"058.062.901-58"</x:f>
        <x:v>058.062.901-58</x:v>
      </x:c>
      <x:c r="W1996" s="22" t="str">
        <x:f>"05806290158"</x:f>
        <x:v>05806290158</x:v>
      </x:c>
      <x:c r="X1996" s="23" t="str">
        <x:v>caiquehenrique112@gmail.com</x:v>
      </x:c>
      <x:c r="Y1996" s="22" t="str">
        <x:f>"65981695365"</x:f>
        <x:v>65981695365</x:v>
      </x:c>
      <x:c r="Z1996" s="30" t="n">
        <x:v>46310</x:v>
      </x:c>
    </x:row>
    <x:row r="1997" ht="18" customHeight="1">
      <x:c r="A1997" s="22" t="str">
        <x:f>"2b14549e-1573-4f99-b722-7b61aa89bca7"</x:f>
        <x:v>2b14549e-1573-4f99-b722-7b61aa89bca7</x:v>
      </x:c>
      <x:c r="B1997" s="23" t="str">
        <x:v>JOSIMAR DA SILVA DE OLIVEIRA</x:v>
      </x:c>
      <x:c r="C1997" s="23" t="str">
        <x:v>josimar da silva de oliveira</x:v>
      </x:c>
      <x:c r="D1997" s="22" t="str">
        <x:f>"37.001.903/0001-05"</x:f>
        <x:v>37.001.903/0001-05</x:v>
      </x:c>
      <x:c r="E1997" s="22" t="str">
        <x:f>"37001903000105"</x:f>
        <x:v>37001903000105</x:v>
      </x:c>
      <x:c r="F1997" s="22" t="str">
        <x:f>"359.520.908-77"</x:f>
        <x:v>359.520.908-77</x:v>
      </x:c>
      <x:c r="G1997" s="22" t="str">
        <x:f>"35952090877"</x:f>
        <x:v>35952090877</x:v>
      </x:c>
      <x:c r="H1997" s="23" t="str">
        <x:v>financeiro@rbinox.com</x:v>
      </x:c>
      <x:c r="I1997" s="22" t="str">
        <x:f>"(14) 99799-2823 / (14) 99794-9106"</x:f>
        <x:v>(14) 99799-2823 / (14) 99794-9106</x:v>
      </x:c>
      <x:c r="J1997" s="23" t="str">
        <x:v>SPOT</x:v>
      </x:c>
      <x:c r="K1997" s="23" t="str">
        <x:v>favored_only</x:v>
      </x:c>
      <x:c r="L1997" s="24" t="b">
        <x:v>1</x:v>
      </x:c>
      <x:c r="M1997" s="23" t="n">
        <x:v>1</x:v>
      </x:c>
      <x:c r="N1997" s="28" t="n">
        <x:v>46203.92189965278</x:v>
      </x:c>
      <x:c r="O1997" s="28" t="n">
        <x:v>46203.92189965278</x:v>
      </x:c>
      <x:c r="P1997" s="23" t="str"/>
      <x:c r="Q1997" s="30" t="str"/>
      <x:c r="R1997" s="22" t="str"/>
      <x:c r="S1997" s="23" t="str"/>
      <x:c r="T1997" s="22" t="str"/>
      <x:c r="U1997" s="23" t="str">
        <x:v>JOSIMAR DA SILVA DE OLIVEIRA</x:v>
      </x:c>
      <x:c r="V1997" s="22" t="str">
        <x:f>"359.520.908-77"</x:f>
        <x:v>359.520.908-77</x:v>
      </x:c>
      <x:c r="W1997" s="22" t="str">
        <x:f>"35952090877"</x:f>
        <x:v>35952090877</x:v>
      </x:c>
      <x:c r="X1997" s="23" t="str">
        <x:v>financeiro@rbinox.com</x:v>
      </x:c>
      <x:c r="Y1997" s="22" t="str">
        <x:f>"(14) 99799-2823 / (14) 99794-9106"</x:f>
        <x:v>(14) 99799-2823 / (14) 99794-9106</x:v>
      </x:c>
      <x:c r="Z1997" s="30" t="str"/>
    </x:row>
    <x:row r="1998" ht="18" customHeight="1">
      <x:c r="A1998" s="22" t="str">
        <x:f>"c1923c34-d6d4-4791-9fa1-ba4cac3a6c50"</x:f>
        <x:v>c1923c34-d6d4-4791-9fa1-ba4cac3a6c50</x:v>
      </x:c>
      <x:c r="B1998" s="23" t="str">
        <x:v>JOSIMAR FRANCISCO DE OLIVEIRA</x:v>
      </x:c>
      <x:c r="C1998" s="23" t="str">
        <x:v>josimar francisco de oliveira</x:v>
      </x:c>
      <x:c r="D1998" s="22" t="str">
        <x:f>"55.372.837/0001-53"</x:f>
        <x:v>55.372.837/0001-53</x:v>
      </x:c>
      <x:c r="E1998" s="22" t="str">
        <x:f>"55372837000153"</x:f>
        <x:v>55372837000153</x:v>
      </x:c>
      <x:c r="F1998" s="22" t="str">
        <x:f>"444.645.948-16"</x:f>
        <x:v>444.645.948-16</x:v>
      </x:c>
      <x:c r="G1998" s="22" t="str">
        <x:f>"44464594816"</x:f>
        <x:v>44464594816</x:v>
      </x:c>
      <x:c r="H1998" s="23" t="str">
        <x:v>josimar132oliveira@gmail.com</x:v>
      </x:c>
      <x:c r="I1998" s="22" t="str">
        <x:f>"35 99724-7166"</x:f>
        <x:v>35 99724-7166</x:v>
      </x:c>
      <x:c r="J1998" s="23" t="str">
        <x:v>SPOT</x:v>
      </x:c>
      <x:c r="K1998" s="23" t="str">
        <x:v>favored_only</x:v>
      </x:c>
      <x:c r="L1998" s="24" t="b">
        <x:v>1</x:v>
      </x:c>
      <x:c r="M1998" s="23" t="n">
        <x:v>2</x:v>
      </x:c>
      <x:c r="N1998" s="28" t="n">
        <x:v>46203.921824756944</x:v>
      </x:c>
      <x:c r="O1998" s="28" t="n">
        <x:v>46219.812988715275</x:v>
      </x:c>
      <x:c r="P1998" s="23" t="str">
        <x:v>POCOS DE CALDAS</x:v>
      </x:c>
      <x:c r="Q1998" s="30" t="n">
        <x:v>34784</x:v>
      </x:c>
      <x:c r="R1998" s="22" t="str">
        <x:f>"525419779"</x:f>
        <x:v>525419779</x:v>
      </x:c>
      <x:c r="S1998" s="23" t="str">
        <x:v>masculino</x:v>
      </x:c>
      <x:c r="T1998" s="22" t="str">
        <x:f>"DXW7C15"</x:f>
        <x:v>DXW7C15</x:v>
      </x:c>
      <x:c r="U1998" s="23" t="str">
        <x:v>JOSIMAR FRANCISCO DE OLIVEIRA</x:v>
      </x:c>
      <x:c r="V1998" s="22" t="str">
        <x:f>"444.645.948-16"</x:f>
        <x:v>444.645.948-16</x:v>
      </x:c>
      <x:c r="W1998" s="22" t="str">
        <x:f>"44464594816"</x:f>
        <x:v>44464594816</x:v>
      </x:c>
      <x:c r="X1998" s="23" t="str">
        <x:v>josimar132oliveira@gmail.com</x:v>
      </x:c>
      <x:c r="Y1998" s="22" t="str">
        <x:f>"35 99724-7166"</x:f>
        <x:v>35 99724-7166</x:v>
      </x:c>
      <x:c r="Z1998" s="30" t="n">
        <x:v>46562</x:v>
      </x:c>
    </x:row>
    <x:row r="1999" ht="18" customHeight="1">
      <x:c r="A1999" s="22" t="str">
        <x:f>"24f45036-46ed-42ea-b2d5-d794c55208ec"</x:f>
        <x:v>24f45036-46ed-42ea-b2d5-d794c55208ec</x:v>
      </x:c>
      <x:c r="B1999" s="23" t="str">
        <x:v>JOSIMAR NONATO DE OLIVEIRA</x:v>
      </x:c>
      <x:c r="C1999" s="23" t="str">
        <x:v>josimar nonato de oliveira</x:v>
      </x:c>
      <x:c r="D1999" s="22" t="str">
        <x:f>"60.995.434/0001-09"</x:f>
        <x:v>60.995.434/0001-09</x:v>
      </x:c>
      <x:c r="E1999" s="22" t="str">
        <x:f>"60995434000109"</x:f>
        <x:v>60995434000109</x:v>
      </x:c>
      <x:c r="F1999" s="22" t="str">
        <x:f>"102.694.616-63"</x:f>
        <x:v>102.694.616-63</x:v>
      </x:c>
      <x:c r="G1999" s="22" t="str">
        <x:f>"10269461663"</x:f>
        <x:v>10269461663</x:v>
      </x:c>
      <x:c r="H1999" s="23" t="str">
        <x:v>josimarnolv@gmail.com</x:v>
      </x:c>
      <x:c r="I1999" s="22" t="str">
        <x:f>"(11) 93456-1920"</x:f>
        <x:v>(11) 93456-1920</x:v>
      </x:c>
      <x:c r="J1999" s="23" t="str">
        <x:v>SPOT</x:v>
      </x:c>
      <x:c r="K1999" s="23" t="str">
        <x:v>favored_only</x:v>
      </x:c>
      <x:c r="L1999" s="24" t="b">
        <x:v>1</x:v>
      </x:c>
      <x:c r="M1999" s="23" t="n">
        <x:v>1</x:v>
      </x:c>
      <x:c r="N1999" s="28" t="n">
        <x:v>46205.60406359954</x:v>
      </x:c>
      <x:c r="O1999" s="28" t="n">
        <x:v>46219.812988715275</x:v>
      </x:c>
      <x:c r="P1999" s="23" t="str">
        <x:v>GUANHAES</x:v>
      </x:c>
      <x:c r="Q1999" s="30" t="n">
        <x:v>32403</x:v>
      </x:c>
      <x:c r="R1999" s="22" t="str">
        <x:f>"15217126"</x:f>
        <x:v>15217126</x:v>
      </x:c>
      <x:c r="S1999" s="23" t="str">
        <x:v>masculino</x:v>
      </x:c>
      <x:c r="T1999" s="22" t="str">
        <x:f>"FFT4E28"</x:f>
        <x:v>FFT4E28</x:v>
      </x:c>
      <x:c r="U1999" s="23" t="str">
        <x:v>PEDRO HENRIQUE ANDRADE FREITAS OLIVEIRA</x:v>
      </x:c>
      <x:c r="V1999" s="22" t="str">
        <x:f>"124.863.066-17"</x:f>
        <x:v>124.863.066-17</x:v>
      </x:c>
      <x:c r="W1999" s="22" t="str">
        <x:f>"12486306617"</x:f>
        <x:v>12486306617</x:v>
      </x:c>
      <x:c r="X1999" s="23" t="str">
        <x:v>PEDROFERROS2011@HOTMAIL.COM</x:v>
      </x:c>
      <x:c r="Y1999" s="22" t="str">
        <x:f>"(31) 97237-9030"</x:f>
        <x:v>(31) 97237-9030</x:v>
      </x:c>
      <x:c r="Z1999" s="30" t="n">
        <x:v>46396</x:v>
      </x:c>
    </x:row>
    <x:row r="2000" ht="18" customHeight="1">
      <x:c r="A2000" s="22" t="str">
        <x:f>"c5e52366-b57d-4978-83b5-24a134851a7d"</x:f>
        <x:v>c5e52366-b57d-4978-83b5-24a134851a7d</x:v>
      </x:c>
      <x:c r="B2000" s="23" t="str">
        <x:v>JOSINEI POLINARIO RODRIGUES</x:v>
      </x:c>
      <x:c r="C2000" s="23" t="str">
        <x:v>josinei polinario rodrigues</x:v>
      </x:c>
      <x:c r="D2000" s="22" t="str">
        <x:f>"37.823.997/0001-90"</x:f>
        <x:v>37.823.997/0001-90</x:v>
      </x:c>
      <x:c r="E2000" s="22" t="str">
        <x:f>"37823997000190"</x:f>
        <x:v>37823997000190</x:v>
      </x:c>
      <x:c r="F2000" s="22" t="str">
        <x:f>"962.953.411-87"</x:f>
        <x:v>962.953.411-87</x:v>
      </x:c>
      <x:c r="G2000" s="22" t="str">
        <x:f>"96295341187"</x:f>
        <x:v>96295341187</x:v>
      </x:c>
      <x:c r="H2000" s="23" t="str">
        <x:v>josineipolinario708@gmail.com</x:v>
      </x:c>
      <x:c r="I2000" s="22" t="str">
        <x:f>"+55 65 9817-4830"</x:f>
        <x:v>+55 65 9817-4830</x:v>
      </x:c>
      <x:c r="J2000" s="23" t="str">
        <x:v>SPOT</x:v>
      </x:c>
      <x:c r="K2000" s="23" t="str">
        <x:v>favored_only</x:v>
      </x:c>
      <x:c r="L2000" s="24" t="b">
        <x:v>1</x:v>
      </x:c>
      <x:c r="M2000" s="23" t="n">
        <x:v>2</x:v>
      </x:c>
      <x:c r="N2000" s="28" t="n">
        <x:v>46205.60477787037</x:v>
      </x:c>
      <x:c r="O2000" s="28" t="n">
        <x:v>46219.812988715275</x:v>
      </x:c>
      <x:c r="P2000" s="23" t="str">
        <x:v>PONTES E LACERDA</x:v>
      </x:c>
      <x:c r="Q2000" s="30" t="n">
        <x:v>30073</x:v>
      </x:c>
      <x:c r="R2000" s="22" t="str">
        <x:f>"14254093"</x:f>
        <x:v>14254093</x:v>
      </x:c>
      <x:c r="S2000" s="23" t="str">
        <x:v>masculino</x:v>
      </x:c>
      <x:c r="T2000" s="22" t="str">
        <x:f>"NTY7C67"</x:f>
        <x:v>NTY7C67</x:v>
      </x:c>
      <x:c r="U2000" s="23" t="str">
        <x:v>DANILLO BACIEL ALMEIDA</x:v>
      </x:c>
      <x:c r="V2000" s="22" t="str">
        <x:f>"962.005.291-91"</x:f>
        <x:v>962.005.291-91</x:v>
      </x:c>
      <x:c r="W2000" s="22" t="str">
        <x:f>"96200529191"</x:f>
        <x:v>96200529191</x:v>
      </x:c>
      <x:c r="X2000" s="23" t="str">
        <x:v>rpt.cargas@gmail.com</x:v>
      </x:c>
      <x:c r="Y2000" s="22" t="str">
        <x:f>"(62) 99661-0607"</x:f>
        <x:v>(62) 99661-0607</x:v>
      </x:c>
      <x:c r="Z2000" s="30" t="n">
        <x:v>46338</x:v>
      </x:c>
    </x:row>
    <x:row r="2001" ht="18" customHeight="1">
      <x:c r="A2001" s="22" t="str">
        <x:f>"cff4c760-4320-49ed-b468-8503edaa2624"</x:f>
        <x:v>cff4c760-4320-49ed-b468-8503edaa2624</x:v>
      </x:c>
      <x:c r="B2001" s="23" t="str">
        <x:v>JOSUE BRAZ DE OLIVEIRA FILHO</x:v>
      </x:c>
      <x:c r="C2001" s="23" t="str">
        <x:v>josue braz de oliveira filho</x:v>
      </x:c>
      <x:c r="D2001" s="22" t="str">
        <x:f>"66.259.525/0001-54"</x:f>
        <x:v>66.259.525/0001-54</x:v>
      </x:c>
      <x:c r="E2001" s="22" t="str">
        <x:f>"66259525000154"</x:f>
        <x:v>66259525000154</x:v>
      </x:c>
      <x:c r="F2001" s="22" t="str">
        <x:f>"140.847.478-66"</x:f>
        <x:v>140.847.478-66</x:v>
      </x:c>
      <x:c r="G2001" s="22" t="str">
        <x:f>"14084747866"</x:f>
        <x:v>14084747866</x:v>
      </x:c>
      <x:c r="H2001" s="23" t="str">
        <x:v>josuebrazdeoliveirafilho@gmail.com</x:v>
      </x:c>
      <x:c r="I2001" s="22" t="str">
        <x:f>"11 97096-6154"</x:f>
        <x:v>11 97096-6154</x:v>
      </x:c>
      <x:c r="J2001" s="23" t="str">
        <x:v>RENTAL</x:v>
      </x:c>
      <x:c r="K2001" s="23" t="str">
        <x:v>rental_company</x:v>
      </x:c>
      <x:c r="L2001" s="24" t="b">
        <x:v>1</x:v>
      </x:c>
      <x:c r="M2001" s="23" t="n">
        <x:v>1</x:v>
      </x:c>
      <x:c r="N2001" s="28" t="n">
        <x:v>46219.812988715275</x:v>
      </x:c>
      <x:c r="O2001" s="28" t="n">
        <x:v>46219.812988715275</x:v>
      </x:c>
      <x:c r="P2001" s="23" t="str">
        <x:v>BARUERI</x:v>
      </x:c>
      <x:c r="Q2001" s="30" t="n">
        <x:v>26676</x:v>
      </x:c>
      <x:c r="R2001" s="22" t="str">
        <x:f>"2272332"</x:f>
        <x:v>2272332</x:v>
      </x:c>
      <x:c r="S2001" s="23" t="str">
        <x:v>masculino</x:v>
      </x:c>
      <x:c r="T2001" s="22" t="str"/>
      <x:c r="U2001" s="23" t="str">
        <x:v>JOSUE BRAZ DE OLIVEIRA FILHO</x:v>
      </x:c>
      <x:c r="V2001" s="22" t="str">
        <x:f>"140.847.478-66"</x:f>
        <x:v>140.847.478-66</x:v>
      </x:c>
      <x:c r="W2001" s="22" t="str">
        <x:f>"14084747866"</x:f>
        <x:v>14084747866</x:v>
      </x:c>
      <x:c r="X2001" s="23" t="str">
        <x:v>josuebrazdeoliveirafilho@gmail.com</x:v>
      </x:c>
      <x:c r="Y2001" s="22" t="str">
        <x:f>"11 97096-6154"</x:f>
        <x:v>11 97096-6154</x:v>
      </x:c>
      <x:c r="Z2001" s="30" t="n">
        <x:v>46505</x:v>
      </x:c>
    </x:row>
    <x:row r="2002" ht="18" customHeight="1">
      <x:c r="A2002" s="22" t="str">
        <x:f>"877d53c7-fce3-4cf4-9a08-2ce190a421eb"</x:f>
        <x:v>877d53c7-fce3-4cf4-9a08-2ce190a421eb</x:v>
      </x:c>
      <x:c r="B2002" s="23" t="str">
        <x:v>josue Mendes Machado de arruda</x:v>
      </x:c>
      <x:c r="C2002" s="23" t="str">
        <x:v>josue mendes machado de arruda</x:v>
      </x:c>
      <x:c r="D2002" s="22" t="str">
        <x:f>"51.477.868/0001-18"</x:f>
        <x:v>51.477.868/0001-18</x:v>
      </x:c>
      <x:c r="E2002" s="22" t="str">
        <x:f>"51477868000118"</x:f>
        <x:v>51477868000118</x:v>
      </x:c>
      <x:c r="F2002" s="22" t="str">
        <x:f>"431.503.968-32"</x:f>
        <x:v>431.503.968-32</x:v>
      </x:c>
      <x:c r="G2002" s="22" t="str">
        <x:f>"43150396832"</x:f>
        <x:v>43150396832</x:v>
      </x:c>
      <x:c r="H2002" s="23" t="str">
        <x:v>josue.machadomendes@gmail.com</x:v>
      </x:c>
      <x:c r="I2002" s="22" t="str">
        <x:f>"11 913557906"</x:f>
        <x:v>11 913557906</x:v>
      </x:c>
      <x:c r="J2002" s="23" t="str">
        <x:v>RENTAL</x:v>
      </x:c>
      <x:c r="K2002" s="23" t="str">
        <x:v>rental_company</x:v>
      </x:c>
      <x:c r="L2002" s="24" t="b">
        <x:v>1</x:v>
      </x:c>
      <x:c r="M2002" s="23" t="n">
        <x:v>1</x:v>
      </x:c>
      <x:c r="N2002" s="28" t="n">
        <x:v>46203.921840393516</x:v>
      </x:c>
      <x:c r="O2002" s="28" t="n">
        <x:v>46205.604905844906</x:v>
      </x:c>
      <x:c r="P2002" s="23" t="str">
        <x:v>MADEIRA MADEIRA</x:v>
      </x:c>
      <x:c r="Q2002" s="30" t="n">
        <x:v>34635</x:v>
      </x:c>
      <x:c r="R2002" s="22" t="str">
        <x:f>"40714337-3"</x:f>
        <x:v>40714337-3</x:v>
      </x:c>
      <x:c r="S2002" s="23" t="str">
        <x:v>Masculino</x:v>
      </x:c>
      <x:c r="T2002" s="22" t="str"/>
      <x:c r="U2002" s="23" t="str">
        <x:v>josue Mendes Machado de arruda</x:v>
      </x:c>
      <x:c r="V2002" s="22" t="str">
        <x:f>"43150396832"</x:f>
        <x:v>43150396832</x:v>
      </x:c>
      <x:c r="W2002" s="22" t="str">
        <x:f>"43150396832"</x:f>
        <x:v>43150396832</x:v>
      </x:c>
      <x:c r="X2002" s="23" t="str">
        <x:v>josue.machadomendes@gmail.com</x:v>
      </x:c>
      <x:c r="Y2002" s="22" t="str">
        <x:f>"11 913557906"</x:f>
        <x:v>11 913557906</x:v>
      </x:c>
      <x:c r="Z2002" s="30" t="n">
        <x:v>46218</x:v>
      </x:c>
    </x:row>
    <x:row r="2003" ht="18" customHeight="1">
      <x:c r="A2003" s="22" t="str">
        <x:f>"abcdb9c1-98b2-410f-b5df-bf565edc606c"</x:f>
        <x:v>abcdb9c1-98b2-410f-b5df-bf565edc606c</x:v>
      </x:c>
      <x:c r="B2003" s="23" t="str">
        <x:v>JOUBERTH DE SOUZA GOMES</x:v>
      </x:c>
      <x:c r="C2003" s="23" t="str">
        <x:v>jouberth de souza gomes</x:v>
      </x:c>
      <x:c r="D2003" s="22" t="str">
        <x:f>"59.563.579/0001-43"</x:f>
        <x:v>59.563.579/0001-43</x:v>
      </x:c>
      <x:c r="E2003" s="22" t="str">
        <x:f>"59563579000143"</x:f>
        <x:v>59563579000143</x:v>
      </x:c>
      <x:c r="F2003" s="22" t="str">
        <x:f>"126.586.466-74"</x:f>
        <x:v>126.586.466-74</x:v>
      </x:c>
      <x:c r="G2003" s="22" t="str">
        <x:f>"12658646674"</x:f>
        <x:v>12658646674</x:v>
      </x:c>
      <x:c r="H2003" s="23" t="str">
        <x:v>joubersouza2@gmail.com</x:v>
      </x:c>
      <x:c r="I2003" s="22" t="str">
        <x:f>"33998339575"</x:f>
        <x:v>33998339575</x:v>
      </x:c>
      <x:c r="J2003" s="23" t="str">
        <x:v>SPOT</x:v>
      </x:c>
      <x:c r="K2003" s="23" t="str">
        <x:v>favored_only</x:v>
      </x:c>
      <x:c r="L2003" s="24" t="b">
        <x:v>1</x:v>
      </x:c>
      <x:c r="M2003" s="23" t="n">
        <x:v>1</x:v>
      </x:c>
      <x:c r="N2003" s="28" t="n">
        <x:v>46219.812988715275</x:v>
      </x:c>
      <x:c r="O2003" s="28" t="n">
        <x:v>46219.812988715275</x:v>
      </x:c>
      <x:c r="P2003" s="23" t="str">
        <x:v>GUANHAES</x:v>
      </x:c>
      <x:c r="Q2003" s="30" t="n">
        <x:v>35264</x:v>
      </x:c>
      <x:c r="R2003" s="22" t="str">
        <x:f>"56657110040"</x:f>
        <x:v>56657110040</x:v>
      </x:c>
      <x:c r="S2003" s="23" t="str">
        <x:v>masculino</x:v>
      </x:c>
      <x:c r="T2003" s="22" t="str">
        <x:f>"HKH2J72"</x:f>
        <x:v>HKH2J72</x:v>
      </x:c>
      <x:c r="U2003" s="23" t="str">
        <x:v>FELIPE BORGES SANTIAGO</x:v>
      </x:c>
      <x:c r="V2003" s="22" t="str">
        <x:f>"079.865.596-83"</x:f>
        <x:v>079.865.596-83</x:v>
      </x:c>
      <x:c r="W2003" s="22" t="str">
        <x:f>"07986559683"</x:f>
        <x:v>07986559683</x:v>
      </x:c>
      <x:c r="X2003" s="23" t="str">
        <x:v>santiago.lipe@gmail.com</x:v>
      </x:c>
      <x:c r="Y2003" s="22" t="str">
        <x:f>"31988843193"</x:f>
        <x:v>31988843193</x:v>
      </x:c>
      <x:c r="Z2003" s="30" t="n">
        <x:v>46505</x:v>
      </x:c>
    </x:row>
    <x:row r="2004" ht="18" customHeight="1">
      <x:c r="A2004" s="22" t="str">
        <x:f>"3c1ba1f0-4a51-4a0b-a0b6-4574c9b0167e"</x:f>
        <x:v>3c1ba1f0-4a51-4a0b-a0b6-4574c9b0167e</x:v>
      </x:c>
      <x:c r="B2004" s="23" t="str">
        <x:v>JOVELMIRO CARLOS COELHO</x:v>
      </x:c>
      <x:c r="C2004" s="23" t="str">
        <x:v>jovelmiro carlos coelho</x:v>
      </x:c>
      <x:c r="D2004" s="22" t="str">
        <x:f>"49.899.505/0001-29"</x:f>
        <x:v>49.899.505/0001-29</x:v>
      </x:c>
      <x:c r="E2004" s="22" t="str">
        <x:f>"49899505000129"</x:f>
        <x:v>49899505000129</x:v>
      </x:c>
      <x:c r="F2004" s="22" t="str">
        <x:f>"134.092.166-93"</x:f>
        <x:v>134.092.166-93</x:v>
      </x:c>
      <x:c r="G2004" s="22" t="str">
        <x:f>"13409216693"</x:f>
        <x:v>13409216693</x:v>
      </x:c>
      <x:c r="H2004" s="23" t="str">
        <x:v>Jovelmirocoellho899@gmail.com</x:v>
      </x:c>
      <x:c r="I2004" s="22" t="str">
        <x:f>"38984024562"</x:f>
        <x:v>38984024562</x:v>
      </x:c>
      <x:c r="J2004" s="23" t="str">
        <x:v>SPOT</x:v>
      </x:c>
      <x:c r="K2004" s="23" t="str">
        <x:v>favored_only</x:v>
      </x:c>
      <x:c r="L2004" s="24" t="b">
        <x:v>1</x:v>
      </x:c>
      <x:c r="M2004" s="23" t="n">
        <x:v>1</x:v>
      </x:c>
      <x:c r="N2004" s="28" t="n">
        <x:v>46205.60732967593</x:v>
      </x:c>
      <x:c r="O2004" s="28" t="n">
        <x:v>46219.812988715275</x:v>
      </x:c>
      <x:c r="P2004" s="23" t="str">
        <x:v>CONTAGEM</x:v>
      </x:c>
      <x:c r="Q2004" s="30" t="n">
        <x:v>36360</x:v>
      </x:c>
      <x:c r="R2004" s="22" t="str">
        <x:f>"19741954"</x:f>
        <x:v>19741954</x:v>
      </x:c>
      <x:c r="S2004" s="23" t="str">
        <x:v>masculino</x:v>
      </x:c>
      <x:c r="T2004" s="22" t="str">
        <x:f>"HFX6A07"</x:f>
        <x:v>HFX6A07</x:v>
      </x:c>
      <x:c r="U2004" s="23" t="str">
        <x:v>JHONATAN FRANCISCO PEREIRA</x:v>
      </x:c>
      <x:c r="V2004" s="22" t="str">
        <x:f>"110.801.636-70"</x:f>
        <x:v>110.801.636-70</x:v>
      </x:c>
      <x:c r="W2004" s="22" t="str">
        <x:f>"11080163670"</x:f>
        <x:v>11080163670</x:v>
      </x:c>
      <x:c r="X2004" s="23" t="str">
        <x:v>jhonatanfranciscopereira@gmail.com</x:v>
      </x:c>
      <x:c r="Y2004" s="22" t="str">
        <x:f>"31983738049"</x:f>
        <x:v>31983738049</x:v>
      </x:c>
      <x:c r="Z2004" s="30" t="n">
        <x:v>46229</x:v>
      </x:c>
    </x:row>
    <x:row r="2005" ht="18" customHeight="1">
      <x:c r="A2005" s="22" t="str">
        <x:f>"5b6bc16c-d0f8-4229-88a0-8f51d0af58a6"</x:f>
        <x:v>5b6bc16c-d0f8-4229-88a0-8f51d0af58a6</x:v>
      </x:c>
      <x:c r="B2005" s="23" t="str">
        <x:v>JOYCE BRITTO MODENES</x:v>
      </x:c>
      <x:c r="C2005" s="23" t="str">
        <x:v>joyce britto modenes</x:v>
      </x:c>
      <x:c r="D2005" s="22" t="str">
        <x:f>"38.475.527/0001-45"</x:f>
        <x:v>38.475.527/0001-45</x:v>
      </x:c>
      <x:c r="E2005" s="22" t="str">
        <x:f>"38475527000145"</x:f>
        <x:v>38475527000145</x:v>
      </x:c>
      <x:c r="F2005" s="22" t="str">
        <x:f>"336.594.858-96"</x:f>
        <x:v>336.594.858-96</x:v>
      </x:c>
      <x:c r="G2005" s="22" t="str">
        <x:f>"33659485896"</x:f>
        <x:v>33659485896</x:v>
      </x:c>
      <x:c r="H2005" s="23" t="str">
        <x:v>modenes86@gmail.com</x:v>
      </x:c>
      <x:c r="I2005" s="22" t="str">
        <x:f>"(17)982037083"</x:f>
        <x:v>(17)982037083</x:v>
      </x:c>
      <x:c r="J2005" s="23" t="str">
        <x:v>RENTAL</x:v>
      </x:c>
      <x:c r="K2005" s="23" t="str">
        <x:v>rental_company</x:v>
      </x:c>
      <x:c r="L2005" s="24" t="b">
        <x:v>1</x:v>
      </x:c>
      <x:c r="M2005" s="23" t="n">
        <x:v>1</x:v>
      </x:c>
      <x:c r="N2005" s="28" t="n">
        <x:v>46203.921840393516</x:v>
      </x:c>
      <x:c r="O2005" s="28" t="n">
        <x:v>46219.812988715275</x:v>
      </x:c>
      <x:c r="P2005" s="23" t="str">
        <x:v>BARRETOS</x:v>
      </x:c>
      <x:c r="Q2005" s="30" t="n">
        <x:v>31643</x:v>
      </x:c>
      <x:c r="R2005" s="22" t="str">
        <x:f>"43.800.932-0"</x:f>
        <x:v>43.800.932-0</x:v>
      </x:c>
      <x:c r="S2005" s="23" t="str">
        <x:v>feminino</x:v>
      </x:c>
      <x:c r="T2005" s="22" t="str"/>
      <x:c r="U2005" s="23" t="str">
        <x:v>JOYCE BRITTO MODENES</x:v>
      </x:c>
      <x:c r="V2005" s="22" t="str">
        <x:f>"336.594.858-96"</x:f>
        <x:v>336.594.858-96</x:v>
      </x:c>
      <x:c r="W2005" s="22" t="str">
        <x:f>"33659485896"</x:f>
        <x:v>33659485896</x:v>
      </x:c>
      <x:c r="X2005" s="23" t="str">
        <x:v>modenes86@gmail.com</x:v>
      </x:c>
      <x:c r="Y2005" s="22" t="str">
        <x:f>"(17)982037083"</x:f>
        <x:v>(17)982037083</x:v>
      </x:c>
      <x:c r="Z2005" s="30" t="n">
        <x:v>46578</x:v>
      </x:c>
    </x:row>
    <x:row r="2006" ht="18" customHeight="1">
      <x:c r="A2006" s="22" t="str">
        <x:f>"8defd5a5-8bfd-4990-a7ec-e5a26d218a8d"</x:f>
        <x:v>8defd5a5-8bfd-4990-a7ec-e5a26d218a8d</x:v>
      </x:c>
      <x:c r="B2006" s="23" t="str">
        <x:v>JOYCE GONCALVES DOS SANTOS</x:v>
      </x:c>
      <x:c r="C2006" s="23" t="str">
        <x:v>joyce goncalves dos santos</x:v>
      </x:c>
      <x:c r="D2006" s="22" t="str">
        <x:f>"59.034.740/0001-91"</x:f>
        <x:v>59.034.740/0001-91</x:v>
      </x:c>
      <x:c r="E2006" s="22" t="str">
        <x:f>"59034740000191"</x:f>
        <x:v>59034740000191</x:v>
      </x:c>
      <x:c r="F2006" s="22" t="str">
        <x:f>"020.347.676-08"</x:f>
        <x:v>020.347.676-08</x:v>
      </x:c>
      <x:c r="G2006" s="22" t="str">
        <x:f>"02034767608"</x:f>
        <x:v>02034767608</x:v>
      </x:c>
      <x:c r="H2006" s="23" t="str">
        <x:v>joycegoncalves10@hotmail.com</x:v>
      </x:c>
      <x:c r="I2006" s="22" t="str">
        <x:f>"31991549859"</x:f>
        <x:v>31991549859</x:v>
      </x:c>
      <x:c r="J2006" s="23" t="str">
        <x:v>SPOT</x:v>
      </x:c>
      <x:c r="K2006" s="23" t="str">
        <x:v>favored_only</x:v>
      </x:c>
      <x:c r="L2006" s="24" t="b">
        <x:v>1</x:v>
      </x:c>
      <x:c r="M2006" s="23" t="n">
        <x:v>1</x:v>
      </x:c>
      <x:c r="N2006" s="28" t="n">
        <x:v>46219.812988715275</x:v>
      </x:c>
      <x:c r="O2006" s="28" t="n">
        <x:v>46219.812988715275</x:v>
      </x:c>
      <x:c r="P2006" s="23" t="str">
        <x:v>NOVA LIMA</x:v>
      </x:c>
      <x:c r="Q2006" s="30" t="n">
        <x:v>35423</x:v>
      </x:c>
      <x:c r="R2006" s="22" t="str">
        <x:f>"MG18584512"</x:f>
        <x:v>MG18584512</x:v>
      </x:c>
      <x:c r="S2006" s="23" t="str">
        <x:v>feminino</x:v>
      </x:c>
      <x:c r="T2006" s="22" t="str">
        <x:f>"QXE9D22"</x:f>
        <x:v>QXE9D22</x:v>
      </x:c>
      <x:c r="U2006" s="23" t="str">
        <x:v>JOYCE GONCALVES DOS SANTOS</x:v>
      </x:c>
      <x:c r="V2006" s="22" t="str">
        <x:f>"020.347.676-08"</x:f>
        <x:v>020.347.676-08</x:v>
      </x:c>
      <x:c r="W2006" s="22" t="str">
        <x:f>"02034767608"</x:f>
        <x:v>02034767608</x:v>
      </x:c>
      <x:c r="X2006" s="23" t="str">
        <x:v>joycegoncalves10@hotmail.com</x:v>
      </x:c>
      <x:c r="Y2006" s="22" t="str">
        <x:f>"31991549859"</x:f>
        <x:v>31991549859</x:v>
      </x:c>
      <x:c r="Z2006" s="30" t="n">
        <x:v>46442</x:v>
      </x:c>
    </x:row>
    <x:row r="2007" ht="18" customHeight="1">
      <x:c r="A2007" s="22" t="str">
        <x:f>"887ebdde-62a2-4336-861b-19a25885ba4e"</x:f>
        <x:v>887ebdde-62a2-4336-861b-19a25885ba4e</x:v>
      </x:c>
      <x:c r="B2007" s="23" t="str">
        <x:v>JUAN CARLOS OLIVEIRA DE ALEXANDRE EUFRASIO</x:v>
      </x:c>
      <x:c r="C2007" s="23" t="str">
        <x:v>juan carlos oliveira de alexandre eufrasio</x:v>
      </x:c>
      <x:c r="D2007" s="22" t="str">
        <x:f>"45.455.580/0001-40"</x:f>
        <x:v>45.455.580/0001-40</x:v>
      </x:c>
      <x:c r="E2007" s="22" t="str">
        <x:f>"45455580000140"</x:f>
        <x:v>45455580000140</x:v>
      </x:c>
      <x:c r="F2007" s="22" t="str">
        <x:f>"119.126.287-16"</x:f>
        <x:v>119.126.287-16</x:v>
      </x:c>
      <x:c r="G2007" s="22" t="str">
        <x:f>"11912628716"</x:f>
        <x:v>11912628716</x:v>
      </x:c>
      <x:c r="H2007" s="23" t="str">
        <x:v>juancarlosoai325@gmail.com</x:v>
      </x:c>
      <x:c r="I2007" s="22" t="str">
        <x:f>"21 97376-8578"</x:f>
        <x:v>21 97376-8578</x:v>
      </x:c>
      <x:c r="J2007" s="23" t="str">
        <x:v>SPOT</x:v>
      </x:c>
      <x:c r="K2007" s="23" t="str">
        <x:v>favored_only</x:v>
      </x:c>
      <x:c r="L2007" s="24" t="b">
        <x:v>1</x:v>
      </x:c>
      <x:c r="M2007" s="23" t="n">
        <x:v>1</x:v>
      </x:c>
      <x:c r="N2007" s="28" t="n">
        <x:v>46219.812988715275</x:v>
      </x:c>
      <x:c r="O2007" s="28" t="n">
        <x:v>46219.812988715275</x:v>
      </x:c>
      <x:c r="P2007" s="23" t="str">
        <x:v>QUEIMADOS</x:v>
      </x:c>
      <x:c r="Q2007" s="30" t="n">
        <x:v>35492</x:v>
      </x:c>
      <x:c r="R2007" s="22" t="str">
        <x:f>"129582532"</x:f>
        <x:v>129582532</x:v>
      </x:c>
      <x:c r="S2007" s="23" t="str">
        <x:v>masculino</x:v>
      </x:c>
      <x:c r="T2007" s="22" t="str">
        <x:f>"EFV6H57"</x:f>
        <x:v>EFV6H57</x:v>
      </x:c>
      <x:c r="U2007" s="23" t="str">
        <x:v>MILTON MULINA GARCIA JUNIOR</x:v>
      </x:c>
      <x:c r="V2007" s="22" t="str">
        <x:f>"157.475.337-11"</x:f>
        <x:v>157.475.337-11</x:v>
      </x:c>
      <x:c r="W2007" s="22" t="str">
        <x:f>"15747533711"</x:f>
        <x:v>15747533711</x:v>
      </x:c>
      <x:c r="X2007" s="23" t="str">
        <x:v>jrpipo790@gmail.com</x:v>
      </x:c>
      <x:c r="Y2007" s="22" t="str">
        <x:f>"21975033485"</x:f>
        <x:v>21975033485</x:v>
      </x:c>
      <x:c r="Z2007" s="30" t="n">
        <x:v>46476</x:v>
      </x:c>
    </x:row>
    <x:row r="2008" ht="18" customHeight="1">
      <x:c r="A2008" s="22" t="str">
        <x:f>"6fc198f3-f4de-4eb7-a7ba-f1981dfb57a6"</x:f>
        <x:v>6fc198f3-f4de-4eb7-a7ba-f1981dfb57a6</x:v>
      </x:c>
      <x:c r="B2008" s="23" t="str">
        <x:v>JUAN GABRIEL FREITAS DOS SANTOS</x:v>
      </x:c>
      <x:c r="C2008" s="23" t="str">
        <x:v>juan gabriel freitas dos santos</x:v>
      </x:c>
      <x:c r="D2008" s="22" t="str">
        <x:f>"66.814.531/0001-26"</x:f>
        <x:v>66.814.531/0001-26</x:v>
      </x:c>
      <x:c r="E2008" s="22" t="str">
        <x:f>"66814531000126"</x:f>
        <x:v>66814531000126</x:v>
      </x:c>
      <x:c r="F2008" s="22" t="str">
        <x:f>"510.289.318-16"</x:f>
        <x:v>510.289.318-16</x:v>
      </x:c>
      <x:c r="G2008" s="22" t="str">
        <x:f>"51028931816"</x:f>
        <x:v>51028931816</x:v>
      </x:c>
      <x:c r="H2008" s="23" t="str">
        <x:v>juangabrielfsantos05@gmail.com</x:v>
      </x:c>
      <x:c r="I2008" s="22" t="str">
        <x:f>"16997379729"</x:f>
        <x:v>16997379729</x:v>
      </x:c>
      <x:c r="J2008" s="23" t="str">
        <x:v>RENTAL</x:v>
      </x:c>
      <x:c r="K2008" s="23" t="str">
        <x:v>rental_company</x:v>
      </x:c>
      <x:c r="L2008" s="24" t="b">
        <x:v>1</x:v>
      </x:c>
      <x:c r="M2008" s="23" t="n">
        <x:v>1</x:v>
      </x:c>
      <x:c r="N2008" s="28" t="n">
        <x:v>46219.812988715275</x:v>
      </x:c>
      <x:c r="O2008" s="28" t="n">
        <x:v>46219.812988715275</x:v>
      </x:c>
      <x:c r="P2008" s="23" t="str">
        <x:v>SÃO CARLOS</x:v>
      </x:c>
      <x:c r="Q2008" s="30" t="n">
        <x:v>38510</x:v>
      </x:c>
      <x:c r="R2008" s="22" t="str">
        <x:f>"639835776"</x:f>
        <x:v>639835776</x:v>
      </x:c>
      <x:c r="S2008" s="23" t="str">
        <x:v>masculino</x:v>
      </x:c>
      <x:c r="T2008" s="22" t="str"/>
      <x:c r="U2008" s="23" t="str">
        <x:v>JUAN GABRIEL FREITAS DOS SANTOS</x:v>
      </x:c>
      <x:c r="V2008" s="22" t="str">
        <x:f>"510.289.318-16"</x:f>
        <x:v>510.289.318-16</x:v>
      </x:c>
      <x:c r="W2008" s="22" t="str">
        <x:f>"51028931816"</x:f>
        <x:v>51028931816</x:v>
      </x:c>
      <x:c r="X2008" s="23" t="str">
        <x:v>juangabrielfsantos05@gmail.com</x:v>
      </x:c>
      <x:c r="Y2008" s="22" t="str">
        <x:f>"16997379729"</x:f>
        <x:v>16997379729</x:v>
      </x:c>
      <x:c r="Z2008" s="30" t="n">
        <x:v>46525</x:v>
      </x:c>
    </x:row>
    <x:row r="2009" ht="18" customHeight="1">
      <x:c r="A2009" s="22" t="str">
        <x:f>"01ee9094-49d4-4516-bcff-6e23efa17aa3"</x:f>
        <x:v>01ee9094-49d4-4516-bcff-6e23efa17aa3</x:v>
      </x:c>
      <x:c r="B2009" s="23" t="str">
        <x:v>JUAN NUNES PEREIRA</x:v>
      </x:c>
      <x:c r="C2009" s="23" t="str">
        <x:v>juan nunes pereira</x:v>
      </x:c>
      <x:c r="D2009" s="22" t="str">
        <x:f>"60.991.897/0001-94"</x:f>
        <x:v>60.991.897/0001-94</x:v>
      </x:c>
      <x:c r="E2009" s="22" t="str">
        <x:f>"60991897000194"</x:f>
        <x:v>60991897000194</x:v>
      </x:c>
      <x:c r="F2009" s="22" t="str">
        <x:f>"191.208.647-60"</x:f>
        <x:v>191.208.647-60</x:v>
      </x:c>
      <x:c r="G2009" s="22" t="str">
        <x:f>"19120864760"</x:f>
        <x:v>19120864760</x:v>
      </x:c>
      <x:c r="H2009" s="23" t="str">
        <x:v>juan.nunes2016@hotmail.com</x:v>
      </x:c>
      <x:c r="I2009" s="22" t="str">
        <x:f>"21970280103"</x:f>
        <x:v>21970280103</x:v>
      </x:c>
      <x:c r="J2009" s="23" t="str">
        <x:v>SPOT</x:v>
      </x:c>
      <x:c r="K2009" s="23" t="str">
        <x:v>favored_only</x:v>
      </x:c>
      <x:c r="L2009" s="24" t="b">
        <x:v>1</x:v>
      </x:c>
      <x:c r="M2009" s="23" t="n">
        <x:v>2</x:v>
      </x:c>
      <x:c r="N2009" s="28" t="n">
        <x:v>46203.921887453704</x:v>
      </x:c>
      <x:c r="O2009" s="28" t="n">
        <x:v>46219.812988715275</x:v>
      </x:c>
      <x:c r="P2009" s="23" t="str">
        <x:v>CORDOVIL</x:v>
      </x:c>
      <x:c r="Q2009" s="30" t="n">
        <x:v>36951</x:v>
      </x:c>
      <x:c r="R2009" s="22" t="str">
        <x:f>"373201150060"</x:f>
        <x:v>373201150060</x:v>
      </x:c>
      <x:c r="S2009" s="23" t="str">
        <x:v>masculino</x:v>
      </x:c>
      <x:c r="T2009" s="22" t="str">
        <x:f>"KOQ5F86"</x:f>
        <x:v>KOQ5F86</x:v>
      </x:c>
      <x:c r="U2009" s="23" t="str">
        <x:v>ANDREA SILVA NUNES PEREIRA</x:v>
      </x:c>
      <x:c r="V2009" s="22" t="str">
        <x:f>"023.727.807-35"</x:f>
        <x:v>023.727.807-35</x:v>
      </x:c>
      <x:c r="W2009" s="22" t="str">
        <x:f>"02372780735"</x:f>
        <x:v>02372780735</x:v>
      </x:c>
      <x:c r="X2009" s="23" t="str">
        <x:v>juan.nunes2016@hotmail.com</x:v>
      </x:c>
      <x:c r="Y2009" s="22" t="str">
        <x:f>"21970280103"</x:f>
        <x:v>21970280103</x:v>
      </x:c>
      <x:c r="Z2009" s="30" t="n">
        <x:v>46332</x:v>
      </x:c>
    </x:row>
    <x:row r="2010" ht="18" customHeight="1">
      <x:c r="A2010" s="22" t="str">
        <x:f>"0553a7f3-0e69-4503-b1bc-2b64595953ee"</x:f>
        <x:v>0553a7f3-0e69-4503-b1bc-2b64595953ee</x:v>
      </x:c>
      <x:c r="B2010" s="23" t="str">
        <x:v>JUAN VICTOR SALAZAR ALCOCER</x:v>
      </x:c>
      <x:c r="C2010" s="23" t="str">
        <x:v>juan victor salazar alcocer</x:v>
      </x:c>
      <x:c r="D2010" s="22" t="str">
        <x:f>"64.038.261/0001-83"</x:f>
        <x:v>64.038.261/0001-83</x:v>
      </x:c>
      <x:c r="E2010" s="22" t="str">
        <x:f>"64038261000183"</x:f>
        <x:v>64038261000183</x:v>
      </x:c>
      <x:c r="F2010" s="22" t="str">
        <x:f>"711.816.562-06"</x:f>
        <x:v>711.816.562-06</x:v>
      </x:c>
      <x:c r="G2010" s="22" t="str">
        <x:f>"71181656206"</x:f>
        <x:v>71181656206</x:v>
      </x:c>
      <x:c r="H2010" s="23" t="str">
        <x:v>juanvictorsalazar.jvsa@gmail.com</x:v>
      </x:c>
      <x:c r="I2010" s="22" t="str">
        <x:f>"(22)98129-4452"</x:f>
        <x:v>(22)98129-4452</x:v>
      </x:c>
      <x:c r="J2010" s="23" t="str">
        <x:v>RENTAL</x:v>
      </x:c>
      <x:c r="K2010" s="23" t="str">
        <x:v>rental_company</x:v>
      </x:c>
      <x:c r="L2010" s="24" t="b">
        <x:v>1</x:v>
      </x:c>
      <x:c r="M2010" s="23" t="n">
        <x:v>1</x:v>
      </x:c>
      <x:c r="N2010" s="28" t="n">
        <x:v>46219.812988715275</x:v>
      </x:c>
      <x:c r="O2010" s="28" t="n">
        <x:v>46219.812988715275</x:v>
      </x:c>
      <x:c r="P2010" s="23" t="str">
        <x:v>POUSO ALEGRE</x:v>
      </x:c>
      <x:c r="Q2010" s="30" t="n">
        <x:v>31187</x:v>
      </x:c>
      <x:c r="R2010" s="22" t="str">
        <x:f>"F628836T DPF RJ"</x:f>
        <x:v>F628836T DPF RJ</x:v>
      </x:c>
      <x:c r="S2010" s="23" t="str">
        <x:v>masculino</x:v>
      </x:c>
      <x:c r="T2010" s="22" t="str"/>
      <x:c r="U2010" s="23" t="str">
        <x:v>JUAN VICTOR SALAZAR ALCOCER</x:v>
      </x:c>
      <x:c r="V2010" s="22" t="str">
        <x:f>"711.816.562-06"</x:f>
        <x:v>711.816.562-06</x:v>
      </x:c>
      <x:c r="W2010" s="22" t="str">
        <x:f>"71181656206"</x:f>
        <x:v>71181656206</x:v>
      </x:c>
      <x:c r="X2010" s="23" t="str">
        <x:v>juanvictorsalazar.jvsa@gmail.com</x:v>
      </x:c>
      <x:c r="Y2010" s="22" t="str">
        <x:f>"(22)98129-4452"</x:f>
        <x:v>(22)98129-4452</x:v>
      </x:c>
      <x:c r="Z2010" s="30" t="n">
        <x:v>46570</x:v>
      </x:c>
    </x:row>
    <x:row r="2011" ht="18" customHeight="1">
      <x:c r="A2011" s="22" t="str">
        <x:f>"154ed29d-5639-4538-b9f6-1120ee33bd0c"</x:f>
        <x:v>154ed29d-5639-4538-b9f6-1120ee33bd0c</x:v>
      </x:c>
      <x:c r="B2011" s="23" t="str">
        <x:v>JUAREZ DA ANUNCIACAO BISPO</x:v>
      </x:c>
      <x:c r="C2011" s="23" t="str">
        <x:v>juarez da anunciacao bispo</x:v>
      </x:c>
      <x:c r="D2011" s="22" t="str">
        <x:f>"67.520.599/0001-65"</x:f>
        <x:v>67.520.599/0001-65</x:v>
      </x:c>
      <x:c r="E2011" s="22" t="str">
        <x:f>"67520599000165"</x:f>
        <x:v>67520599000165</x:v>
      </x:c>
      <x:c r="F2011" s="22" t="str">
        <x:f>"047.761.905-32"</x:f>
        <x:v>047.761.905-32</x:v>
      </x:c>
      <x:c r="G2011" s="22" t="str">
        <x:f>"04776190532"</x:f>
        <x:v>04776190532</x:v>
      </x:c>
      <x:c r="H2011" s="23" t="str">
        <x:v>juarez.anunciacaobispo@gmail.com</x:v>
      </x:c>
      <x:c r="I2011" s="22" t="str">
        <x:f>"33 8462-3995"</x:f>
        <x:v>33 8462-3995</x:v>
      </x:c>
      <x:c r="J2011" s="23" t="str">
        <x:v>SPOT</x:v>
      </x:c>
      <x:c r="K2011" s="23" t="str">
        <x:v>favored_only</x:v>
      </x:c>
      <x:c r="L2011" s="24" t="b">
        <x:v>1</x:v>
      </x:c>
      <x:c r="M2011" s="23" t="n">
        <x:v>1</x:v>
      </x:c>
      <x:c r="N2011" s="28" t="n">
        <x:v>46219.812988715275</x:v>
      </x:c>
      <x:c r="O2011" s="28" t="n">
        <x:v>46219.812988715275</x:v>
      </x:c>
      <x:c r="P2011" s="23" t="str">
        <x:v>GUANHAES</x:v>
      </x:c>
      <x:c r="Q2011" s="30" t="n">
        <x:v>32731</x:v>
      </x:c>
      <x:c r="R2011" s="22" t="str">
        <x:f>"1539874303"</x:f>
        <x:v>1539874303</x:v>
      </x:c>
      <x:c r="S2011" s="23" t="str">
        <x:v>masculino</x:v>
      </x:c>
      <x:c r="T2011" s="22" t="str">
        <x:f>"HJU2E41"</x:f>
        <x:v>HJU2E41</x:v>
      </x:c>
      <x:c r="U2011" s="23" t="str">
        <x:v>PEDRO VICTOR DOS SANTOS</x:v>
      </x:c>
      <x:c r="V2011" s="22" t="str">
        <x:f>"145.930.776-30"</x:f>
        <x:v>145.930.776-30</x:v>
      </x:c>
      <x:c r="W2011" s="22" t="str">
        <x:f>"14593077630"</x:f>
        <x:v>14593077630</x:v>
      </x:c>
      <x:c r="X2011" s="23" t="str">
        <x:v>vitorpedro606@gmail.com</x:v>
      </x:c>
      <x:c r="Y2011" s="22" t="str">
        <x:f>"(33) 9 8839 5084"</x:f>
        <x:v>(33) 9 8839 5084</x:v>
      </x:c>
      <x:c r="Z2011" s="30" t="n">
        <x:v>46568</x:v>
      </x:c>
    </x:row>
    <x:row r="2012" ht="18" customHeight="1">
      <x:c r="A2012" s="22" t="str">
        <x:f>"4fb93e84-7103-4076-a38a-493ca6fc8267"</x:f>
        <x:v>4fb93e84-7103-4076-a38a-493ca6fc8267</x:v>
      </x:c>
      <x:c r="B2012" s="23" t="str">
        <x:v>JUAREZ DA ANUNCIACAO BISPO</x:v>
      </x:c>
      <x:c r="C2012" s="23" t="str">
        <x:v>juarez da anunciacao bispo</x:v>
      </x:c>
      <x:c r="D2012" s="22" t="str">
        <x:f>"66.276.100/0001-53"</x:f>
        <x:v>66.276.100/0001-53</x:v>
      </x:c>
      <x:c r="E2012" s="22" t="str">
        <x:f>"66276100000153"</x:f>
        <x:v>66276100000153</x:v>
      </x:c>
      <x:c r="F2012" s="22" t="str">
        <x:f>"047.761.905-32"</x:f>
        <x:v>047.761.905-32</x:v>
      </x:c>
      <x:c r="G2012" s="22" t="str">
        <x:f>"04776190532"</x:f>
        <x:v>04776190532</x:v>
      </x:c>
      <x:c r="H2012" s="23" t="str">
        <x:v>Juarez.anunciacaobispo@gmail.com</x:v>
      </x:c>
      <x:c r="I2012" s="22" t="str">
        <x:f>"33984623995"</x:f>
        <x:v>33984623995</x:v>
      </x:c>
      <x:c r="J2012" s="23" t="str">
        <x:v>SPOT</x:v>
      </x:c>
      <x:c r="K2012" s="23" t="str">
        <x:v>favored_only</x:v>
      </x:c>
      <x:c r="L2012" s="24" t="b">
        <x:v>1</x:v>
      </x:c>
      <x:c r="M2012" s="23" t="n">
        <x:v>1</x:v>
      </x:c>
      <x:c r="N2012" s="28" t="n">
        <x:v>46219.812988715275</x:v>
      </x:c>
      <x:c r="O2012" s="28" t="n">
        <x:v>46219.812988715275</x:v>
      </x:c>
      <x:c r="P2012" s="23" t="str">
        <x:v>GUANHAES</x:v>
      </x:c>
      <x:c r="Q2012" s="30" t="n">
        <x:v>32731</x:v>
      </x:c>
      <x:c r="R2012" s="22" t="str">
        <x:f>"1539874303"</x:f>
        <x:v>1539874303</x:v>
      </x:c>
      <x:c r="S2012" s="23" t="str">
        <x:v>masculino</x:v>
      </x:c>
      <x:c r="T2012" s="22" t="str">
        <x:f>"HDT2C39"</x:f>
        <x:v>HDT2C39</x:v>
      </x:c>
      <x:c r="U2012" s="23" t="str">
        <x:v>JUAREZ DA ANUNCIACAO BISPO</x:v>
      </x:c>
      <x:c r="V2012" s="22" t="str">
        <x:f>"047.761.905-32"</x:f>
        <x:v>047.761.905-32</x:v>
      </x:c>
      <x:c r="W2012" s="22" t="str">
        <x:f>"04776190532"</x:f>
        <x:v>04776190532</x:v>
      </x:c>
      <x:c r="X2012" s="23" t="str">
        <x:v>Juarez.anunciacaobispo@gmail.com</x:v>
      </x:c>
      <x:c r="Y2012" s="22" t="str">
        <x:f>"33984623995"</x:f>
        <x:v>33984623995</x:v>
      </x:c>
      <x:c r="Z2012" s="30" t="n">
        <x:v>46508</x:v>
      </x:c>
    </x:row>
    <x:row r="2013" ht="18" customHeight="1">
      <x:c r="A2013" s="22" t="str">
        <x:f>"aec73767-b506-4c7d-887e-04730a46f0a5"</x:f>
        <x:v>aec73767-b506-4c7d-887e-04730a46f0a5</x:v>
      </x:c>
      <x:c r="B2013" s="23" t="str">
        <x:v>JUAREZ DA ANUNCIACAO BISPO</x:v>
      </x:c>
      <x:c r="C2013" s="23" t="str">
        <x:v>juarez da anunciacao bispo</x:v>
      </x:c>
      <x:c r="D2013" s="22" t="str">
        <x:f>"57.108.814/0001-61"</x:f>
        <x:v>57.108.814/0001-61</x:v>
      </x:c>
      <x:c r="E2013" s="22" t="str">
        <x:f>"57108814000161"</x:f>
        <x:v>57108814000161</x:v>
      </x:c>
      <x:c r="F2013" s="22" t="str">
        <x:f>"047.761.905-32"</x:f>
        <x:v>047.761.905-32</x:v>
      </x:c>
      <x:c r="G2013" s="22" t="str">
        <x:f>"04776190532"</x:f>
        <x:v>04776190532</x:v>
      </x:c>
      <x:c r="H2013" s="23" t="str">
        <x:v>Juarez.anunciacaobispo@gmail.com</x:v>
      </x:c>
      <x:c r="I2013" s="22" t="str">
        <x:f>"33984623995"</x:f>
        <x:v>33984623995</x:v>
      </x:c>
      <x:c r="J2013" s="23" t="str">
        <x:v>SPOT</x:v>
      </x:c>
      <x:c r="K2013" s="23" t="str">
        <x:v>favored_only</x:v>
      </x:c>
      <x:c r="L2013" s="24" t="b">
        <x:v>1</x:v>
      </x:c>
      <x:c r="M2013" s="23" t="n">
        <x:v>1</x:v>
      </x:c>
      <x:c r="N2013" s="28" t="n">
        <x:v>46219.812988715275</x:v>
      </x:c>
      <x:c r="O2013" s="28" t="n">
        <x:v>46219.812988715275</x:v>
      </x:c>
      <x:c r="P2013" s="23" t="str">
        <x:v>GUANHAES</x:v>
      </x:c>
      <x:c r="Q2013" s="30" t="n">
        <x:v>32731</x:v>
      </x:c>
      <x:c r="R2013" s="22" t="str">
        <x:f>"5715232865"</x:f>
        <x:v>5715232865</x:v>
      </x:c>
      <x:c r="S2013" s="23" t="str">
        <x:v>masculino</x:v>
      </x:c>
      <x:c r="T2013" s="22" t="str">
        <x:f>"HDT2C39"</x:f>
        <x:v>HDT2C39</x:v>
      </x:c>
      <x:c r="U2013" s="23" t="str">
        <x:v>VITOR CRISTINO DE LIMA</x:v>
      </x:c>
      <x:c r="V2013" s="22" t="str">
        <x:f>"116.593.826-02"</x:f>
        <x:v>116.593.826-02</x:v>
      </x:c>
      <x:c r="W2013" s="22" t="str">
        <x:f>"11659382602"</x:f>
        <x:v>11659382602</x:v>
      </x:c>
      <x:c r="X2013" s="23" t="str">
        <x:v>vitorcristino200@gmail.com</x:v>
      </x:c>
      <x:c r="Y2013" s="22" t="str">
        <x:f>"33988598490"</x:f>
        <x:v>33988598490</x:v>
      </x:c>
      <x:c r="Z2013" s="30" t="n">
        <x:v>46487</x:v>
      </x:c>
    </x:row>
    <x:row r="2014" ht="18" customHeight="1">
      <x:c r="A2014" s="22" t="str">
        <x:f>"529b7199-8b8c-4ef1-88a8-930185dc2b51"</x:f>
        <x:v>529b7199-8b8c-4ef1-88a8-930185dc2b51</x:v>
      </x:c>
      <x:c r="B2014" s="23" t="str">
        <x:v>JUCELINO SILVA DO NASCIMENTO</x:v>
      </x:c>
      <x:c r="C2014" s="23" t="str">
        <x:v>jucelino silva do nascimento</x:v>
      </x:c>
      <x:c r="D2014" s="22" t="str">
        <x:f>"50.073.217/0001-08"</x:f>
        <x:v>50.073.217/0001-08</x:v>
      </x:c>
      <x:c r="E2014" s="22" t="str">
        <x:f>"50073217000108"</x:f>
        <x:v>50073217000108</x:v>
      </x:c>
      <x:c r="F2014" s="22" t="str">
        <x:f>"626.840.781-49"</x:f>
        <x:v>626.840.781-49</x:v>
      </x:c>
      <x:c r="G2014" s="22" t="str">
        <x:f>"62684078149"</x:f>
        <x:v>62684078149</x:v>
      </x:c>
      <x:c r="H2014" s="23" t="str">
        <x:v>vaidacertojucelino@gmail.com</x:v>
      </x:c>
      <x:c r="I2014" s="22" t="str">
        <x:f>"659998282"</x:f>
        <x:v>659998282</x:v>
      </x:c>
      <x:c r="J2014" s="23" t="str">
        <x:v>SPOT</x:v>
      </x:c>
      <x:c r="K2014" s="23" t="str">
        <x:v>favored_only</x:v>
      </x:c>
      <x:c r="L2014" s="24" t="b">
        <x:v>1</x:v>
      </x:c>
      <x:c r="M2014" s="23" t="n">
        <x:v>1</x:v>
      </x:c>
      <x:c r="N2014" s="28" t="n">
        <x:v>46205.60605451389</x:v>
      </x:c>
      <x:c r="O2014" s="28" t="n">
        <x:v>46219.812988715275</x:v>
      </x:c>
      <x:c r="P2014" s="23" t="str">
        <x:v>CÁCERES</x:v>
      </x:c>
      <x:c r="Q2014" s="30" t="n">
        <x:v>28005</x:v>
      </x:c>
      <x:c r="R2014" s="22" t="str">
        <x:f>"59242"</x:f>
        <x:v>59242</x:v>
      </x:c>
      <x:c r="S2014" s="23" t="str">
        <x:v>masculino</x:v>
      </x:c>
      <x:c r="T2014" s="22" t="str">
        <x:f>"AXR7H38"</x:f>
        <x:v>AXR7H38</x:v>
      </x:c>
      <x:c r="U2014" s="23" t="str">
        <x:v>EVANDRO OLIVEIRA LOURENCO</x:v>
      </x:c>
      <x:c r="V2014" s="22" t="str">
        <x:f>"012.957.851-70"</x:f>
        <x:v>012.957.851-70</x:v>
      </x:c>
      <x:c r="W2014" s="22" t="str">
        <x:f>"01295785170"</x:f>
        <x:v>01295785170</x:v>
      </x:c>
      <x:c r="X2014" s="23" t="str">
        <x:v>evandromsoliveira@gmail.com</x:v>
      </x:c>
      <x:c r="Y2014" s="22" t="str">
        <x:f>"65992188094"</x:f>
        <x:v>65992188094</x:v>
      </x:c>
      <x:c r="Z2014" s="30" t="n">
        <x:v>46340</x:v>
      </x:c>
    </x:row>
    <x:row r="2015" ht="18" customHeight="1">
      <x:c r="A2015" s="22" t="str">
        <x:f>"a4f9eaac-f5fb-4e78-914e-3588fd47f338"</x:f>
        <x:v>a4f9eaac-f5fb-4e78-914e-3588fd47f338</x:v>
      </x:c>
      <x:c r="B2015" s="23" t="str">
        <x:v>JUCICLEY MORAES GOMES</x:v>
      </x:c>
      <x:c r="C2015" s="23" t="str">
        <x:v>jucicley moraes gomes</x:v>
      </x:c>
      <x:c r="D2015" s="22" t="str">
        <x:f>"64.660.769/0001-19"</x:f>
        <x:v>64.660.769/0001-19</x:v>
      </x:c>
      <x:c r="E2015" s="22" t="str">
        <x:f>"64660769000119"</x:f>
        <x:v>64660769000119</x:v>
      </x:c>
      <x:c r="F2015" s="22" t="str">
        <x:f>"041.556.641-00"</x:f>
        <x:v>041.556.641-00</x:v>
      </x:c>
      <x:c r="G2015" s="22" t="str">
        <x:f>"04155664100"</x:f>
        <x:v>04155664100</x:v>
      </x:c>
      <x:c r="H2015" s="23" t="str">
        <x:v>jucicleymoraes8@gmail.com</x:v>
      </x:c>
      <x:c r="I2015" s="22" t="str">
        <x:f>"65 99618-5681"</x:f>
        <x:v>65 99618-5681</x:v>
      </x:c>
      <x:c r="J2015" s="23" t="str">
        <x:v>SPOT</x:v>
      </x:c>
      <x:c r="K2015" s="23" t="str">
        <x:v>favored_only</x:v>
      </x:c>
      <x:c r="L2015" s="24" t="b">
        <x:v>1</x:v>
      </x:c>
      <x:c r="M2015" s="23" t="n">
        <x:v>1</x:v>
      </x:c>
      <x:c r="N2015" s="28" t="n">
        <x:v>46219.812988715275</x:v>
      </x:c>
      <x:c r="O2015" s="28" t="n">
        <x:v>46219.812988715275</x:v>
      </x:c>
      <x:c r="P2015" s="23" t="str">
        <x:v>CUIABA</x:v>
      </x:c>
      <x:c r="Q2015" s="30" t="n">
        <x:v>33339</x:v>
      </x:c>
      <x:c r="R2015" s="22" t="str">
        <x:f>"19310510"</x:f>
        <x:v>19310510</x:v>
      </x:c>
      <x:c r="S2015" s="23" t="str">
        <x:v>masculino</x:v>
      </x:c>
      <x:c r="T2015" s="22" t="str">
        <x:f>"QQW7B54"</x:f>
        <x:v>QQW7B54</x:v>
      </x:c>
      <x:c r="U2015" s="23" t="str">
        <x:v>JUCICLEY MORAES GOMES</x:v>
      </x:c>
      <x:c r="V2015" s="22" t="str">
        <x:f>"041.556.641-00"</x:f>
        <x:v>041.556.641-00</x:v>
      </x:c>
      <x:c r="W2015" s="22" t="str">
        <x:f>"04155664100"</x:f>
        <x:v>04155664100</x:v>
      </x:c>
      <x:c r="X2015" s="23" t="str">
        <x:v>jucicleymoraes8@gmail.com</x:v>
      </x:c>
      <x:c r="Y2015" s="22" t="str">
        <x:f>"65 99618-5681"</x:f>
        <x:v>65 99618-5681</x:v>
      </x:c>
      <x:c r="Z2015" s="30" t="n">
        <x:v>46459</x:v>
      </x:c>
    </x:row>
    <x:row r="2016" ht="18" customHeight="1">
      <x:c r="A2016" s="22" t="str">
        <x:f>"0552c985-25f3-4392-a0c1-789e3069258e"</x:f>
        <x:v>0552c985-25f3-4392-a0c1-789e3069258e</x:v>
      </x:c>
      <x:c r="B2016" s="23" t="str">
        <x:v>JUCILEIDE ARDAIA DO COUTO DE MORAES</x:v>
      </x:c>
      <x:c r="C2016" s="23" t="str">
        <x:v>jucileide ardaia do couto de moraes</x:v>
      </x:c>
      <x:c r="D2016" s="22" t="str">
        <x:f>"63.424.855/0001-60"</x:f>
        <x:v>63.424.855/0001-60</x:v>
      </x:c>
      <x:c r="E2016" s="22" t="str">
        <x:f>"63424855000160"</x:f>
        <x:v>63424855000160</x:v>
      </x:c>
      <x:c r="F2016" s="22" t="str">
        <x:f>"012.494.841-38"</x:f>
        <x:v>012.494.841-38</x:v>
      </x:c>
      <x:c r="G2016" s="22" t="str">
        <x:f>"01249484138"</x:f>
        <x:v>01249484138</x:v>
      </x:c>
      <x:c r="H2016" s="23" t="str">
        <x:v>leidejucileide7@gmail.com</x:v>
      </x:c>
      <x:c r="I2016" s="22" t="str">
        <x:f>"65998078415"</x:f>
        <x:v>65998078415</x:v>
      </x:c>
      <x:c r="J2016" s="23" t="str">
        <x:v>SPOT</x:v>
      </x:c>
      <x:c r="K2016" s="23" t="str">
        <x:v>favored_only</x:v>
      </x:c>
      <x:c r="L2016" s="24" t="b">
        <x:v>1</x:v>
      </x:c>
      <x:c r="M2016" s="23" t="n">
        <x:v>1</x:v>
      </x:c>
      <x:c r="N2016" s="28" t="n">
        <x:v>46205.607032395834</x:v>
      </x:c>
      <x:c r="O2016" s="28" t="n">
        <x:v>46219.812988715275</x:v>
      </x:c>
      <x:c r="P2016" s="23" t="str">
        <x:v>CÁCERES</x:v>
      </x:c>
      <x:c r="Q2016" s="30" t="n">
        <x:v>30391</x:v>
      </x:c>
      <x:c r="R2016" s="22" t="str">
        <x:f>"17443342"</x:f>
        <x:v>17443342</x:v>
      </x:c>
      <x:c r="S2016" s="23" t="str">
        <x:v>feminino</x:v>
      </x:c>
      <x:c r="T2016" s="22" t="str">
        <x:f>"OBQ6940"</x:f>
        <x:v>OBQ6940</x:v>
      </x:c>
      <x:c r="U2016" s="23" t="str">
        <x:v>NILSON DIVINO RODRIGUES LEITE</x:v>
      </x:c>
      <x:c r="V2016" s="22" t="str">
        <x:f>"004.662.511-90"</x:f>
        <x:v>004.662.511-90</x:v>
      </x:c>
      <x:c r="W2016" s="22" t="str">
        <x:f>"00466251190"</x:f>
        <x:v>00466251190</x:v>
      </x:c>
      <x:c r="X2016" s="23" t="str">
        <x:v>n55268015@gmail.com</x:v>
      </x:c>
      <x:c r="Y2016" s="22" t="str">
        <x:f>"65998078415"</x:f>
        <x:v>65998078415</x:v>
      </x:c>
      <x:c r="Z2016" s="30" t="n">
        <x:v>46395</x:v>
      </x:c>
    </x:row>
    <x:row r="2017" ht="18" customHeight="1">
      <x:c r="A2017" s="22" t="str">
        <x:f>"9033d4e1-0581-4a41-9f51-9350546e0426"</x:f>
        <x:v>9033d4e1-0581-4a41-9f51-9350546e0426</x:v>
      </x:c>
      <x:c r="B2017" s="23" t="str">
        <x:v>JUCIMAR GONCALVES CHAGAS</x:v>
      </x:c>
      <x:c r="C2017" s="23" t="str">
        <x:v>jucimar goncalves chagas</x:v>
      </x:c>
      <x:c r="D2017" s="22" t="str">
        <x:f>"48.733.835/0001-87"</x:f>
        <x:v>48.733.835/0001-87</x:v>
      </x:c>
      <x:c r="E2017" s="22" t="str">
        <x:f>"48733835000187"</x:f>
        <x:v>48733835000187</x:v>
      </x:c>
      <x:c r="F2017" s="22" t="str">
        <x:f>"382.408.048-61"</x:f>
        <x:v>382.408.048-61</x:v>
      </x:c>
      <x:c r="G2017" s="22" t="str">
        <x:f>"38240804861"</x:f>
        <x:v>38240804861</x:v>
      </x:c>
      <x:c r="H2017" s="23" t="str">
        <x:v>jucimargoncalves51@gmail.com</x:v>
      </x:c>
      <x:c r="I2017" s="22" t="str">
        <x:f>"11964159373"</x:f>
        <x:v>11964159373</x:v>
      </x:c>
      <x:c r="J2017" s="23" t="str">
        <x:v>RENTAL</x:v>
      </x:c>
      <x:c r="K2017" s="23" t="str">
        <x:v>rental_company</x:v>
      </x:c>
      <x:c r="L2017" s="24" t="b">
        <x:v>1</x:v>
      </x:c>
      <x:c r="M2017" s="23" t="n">
        <x:v>1</x:v>
      </x:c>
      <x:c r="N2017" s="28" t="n">
        <x:v>46219.812988715275</x:v>
      </x:c>
      <x:c r="O2017" s="28" t="n">
        <x:v>46219.812988715275</x:v>
      </x:c>
      <x:c r="P2017" s="23" t="str">
        <x:v>BARUERI</x:v>
      </x:c>
      <x:c r="Q2017" s="30" t="n">
        <x:v>32678</x:v>
      </x:c>
      <x:c r="R2017" s="22" t="str">
        <x:f>"47305822"</x:f>
        <x:v>47305822</x:v>
      </x:c>
      <x:c r="S2017" s="23" t="str">
        <x:v>masculino</x:v>
      </x:c>
      <x:c r="T2017" s="22" t="str"/>
      <x:c r="U2017" s="23" t="str">
        <x:v>JUCIMAR GONCALVES CHAGAS</x:v>
      </x:c>
      <x:c r="V2017" s="22" t="str">
        <x:f>"382.408.048-61"</x:f>
        <x:v>382.408.048-61</x:v>
      </x:c>
      <x:c r="W2017" s="22" t="str">
        <x:f>"38240804861"</x:f>
        <x:v>38240804861</x:v>
      </x:c>
      <x:c r="X2017" s="23" t="str">
        <x:v>jucimargoncalves51@gmail.com</x:v>
      </x:c>
      <x:c r="Y2017" s="22" t="str">
        <x:f>"11964159373"</x:f>
        <x:v>11964159373</x:v>
      </x:c>
      <x:c r="Z2017" s="30" t="n">
        <x:v>46494</x:v>
      </x:c>
    </x:row>
    <x:row r="2018" ht="18" customHeight="1">
      <x:c r="A2018" s="22" t="str">
        <x:f>"05cd6bd4-12bd-441c-b945-e03b4aebfde0"</x:f>
        <x:v>05cd6bd4-12bd-441c-b945-e03b4aebfde0</x:v>
      </x:c>
      <x:c r="B2018" s="23" t="str">
        <x:v>JULIA DE CARVALHO ROVITO</x:v>
      </x:c>
      <x:c r="C2018" s="23" t="str">
        <x:v>julia de carvalho rovito</x:v>
      </x:c>
      <x:c r="D2018" s="22" t="str">
        <x:f>"37.751.202/0001-85"</x:f>
        <x:v>37.751.202/0001-85</x:v>
      </x:c>
      <x:c r="E2018" s="22" t="str">
        <x:f>"37751202000185"</x:f>
        <x:v>37751202000185</x:v>
      </x:c>
      <x:c r="F2018" s="22" t="str">
        <x:f>"426.588.628-06"</x:f>
        <x:v>426.588.628-06</x:v>
      </x:c>
      <x:c r="G2018" s="22" t="str">
        <x:f>"42658862806"</x:f>
        <x:v>42658862806</x:v>
      </x:c>
      <x:c r="H2018" s="23" t="str">
        <x:v>juliarovito@gmail.com</x:v>
      </x:c>
      <x:c r="I2018" s="22" t="str">
        <x:f>"16982361490"</x:f>
        <x:v>16982361490</x:v>
      </x:c>
      <x:c r="J2018" s="23" t="str">
        <x:v>RENTAL</x:v>
      </x:c>
      <x:c r="K2018" s="23" t="str">
        <x:v>rental_company</x:v>
      </x:c>
      <x:c r="L2018" s="24" t="b">
        <x:v>1</x:v>
      </x:c>
      <x:c r="M2018" s="23" t="n">
        <x:v>1</x:v>
      </x:c>
      <x:c r="N2018" s="28" t="n">
        <x:v>46219.812988715275</x:v>
      </x:c>
      <x:c r="O2018" s="28" t="n">
        <x:v>46219.812988715275</x:v>
      </x:c>
      <x:c r="P2018" s="23" t="str">
        <x:v>RIBEIRAO PRETO</x:v>
      </x:c>
      <x:c r="Q2018" s="30" t="n">
        <x:v>34471</x:v>
      </x:c>
      <x:c r="R2018" s="22" t="str">
        <x:f>"409945110"</x:f>
        <x:v>409945110</x:v>
      </x:c>
      <x:c r="S2018" s="23" t="str">
        <x:v>feminino</x:v>
      </x:c>
      <x:c r="T2018" s="22" t="str"/>
      <x:c r="U2018" s="23" t="str">
        <x:v>JULIA DE CARVALHO ROVITO</x:v>
      </x:c>
      <x:c r="V2018" s="22" t="str">
        <x:f>"426.588.628-06"</x:f>
        <x:v>426.588.628-06</x:v>
      </x:c>
      <x:c r="W2018" s="22" t="str">
        <x:f>"42658862806"</x:f>
        <x:v>42658862806</x:v>
      </x:c>
      <x:c r="X2018" s="23" t="str">
        <x:v>juliarovito@gmail.com</x:v>
      </x:c>
      <x:c r="Y2018" s="22" t="str">
        <x:f>"16982361490"</x:f>
        <x:v>16982361490</x:v>
      </x:c>
      <x:c r="Z2018" s="30" t="n">
        <x:v>46546</x:v>
      </x:c>
    </x:row>
    <x:row r="2019" ht="18" customHeight="1">
      <x:c r="A2019" s="22" t="str">
        <x:f>"f85e2145-4667-4203-8784-bd3d41348d1e"</x:f>
        <x:v>f85e2145-4667-4203-8784-bd3d41348d1e</x:v>
      </x:c>
      <x:c r="B2019" s="23" t="str">
        <x:v>JULIANA BRANDAO DOS SANTOS</x:v>
      </x:c>
      <x:c r="C2019" s="23" t="str">
        <x:v>juliana brandao dos santos</x:v>
      </x:c>
      <x:c r="D2019" s="22" t="str">
        <x:f>"58.464.118/0001-50"</x:f>
        <x:v>58.464.118/0001-50</x:v>
      </x:c>
      <x:c r="E2019" s="22" t="str">
        <x:f>"58464118000150"</x:f>
        <x:v>58464118000150</x:v>
      </x:c>
      <x:c r="F2019" s="22" t="str">
        <x:f>"420.065.528-48"</x:f>
        <x:v>420.065.528-48</x:v>
      </x:c>
      <x:c r="G2019" s="22" t="str">
        <x:f>"42006552848"</x:f>
        <x:v>42006552848</x:v>
      </x:c>
      <x:c r="H2019" s="23" t="str">
        <x:v>jbrandao426@gmail.com</x:v>
      </x:c>
      <x:c r="I2019" s="22" t="str">
        <x:f>"11966079570"</x:f>
        <x:v>11966079570</x:v>
      </x:c>
      <x:c r="J2019" s="23" t="str">
        <x:v>RENTAL</x:v>
      </x:c>
      <x:c r="K2019" s="23" t="str">
        <x:v>rental_company</x:v>
      </x:c>
      <x:c r="L2019" s="24" t="b">
        <x:v>1</x:v>
      </x:c>
      <x:c r="M2019" s="23" t="n">
        <x:v>1</x:v>
      </x:c>
      <x:c r="N2019" s="28" t="n">
        <x:v>46219.812988715275</x:v>
      </x:c>
      <x:c r="O2019" s="28" t="n">
        <x:v>46219.812988715275</x:v>
      </x:c>
      <x:c r="P2019" s="23" t="str">
        <x:v>BARUERI</x:v>
      </x:c>
      <x:c r="Q2019" s="30" t="n">
        <x:v>33967</x:v>
      </x:c>
      <x:c r="R2019" s="22" t="str">
        <x:f>"484590984"</x:f>
        <x:v>484590984</x:v>
      </x:c>
      <x:c r="S2019" s="23" t="str">
        <x:v>feminino</x:v>
      </x:c>
      <x:c r="T2019" s="22" t="str"/>
      <x:c r="U2019" s="23" t="str">
        <x:v>JULIANA BRANDAO DOS SANTOS</x:v>
      </x:c>
      <x:c r="V2019" s="22" t="str">
        <x:f>"420.065.528-48"</x:f>
        <x:v>420.065.528-48</x:v>
      </x:c>
      <x:c r="W2019" s="22" t="str">
        <x:f>"42006552848"</x:f>
        <x:v>42006552848</x:v>
      </x:c>
      <x:c r="X2019" s="23" t="str">
        <x:v>jbrandao426@gmail.com</x:v>
      </x:c>
      <x:c r="Y2019" s="22" t="str">
        <x:f>"11966079570"</x:f>
        <x:v>11966079570</x:v>
      </x:c>
      <x:c r="Z2019" s="30" t="n">
        <x:v>46512</x:v>
      </x:c>
    </x:row>
    <x:row r="2020" ht="18" customHeight="1">
      <x:c r="A2020" s="22" t="str">
        <x:f>"caa29553-3edd-4f02-960d-bf7fd36102e8"</x:f>
        <x:v>caa29553-3edd-4f02-960d-bf7fd36102e8</x:v>
      </x:c>
      <x:c r="B2020" s="23" t="str">
        <x:v>JULIANA CRISTINA DE PAULA</x:v>
      </x:c>
      <x:c r="C2020" s="23" t="str">
        <x:v>juliana cristina de paula</x:v>
      </x:c>
      <x:c r="D2020" s="22" t="str">
        <x:f>"66.401.052/0001-88"</x:f>
        <x:v>66.401.052/0001-88</x:v>
      </x:c>
      <x:c r="E2020" s="22" t="str">
        <x:f>"66401052000188"</x:f>
        <x:v>66401052000188</x:v>
      </x:c>
      <x:c r="F2020" s="22" t="str">
        <x:f>"094.509.756-65"</x:f>
        <x:v>094.509.756-65</x:v>
      </x:c>
      <x:c r="G2020" s="22" t="str">
        <x:f>"09450975665"</x:f>
        <x:v>09450975665</x:v>
      </x:c>
      <x:c r="H2020" s="23" t="str">
        <x:v>julianactpaula@hotmail.com</x:v>
      </x:c>
      <x:c r="I2020" s="22" t="str">
        <x:f>"34988191836"</x:f>
        <x:v>34988191836</x:v>
      </x:c>
      <x:c r="J2020" s="23" t="str">
        <x:v>SPOT</x:v>
      </x:c>
      <x:c r="K2020" s="23" t="str">
        <x:v>favored_only</x:v>
      </x:c>
      <x:c r="L2020" s="24" t="b">
        <x:v>1</x:v>
      </x:c>
      <x:c r="M2020" s="23" t="n">
        <x:v>1</x:v>
      </x:c>
      <x:c r="N2020" s="28" t="n">
        <x:v>46219.812988715275</x:v>
      </x:c>
      <x:c r="O2020" s="28" t="n">
        <x:v>46219.812988715275</x:v>
      </x:c>
      <x:c r="P2020" s="23" t="str">
        <x:v>ARAXÁ</x:v>
      </x:c>
      <x:c r="Q2020" s="30" t="n">
        <x:v>32537</x:v>
      </x:c>
      <x:c r="R2020" s="22" t="str">
        <x:f>"MG154815995"</x:f>
        <x:v>MG154815995</x:v>
      </x:c>
      <x:c r="S2020" s="23" t="str">
        <x:v>feminino</x:v>
      </x:c>
      <x:c r="T2020" s="22" t="str">
        <x:f>"NYB3159"</x:f>
        <x:v>NYB3159</x:v>
      </x:c>
      <x:c r="U2020" s="23" t="str">
        <x:v>JULIANA CRISTINA DE PAULA</x:v>
      </x:c>
      <x:c r="V2020" s="22" t="str">
        <x:f>"094.509.756-65"</x:f>
        <x:v>094.509.756-65</x:v>
      </x:c>
      <x:c r="W2020" s="22" t="str">
        <x:f>"09450975665"</x:f>
        <x:v>09450975665</x:v>
      </x:c>
      <x:c r="X2020" s="23" t="str">
        <x:v>julianactpaula@hotmail.com</x:v>
      </x:c>
      <x:c r="Y2020" s="22" t="str">
        <x:f>"34988191836"</x:f>
        <x:v>34988191836</x:v>
      </x:c>
      <x:c r="Z2020" s="30" t="n">
        <x:v>46548</x:v>
      </x:c>
    </x:row>
    <x:row r="2021" ht="18" customHeight="1">
      <x:c r="A2021" s="22" t="str">
        <x:f>"023049f8-ec27-4891-aa68-c30d46a55688"</x:f>
        <x:v>023049f8-ec27-4891-aa68-c30d46a55688</x:v>
      </x:c>
      <x:c r="B2021" s="23" t="str">
        <x:v>JULIANA FERREIRA JUSTINO</x:v>
      </x:c>
      <x:c r="C2021" s="23" t="str">
        <x:v>juliana ferreira justino</x:v>
      </x:c>
      <x:c r="D2021" s="22" t="str">
        <x:f>"57.330.876/0001-13"</x:f>
        <x:v>57.330.876/0001-13</x:v>
      </x:c>
      <x:c r="E2021" s="22" t="str">
        <x:f>"57330876000113"</x:f>
        <x:v>57330876000113</x:v>
      </x:c>
      <x:c r="F2021" s="22" t="str">
        <x:f>"373.051.278-17"</x:f>
        <x:v>373.051.278-17</x:v>
      </x:c>
      <x:c r="G2021" s="22" t="str">
        <x:f>"37305127817"</x:f>
        <x:v>37305127817</x:v>
      </x:c>
      <x:c r="H2021" s="23" t="str">
        <x:v>juliana.justino@hotmail.com.br</x:v>
      </x:c>
      <x:c r="I2021" s="22" t="str">
        <x:f>"16 997713159"</x:f>
        <x:v>16 997713159</x:v>
      </x:c>
      <x:c r="J2021" s="23" t="str">
        <x:v>SPOT</x:v>
      </x:c>
      <x:c r="K2021" s="23" t="str">
        <x:v>favored_only</x:v>
      </x:c>
      <x:c r="L2021" s="24" t="b">
        <x:v>1</x:v>
      </x:c>
      <x:c r="M2021" s="23" t="n">
        <x:v>1</x:v>
      </x:c>
      <x:c r="N2021" s="28" t="n">
        <x:v>46203.92186888889</x:v>
      </x:c>
      <x:c r="O2021" s="28" t="n">
        <x:v>46219.812988715275</x:v>
      </x:c>
      <x:c r="P2021" s="23" t="str">
        <x:v>SÃO CARLOS</x:v>
      </x:c>
      <x:c r="Q2021" s="30" t="n">
        <x:v>32767</x:v>
      </x:c>
      <x:c r="R2021" s="22" t="str">
        <x:f>"46200417-x"</x:f>
        <x:v>46200417-x</x:v>
      </x:c>
      <x:c r="S2021" s="23" t="str">
        <x:v>feminino</x:v>
      </x:c>
      <x:c r="T2021" s="22" t="str">
        <x:f>"FDT4162"</x:f>
        <x:v>FDT4162</x:v>
      </x:c>
      <x:c r="U2021" s="23" t="str">
        <x:v>JULIANA FERREIRA JUSTINO</x:v>
      </x:c>
      <x:c r="V2021" s="22" t="str">
        <x:f>"373.051.278-17"</x:f>
        <x:v>373.051.278-17</x:v>
      </x:c>
      <x:c r="W2021" s="22" t="str">
        <x:f>"37305127817"</x:f>
        <x:v>37305127817</x:v>
      </x:c>
      <x:c r="X2021" s="23" t="str">
        <x:v>juliana.justino@hotmail.com.br</x:v>
      </x:c>
      <x:c r="Y2021" s="22" t="str">
        <x:f>"16 997713159"</x:f>
        <x:v>16 997713159</x:v>
      </x:c>
      <x:c r="Z2021" s="30" t="n">
        <x:v>46303</x:v>
      </x:c>
    </x:row>
    <x:row r="2022" ht="18" customHeight="1">
      <x:c r="A2022" s="22" t="str">
        <x:f>"123c491c-ed98-4214-8500-eebb5a82e2d8"</x:f>
        <x:v>123c491c-ed98-4214-8500-eebb5a82e2d8</x:v>
      </x:c>
      <x:c r="B2022" s="23" t="str">
        <x:v>JULIANA MOREIRA XAVIER</x:v>
      </x:c>
      <x:c r="C2022" s="23" t="str">
        <x:v>juliana moreira xavier</x:v>
      </x:c>
      <x:c r="D2022" s="22" t="str">
        <x:f>"54.997.381/0001-54"</x:f>
        <x:v>54.997.381/0001-54</x:v>
      </x:c>
      <x:c r="E2022" s="22" t="str">
        <x:f>"54997381000154"</x:f>
        <x:v>54997381000154</x:v>
      </x:c>
      <x:c r="F2022" s="22" t="str">
        <x:f>"111.317.697-08"</x:f>
        <x:v>111.317.697-08</x:v>
      </x:c>
      <x:c r="G2022" s="22" t="str">
        <x:f>"11131769708"</x:f>
        <x:v>11131769708</x:v>
      </x:c>
      <x:c r="H2022" s="23" t="str">
        <x:v>julianaravier@gmail.com</x:v>
      </x:c>
      <x:c r="I2022" s="22" t="str">
        <x:f>"21968569783"</x:f>
        <x:v>21968569783</x:v>
      </x:c>
      <x:c r="J2022" s="23" t="str">
        <x:v>SPOT</x:v>
      </x:c>
      <x:c r="K2022" s="23" t="str">
        <x:v>favored_only</x:v>
      </x:c>
      <x:c r="L2022" s="24" t="b">
        <x:v>1</x:v>
      </x:c>
      <x:c r="M2022" s="23" t="n">
        <x:v>1</x:v>
      </x:c>
      <x:c r="N2022" s="28" t="n">
        <x:v>46219.812988715275</x:v>
      </x:c>
      <x:c r="O2022" s="28" t="n">
        <x:v>46219.812988715275</x:v>
      </x:c>
      <x:c r="P2022" s="23" t="str">
        <x:v>QUEIMADOS</x:v>
      </x:c>
      <x:c r="Q2022" s="30" t="n">
        <x:v>31296</x:v>
      </x:c>
      <x:c r="R2022" s="22" t="str">
        <x:f>"21291555-7"</x:f>
        <x:v>21291555-7</x:v>
      </x:c>
      <x:c r="S2022" s="23" t="str">
        <x:v>feminino</x:v>
      </x:c>
      <x:c r="T2022" s="22" t="str">
        <x:f>"KYC3635"</x:f>
        <x:v>KYC3635</x:v>
      </x:c>
      <x:c r="U2022" s="23" t="str">
        <x:v>JULIANA MOREIRA XAVIER</x:v>
      </x:c>
      <x:c r="V2022" s="22" t="str">
        <x:f>"111.317.697-08"</x:f>
        <x:v>111.317.697-08</x:v>
      </x:c>
      <x:c r="W2022" s="22" t="str">
        <x:f>"11131769708"</x:f>
        <x:v>11131769708</x:v>
      </x:c>
      <x:c r="X2022" s="23" t="str">
        <x:v>julianaravier@gmail.com</x:v>
      </x:c>
      <x:c r="Y2022" s="22" t="str">
        <x:f>"21968569783"</x:f>
        <x:v>21968569783</x:v>
      </x:c>
      <x:c r="Z2022" s="30" t="n">
        <x:v>46449</x:v>
      </x:c>
    </x:row>
    <x:row r="2023" ht="18" customHeight="1">
      <x:c r="A2023" s="22" t="str">
        <x:f>"ebb10d46-9d76-411e-bf8e-15253d6faa60"</x:f>
        <x:v>ebb10d46-9d76-411e-bf8e-15253d6faa60</x:v>
      </x:c>
      <x:c r="B2023" s="23" t="str">
        <x:v>JULIANA RODRIGUES BEZERRA</x:v>
      </x:c>
      <x:c r="C2023" s="23" t="str">
        <x:v>juliana rodrigues bezerra</x:v>
      </x:c>
      <x:c r="D2023" s="22" t="str">
        <x:f>"66.723.019/0001-74"</x:f>
        <x:v>66.723.019/0001-74</x:v>
      </x:c>
      <x:c r="E2023" s="22" t="str">
        <x:f>"66723019000174"</x:f>
        <x:v>66723019000174</x:v>
      </x:c>
      <x:c r="F2023" s="22" t="str">
        <x:f>"138.609.397-18"</x:f>
        <x:v>138.609.397-18</x:v>
      </x:c>
      <x:c r="G2023" s="22" t="str">
        <x:f>"13860939718"</x:f>
        <x:v>13860939718</x:v>
      </x:c>
      <x:c r="H2023" s="23" t="str">
        <x:v>julianarodrigues45@gmail.com</x:v>
      </x:c>
      <x:c r="I2023" s="22" t="str">
        <x:f>"21981106258"</x:f>
        <x:v>21981106258</x:v>
      </x:c>
      <x:c r="J2023" s="23" t="str">
        <x:v>SPOT</x:v>
      </x:c>
      <x:c r="K2023" s="23" t="str">
        <x:v>favored_only</x:v>
      </x:c>
      <x:c r="L2023" s="24" t="b">
        <x:v>1</x:v>
      </x:c>
      <x:c r="M2023" s="23" t="n">
        <x:v>1</x:v>
      </x:c>
      <x:c r="N2023" s="28" t="n">
        <x:v>46219.812988715275</x:v>
      </x:c>
      <x:c r="O2023" s="28" t="n">
        <x:v>46219.812988715275</x:v>
      </x:c>
      <x:c r="P2023" s="23" t="str">
        <x:v>SÃO JOAO DE MERITI</x:v>
      </x:c>
      <x:c r="Q2023" s="30" t="n">
        <x:v>33462</x:v>
      </x:c>
      <x:c r="R2023" s="22" t="str">
        <x:f>"263566606"</x:f>
        <x:v>263566606</x:v>
      </x:c>
      <x:c r="S2023" s="23" t="str">
        <x:v>feminino</x:v>
      </x:c>
      <x:c r="T2023" s="22" t="str">
        <x:f>"POD4B40"</x:f>
        <x:v>POD4B40</x:v>
      </x:c>
      <x:c r="U2023" s="23" t="str">
        <x:v>JULIANA RODRIGUES BEZERRA</x:v>
      </x:c>
      <x:c r="V2023" s="22" t="str">
        <x:f>"138.609.397-18"</x:f>
        <x:v>138.609.397-18</x:v>
      </x:c>
      <x:c r="W2023" s="22" t="str">
        <x:f>"13860939718"</x:f>
        <x:v>13860939718</x:v>
      </x:c>
      <x:c r="X2023" s="23" t="str">
        <x:v>julianarodrigues45@gmail.com</x:v>
      </x:c>
      <x:c r="Y2023" s="22" t="str">
        <x:f>"21981106258"</x:f>
        <x:v>21981106258</x:v>
      </x:c>
      <x:c r="Z2023" s="30" t="n">
        <x:v>46541</x:v>
      </x:c>
    </x:row>
    <x:row r="2024" ht="18" customHeight="1">
      <x:c r="A2024" s="22" t="str">
        <x:f>"383021a8-fb62-45af-a8ab-b5ae13730297"</x:f>
        <x:v>383021a8-fb62-45af-a8ab-b5ae13730297</x:v>
      </x:c>
      <x:c r="B2024" s="23" t="str">
        <x:v>JULIANO HENRIQUE DA SILVA AMARAL</x:v>
      </x:c>
      <x:c r="C2024" s="23" t="str">
        <x:v>juliano henrique da silva amaral</x:v>
      </x:c>
      <x:c r="D2024" s="22" t="str">
        <x:f>"25.195.755/0001-10"</x:f>
        <x:v>25.195.755/0001-10</x:v>
      </x:c>
      <x:c r="E2024" s="22" t="str">
        <x:f>"25195755000110"</x:f>
        <x:v>25195755000110</x:v>
      </x:c>
      <x:c r="F2024" s="22" t="str">
        <x:f>"084.526.246-70"</x:f>
        <x:v>084.526.246-70</x:v>
      </x:c>
      <x:c r="G2024" s="22" t="str">
        <x:f>"08452624670"</x:f>
        <x:v>08452624670</x:v>
      </x:c>
      <x:c r="H2024" s="23" t="str">
        <x:v>gt.tranaportes.loiola@gmail.com</x:v>
      </x:c>
      <x:c r="I2024" s="22" t="str">
        <x:f>"31994959102"</x:f>
        <x:v>31994959102</x:v>
      </x:c>
      <x:c r="J2024" s="23" t="str">
        <x:v>SPOT</x:v>
      </x:c>
      <x:c r="K2024" s="23" t="str">
        <x:v>favored_only</x:v>
      </x:c>
      <x:c r="L2024" s="24" t="b">
        <x:v>1</x:v>
      </x:c>
      <x:c r="M2024" s="23" t="n">
        <x:v>1</x:v>
      </x:c>
      <x:c r="N2024" s="28" t="n">
        <x:v>46203.921858726855</x:v>
      </x:c>
      <x:c r="O2024" s="28" t="n">
        <x:v>46219.812988715275</x:v>
      </x:c>
      <x:c r="P2024" s="23" t="str">
        <x:v>CONTAGEM</x:v>
      </x:c>
      <x:c r="Q2024" s="30" t="n">
        <x:v>32649</x:v>
      </x:c>
      <x:c r="R2024" s="22" t="str">
        <x:f>"15390531"</x:f>
        <x:v>15390531</x:v>
      </x:c>
      <x:c r="S2024" s="23" t="str">
        <x:v>masculino</x:v>
      </x:c>
      <x:c r="T2024" s="22" t="str">
        <x:f>"KPJ3J48"</x:f>
        <x:v>KPJ3J48</x:v>
      </x:c>
      <x:c r="U2024" s="23" t="str">
        <x:v>JULIANO HENRIQUE DA SILVA AMARAL</x:v>
      </x:c>
      <x:c r="V2024" s="22" t="str">
        <x:f>"084.526.246-70"</x:f>
        <x:v>084.526.246-70</x:v>
      </x:c>
      <x:c r="W2024" s="22" t="str">
        <x:f>"08452624670"</x:f>
        <x:v>08452624670</x:v>
      </x:c>
      <x:c r="X2024" s="23" t="str">
        <x:v>gt.tranaportes.loiola@gmail.com</x:v>
      </x:c>
      <x:c r="Y2024" s="22" t="str">
        <x:f>"31994959102"</x:f>
        <x:v>31994959102</x:v>
      </x:c>
      <x:c r="Z2024" s="30" t="n">
        <x:v>46256</x:v>
      </x:c>
    </x:row>
    <x:row r="2025" ht="18" customHeight="1">
      <x:c r="A2025" s="22" t="str">
        <x:f>"711dbf44-fd7e-46a4-8a0a-820ca6935378"</x:f>
        <x:v>711dbf44-fd7e-46a4-8a0a-820ca6935378</x:v>
      </x:c>
      <x:c r="B2025" s="23" t="str">
        <x:v>JULIANO SERAFIM DE ANDRADE</x:v>
      </x:c>
      <x:c r="C2025" s="23" t="str">
        <x:v>juliano serafim de andrade</x:v>
      </x:c>
      <x:c r="D2025" s="22" t="str">
        <x:f>"63.577.088/0001-29"</x:f>
        <x:v>63.577.088/0001-29</x:v>
      </x:c>
      <x:c r="E2025" s="22" t="str">
        <x:f>"63577088000129"</x:f>
        <x:v>63577088000129</x:v>
      </x:c>
      <x:c r="F2025" s="22" t="str">
        <x:f>"464.265.658-81"</x:f>
        <x:v>464.265.658-81</x:v>
      </x:c>
      <x:c r="G2025" s="22" t="str">
        <x:f>"46426565881"</x:f>
        <x:v>46426565881</x:v>
      </x:c>
      <x:c r="H2025" s="23" t="str">
        <x:v>juliano.serafim2019@gmail.com</x:v>
      </x:c>
      <x:c r="I2025" s="22" t="str">
        <x:f>"18996278386"</x:f>
        <x:v>18996278386</x:v>
      </x:c>
      <x:c r="J2025" s="23" t="str">
        <x:v>RENTAL</x:v>
      </x:c>
      <x:c r="K2025" s="23" t="str">
        <x:v>rental_company</x:v>
      </x:c>
      <x:c r="L2025" s="24" t="b">
        <x:v>1</x:v>
      </x:c>
      <x:c r="M2025" s="23" t="n">
        <x:v>2</x:v>
      </x:c>
      <x:c r="N2025" s="28" t="n">
        <x:v>46203.92189349537</x:v>
      </x:c>
      <x:c r="O2025" s="28" t="n">
        <x:v>46219.812988715275</x:v>
      </x:c>
      <x:c r="P2025" s="23" t="str">
        <x:v>PRESIDENTE PRUDENTE</x:v>
      </x:c>
      <x:c r="Q2025" s="30" t="n">
        <x:v>36836</x:v>
      </x:c>
      <x:c r="R2025" s="22" t="str">
        <x:f>"55839980-0"</x:f>
        <x:v>55839980-0</x:v>
      </x:c>
      <x:c r="S2025" s="23" t="str">
        <x:v>masculino</x:v>
      </x:c>
      <x:c r="T2025" s="22" t="str"/>
      <x:c r="U2025" s="23" t="str">
        <x:v>JULIANO SERAFIM DE ANDRADE</x:v>
      </x:c>
      <x:c r="V2025" s="22" t="str">
        <x:f>"464.265.658-81"</x:f>
        <x:v>464.265.658-81</x:v>
      </x:c>
      <x:c r="W2025" s="22" t="str">
        <x:f>"46426565881"</x:f>
        <x:v>46426565881</x:v>
      </x:c>
      <x:c r="X2025" s="23" t="str">
        <x:v>juliano.serafim2019@gmail.com</x:v>
      </x:c>
      <x:c r="Y2025" s="22" t="str">
        <x:f>"18996278386"</x:f>
        <x:v>18996278386</x:v>
      </x:c>
      <x:c r="Z2025" s="30" t="n">
        <x:v>46343</x:v>
      </x:c>
    </x:row>
    <x:row r="2026" ht="18" customHeight="1">
      <x:c r="A2026" s="22" t="str">
        <x:f>"42a29309-7a96-4832-b3e9-ffecae5c5c13"</x:f>
        <x:v>42a29309-7a96-4832-b3e9-ffecae5c5c13</x:v>
      </x:c>
      <x:c r="B2026" s="23" t="str">
        <x:v>JULIENE LEMOS PEREIRA FRANCA</x:v>
      </x:c>
      <x:c r="C2026" s="23" t="str">
        <x:v>juliene lemos pereira franca</x:v>
      </x:c>
      <x:c r="D2026" s="22" t="str">
        <x:f>"52.664.355/0001-89"</x:f>
        <x:v>52.664.355/0001-89</x:v>
      </x:c>
      <x:c r="E2026" s="22" t="str">
        <x:f>"52664355000189"</x:f>
        <x:v>52664355000189</x:v>
      </x:c>
      <x:c r="F2026" s="22" t="str">
        <x:f>"070.605.936-08"</x:f>
        <x:v>070.605.936-08</x:v>
      </x:c>
      <x:c r="G2026" s="22" t="str">
        <x:f>"07060593608"</x:f>
        <x:v>07060593608</x:v>
      </x:c>
      <x:c r="H2026" s="23" t="str">
        <x:v>juliene24041989@gmail.com</x:v>
      </x:c>
      <x:c r="I2026" s="22" t="str">
        <x:f>"(34) 98858-7642"</x:f>
        <x:v>(34) 98858-7642</x:v>
      </x:c>
      <x:c r="J2026" s="23" t="str">
        <x:v>SPOT</x:v>
      </x:c>
      <x:c r="K2026" s="23" t="str">
        <x:v>favored_only</x:v>
      </x:c>
      <x:c r="L2026" s="24" t="b">
        <x:v>1</x:v>
      </x:c>
      <x:c r="M2026" s="23" t="n">
        <x:v>1</x:v>
      </x:c>
      <x:c r="N2026" s="28" t="n">
        <x:v>46205.604024837965</x:v>
      </x:c>
      <x:c r="O2026" s="28" t="n">
        <x:v>46219.812988715275</x:v>
      </x:c>
      <x:c r="P2026" s="23" t="str">
        <x:v>ARAXÁ</x:v>
      </x:c>
      <x:c r="Q2026" s="30" t="n">
        <x:v>32622</x:v>
      </x:c>
      <x:c r="R2026" s="22" t="str">
        <x:f>"MG14848605"</x:f>
        <x:v>MG14848605</x:v>
      </x:c>
      <x:c r="S2026" s="23" t="str">
        <x:v>feminino</x:v>
      </x:c>
      <x:c r="T2026" s="22" t="str">
        <x:f>"HLI0106"</x:f>
        <x:v>HLI0106</x:v>
      </x:c>
      <x:c r="U2026" s="23" t="str">
        <x:v>GIVAGO AUGUSTO REZENDE SILVA</x:v>
      </x:c>
      <x:c r="V2026" s="22" t="str">
        <x:f>"101.346.146-07"</x:f>
        <x:v>101.346.146-07</x:v>
      </x:c>
      <x:c r="W2026" s="22" t="str">
        <x:f>"10134614607"</x:f>
        <x:v>10134614607</x:v>
      </x:c>
      <x:c r="X2026" s="23" t="str">
        <x:v>givagoaugusto28@hotmail.com</x:v>
      </x:c>
      <x:c r="Y2026" s="22" t="str">
        <x:f>"34 99247-2640"</x:f>
        <x:v>34 99247-2640</x:v>
      </x:c>
      <x:c r="Z2026" s="30" t="n">
        <x:v>46254</x:v>
      </x:c>
    </x:row>
    <x:row r="2027" ht="18" customHeight="1">
      <x:c r="A2027" s="22" t="str">
        <x:f>"35d9b8e5-b718-413d-849e-81748d35a8b2"</x:f>
        <x:v>35d9b8e5-b718-413d-849e-81748d35a8b2</x:v>
      </x:c>
      <x:c r="B2027" s="23" t="str">
        <x:v>JULIENE VALADARES DA SILVA BARROS</x:v>
      </x:c>
      <x:c r="C2027" s="23" t="str">
        <x:v>juliene valadares da silva barros</x:v>
      </x:c>
      <x:c r="D2027" s="22" t="str">
        <x:f>"46.935.907/0001-43"</x:f>
        <x:v>46.935.907/0001-43</x:v>
      </x:c>
      <x:c r="E2027" s="22" t="str">
        <x:f>"46935907000143"</x:f>
        <x:v>46935907000143</x:v>
      </x:c>
      <x:c r="F2027" s="22" t="str">
        <x:f>"87610124672"</x:f>
        <x:v>87610124672</x:v>
      </x:c>
      <x:c r="G2027" s="22" t="str">
        <x:f>"87610124672"</x:f>
        <x:v>87610124672</x:v>
      </x:c>
      <x:c r="H2027" s="23" t="str">
        <x:v>julienevaladares@hotmail.com</x:v>
      </x:c>
      <x:c r="I2027" s="22" t="str">
        <x:f>"33999443261"</x:f>
        <x:v>33999443261</x:v>
      </x:c>
      <x:c r="J2027" s="23" t="str">
        <x:v>SPOT</x:v>
      </x:c>
      <x:c r="K2027" s="23" t="str">
        <x:v>favored_only</x:v>
      </x:c>
      <x:c r="L2027" s="24" t="b">
        <x:v>1</x:v>
      </x:c>
      <x:c r="M2027" s="23" t="n">
        <x:v>2</x:v>
      </x:c>
      <x:c r="N2027" s="28" t="n">
        <x:v>46203.921824756944</x:v>
      </x:c>
      <x:c r="O2027" s="28" t="n">
        <x:v>46220.50398511574</x:v>
      </x:c>
      <x:c r="P2027" s="23" t="str">
        <x:v>CONCEIÇÃO DO MATO DENTRO</x:v>
      </x:c>
      <x:c r="Q2027" s="30" t="str"/>
      <x:c r="R2027" s="22" t="str"/>
      <x:c r="S2027" s="23" t="str"/>
      <x:c r="T2027" s="22" t="str"/>
      <x:c r="U2027" s="23" t="str">
        <x:v>JULIENE VALADARES DA SILVA BARROS</x:v>
      </x:c>
      <x:c r="V2027" s="22" t="str">
        <x:f>"87610124672"</x:f>
        <x:v>87610124672</x:v>
      </x:c>
      <x:c r="W2027" s="22" t="str">
        <x:f>"87610124672"</x:f>
        <x:v>87610124672</x:v>
      </x:c>
      <x:c r="X2027" s="23" t="str">
        <x:v>Julienevaladares@hotmail.com</x:v>
      </x:c>
      <x:c r="Y2027" s="22" t="str">
        <x:f>"31981019553"</x:f>
        <x:v>31981019553</x:v>
      </x:c>
      <x:c r="Z2027" s="30" t="str"/>
    </x:row>
    <x:row r="2028" ht="18" customHeight="1">
      <x:c r="A2028" s="22" t="str">
        <x:f>"d19d0240-3271-444a-a05d-a2d5f968701d"</x:f>
        <x:v>d19d0240-3271-444a-a05d-a2d5f968701d</x:v>
      </x:c>
      <x:c r="B2028" s="23" t="str">
        <x:v>JULIERME GARCIA DE SOUZA</x:v>
      </x:c>
      <x:c r="C2028" s="23" t="str">
        <x:v>julierme garcia de souza</x:v>
      </x:c>
      <x:c r="D2028" s="22" t="str">
        <x:f>"34.440.028/0001-61"</x:f>
        <x:v>34.440.028/0001-61</x:v>
      </x:c>
      <x:c r="E2028" s="22" t="str">
        <x:f>"34440028000161"</x:f>
        <x:v>34440028000161</x:v>
      </x:c>
      <x:c r="F2028" s="22" t="str">
        <x:f>"115.712.136-51"</x:f>
        <x:v>115.712.136-51</x:v>
      </x:c>
      <x:c r="G2028" s="22" t="str">
        <x:f>"11571213651"</x:f>
        <x:v>11571213651</x:v>
      </x:c>
      <x:c r="H2028" s="23" t="str">
        <x:v>juliermegarcia931@gmail.com</x:v>
      </x:c>
      <x:c r="I2028" s="22" t="str">
        <x:f>"31992313570"</x:f>
        <x:v>31992313570</x:v>
      </x:c>
      <x:c r="J2028" s="23" t="str">
        <x:v>SPOT</x:v>
      </x:c>
      <x:c r="K2028" s="23" t="str">
        <x:v>favored_only</x:v>
      </x:c>
      <x:c r="L2028" s="24" t="b">
        <x:v>1</x:v>
      </x:c>
      <x:c r="M2028" s="23" t="n">
        <x:v>1</x:v>
      </x:c>
      <x:c r="N2028" s="28" t="n">
        <x:v>46205.60373190972</x:v>
      </x:c>
      <x:c r="O2028" s="28" t="n">
        <x:v>46219.812988715275</x:v>
      </x:c>
      <x:c r="P2028" s="23" t="str">
        <x:v>IPATINGA</x:v>
      </x:c>
      <x:c r="Q2028" s="30" t="n">
        <x:v>34345</x:v>
      </x:c>
      <x:c r="R2028" s="22" t="str">
        <x:f>"19362876"</x:f>
        <x:v>19362876</x:v>
      </x:c>
      <x:c r="S2028" s="23" t="str">
        <x:v>masculino</x:v>
      </x:c>
      <x:c r="T2028" s="22" t="str">
        <x:f>"lsy9h32"</x:f>
        <x:v>lsy9h32</x:v>
      </x:c>
      <x:c r="U2028" s="23" t="str">
        <x:v>LUANA FLAVIA DE SOUZA PIRES AMORIN</x:v>
      </x:c>
      <x:c r="V2028" s="22" t="str">
        <x:f>"121.199.816-98"</x:f>
        <x:v>121.199.816-98</x:v>
      </x:c>
      <x:c r="W2028" s="22" t="str">
        <x:f>"12119981698"</x:f>
        <x:v>12119981698</x:v>
      </x:c>
      <x:c r="X2028" s="23" t="str">
        <x:v>julianoopires92@gmail.com</x:v>
      </x:c>
      <x:c r="Y2028" s="22" t="str">
        <x:f>"31985066871"</x:f>
        <x:v>31985066871</x:v>
      </x:c>
      <x:c r="Z2028" s="30" t="n">
        <x:v>46238</x:v>
      </x:c>
    </x:row>
    <x:row r="2029" ht="18" customHeight="1">
      <x:c r="A2029" s="22" t="str">
        <x:f>"b9220476-83ce-4a03-830a-242bd2140379"</x:f>
        <x:v>b9220476-83ce-4a03-830a-242bd2140379</x:v>
      </x:c>
      <x:c r="B2029" s="23" t="str">
        <x:v>JULIETA REGINA DA COSTA</x:v>
      </x:c>
      <x:c r="C2029" s="23" t="str">
        <x:v>julieta regina da costa</x:v>
      </x:c>
      <x:c r="D2029" s="22" t="str">
        <x:f>"12.496.991/0001-24"</x:f>
        <x:v>12.496.991/0001-24</x:v>
      </x:c>
      <x:c r="E2029" s="22" t="str">
        <x:f>"12496991000124"</x:f>
        <x:v>12496991000124</x:v>
      </x:c>
      <x:c r="F2029" s="22" t="str">
        <x:f>"029.645.846-56"</x:f>
        <x:v>029.645.846-56</x:v>
      </x:c>
      <x:c r="G2029" s="22" t="str">
        <x:f>"02964584656"</x:f>
        <x:v>02964584656</x:v>
      </x:c>
      <x:c r="H2029" s="23" t="str">
        <x:v>JRCCOSTA.13@HOTMAIL.COM</x:v>
      </x:c>
      <x:c r="I2029" s="22" t="str">
        <x:f>"3499663‑6679‬"</x:f>
        <x:v>3499663‑6679‬</x:v>
      </x:c>
      <x:c r="J2029" s="23" t="str">
        <x:v>SPOT</x:v>
      </x:c>
      <x:c r="K2029" s="23" t="str">
        <x:v>favored_only</x:v>
      </x:c>
      <x:c r="L2029" s="24" t="b">
        <x:v>1</x:v>
      </x:c>
      <x:c r="M2029" s="23" t="n">
        <x:v>1</x:v>
      </x:c>
      <x:c r="N2029" s="28" t="n">
        <x:v>46203.92188238426</x:v>
      </x:c>
      <x:c r="O2029" s="28" t="n">
        <x:v>46219.812988715275</x:v>
      </x:c>
      <x:c r="P2029" s="23" t="str">
        <x:v>PATOS DE MINAS</x:v>
      </x:c>
      <x:c r="Q2029" s="30" t="n">
        <x:v>28369</x:v>
      </x:c>
      <x:c r="R2029" s="22" t="str">
        <x:f>"10543438"</x:f>
        <x:v>10543438</x:v>
      </x:c>
      <x:c r="S2029" s="23" t="str">
        <x:v>feminino</x:v>
      </x:c>
      <x:c r="T2029" s="22" t="str">
        <x:f>"RVD1G34"</x:f>
        <x:v>RVD1G34</x:v>
      </x:c>
      <x:c r="U2029" s="23" t="str">
        <x:v>JULIETA REGINA DA COSTA</x:v>
      </x:c>
      <x:c r="V2029" s="22" t="str">
        <x:f>"029.645.846-56"</x:f>
        <x:v>029.645.846-56</x:v>
      </x:c>
      <x:c r="W2029" s="22" t="str">
        <x:f>"02964584656"</x:f>
        <x:v>02964584656</x:v>
      </x:c>
      <x:c r="X2029" s="23" t="str">
        <x:v>JRCCOSTA.13@HOTMAIL.COM</x:v>
      </x:c>
      <x:c r="Y2029" s="22" t="str">
        <x:f>"‪3499663‑6679‬"</x:f>
        <x:v>‪3499663‑6679‬</x:v>
      </x:c>
      <x:c r="Z2029" s="30" t="n">
        <x:v>46317</x:v>
      </x:c>
    </x:row>
    <x:row r="2030" ht="18" customHeight="1">
      <x:c r="A2030" s="22" t="str">
        <x:f>"af0ec859-cecb-40fe-ac11-40fee650f3c7"</x:f>
        <x:v>af0ec859-cecb-40fe-ac11-40fee650f3c7</x:v>
      </x:c>
      <x:c r="B2030" s="23" t="str">
        <x:v>JULIO CESAR BARBOSA</x:v>
      </x:c>
      <x:c r="C2030" s="23" t="str">
        <x:v>julio cesar barbosa</x:v>
      </x:c>
      <x:c r="D2030" s="22" t="str">
        <x:f>"54.238.692/0001-30"</x:f>
        <x:v>54.238.692/0001-30</x:v>
      </x:c>
      <x:c r="E2030" s="22" t="str">
        <x:f>"54238692000130"</x:f>
        <x:v>54238692000130</x:v>
      </x:c>
      <x:c r="F2030" s="22" t="str">
        <x:f>"355.291.408-07"</x:f>
        <x:v>355.291.408-07</x:v>
      </x:c>
      <x:c r="G2030" s="22" t="str">
        <x:f>"35529140807"</x:f>
        <x:v>35529140807</x:v>
      </x:c>
      <x:c r="H2030" s="23" t="str">
        <x:v>juliobarbosa00@hotmail.com</x:v>
      </x:c>
      <x:c r="I2030" s="22" t="str">
        <x:f>"21 96449-2420"</x:f>
        <x:v>21 96449-2420</x:v>
      </x:c>
      <x:c r="J2030" s="23" t="str">
        <x:v>RENTAL</x:v>
      </x:c>
      <x:c r="K2030" s="23" t="str">
        <x:v>rental_company</x:v>
      </x:c>
      <x:c r="L2030" s="24" t="b">
        <x:v>1</x:v>
      </x:c>
      <x:c r="M2030" s="23" t="n">
        <x:v>1</x:v>
      </x:c>
      <x:c r="N2030" s="28" t="n">
        <x:v>46219.812988715275</x:v>
      </x:c>
      <x:c r="O2030" s="28" t="n">
        <x:v>46219.812988715275</x:v>
      </x:c>
      <x:c r="P2030" s="23" t="str">
        <x:v>BAURU</x:v>
      </x:c>
      <x:c r="Q2030" s="30" t="n">
        <x:v>31193</x:v>
      </x:c>
      <x:c r="R2030" s="22" t="str">
        <x:f>"45.545.643/4"</x:f>
        <x:v>45.545.643/4</x:v>
      </x:c>
      <x:c r="S2030" s="23" t="str">
        <x:v>masculino</x:v>
      </x:c>
      <x:c r="T2030" s="22" t="str"/>
      <x:c r="U2030" s="23" t="str">
        <x:v>JULIO CESAR BARBOSA</x:v>
      </x:c>
      <x:c r="V2030" s="22" t="str">
        <x:f>"355.291.408-07"</x:f>
        <x:v>355.291.408-07</x:v>
      </x:c>
      <x:c r="W2030" s="22" t="str">
        <x:f>"35529140807"</x:f>
        <x:v>35529140807</x:v>
      </x:c>
      <x:c r="X2030" s="23" t="str">
        <x:v>juliobarbosa00@hotmail.com</x:v>
      </x:c>
      <x:c r="Y2030" s="22" t="str">
        <x:f>"21 96449-2420"</x:f>
        <x:v>21 96449-2420</x:v>
      </x:c>
      <x:c r="Z2030" s="30" t="n">
        <x:v>46547</x:v>
      </x:c>
    </x:row>
    <x:row r="2031" ht="18" customHeight="1">
      <x:c r="A2031" s="22" t="str">
        <x:f>"dbc7a9e2-e45c-4222-9e12-40fdd78cfd42"</x:f>
        <x:v>dbc7a9e2-e45c-4222-9e12-40fdd78cfd42</x:v>
      </x:c>
      <x:c r="B2031" s="23" t="str">
        <x:v>JULIO CESAR CARDOSO</x:v>
      </x:c>
      <x:c r="C2031" s="23" t="str">
        <x:v>julio cesar cardoso</x:v>
      </x:c>
      <x:c r="D2031" s="22" t="str">
        <x:f>"57.847.090/0001-78"</x:f>
        <x:v>57.847.090/0001-78</x:v>
      </x:c>
      <x:c r="E2031" s="22" t="str">
        <x:f>"57847090000178"</x:f>
        <x:v>57847090000178</x:v>
      </x:c>
      <x:c r="F2031" s="22" t="str">
        <x:f>"992.801.836-72"</x:f>
        <x:v>992.801.836-72</x:v>
      </x:c>
      <x:c r="G2031" s="22" t="str">
        <x:f>"99280183672"</x:f>
        <x:v>99280183672</x:v>
      </x:c>
      <x:c r="H2031" s="23" t="str">
        <x:v>cesarblodes@gmail.com</x:v>
      </x:c>
      <x:c r="I2031" s="22" t="str">
        <x:f>"31 9 9284-1921"</x:f>
        <x:v>31 9 9284-1921</x:v>
      </x:c>
      <x:c r="J2031" s="23" t="str">
        <x:v>RENTAL</x:v>
      </x:c>
      <x:c r="K2031" s="23" t="str">
        <x:v>rental_company</x:v>
      </x:c>
      <x:c r="L2031" s="24" t="b">
        <x:v>1</x:v>
      </x:c>
      <x:c r="M2031" s="23" t="n">
        <x:v>1</x:v>
      </x:c>
      <x:c r="N2031" s="28" t="n">
        <x:v>46203.921824756944</x:v>
      </x:c>
      <x:c r="O2031" s="28" t="n">
        <x:v>46219.812988715275</x:v>
      </x:c>
      <x:c r="P2031" s="23" t="str">
        <x:v>CONTAGEM</x:v>
      </x:c>
      <x:c r="Q2031" s="30" t="n">
        <x:v>27437</x:v>
      </x:c>
      <x:c r="R2031" s="22" t="str">
        <x:f>"5172665"</x:f>
        <x:v>5172665</x:v>
      </x:c>
      <x:c r="S2031" s="23" t="str">
        <x:v>masculino</x:v>
      </x:c>
      <x:c r="T2031" s="22" t="str"/>
      <x:c r="U2031" s="23" t="str">
        <x:v>JULIO CESAR CARDOSO</x:v>
      </x:c>
      <x:c r="V2031" s="22" t="str">
        <x:f>"992.801.836-72"</x:f>
        <x:v>992.801.836-72</x:v>
      </x:c>
      <x:c r="W2031" s="22" t="str">
        <x:f>"99280183672"</x:f>
        <x:v>99280183672</x:v>
      </x:c>
      <x:c r="X2031" s="23" t="str">
        <x:v>cesarblodes@gmail.com</x:v>
      </x:c>
      <x:c r="Y2031" s="22" t="str">
        <x:f>"319 9284-1921"</x:f>
        <x:v>319 9284-1921</x:v>
      </x:c>
      <x:c r="Z2031" s="30" t="n">
        <x:v>46544</x:v>
      </x:c>
    </x:row>
    <x:row r="2032" ht="18" customHeight="1">
      <x:c r="A2032" s="22" t="str">
        <x:f>"775ee47e-93ee-4740-9c99-27432f62b72a"</x:f>
        <x:v>775ee47e-93ee-4740-9c99-27432f62b72a</x:v>
      </x:c>
      <x:c r="B2032" s="23" t="str">
        <x:v>JULIO CESAR COSTA</x:v>
      </x:c>
      <x:c r="C2032" s="23" t="str">
        <x:v>julio cesar costa</x:v>
      </x:c>
      <x:c r="D2032" s="22" t="str">
        <x:f>"58.614.927/0001-00"</x:f>
        <x:v>58.614.927/0001-00</x:v>
      </x:c>
      <x:c r="E2032" s="22" t="str">
        <x:f>"58614927000100"</x:f>
        <x:v>58614927000100</x:v>
      </x:c>
      <x:c r="F2032" s="22" t="str">
        <x:f>"260.092.186-91"</x:f>
        <x:v>260.092.186-91</x:v>
      </x:c>
      <x:c r="G2032" s="22" t="str">
        <x:f>"26009218691"</x:f>
        <x:v>26009218691</x:v>
      </x:c>
      <x:c r="H2032" s="23" t="str">
        <x:v>costajuliocesar29@gmail.com</x:v>
      </x:c>
      <x:c r="I2032" s="22" t="str">
        <x:f>"(34) 98816-1071"</x:f>
        <x:v>(34) 98816-1071</x:v>
      </x:c>
      <x:c r="J2032" s="23" t="str">
        <x:v>SPOT</x:v>
      </x:c>
      <x:c r="K2032" s="23" t="str">
        <x:v>favored_only</x:v>
      </x:c>
      <x:c r="L2032" s="24" t="b">
        <x:v>1</x:v>
      </x:c>
      <x:c r="M2032" s="23" t="n">
        <x:v>1</x:v>
      </x:c>
      <x:c r="N2032" s="28" t="n">
        <x:v>46219.812988715275</x:v>
      </x:c>
      <x:c r="O2032" s="28" t="n">
        <x:v>46219.812988715275</x:v>
      </x:c>
      <x:c r="P2032" s="23" t="str">
        <x:v>ARAXÁ</x:v>
      </x:c>
      <x:c r="Q2032" s="30" t="n">
        <x:v>22765</x:v>
      </x:c>
      <x:c r="R2032" s="22" t="str">
        <x:f>"M1791707"</x:f>
        <x:v>M1791707</x:v>
      </x:c>
      <x:c r="S2032" s="23" t="str">
        <x:v>masculino</x:v>
      </x:c>
      <x:c r="T2032" s="22" t="str">
        <x:f>"RMR1E90"</x:f>
        <x:v>RMR1E90</x:v>
      </x:c>
      <x:c r="U2032" s="23" t="str">
        <x:v>JULIO CESAR COSTA</x:v>
      </x:c>
      <x:c r="V2032" s="22" t="str">
        <x:f>"260.092.186-91"</x:f>
        <x:v>260.092.186-91</x:v>
      </x:c>
      <x:c r="W2032" s="22" t="str">
        <x:f>"26009218691"</x:f>
        <x:v>26009218691</x:v>
      </x:c>
      <x:c r="X2032" s="23" t="str">
        <x:v>costajuliocesar29@gmail.com</x:v>
      </x:c>
      <x:c r="Y2032" s="22" t="str">
        <x:f>"(34) 98816-1071"</x:f>
        <x:v>(34) 98816-1071</x:v>
      </x:c>
      <x:c r="Z2032" s="30" t="n">
        <x:v>46417</x:v>
      </x:c>
    </x:row>
    <x:row r="2033" ht="18" customHeight="1">
      <x:c r="A2033" s="22" t="str">
        <x:f>"43502c08-6b7b-4363-8fea-af514b8013e4"</x:f>
        <x:v>43502c08-6b7b-4363-8fea-af514b8013e4</x:v>
      </x:c>
      <x:c r="B2033" s="23" t="str">
        <x:v>JULIO CESAR DA SILVA FORTUNATO</x:v>
      </x:c>
      <x:c r="C2033" s="23" t="str">
        <x:v>julio cesar da silva fortunato</x:v>
      </x:c>
      <x:c r="D2033" s="22" t="str">
        <x:f>"61.873.241/0001-30"</x:f>
        <x:v>61.873.241/0001-30</x:v>
      </x:c>
      <x:c r="E2033" s="22" t="str">
        <x:f>"61873241000130"</x:f>
        <x:v>61873241000130</x:v>
      </x:c>
      <x:c r="F2033" s="22" t="str">
        <x:f>"133.497.557-47"</x:f>
        <x:v>133.497.557-47</x:v>
      </x:c>
      <x:c r="G2033" s="22" t="str">
        <x:f>"13349755747"</x:f>
        <x:v>13349755747</x:v>
      </x:c>
      <x:c r="H2033" s="23" t="str">
        <x:v>juliocesadasilva2020@gmail.com</x:v>
      </x:c>
      <x:c r="I2033" s="22" t="str">
        <x:f>"22992388246"</x:f>
        <x:v>22992388246</x:v>
      </x:c>
      <x:c r="J2033" s="23" t="str">
        <x:v>SPOT</x:v>
      </x:c>
      <x:c r="K2033" s="23" t="str">
        <x:v>favored_only</x:v>
      </x:c>
      <x:c r="L2033" s="24" t="b">
        <x:v>1</x:v>
      </x:c>
      <x:c r="M2033" s="23" t="n">
        <x:v>1</x:v>
      </x:c>
      <x:c r="N2033" s="28" t="n">
        <x:v>46205.60420055556</x:v>
      </x:c>
      <x:c r="O2033" s="28" t="n">
        <x:v>46219.812988715275</x:v>
      </x:c>
      <x:c r="P2033" s="23" t="str">
        <x:v>CAMPOS DOS GOYTACAZES</x:v>
      </x:c>
      <x:c r="Q2033" s="30" t="n">
        <x:v>32037</x:v>
      </x:c>
      <x:c r="R2033" s="22" t="str">
        <x:f>"21902718"</x:f>
        <x:v>21902718</x:v>
      </x:c>
      <x:c r="S2033" s="23" t="str">
        <x:v>masculino</x:v>
      </x:c>
      <x:c r="T2033" s="22" t="str">
        <x:f>"KWC8G04"</x:f>
        <x:v>KWC8G04</x:v>
      </x:c>
      <x:c r="U2033" s="23" t="str">
        <x:v>ALEXANDRE DA SILVA GIVIGIER</x:v>
      </x:c>
      <x:c r="V2033" s="22" t="str">
        <x:f>"124.744.127-00"</x:f>
        <x:v>124.744.127-00</x:v>
      </x:c>
      <x:c r="W2033" s="22" t="str">
        <x:f>"12474412700"</x:f>
        <x:v>12474412700</x:v>
      </x:c>
      <x:c r="X2033" s="23" t="str">
        <x:v>alexandregivigier5@gmail.com</x:v>
      </x:c>
      <x:c r="Y2033" s="22" t="str">
        <x:f>"22997076041"</x:f>
        <x:v>22997076041</x:v>
      </x:c>
      <x:c r="Z2033" s="30" t="n">
        <x:v>46261</x:v>
      </x:c>
    </x:row>
    <x:row r="2034" ht="18" customHeight="1">
      <x:c r="A2034" s="22" t="str">
        <x:f>"9cd0994a-6565-4402-9af3-194f0384c6ff"</x:f>
        <x:v>9cd0994a-6565-4402-9af3-194f0384c6ff</x:v>
      </x:c>
      <x:c r="B2034" s="23" t="str">
        <x:v>JULIO CESAR DE FARIAS</x:v>
      </x:c>
      <x:c r="C2034" s="23" t="str">
        <x:v>julio cesar de farias</x:v>
      </x:c>
      <x:c r="D2034" s="22" t="str">
        <x:f>"37.189.406/0001-74"</x:f>
        <x:v>37.189.406/0001-74</x:v>
      </x:c>
      <x:c r="E2034" s="22" t="str">
        <x:f>"37189406000174"</x:f>
        <x:v>37189406000174</x:v>
      </x:c>
      <x:c r="F2034" s="22" t="str">
        <x:f>"070.379.508-23"</x:f>
        <x:v>070.379.508-23</x:v>
      </x:c>
      <x:c r="G2034" s="22" t="str">
        <x:f>"07037950823"</x:f>
        <x:v>07037950823</x:v>
      </x:c>
      <x:c r="H2034" s="23" t="str">
        <x:v>juliocesarfarias181@gmail.com</x:v>
      </x:c>
      <x:c r="I2034" s="22" t="str">
        <x:f>"17 99763-4839"</x:f>
        <x:v>17 99763-4839</x:v>
      </x:c>
      <x:c r="J2034" s="23" t="str">
        <x:v>SPOT</x:v>
      </x:c>
      <x:c r="K2034" s="23" t="str">
        <x:v>favored_only</x:v>
      </x:c>
      <x:c r="L2034" s="24" t="b">
        <x:v>1</x:v>
      </x:c>
      <x:c r="M2034" s="23" t="n">
        <x:v>1</x:v>
      </x:c>
      <x:c r="N2034" s="28" t="n">
        <x:v>46219.812988715275</x:v>
      </x:c>
      <x:c r="O2034" s="28" t="n">
        <x:v>46219.812988715275</x:v>
      </x:c>
      <x:c r="P2034" s="23" t="str">
        <x:v>SÃO JOSE DO RIO PRETO</x:v>
      </x:c>
      <x:c r="Q2034" s="30" t="n">
        <x:v>25396</x:v>
      </x:c>
      <x:c r="R2034" s="22" t="str">
        <x:f>"19777528"</x:f>
        <x:v>19777528</x:v>
      </x:c>
      <x:c r="S2034" s="23" t="str">
        <x:v>masculino</x:v>
      </x:c>
      <x:c r="T2034" s="22" t="str">
        <x:f>"FDN7I25"</x:f>
        <x:v>FDN7I25</x:v>
      </x:c>
      <x:c r="U2034" s="23" t="str">
        <x:v>JULIO CESAR DE FARIAS</x:v>
      </x:c>
      <x:c r="V2034" s="22" t="str">
        <x:f>"070.379.508-23"</x:f>
        <x:v>070.379.508-23</x:v>
      </x:c>
      <x:c r="W2034" s="22" t="str">
        <x:f>"07037950823"</x:f>
        <x:v>07037950823</x:v>
      </x:c>
      <x:c r="X2034" s="23" t="str">
        <x:v>juliocesarfarias181@gmail.com</x:v>
      </x:c>
      <x:c r="Y2034" s="22" t="str">
        <x:f>"17 99763-4839"</x:f>
        <x:v>17 99763-4839</x:v>
      </x:c>
      <x:c r="Z2034" s="30" t="n">
        <x:v>46467</x:v>
      </x:c>
    </x:row>
    <x:row r="2035" ht="18" customHeight="1">
      <x:c r="A2035" s="22" t="str">
        <x:f>"0b773a51-fc0c-486c-a6dc-39474b9a20d2"</x:f>
        <x:v>0b773a51-fc0c-486c-a6dc-39474b9a20d2</x:v>
      </x:c>
      <x:c r="B2035" s="23" t="str">
        <x:v>JULIO CESAR DE OLIVEIRA</x:v>
      </x:c>
      <x:c r="C2035" s="23" t="str">
        <x:v>julio cesar de oliveira</x:v>
      </x:c>
      <x:c r="D2035" s="22" t="str">
        <x:f>"64.985.101/0001-41"</x:f>
        <x:v>64.985.101/0001-41</x:v>
      </x:c>
      <x:c r="E2035" s="22" t="str">
        <x:f>"64985101000141"</x:f>
        <x:v>64985101000141</x:v>
      </x:c>
      <x:c r="F2035" s="22" t="str">
        <x:f>"793.813.836-34"</x:f>
        <x:v>793.813.836-34</x:v>
      </x:c>
      <x:c r="G2035" s="22" t="str">
        <x:f>"79381383634"</x:f>
        <x:v>79381383634</x:v>
      </x:c>
      <x:c r="H2035" s="23" t="str">
        <x:v>jcoliveira.aluno@gmail.com</x:v>
      </x:c>
      <x:c r="I2035" s="22" t="str">
        <x:f>"31988893527"</x:f>
        <x:v>31988893527</x:v>
      </x:c>
      <x:c r="J2035" s="23" t="str">
        <x:v>SPOT</x:v>
      </x:c>
      <x:c r="K2035" s="23" t="str">
        <x:v>favored_only</x:v>
      </x:c>
      <x:c r="L2035" s="24" t="b">
        <x:v>1</x:v>
      </x:c>
      <x:c r="M2035" s="23" t="n">
        <x:v>1</x:v>
      </x:c>
      <x:c r="N2035" s="28" t="n">
        <x:v>46219.812988715275</x:v>
      </x:c>
      <x:c r="O2035" s="28" t="n">
        <x:v>46219.812988715275</x:v>
      </x:c>
      <x:c r="P2035" s="23" t="str">
        <x:v>CONCEIÇÃO DO MATO DENTRO</x:v>
      </x:c>
      <x:c r="Q2035" s="30" t="n">
        <x:v>25659</x:v>
      </x:c>
      <x:c r="R2035" s="22" t="str">
        <x:f>"MG4969532"</x:f>
        <x:v>MG4969532</x:v>
      </x:c>
      <x:c r="S2035" s="23" t="str">
        <x:v>masculino</x:v>
      </x:c>
      <x:c r="T2035" s="22" t="str">
        <x:f>"GTN7J31"</x:f>
        <x:v>GTN7J31</x:v>
      </x:c>
      <x:c r="U2035" s="23" t="str">
        <x:v>JULIO CESAR DE OLIVEIRA</x:v>
      </x:c>
      <x:c r="V2035" s="22" t="str">
        <x:f>"793.813.836-34"</x:f>
        <x:v>793.813.836-34</x:v>
      </x:c>
      <x:c r="W2035" s="22" t="str">
        <x:f>"79381383634"</x:f>
        <x:v>79381383634</x:v>
      </x:c>
      <x:c r="X2035" s="23" t="str">
        <x:v>jcoliveira.aluno@gmail.com</x:v>
      </x:c>
      <x:c r="Y2035" s="22" t="str">
        <x:f>"31988893527"</x:f>
        <x:v>31988893527</x:v>
      </x:c>
      <x:c r="Z2035" s="30" t="n">
        <x:v>46359</x:v>
      </x:c>
    </x:row>
    <x:row r="2036" ht="18" customHeight="1">
      <x:c r="A2036" s="22" t="str">
        <x:f>"c4cba384-120d-4f46-bec8-3acd24e3eb50"</x:f>
        <x:v>c4cba384-120d-4f46-bec8-3acd24e3eb50</x:v>
      </x:c>
      <x:c r="B2036" s="23" t="str">
        <x:v>JULIO CESAR DIAS RAMOS JUNIOR</x:v>
      </x:c>
      <x:c r="C2036" s="23" t="str">
        <x:v>julio cesar dias ramos junior</x:v>
      </x:c>
      <x:c r="D2036" s="22" t="str">
        <x:f>"34.765.366/0001-73"</x:f>
        <x:v>34.765.366/0001-73</x:v>
      </x:c>
      <x:c r="E2036" s="22" t="str">
        <x:f>"34765366000173"</x:f>
        <x:v>34765366000173</x:v>
      </x:c>
      <x:c r="F2036" s="22" t="str">
        <x:f>"307.073.918-06"</x:f>
        <x:v>307.073.918-06</x:v>
      </x:c>
      <x:c r="G2036" s="22" t="str">
        <x:f>"30707391806"</x:f>
        <x:v>30707391806</x:v>
      </x:c>
      <x:c r="H2036" s="23" t="str">
        <x:v>Juli.nho@hotmail.com</x:v>
      </x:c>
      <x:c r="I2036" s="22" t="str">
        <x:f>"16992158200"</x:f>
        <x:v>16992158200</x:v>
      </x:c>
      <x:c r="J2036" s="23" t="str">
        <x:v>SPOT</x:v>
      </x:c>
      <x:c r="K2036" s="23" t="str">
        <x:v>favored_only</x:v>
      </x:c>
      <x:c r="L2036" s="24" t="b">
        <x:v>1</x:v>
      </x:c>
      <x:c r="M2036" s="23" t="n">
        <x:v>1</x:v>
      </x:c>
      <x:c r="N2036" s="28" t="n">
        <x:v>46203.921904421295</x:v>
      </x:c>
      <x:c r="O2036" s="28" t="n">
        <x:v>46219.812988715275</x:v>
      </x:c>
      <x:c r="P2036" s="23" t="str">
        <x:v>RIBEIRAO PRETO</x:v>
      </x:c>
      <x:c r="Q2036" s="30" t="n">
        <x:v>30046</x:v>
      </x:c>
      <x:c r="R2036" s="22" t="str">
        <x:f>"27187138"</x:f>
        <x:v>27187138</x:v>
      </x:c>
      <x:c r="S2036" s="23" t="str">
        <x:v>masculino</x:v>
      </x:c>
      <x:c r="T2036" s="22" t="str">
        <x:f>"FOI5C20"</x:f>
        <x:v>FOI5C20</x:v>
      </x:c>
      <x:c r="U2036" s="23" t="str">
        <x:v>JULIO CESAR DIAS RAMOS JUNIOR</x:v>
      </x:c>
      <x:c r="V2036" s="22" t="str">
        <x:f>"307.073.918-06"</x:f>
        <x:v>307.073.918-06</x:v>
      </x:c>
      <x:c r="W2036" s="22" t="str">
        <x:f>"30707391806"</x:f>
        <x:v>30707391806</x:v>
      </x:c>
      <x:c r="X2036" s="23" t="str">
        <x:v>Juli.nho@hotmail.com</x:v>
      </x:c>
      <x:c r="Y2036" s="22" t="str">
        <x:f>"16992158200"</x:f>
        <x:v>16992158200</x:v>
      </x:c>
      <x:c r="Z2036" s="30" t="n">
        <x:v>46361</x:v>
      </x:c>
    </x:row>
    <x:row r="2037" ht="18" customHeight="1">
      <x:c r="A2037" s="22" t="str">
        <x:f>"157d2f88-2b4c-4332-8f87-b9d96c828dd6"</x:f>
        <x:v>157d2f88-2b4c-4332-8f87-b9d96c828dd6</x:v>
      </x:c>
      <x:c r="B2037" s="23" t="str">
        <x:v>JULIO CESAR LARCEDA BARRETO</x:v>
      </x:c>
      <x:c r="C2037" s="23" t="str">
        <x:v>julio cesar larceda barreto</x:v>
      </x:c>
      <x:c r="D2037" s="22" t="str">
        <x:f>"44.178.561/0001-50"</x:f>
        <x:v>44.178.561/0001-50</x:v>
      </x:c>
      <x:c r="E2037" s="22" t="str">
        <x:f>"44178561000150"</x:f>
        <x:v>44178561000150</x:v>
      </x:c>
      <x:c r="F2037" s="22" t="str">
        <x:f>"174.879.737-94"</x:f>
        <x:v>174.879.737-94</x:v>
      </x:c>
      <x:c r="G2037" s="22" t="str">
        <x:f>"17487973794"</x:f>
        <x:v>17487973794</x:v>
      </x:c>
      <x:c r="H2037" s="23" t="str">
        <x:v>jc10menezes@gmail.com</x:v>
      </x:c>
      <x:c r="I2037" s="22" t="str">
        <x:f>"21973203676"</x:f>
        <x:v>21973203676</x:v>
      </x:c>
      <x:c r="J2037" s="23" t="str">
        <x:v>SPOT</x:v>
      </x:c>
      <x:c r="K2037" s="23" t="str">
        <x:v>favored_only</x:v>
      </x:c>
      <x:c r="L2037" s="24" t="b">
        <x:v>1</x:v>
      </x:c>
      <x:c r="M2037" s="23" t="n">
        <x:v>1</x:v>
      </x:c>
      <x:c r="N2037" s="28" t="n">
        <x:v>46205.606121122684</x:v>
      </x:c>
      <x:c r="O2037" s="28" t="n">
        <x:v>46219.812988715275</x:v>
      </x:c>
      <x:c r="P2037" s="23" t="str">
        <x:v>CORDOVIL</x:v>
      </x:c>
      <x:c r="Q2037" s="30" t="n">
        <x:v>38159</x:v>
      </x:c>
      <x:c r="R2037" s="22" t="str">
        <x:f>"277276176"</x:f>
        <x:v>277276176</x:v>
      </x:c>
      <x:c r="S2037" s="23" t="str">
        <x:v>masculino</x:v>
      </x:c>
      <x:c r="T2037" s="22" t="str">
        <x:f>"TJM9B09"</x:f>
        <x:v>TJM9B09</x:v>
      </x:c>
      <x:c r="U2037" s="23" t="str">
        <x:v>JAIR MONTEIRO DE ALMEIDA JUNIOR</x:v>
      </x:c>
      <x:c r="V2037" s="22" t="str">
        <x:f>"032.282.847-35"</x:f>
        <x:v>032.282.847-35</x:v>
      </x:c>
      <x:c r="W2037" s="22" t="str">
        <x:f>"03228284735"</x:f>
        <x:v>03228284735</x:v>
      </x:c>
      <x:c r="X2037" s="23" t="str">
        <x:v>jc10menezes@gmail.com</x:v>
      </x:c>
      <x:c r="Y2037" s="22" t="str">
        <x:f>"+55 21 99570-6502"</x:f>
        <x:v>+55 21 99570-6502</x:v>
      </x:c>
      <x:c r="Z2037" s="30" t="n">
        <x:v>46344</x:v>
      </x:c>
    </x:row>
    <x:row r="2038" ht="18" customHeight="1">
      <x:c r="A2038" s="22" t="str">
        <x:f>"6e4c6b04-baaa-407b-9771-7006ea2cac7a"</x:f>
        <x:v>6e4c6b04-baaa-407b-9771-7006ea2cac7a</x:v>
      </x:c>
      <x:c r="B2038" s="23" t="str">
        <x:v>JULIO CESAR MORAES</x:v>
      </x:c>
      <x:c r="C2038" s="23" t="str">
        <x:v>julio cesar moraes</x:v>
      </x:c>
      <x:c r="D2038" s="22" t="str">
        <x:f>"31.331.584/0001-01"</x:f>
        <x:v>31.331.584/0001-01</x:v>
      </x:c>
      <x:c r="E2038" s="22" t="str">
        <x:f>"31331584000101"</x:f>
        <x:v>31331584000101</x:v>
      </x:c>
      <x:c r="F2038" s="22" t="str">
        <x:f>"041.821.376-39"</x:f>
        <x:v>041.821.376-39</x:v>
      </x:c>
      <x:c r="G2038" s="22" t="str">
        <x:f>"04182137639"</x:f>
        <x:v>04182137639</x:v>
      </x:c>
      <x:c r="H2038" s="23" t="str">
        <x:v>juliorroupas@gmail.com</x:v>
      </x:c>
      <x:c r="I2038" s="22" t="str">
        <x:f>"31999718399"</x:f>
        <x:v>31999718399</x:v>
      </x:c>
      <x:c r="J2038" s="23" t="str">
        <x:v>RENTAL</x:v>
      </x:c>
      <x:c r="K2038" s="23" t="str">
        <x:v>rental_company</x:v>
      </x:c>
      <x:c r="L2038" s="24" t="b">
        <x:v>1</x:v>
      </x:c>
      <x:c r="M2038" s="23" t="n">
        <x:v>1</x:v>
      </x:c>
      <x:c r="N2038" s="28" t="n">
        <x:v>46203.921824756944</x:v>
      </x:c>
      <x:c r="O2038" s="28" t="n">
        <x:v>46219.812988715275</x:v>
      </x:c>
      <x:c r="P2038" s="23" t="str">
        <x:v>CONTAGEM</x:v>
      </x:c>
      <x:c r="Q2038" s="30" t="n">
        <x:v>29051</x:v>
      </x:c>
      <x:c r="R2038" s="22" t="str">
        <x:f>"8886808"</x:f>
        <x:v>8886808</x:v>
      </x:c>
      <x:c r="S2038" s="23" t="str">
        <x:v>masculino</x:v>
      </x:c>
      <x:c r="T2038" s="22" t="str"/>
      <x:c r="U2038" s="23" t="str">
        <x:v>JULIO CESAR MORAES</x:v>
      </x:c>
      <x:c r="V2038" s="22" t="str">
        <x:f>"041.821.376-39"</x:f>
        <x:v>041.821.376-39</x:v>
      </x:c>
      <x:c r="W2038" s="22" t="str">
        <x:f>"04182137639"</x:f>
        <x:v>04182137639</x:v>
      </x:c>
      <x:c r="X2038" s="23" t="str">
        <x:v>juliorroupas@gmail.com</x:v>
      </x:c>
      <x:c r="Y2038" s="22" t="str">
        <x:f>"31999718399"</x:f>
        <x:v>31999718399</x:v>
      </x:c>
      <x:c r="Z2038" s="30" t="n">
        <x:v>46420</x:v>
      </x:c>
    </x:row>
    <x:row r="2039" ht="18" customHeight="1">
      <x:c r="A2039" s="22" t="str">
        <x:f>"d32bfcc1-3b92-44aa-bc18-c8ddcfeb6561"</x:f>
        <x:v>d32bfcc1-3b92-44aa-bc18-c8ddcfeb6561</x:v>
      </x:c>
      <x:c r="B2039" s="23" t="str">
        <x:v>JULIO CESAR RODRIGUES</x:v>
      </x:c>
      <x:c r="C2039" s="23" t="str">
        <x:v>julio cesar rodrigues</x:v>
      </x:c>
      <x:c r="D2039" s="22" t="str">
        <x:f>"47.870.684/0001-46"</x:f>
        <x:v>47.870.684/0001-46</x:v>
      </x:c>
      <x:c r="E2039" s="22" t="str">
        <x:f>"47870684000146"</x:f>
        <x:v>47870684000146</x:v>
      </x:c>
      <x:c r="F2039" s="22" t="str">
        <x:f>"419.183.598-06"</x:f>
        <x:v>419.183.598-06</x:v>
      </x:c>
      <x:c r="G2039" s="22" t="str">
        <x:f>"41918359806"</x:f>
        <x:v>41918359806</x:v>
      </x:c>
      <x:c r="H2039" s="23" t="str">
        <x:v>Rodriguescesarjulio.adm@gmail.com</x:v>
      </x:c>
      <x:c r="I2039" s="22" t="str">
        <x:f>"(11)96649-1708"</x:f>
        <x:v>(11)96649-1708</x:v>
      </x:c>
      <x:c r="J2039" s="23" t="str">
        <x:v>RENTAL</x:v>
      </x:c>
      <x:c r="K2039" s="23" t="str">
        <x:v>rental_company</x:v>
      </x:c>
      <x:c r="L2039" s="24" t="b">
        <x:v>1</x:v>
      </x:c>
      <x:c r="M2039" s="23" t="n">
        <x:v>1</x:v>
      </x:c>
      <x:c r="N2039" s="28" t="n">
        <x:v>46203.921852962965</x:v>
      </x:c>
      <x:c r="O2039" s="28" t="n">
        <x:v>46219.812988715275</x:v>
      </x:c>
      <x:c r="P2039" s="23" t="str">
        <x:v>MADEIRA MADEIRA</x:v>
      </x:c>
      <x:c r="Q2039" s="30" t="n">
        <x:v>34235</x:v>
      </x:c>
      <x:c r="R2039" s="22" t="str">
        <x:f>"49580698-5"</x:f>
        <x:v>49580698-5</x:v>
      </x:c>
      <x:c r="S2039" s="23" t="str">
        <x:v>masculino</x:v>
      </x:c>
      <x:c r="T2039" s="22" t="str"/>
      <x:c r="U2039" s="23" t="str">
        <x:v>JULIO CESAR RODRIGUES</x:v>
      </x:c>
      <x:c r="V2039" s="22" t="str">
        <x:f>"419.183.598-06"</x:f>
        <x:v>419.183.598-06</x:v>
      </x:c>
      <x:c r="W2039" s="22" t="str">
        <x:f>"41918359806"</x:f>
        <x:v>41918359806</x:v>
      </x:c>
      <x:c r="X2039" s="23" t="str">
        <x:v>Rodriguescesarjulio.adm@gmail.com</x:v>
      </x:c>
      <x:c r="Y2039" s="22" t="str">
        <x:f>"(11)96649-1708"</x:f>
        <x:v>(11)96649-1708</x:v>
      </x:c>
      <x:c r="Z2039" s="30" t="n">
        <x:v>46253</x:v>
      </x:c>
    </x:row>
    <x:row r="2040" ht="18" customHeight="1">
      <x:c r="A2040" s="22" t="str">
        <x:f>"12787065-aba4-464b-9b6a-0aaacc263d70"</x:f>
        <x:v>12787065-aba4-464b-9b6a-0aaacc263d70</x:v>
      </x:c>
      <x:c r="B2040" s="23" t="str">
        <x:v>JULIO CESAR ROMAO DE MIRANDA</x:v>
      </x:c>
      <x:c r="C2040" s="23" t="str">
        <x:v>julio cesar romao de miranda</x:v>
      </x:c>
      <x:c r="D2040" s="22" t="str">
        <x:f>"45.674.237/0001-96"</x:f>
        <x:v>45.674.237/0001-96</x:v>
      </x:c>
      <x:c r="E2040" s="22" t="str">
        <x:f>"45674237000196"</x:f>
        <x:v>45674237000196</x:v>
      </x:c>
      <x:c r="F2040" s="22" t="str">
        <x:f>"088.341.987-43"</x:f>
        <x:v>088.341.987-43</x:v>
      </x:c>
      <x:c r="G2040" s="22" t="str">
        <x:f>"08834198743"</x:f>
        <x:v>08834198743</x:v>
      </x:c>
      <x:c r="H2040" s="23" t="str">
        <x:v>juromaomiranda@gmail.com</x:v>
      </x:c>
      <x:c r="I2040" s="22" t="str">
        <x:f>"22 998296689"</x:f>
        <x:v>22 998296689</x:v>
      </x:c>
      <x:c r="J2040" s="23" t="str">
        <x:v>SPOT</x:v>
      </x:c>
      <x:c r="K2040" s="23" t="str">
        <x:v>favored_only</x:v>
      </x:c>
      <x:c r="L2040" s="24" t="b">
        <x:v>1</x:v>
      </x:c>
      <x:c r="M2040" s="23" t="n">
        <x:v>1</x:v>
      </x:c>
      <x:c r="N2040" s="28" t="n">
        <x:v>46205.60644373843</x:v>
      </x:c>
      <x:c r="O2040" s="28" t="n">
        <x:v>46219.812988715275</x:v>
      </x:c>
      <x:c r="P2040" s="23" t="str">
        <x:v>CAMPOS DOS GOYTACAZES</x:v>
      </x:c>
      <x:c r="Q2040" s="30" t="n">
        <x:v>29273</x:v>
      </x:c>
      <x:c r="R2040" s="22" t="str">
        <x:f>"126989433"</x:f>
        <x:v>126989433</x:v>
      </x:c>
      <x:c r="S2040" s="23" t="str">
        <x:v>masculino</x:v>
      </x:c>
      <x:c r="T2040" s="22" t="str">
        <x:f>"LKO3F59"</x:f>
        <x:v>LKO3F59</x:v>
      </x:c>
      <x:c r="U2040" s="23" t="str">
        <x:v>CARLOS ALBERTO FERREIRA SOUTO</x:v>
      </x:c>
      <x:c r="V2040" s="22" t="str">
        <x:f>"128.564.167-13"</x:f>
        <x:v>128.564.167-13</x:v>
      </x:c>
      <x:c r="W2040" s="22" t="str">
        <x:f>"12856416713"</x:f>
        <x:v>12856416713</x:v>
      </x:c>
      <x:c r="X2040" s="23" t="str">
        <x:v>bstramportes@gmail.com</x:v>
      </x:c>
      <x:c r="Y2040" s="22" t="str">
        <x:f>"22 999814749"</x:f>
        <x:v>22 999814749</x:v>
      </x:c>
      <x:c r="Z2040" s="30" t="n">
        <x:v>46359</x:v>
      </x:c>
    </x:row>
    <x:row r="2041" ht="18" customHeight="1">
      <x:c r="A2041" s="22" t="str">
        <x:f>"d79299e2-710f-4b06-bda8-6d5aed370470"</x:f>
        <x:v>d79299e2-710f-4b06-bda8-6d5aed370470</x:v>
      </x:c>
      <x:c r="B2041" s="23" t="str">
        <x:v>JULIO CEZAR DA COSTA FERREIRA JUNIOR</x:v>
      </x:c>
      <x:c r="C2041" s="23" t="str">
        <x:v>julio cezar da costa ferreira junior</x:v>
      </x:c>
      <x:c r="D2041" s="22" t="str">
        <x:f>"58.849.003/0001-84"</x:f>
        <x:v>58.849.003/0001-84</x:v>
      </x:c>
      <x:c r="E2041" s="22" t="str">
        <x:f>"58849003000184"</x:f>
        <x:v>58849003000184</x:v>
      </x:c>
      <x:c r="F2041" s="22" t="str">
        <x:f>"086.267.647-90"</x:f>
        <x:v>086.267.647-90</x:v>
      </x:c>
      <x:c r="G2041" s="22" t="str">
        <x:f>"08626764790"</x:f>
        <x:v>08626764790</x:v>
      </x:c>
      <x:c r="H2041" s="23" t="str">
        <x:v>jv3142880@gmail.com</x:v>
      </x:c>
      <x:c r="I2041" s="22" t="str">
        <x:f>"27 988576203"</x:f>
        <x:v>27 988576203</x:v>
      </x:c>
      <x:c r="J2041" s="23" t="str">
        <x:v>SPOT</x:v>
      </x:c>
      <x:c r="K2041" s="23" t="str">
        <x:v>favored_only</x:v>
      </x:c>
      <x:c r="L2041" s="24" t="b">
        <x:v>1</x:v>
      </x:c>
      <x:c r="M2041" s="23" t="n">
        <x:v>1</x:v>
      </x:c>
      <x:c r="N2041" s="28" t="n">
        <x:v>46203.9218771875</x:v>
      </x:c>
      <x:c r="O2041" s="28" t="n">
        <x:v>46219.812988715275</x:v>
      </x:c>
      <x:c r="P2041" s="23" t="str">
        <x:v>CAMPOS DOS GOYTACAZES</x:v>
      </x:c>
      <x:c r="Q2041" s="30" t="n">
        <x:v>29624</x:v>
      </x:c>
      <x:c r="R2041" s="22" t="str">
        <x:f>"97631170"</x:f>
        <x:v>97631170</x:v>
      </x:c>
      <x:c r="S2041" s="23" t="str">
        <x:v>masculino</x:v>
      </x:c>
      <x:c r="T2041" s="22" t="str">
        <x:f>"KWW9D81"</x:f>
        <x:v>KWW9D81</x:v>
      </x:c>
      <x:c r="U2041" s="23" t="str">
        <x:v>JULIO CEZAR DA COSTA FERREIRA JUNIOR</x:v>
      </x:c>
      <x:c r="V2041" s="22" t="str">
        <x:f>"086.267.647-90"</x:f>
        <x:v>086.267.647-90</x:v>
      </x:c>
      <x:c r="W2041" s="22" t="str">
        <x:f>"08626764790"</x:f>
        <x:v>08626764790</x:v>
      </x:c>
      <x:c r="X2041" s="23" t="str">
        <x:v>jv3142880@gmail.com</x:v>
      </x:c>
      <x:c r="Y2041" s="22" t="str">
        <x:f>"27 988576203"</x:f>
        <x:v>27 988576203</x:v>
      </x:c>
      <x:c r="Z2041" s="30" t="n">
        <x:v>46304</x:v>
      </x:c>
    </x:row>
    <x:row r="2042" ht="18" customHeight="1">
      <x:c r="A2042" s="22" t="str">
        <x:f>"49b9f3e2-5e21-4e81-8bee-ec6ef8a51a5c"</x:f>
        <x:v>49b9f3e2-5e21-4e81-8bee-ec6ef8a51a5c</x:v>
      </x:c>
      <x:c r="B2042" s="23" t="str">
        <x:v>JULIO CEZAR NUNES PEREIRA DA SILVA</x:v>
      </x:c>
      <x:c r="C2042" s="23" t="str">
        <x:v>julio cezar nunes pereira da silva</x:v>
      </x:c>
      <x:c r="D2042" s="22" t="str">
        <x:f>"65.881.315/0001-30"</x:f>
        <x:v>65.881.315/0001-30</x:v>
      </x:c>
      <x:c r="E2042" s="22" t="str">
        <x:f>"65881315000130"</x:f>
        <x:v>65881315000130</x:v>
      </x:c>
      <x:c r="F2042" s="22" t="str">
        <x:f>"125.121.067-80"</x:f>
        <x:v>125.121.067-80</x:v>
      </x:c>
      <x:c r="G2042" s="22" t="str">
        <x:f>"12512106780"</x:f>
        <x:v>12512106780</x:v>
      </x:c>
      <x:c r="H2042" s="23" t="str">
        <x:v>basulikojulio@gmail.com</x:v>
      </x:c>
      <x:c r="I2042" s="22" t="str">
        <x:f>"21990340458"</x:f>
        <x:v>21990340458</x:v>
      </x:c>
      <x:c r="J2042" s="23" t="str">
        <x:v>SPOT</x:v>
      </x:c>
      <x:c r="K2042" s="23" t="str">
        <x:v>favored_only</x:v>
      </x:c>
      <x:c r="L2042" s="24" t="b">
        <x:v>1</x:v>
      </x:c>
      <x:c r="M2042" s="23" t="n">
        <x:v>1</x:v>
      </x:c>
      <x:c r="N2042" s="28" t="n">
        <x:v>46219.812988715275</x:v>
      </x:c>
      <x:c r="O2042" s="28" t="n">
        <x:v>46219.812988715275</x:v>
      </x:c>
      <x:c r="P2042" s="23" t="str">
        <x:v>QUEIMADOS</x:v>
      </x:c>
      <x:c r="Q2042" s="30" t="n">
        <x:v>33170</x:v>
      </x:c>
      <x:c r="R2042" s="22" t="str">
        <x:f>"223716975"</x:f>
        <x:v>223716975</x:v>
      </x:c>
      <x:c r="S2042" s="23" t="str">
        <x:v>masculino</x:v>
      </x:c>
      <x:c r="T2042" s="22" t="str">
        <x:f>"RKT1I19"</x:f>
        <x:v>RKT1I19</x:v>
      </x:c>
      <x:c r="U2042" s="23" t="str">
        <x:v>JULIO CEZAR NUNES PEREIRA DA SILVA</x:v>
      </x:c>
      <x:c r="V2042" s="22" t="str">
        <x:f>"125.121.067-80"</x:f>
        <x:v>125.121.067-80</x:v>
      </x:c>
      <x:c r="W2042" s="22" t="str">
        <x:f>"12512106780"</x:f>
        <x:v>12512106780</x:v>
      </x:c>
      <x:c r="X2042" s="23" t="str">
        <x:v>basulikojulio@gmail.com</x:v>
      </x:c>
      <x:c r="Y2042" s="22" t="str">
        <x:f>"21990340458"</x:f>
        <x:v>21990340458</x:v>
      </x:c>
      <x:c r="Z2042" s="30" t="n">
        <x:v>46474</x:v>
      </x:c>
    </x:row>
    <x:row r="2043" ht="18" customHeight="1">
      <x:c r="A2043" s="22" t="str">
        <x:f>"cada3f94-6ab4-47b9-b920-fbd3f022815e"</x:f>
        <x:v>cada3f94-6ab4-47b9-b920-fbd3f022815e</x:v>
      </x:c>
      <x:c r="B2043" s="23" t="str">
        <x:v>JULIO CEZAR NUNES PEREIRA DA SILVA</x:v>
      </x:c>
      <x:c r="C2043" s="23" t="str">
        <x:v>julio cezar nunes pereira da silva</x:v>
      </x:c>
      <x:c r="D2043" s="22" t="str">
        <x:f>"51.356.425/0001-79"</x:f>
        <x:v>51.356.425/0001-79</x:v>
      </x:c>
      <x:c r="E2043" s="22" t="str">
        <x:f>"51356425000179"</x:f>
        <x:v>51356425000179</x:v>
      </x:c>
      <x:c r="F2043" s="22" t="str">
        <x:f>"125.121.067-80"</x:f>
        <x:v>125.121.067-80</x:v>
      </x:c>
      <x:c r="G2043" s="22" t="str">
        <x:f>"12512106780"</x:f>
        <x:v>12512106780</x:v>
      </x:c>
      <x:c r="H2043" s="23" t="str">
        <x:v>Julinho_r8@hotmail.com</x:v>
      </x:c>
      <x:c r="I2043" s="22" t="str">
        <x:f>"21990340458"</x:f>
        <x:v>21990340458</x:v>
      </x:c>
      <x:c r="J2043" s="23" t="str">
        <x:v>SPOT</x:v>
      </x:c>
      <x:c r="K2043" s="23" t="str">
        <x:v>favored_only</x:v>
      </x:c>
      <x:c r="L2043" s="24" t="b">
        <x:v>1</x:v>
      </x:c>
      <x:c r="M2043" s="23" t="n">
        <x:v>1</x:v>
      </x:c>
      <x:c r="N2043" s="28" t="n">
        <x:v>46203.92186462963</x:v>
      </x:c>
      <x:c r="O2043" s="28" t="n">
        <x:v>46219.812988715275</x:v>
      </x:c>
      <x:c r="P2043" s="23" t="str">
        <x:v>QUEIMADOS</x:v>
      </x:c>
      <x:c r="Q2043" s="30" t="n">
        <x:v>33171</x:v>
      </x:c>
      <x:c r="R2043" s="22" t="str">
        <x:f>"223716975"</x:f>
        <x:v>223716975</x:v>
      </x:c>
      <x:c r="S2043" s="23" t="str">
        <x:v>masculino</x:v>
      </x:c>
      <x:c r="T2043" s="22" t="str">
        <x:f>"LSN4B08"</x:f>
        <x:v>LSN4B08</x:v>
      </x:c>
      <x:c r="U2043" s="23" t="str">
        <x:v>JULIO CEZAR NUNES PEREIRA DA SILVA</x:v>
      </x:c>
      <x:c r="V2043" s="22" t="str">
        <x:f>"125.121.067-80"</x:f>
        <x:v>125.121.067-80</x:v>
      </x:c>
      <x:c r="W2043" s="22" t="str">
        <x:f>"12512106780"</x:f>
        <x:v>12512106780</x:v>
      </x:c>
      <x:c r="X2043" s="23" t="str">
        <x:v>Julinho_r8@hotmail.com</x:v>
      </x:c>
      <x:c r="Y2043" s="22" t="str">
        <x:f>"21990340458"</x:f>
        <x:v>21990340458</x:v>
      </x:c>
      <x:c r="Z2043" s="30" t="n">
        <x:v>46273</x:v>
      </x:c>
    </x:row>
    <x:row r="2044" ht="18" customHeight="1">
      <x:c r="A2044" s="22" t="str">
        <x:f>"8c5b5b92-b1a9-4458-9a2e-f588f1f5b120"</x:f>
        <x:v>8c5b5b92-b1a9-4458-9a2e-f588f1f5b120</x:v>
      </x:c>
      <x:c r="B2044" s="23" t="str">
        <x:v>JULIO WERNER ZAVATARIO</x:v>
      </x:c>
      <x:c r="C2044" s="23" t="str">
        <x:v>julio werner zavatario</x:v>
      </x:c>
      <x:c r="D2044" s="22" t="str">
        <x:f>"58.829.610/0001-82"</x:f>
        <x:v>58.829.610/0001-82</x:v>
      </x:c>
      <x:c r="E2044" s="22" t="str">
        <x:f>"58829610000182"</x:f>
        <x:v>58829610000182</x:v>
      </x:c>
      <x:c r="F2044" s="22" t="str">
        <x:f>"690.569.006-68"</x:f>
        <x:v>690.569.006-68</x:v>
      </x:c>
      <x:c r="G2044" s="22" t="str">
        <x:f>"69056900668"</x:f>
        <x:v>69056900668</x:v>
      </x:c>
      <x:c r="H2044" s="23" t="str">
        <x:v>zavatario@outlook.com</x:v>
      </x:c>
      <x:c r="I2044" s="22" t="str">
        <x:f>"31999056099"</x:f>
        <x:v>31999056099</x:v>
      </x:c>
      <x:c r="J2044" s="23" t="str">
        <x:v>RENTAL</x:v>
      </x:c>
      <x:c r="K2044" s="23" t="str">
        <x:v>rental_company</x:v>
      </x:c>
      <x:c r="L2044" s="24" t="b">
        <x:v>1</x:v>
      </x:c>
      <x:c r="M2044" s="23" t="n">
        <x:v>1</x:v>
      </x:c>
      <x:c r="N2044" s="28" t="n">
        <x:v>46219.812988715275</x:v>
      </x:c>
      <x:c r="O2044" s="28" t="n">
        <x:v>46219.812988715275</x:v>
      </x:c>
      <x:c r="P2044" s="23" t="str">
        <x:v>IPATINGA</x:v>
      </x:c>
      <x:c r="Q2044" s="30" t="n">
        <x:v>25335</x:v>
      </x:c>
      <x:c r="R2044" s="22" t="str">
        <x:f>"M 4679482 SSP MG"</x:f>
        <x:v>M 4679482 SSP MG</x:v>
      </x:c>
      <x:c r="S2044" s="23" t="str">
        <x:v>masculino</x:v>
      </x:c>
      <x:c r="T2044" s="22" t="str"/>
      <x:c r="U2044" s="23" t="str">
        <x:v>JULIO WERNER ZAVATARIO</x:v>
      </x:c>
      <x:c r="V2044" s="22" t="str">
        <x:f>"690.569.006-68"</x:f>
        <x:v>690.569.006-68</x:v>
      </x:c>
      <x:c r="W2044" s="22" t="str">
        <x:f>"69056900668"</x:f>
        <x:v>69056900668</x:v>
      </x:c>
      <x:c r="X2044" s="23" t="str">
        <x:v>zavatario@outlook.com</x:v>
      </x:c>
      <x:c r="Y2044" s="22" t="str">
        <x:f>"31999056099"</x:f>
        <x:v>31999056099</x:v>
      </x:c>
      <x:c r="Z2044" s="30" t="n">
        <x:v>46478</x:v>
      </x:c>
    </x:row>
    <x:row r="2045" ht="18" customHeight="1">
      <x:c r="A2045" s="22" t="str">
        <x:f>"ff6bb790-aca9-4558-b487-82d026ce8e59"</x:f>
        <x:v>ff6bb790-aca9-4558-b487-82d026ce8e59</x:v>
      </x:c>
      <x:c r="B2045" s="23" t="str">
        <x:v>JUNIA MARA PEREIRA</x:v>
      </x:c>
      <x:c r="C2045" s="23" t="str">
        <x:v>junia mara pereira</x:v>
      </x:c>
      <x:c r="D2045" s="22" t="str">
        <x:f>"54.990.276/0001-93"</x:f>
        <x:v>54.990.276/0001-93</x:v>
      </x:c>
      <x:c r="E2045" s="22" t="str">
        <x:f>"54990276000193"</x:f>
        <x:v>54990276000193</x:v>
      </x:c>
      <x:c r="F2045" s="22" t="str">
        <x:f>"106.605.066-02"</x:f>
        <x:v>106.605.066-02</x:v>
      </x:c>
      <x:c r="G2045" s="22" t="str">
        <x:f>"10660506602"</x:f>
        <x:v>10660506602</x:v>
      </x:c>
      <x:c r="H2045" s="23" t="str">
        <x:v>juniamarap@gmail.com</x:v>
      </x:c>
      <x:c r="I2045" s="22" t="str">
        <x:f>"33999794770"</x:f>
        <x:v>33999794770</x:v>
      </x:c>
      <x:c r="J2045" s="23" t="str">
        <x:v>SPOT</x:v>
      </x:c>
      <x:c r="K2045" s="23" t="str">
        <x:v>favored_only</x:v>
      </x:c>
      <x:c r="L2045" s="24" t="b">
        <x:v>1</x:v>
      </x:c>
      <x:c r="M2045" s="23" t="n">
        <x:v>1</x:v>
      </x:c>
      <x:c r="N2045" s="28" t="n">
        <x:v>46205.605141527776</x:v>
      </x:c>
      <x:c r="O2045" s="28" t="n">
        <x:v>46219.812988715275</x:v>
      </x:c>
      <x:c r="P2045" s="23" t="str">
        <x:v>GUANHAES</x:v>
      </x:c>
      <x:c r="Q2045" s="30" t="n">
        <x:v>34050</x:v>
      </x:c>
      <x:c r="R2045" s="22" t="str">
        <x:f>"18017664"</x:f>
        <x:v>18017664</x:v>
      </x:c>
      <x:c r="S2045" s="23" t="str">
        <x:v>feminino</x:v>
      </x:c>
      <x:c r="T2045" s="22" t="str">
        <x:f>"QIE6G46"</x:f>
        <x:v>QIE6G46</x:v>
      </x:c>
      <x:c r="U2045" s="23" t="str">
        <x:v>JOHN LENNON OLIVEIRA</x:v>
      </x:c>
      <x:c r="V2045" s="22" t="str">
        <x:f>"117.797.466-52"</x:f>
        <x:v>117.797.466-52</x:v>
      </x:c>
      <x:c r="W2045" s="22" t="str">
        <x:f>"11779746652"</x:f>
        <x:v>11779746652</x:v>
      </x:c>
      <x:c r="X2045" s="23" t="str">
        <x:v>fortcarautomecanica@gmail.com</x:v>
      </x:c>
      <x:c r="Y2045" s="22" t="str">
        <x:f>"33999794770"</x:f>
        <x:v>33999794770</x:v>
      </x:c>
      <x:c r="Z2045" s="30" t="n">
        <x:v>46311</x:v>
      </x:c>
    </x:row>
    <x:row r="2046" ht="18" customHeight="1">
      <x:c r="A2046" s="22" t="str">
        <x:f>"a56a7f83-6cd8-49f9-a724-d08b13ce29ac"</x:f>
        <x:v>a56a7f83-6cd8-49f9-a724-d08b13ce29ac</x:v>
      </x:c>
      <x:c r="B2046" s="23" t="str">
        <x:v>JUNIA SARON DOS SANTOS</x:v>
      </x:c>
      <x:c r="C2046" s="23" t="str">
        <x:v>junia saron dos santos</x:v>
      </x:c>
      <x:c r="D2046" s="22" t="str">
        <x:f>"60.809.940/0001-58"</x:f>
        <x:v>60.809.940/0001-58</x:v>
      </x:c>
      <x:c r="E2046" s="22" t="str">
        <x:f>"60809940000158"</x:f>
        <x:v>60809940000158</x:v>
      </x:c>
      <x:c r="F2046" s="22" t="str">
        <x:f>"044.601.956-90"</x:f>
        <x:v>044.601.956-90</x:v>
      </x:c>
      <x:c r="G2046" s="22" t="str">
        <x:f>"04460195690"</x:f>
        <x:v>04460195690</x:v>
      </x:c>
      <x:c r="H2046" s="23" t="str">
        <x:v>Juniasarondossantos@gmail.com</x:v>
      </x:c>
      <x:c r="I2046" s="22" t="str">
        <x:f>"34993208786"</x:f>
        <x:v>34993208786</x:v>
      </x:c>
      <x:c r="J2046" s="23" t="str">
        <x:v>SPOT</x:v>
      </x:c>
      <x:c r="K2046" s="23" t="str">
        <x:v>favored_only</x:v>
      </x:c>
      <x:c r="L2046" s="24" t="b">
        <x:v>1</x:v>
      </x:c>
      <x:c r="M2046" s="23" t="n">
        <x:v>1</x:v>
      </x:c>
      <x:c r="N2046" s="28" t="n">
        <x:v>46203.921852962965</x:v>
      </x:c>
      <x:c r="O2046" s="28" t="n">
        <x:v>46203.921852962965</x:v>
      </x:c>
      <x:c r="P2046" s="23" t="str"/>
      <x:c r="Q2046" s="30" t="str"/>
      <x:c r="R2046" s="22" t="str"/>
      <x:c r="S2046" s="23" t="str"/>
      <x:c r="T2046" s="22" t="str"/>
      <x:c r="U2046" s="23" t="str">
        <x:v>JUNIA SARON DOS SANTOS</x:v>
      </x:c>
      <x:c r="V2046" s="22" t="str">
        <x:f>"044.601.956-90"</x:f>
        <x:v>044.601.956-90</x:v>
      </x:c>
      <x:c r="W2046" s="22" t="str">
        <x:f>"04460195690"</x:f>
        <x:v>04460195690</x:v>
      </x:c>
      <x:c r="X2046" s="23" t="str">
        <x:v>Juniasarondossantos@gmail.com</x:v>
      </x:c>
      <x:c r="Y2046" s="22" t="str">
        <x:f>"34993208786"</x:f>
        <x:v>34993208786</x:v>
      </x:c>
      <x:c r="Z2046" s="30" t="str"/>
    </x:row>
    <x:row r="2047" ht="18" customHeight="1">
      <x:c r="A2047" s="22" t="str">
        <x:f>"a184eea9-1acb-4fff-8599-1e7620f45ba7"</x:f>
        <x:v>a184eea9-1acb-4fff-8599-1e7620f45ba7</x:v>
      </x:c>
      <x:c r="B2047" s="23" t="str">
        <x:v>JUNIOR ALVES DE SOUZA</x:v>
      </x:c>
      <x:c r="C2047" s="23" t="str">
        <x:v>junior alves de souza</x:v>
      </x:c>
      <x:c r="D2047" s="22" t="str">
        <x:f>"62.334.037/0001-03"</x:f>
        <x:v>62.334.037/0001-03</x:v>
      </x:c>
      <x:c r="E2047" s="22" t="str">
        <x:f>"62334037000103"</x:f>
        <x:v>62334037000103</x:v>
      </x:c>
      <x:c r="F2047" s="22" t="str">
        <x:f>"105.919.726-03"</x:f>
        <x:v>105.919.726-03</x:v>
      </x:c>
      <x:c r="G2047" s="22" t="str">
        <x:f>"10591972603"</x:f>
        <x:v>10591972603</x:v>
      </x:c>
      <x:c r="H2047" s="23" t="str">
        <x:v>jessicajuniajjc@gmail.com</x:v>
      </x:c>
      <x:c r="I2047" s="22" t="str">
        <x:f>"31984257856"</x:f>
        <x:v>31984257856</x:v>
      </x:c>
      <x:c r="J2047" s="23" t="str">
        <x:v>SPOT</x:v>
      </x:c>
      <x:c r="K2047" s="23" t="str">
        <x:v>favored_only</x:v>
      </x:c>
      <x:c r="L2047" s="24" t="b">
        <x:v>1</x:v>
      </x:c>
      <x:c r="M2047" s="23" t="n">
        <x:v>1</x:v>
      </x:c>
      <x:c r="N2047" s="28" t="n">
        <x:v>46205.60443678241</x:v>
      </x:c>
      <x:c r="O2047" s="28" t="n">
        <x:v>46219.812988715275</x:v>
      </x:c>
      <x:c r="P2047" s="23" t="str">
        <x:v>CONCEIÇÃO DO MATO DENTRO</x:v>
      </x:c>
      <x:c r="Q2047" s="30" t="n">
        <x:v>32885</x:v>
      </x:c>
      <x:c r="R2047" s="22" t="str">
        <x:f>"17161852"</x:f>
        <x:v>17161852</x:v>
      </x:c>
      <x:c r="S2047" s="23" t="str">
        <x:v>masculino</x:v>
      </x:c>
      <x:c r="T2047" s="22" t="str">
        <x:f>"QNY5J57"</x:f>
        <x:v>QNY5J57</x:v>
      </x:c>
      <x:c r="U2047" s="23" t="str">
        <x:v>JESSICA JUNIA RODRIGUES GENEROSO</x:v>
      </x:c>
      <x:c r="V2047" s="22" t="str">
        <x:f>"130.668.166-99"</x:f>
        <x:v>130.668.166-99</x:v>
      </x:c>
      <x:c r="W2047" s="22" t="str">
        <x:f>"13066816699"</x:f>
        <x:v>13066816699</x:v>
      </x:c>
      <x:c r="X2047" s="23" t="str">
        <x:v>jessicajuniajjc@gmail.com</x:v>
      </x:c>
      <x:c r="Y2047" s="22" t="str">
        <x:f>"3198425876"</x:f>
        <x:v>3198425876</x:v>
      </x:c>
      <x:c r="Z2047" s="30" t="n">
        <x:v>46275</x:v>
      </x:c>
    </x:row>
    <x:row r="2048" ht="18" customHeight="1">
      <x:c r="A2048" s="22" t="str">
        <x:f>"b862a03a-8cb4-45fa-971a-31d7431c4202"</x:f>
        <x:v>b862a03a-8cb4-45fa-971a-31d7431c4202</x:v>
      </x:c>
      <x:c r="B2048" s="23" t="str">
        <x:v>JUNIOR BATISTA DOS SANTOS</x:v>
      </x:c>
      <x:c r="C2048" s="23" t="str">
        <x:v>junior batista dos santos</x:v>
      </x:c>
      <x:c r="D2048" s="22" t="str">
        <x:f>"65.193.238/0001-26"</x:f>
        <x:v>65.193.238/0001-26</x:v>
      </x:c>
      <x:c r="E2048" s="22" t="str">
        <x:f>"65193238000126"</x:f>
        <x:v>65193238000126</x:v>
      </x:c>
      <x:c r="F2048" s="22" t="str">
        <x:f>"088.827.596-01"</x:f>
        <x:v>088.827.596-01</x:v>
      </x:c>
      <x:c r="G2048" s="22" t="str">
        <x:f>"08882759601"</x:f>
        <x:v>08882759601</x:v>
      </x:c>
      <x:c r="H2048" s="23" t="str">
        <x:v>juniorbsantos1928@gmail.com</x:v>
      </x:c>
      <x:c r="I2048" s="22" t="str">
        <x:f>"31996829327"</x:f>
        <x:v>31996829327</x:v>
      </x:c>
      <x:c r="J2048" s="23" t="str">
        <x:v>SPOT</x:v>
      </x:c>
      <x:c r="K2048" s="23" t="str">
        <x:v>favored_only</x:v>
      </x:c>
      <x:c r="L2048" s="24" t="b">
        <x:v>1</x:v>
      </x:c>
      <x:c r="M2048" s="23" t="n">
        <x:v>1</x:v>
      </x:c>
      <x:c r="N2048" s="28" t="n">
        <x:v>46219.812988715275</x:v>
      </x:c>
      <x:c r="O2048" s="28" t="n">
        <x:v>46219.812988715275</x:v>
      </x:c>
      <x:c r="P2048" s="23" t="str">
        <x:v>CONTAGEM</x:v>
      </x:c>
      <x:c r="Q2048" s="30" t="n">
        <x:v>32701</x:v>
      </x:c>
      <x:c r="R2048" s="22" t="str">
        <x:f>"mg15721396"</x:f>
        <x:v>mg15721396</x:v>
      </x:c>
      <x:c r="S2048" s="23" t="str">
        <x:v>masculino</x:v>
      </x:c>
      <x:c r="T2048" s="22" t="str">
        <x:f>"QQZ1A04"</x:f>
        <x:v>QQZ1A04</x:v>
      </x:c>
      <x:c r="U2048" s="23" t="str">
        <x:v>JUNIOR BATISTA DOS SANTOS</x:v>
      </x:c>
      <x:c r="V2048" s="22" t="str">
        <x:f>"088.827.596-01"</x:f>
        <x:v>088.827.596-01</x:v>
      </x:c>
      <x:c r="W2048" s="22" t="str">
        <x:f>"08882759601"</x:f>
        <x:v>08882759601</x:v>
      </x:c>
      <x:c r="X2048" s="23" t="str">
        <x:v>juniorbsantos1928@gmail.com</x:v>
      </x:c>
      <x:c r="Y2048" s="22" t="str">
        <x:f>"31996829327"</x:f>
        <x:v>31996829327</x:v>
      </x:c>
      <x:c r="Z2048" s="30" t="n">
        <x:v>46463</x:v>
      </x:c>
    </x:row>
    <x:row r="2049" ht="18" customHeight="1">
      <x:c r="A2049" s="22" t="str">
        <x:f>"d643dd06-3e35-46f1-b5c7-d2f4bcc2e287"</x:f>
        <x:v>d643dd06-3e35-46f1-b5c7-d2f4bcc2e287</x:v>
      </x:c>
      <x:c r="B2049" s="23" t="str">
        <x:v>JUNIOR DA SILVA CONCEICAO</x:v>
      </x:c>
      <x:c r="C2049" s="23" t="str">
        <x:v>junior da silva conceicao</x:v>
      </x:c>
      <x:c r="D2049" s="22" t="str">
        <x:f>"58.062.713/0001-60"</x:f>
        <x:v>58.062.713/0001-60</x:v>
      </x:c>
      <x:c r="E2049" s="22" t="str">
        <x:f>"58062713000160"</x:f>
        <x:v>58062713000160</x:v>
      </x:c>
      <x:c r="F2049" s="22" t="str">
        <x:f>"049.819.381-01"</x:f>
        <x:v>049.819.381-01</x:v>
      </x:c>
      <x:c r="G2049" s="22" t="str">
        <x:f>"04981938101"</x:f>
        <x:v>04981938101</x:v>
      </x:c>
      <x:c r="H2049" s="23" t="str">
        <x:v>juniorsilvac92@gmail.com</x:v>
      </x:c>
      <x:c r="I2049" s="22" t="str">
        <x:f>"62991804992"</x:f>
        <x:v>62991804992</x:v>
      </x:c>
      <x:c r="J2049" s="23" t="str">
        <x:v>RENTAL</x:v>
      </x:c>
      <x:c r="K2049" s="23" t="str">
        <x:v>rental_company</x:v>
      </x:c>
      <x:c r="L2049" s="24" t="b">
        <x:v>1</x:v>
      </x:c>
      <x:c r="M2049" s="23" t="n">
        <x:v>2</x:v>
      </x:c>
      <x:c r="N2049" s="28" t="n">
        <x:v>46203.921904421295</x:v>
      </x:c>
      <x:c r="O2049" s="28" t="n">
        <x:v>46219.812988715275</x:v>
      </x:c>
      <x:c r="P2049" s="23" t="str">
        <x:v>GOIANIA</x:v>
      </x:c>
      <x:c r="Q2049" s="30" t="n">
        <x:v>33673</x:v>
      </x:c>
      <x:c r="R2049" s="22" t="str">
        <x:f>"6166487"</x:f>
        <x:v>6166487</x:v>
      </x:c>
      <x:c r="S2049" s="23" t="str">
        <x:v>masculino</x:v>
      </x:c>
      <x:c r="T2049" s="22" t="str"/>
      <x:c r="U2049" s="23" t="str">
        <x:v>JUNIOR DA SILVA CONCEICAO</x:v>
      </x:c>
      <x:c r="V2049" s="22" t="str">
        <x:f>"049.819.381-01"</x:f>
        <x:v>049.819.381-01</x:v>
      </x:c>
      <x:c r="W2049" s="22" t="str">
        <x:f>"04981938101"</x:f>
        <x:v>04981938101</x:v>
      </x:c>
      <x:c r="X2049" s="23" t="str">
        <x:v>juniorsilvac92@gmail.com</x:v>
      </x:c>
      <x:c r="Y2049" s="22" t="str">
        <x:f>"62991804992"</x:f>
        <x:v>62991804992</x:v>
      </x:c>
      <x:c r="Z2049" s="30" t="n">
        <x:v>46533</x:v>
      </x:c>
    </x:row>
    <x:row r="2050" ht="18" customHeight="1">
      <x:c r="A2050" s="22" t="str">
        <x:f>"176188df-1acc-4e6a-8d50-ed91ea210f22"</x:f>
        <x:v>176188df-1acc-4e6a-8d50-ed91ea210f22</x:v>
      </x:c>
      <x:c r="B2050" s="23" t="str">
        <x:v>JUNIOR EGIDIO PEREIRA</x:v>
      </x:c>
      <x:c r="C2050" s="23" t="str">
        <x:v>junior egidio pereira</x:v>
      </x:c>
      <x:c r="D2050" s="22" t="str">
        <x:f>"64.966.316/0001-15"</x:f>
        <x:v>64.966.316/0001-15</x:v>
      </x:c>
      <x:c r="E2050" s="22" t="str">
        <x:f>"64966316000115"</x:f>
        <x:v>64966316000115</x:v>
      </x:c>
      <x:c r="F2050" s="22" t="str">
        <x:f>"102.548.756-70"</x:f>
        <x:v>102.548.756-70</x:v>
      </x:c>
      <x:c r="G2050" s="22" t="str">
        <x:f>"10254875670"</x:f>
        <x:v>10254875670</x:v>
      </x:c>
      <x:c r="H2050" s="23" t="str">
        <x:v>Junioregidio0603@gmail.com</x:v>
      </x:c>
      <x:c r="I2050" s="22" t="str">
        <x:f>"33 999345461"</x:f>
        <x:v>33 999345461</x:v>
      </x:c>
      <x:c r="J2050" s="23" t="str">
        <x:v>SPOT</x:v>
      </x:c>
      <x:c r="K2050" s="23" t="str">
        <x:v>favored_only</x:v>
      </x:c>
      <x:c r="L2050" s="24" t="b">
        <x:v>1</x:v>
      </x:c>
      <x:c r="M2050" s="23" t="n">
        <x:v>1</x:v>
      </x:c>
      <x:c r="N2050" s="28" t="n">
        <x:v>46219.812988715275</x:v>
      </x:c>
      <x:c r="O2050" s="28" t="n">
        <x:v>46219.812988715275</x:v>
      </x:c>
      <x:c r="P2050" s="23" t="str">
        <x:v>GUANHAES</x:v>
      </x:c>
      <x:c r="Q2050" s="30" t="n">
        <x:v>32938</x:v>
      </x:c>
      <x:c r="R2050" s="22" t="str">
        <x:f>"17684905"</x:f>
        <x:v>17684905</x:v>
      </x:c>
      <x:c r="S2050" s="23" t="str">
        <x:v>masculino</x:v>
      </x:c>
      <x:c r="T2050" s="22" t="str">
        <x:f>"PUC2E92"</x:f>
        <x:v>PUC2E92</x:v>
      </x:c>
      <x:c r="U2050" s="23" t="str">
        <x:v>JOLIARDE ARAUJO ROCHA</x:v>
      </x:c>
      <x:c r="V2050" s="22" t="str">
        <x:f>"059.302.176-29"</x:f>
        <x:v>059.302.176-29</x:v>
      </x:c>
      <x:c r="W2050" s="22" t="str">
        <x:f>"05930217629"</x:f>
        <x:v>05930217629</x:v>
      </x:c>
      <x:c r="X2050" s="23" t="str">
        <x:v>Rochajuh48@gmail.com</x:v>
      </x:c>
      <x:c r="Y2050" s="22" t="str">
        <x:f>"33998727778"</x:f>
        <x:v>33998727778</x:v>
      </x:c>
      <x:c r="Z2050" s="30" t="n">
        <x:v>46494</x:v>
      </x:c>
    </x:row>
    <x:row r="2051" ht="18" customHeight="1">
      <x:c r="A2051" s="22" t="str">
        <x:f>"392c07f1-b656-4dc3-a55a-bb641a383712"</x:f>
        <x:v>392c07f1-b656-4dc3-a55a-bb641a383712</x:v>
      </x:c>
      <x:c r="B2051" s="23" t="str">
        <x:v>JUNIOR JARDIM DA COSTA</x:v>
      </x:c>
      <x:c r="C2051" s="23" t="str">
        <x:v>junior jardim da costa</x:v>
      </x:c>
      <x:c r="D2051" s="22" t="str">
        <x:f>"54.271.205/0001-30"</x:f>
        <x:v>54.271.205/0001-30</x:v>
      </x:c>
      <x:c r="E2051" s="22" t="str">
        <x:f>"54271205000130"</x:f>
        <x:v>54271205000130</x:v>
      </x:c>
      <x:c r="F2051" s="22" t="str">
        <x:f>"082.076.886-37"</x:f>
        <x:v>082.076.886-37</x:v>
      </x:c>
      <x:c r="G2051" s="22" t="str">
        <x:f>"08207688637"</x:f>
        <x:v>08207688637</x:v>
      </x:c>
      <x:c r="H2051" s="23" t="str">
        <x:v>JUNIORJ9869@GMAIL.COM</x:v>
      </x:c>
      <x:c r="I2051" s="22" t="str">
        <x:f>"33 9869-9742"</x:f>
        <x:v>33 9869-9742</x:v>
      </x:c>
      <x:c r="J2051" s="23" t="str">
        <x:v>RENTAL</x:v>
      </x:c>
      <x:c r="K2051" s="23" t="str">
        <x:v>rental_company</x:v>
      </x:c>
      <x:c r="L2051" s="24" t="b">
        <x:v>1</x:v>
      </x:c>
      <x:c r="M2051" s="23" t="n">
        <x:v>1</x:v>
      </x:c>
      <x:c r="N2051" s="28" t="n">
        <x:v>46219.812988715275</x:v>
      </x:c>
      <x:c r="O2051" s="28" t="n">
        <x:v>46219.812988715275</x:v>
      </x:c>
      <x:c r="P2051" s="23" t="str">
        <x:v>TEOFILO OTONI</x:v>
      </x:c>
      <x:c r="Q2051" s="30" t="n">
        <x:v>31457</x:v>
      </x:c>
      <x:c r="R2051" s="22" t="str">
        <x:f>"15178910"</x:f>
        <x:v>15178910</x:v>
      </x:c>
      <x:c r="S2051" s="23" t="str">
        <x:v>masculino</x:v>
      </x:c>
      <x:c r="T2051" s="22" t="str"/>
      <x:c r="U2051" s="23" t="str">
        <x:v>JUNIORJARDIMDACOSTA</x:v>
      </x:c>
      <x:c r="V2051" s="22" t="str">
        <x:f>"082.076.886-37"</x:f>
        <x:v>082.076.886-37</x:v>
      </x:c>
      <x:c r="W2051" s="22" t="str">
        <x:f>"08207688637"</x:f>
        <x:v>08207688637</x:v>
      </x:c>
      <x:c r="X2051" s="23" t="str">
        <x:v>JUNIORJ9869@GMAIL.COM</x:v>
      </x:c>
      <x:c r="Y2051" s="22" t="str">
        <x:f>"33 9869-9742"</x:f>
        <x:v>33 9869-9742</x:v>
      </x:c>
      <x:c r="Z2051" s="30" t="n">
        <x:v>46456</x:v>
      </x:c>
    </x:row>
    <x:row r="2052" ht="18" customHeight="1">
      <x:c r="A2052" s="22" t="str">
        <x:f>"920d1e3e-038d-4f44-87d3-00e0084d0dbe"</x:f>
        <x:v>920d1e3e-038d-4f44-87d3-00e0084d0dbe</x:v>
      </x:c>
      <x:c r="B2052" s="23" t="str">
        <x:v>JUNIO ROCHA DE OLIVEIRA</x:v>
      </x:c>
      <x:c r="C2052" s="23" t="str">
        <x:v>junio rocha de oliveira</x:v>
      </x:c>
      <x:c r="D2052" s="22" t="str">
        <x:f>"45.429.320/0001-08"</x:f>
        <x:v>45.429.320/0001-08</x:v>
      </x:c>
      <x:c r="E2052" s="22" t="str">
        <x:f>"45429320000108"</x:f>
        <x:v>45429320000108</x:v>
      </x:c>
      <x:c r="F2052" s="22" t="str">
        <x:f>"075.541.916-24"</x:f>
        <x:v>075.541.916-24</x:v>
      </x:c>
      <x:c r="G2052" s="22" t="str">
        <x:f>"07554191624"</x:f>
        <x:v>07554191624</x:v>
      </x:c>
      <x:c r="H2052" s="23" t="str">
        <x:v>junio.rochaj7@gmail.com</x:v>
      </x:c>
      <x:c r="I2052" s="22" t="str">
        <x:f>"35 9853-0346"</x:f>
        <x:v>35 9853-0346</x:v>
      </x:c>
      <x:c r="J2052" s="23" t="str">
        <x:v>SPOT</x:v>
      </x:c>
      <x:c r="K2052" s="23" t="str">
        <x:v>favored_only</x:v>
      </x:c>
      <x:c r="L2052" s="24" t="b">
        <x:v>1</x:v>
      </x:c>
      <x:c r="M2052" s="23" t="n">
        <x:v>1</x:v>
      </x:c>
      <x:c r="N2052" s="28" t="n">
        <x:v>46203.9218771875</x:v>
      </x:c>
      <x:c r="O2052" s="28" t="n">
        <x:v>46219.812988715275</x:v>
      </x:c>
      <x:c r="P2052" s="23" t="str">
        <x:v>POCOS DE CALDAS</x:v>
      </x:c>
      <x:c r="Q2052" s="30" t="n">
        <x:v>30580</x:v>
      </x:c>
      <x:c r="R2052" s="22" t="str">
        <x:f>"13680088"</x:f>
        <x:v>13680088</x:v>
      </x:c>
      <x:c r="S2052" s="23" t="str">
        <x:v>masculino</x:v>
      </x:c>
      <x:c r="T2052" s="22" t="str">
        <x:f>"PWG8D54"</x:f>
        <x:v>PWG8D54</x:v>
      </x:c>
      <x:c r="U2052" s="23" t="str">
        <x:v>JUNIO ROCHA DE OLIVEIRA</x:v>
      </x:c>
      <x:c r="V2052" s="22" t="str">
        <x:f>"075.541.916-24"</x:f>
        <x:v>075.541.916-24</x:v>
      </x:c>
      <x:c r="W2052" s="22" t="str">
        <x:f>"07554191624"</x:f>
        <x:v>07554191624</x:v>
      </x:c>
      <x:c r="X2052" s="23" t="str">
        <x:v>junio.rochaj7@gmail.com</x:v>
      </x:c>
      <x:c r="Y2052" s="22" t="str">
        <x:f>"35 9853-0346"</x:f>
        <x:v>35 9853-0346</x:v>
      </x:c>
      <x:c r="Z2052" s="30" t="n">
        <x:v>46315</x:v>
      </x:c>
    </x:row>
    <x:row r="2053" ht="18" customHeight="1">
      <x:c r="A2053" s="22" t="str">
        <x:f>"5e6ec4ec-7d3e-41e1-bc77-ba4ab9a75baf"</x:f>
        <x:v>5e6ec4ec-7d3e-41e1-bc77-ba4ab9a75baf</x:v>
      </x:c>
      <x:c r="B2053" s="23" t="str">
        <x:v>JUNIO RODRIGUES MAGALHAES PEREIRA</x:v>
      </x:c>
      <x:c r="C2053" s="23" t="str">
        <x:v>junio rodrigues magalhaes pereira</x:v>
      </x:c>
      <x:c r="D2053" s="22" t="str">
        <x:f>"63.078.938/0001-44"</x:f>
        <x:v>63.078.938/0001-44</x:v>
      </x:c>
      <x:c r="E2053" s="22" t="str">
        <x:f>"63078938000144"</x:f>
        <x:v>63078938000144</x:v>
      </x:c>
      <x:c r="F2053" s="22" t="str">
        <x:f>"102.470.246-43"</x:f>
        <x:v>102.470.246-43</x:v>
      </x:c>
      <x:c r="G2053" s="22" t="str">
        <x:f>"10247024643"</x:f>
        <x:v>10247024643</x:v>
      </x:c>
      <x:c r="H2053" s="23" t="str">
        <x:v>juniorosinha123@gmail.com</x:v>
      </x:c>
      <x:c r="I2053" s="22" t="str">
        <x:f>"34998970553"</x:f>
        <x:v>34998970553</x:v>
      </x:c>
      <x:c r="J2053" s="23" t="str">
        <x:v>RENTAL</x:v>
      </x:c>
      <x:c r="K2053" s="23" t="str">
        <x:v>rental_company</x:v>
      </x:c>
      <x:c r="L2053" s="24" t="b">
        <x:v>1</x:v>
      </x:c>
      <x:c r="M2053" s="23" t="n">
        <x:v>1</x:v>
      </x:c>
      <x:c r="N2053" s="28" t="n">
        <x:v>46203.921904421295</x:v>
      </x:c>
      <x:c r="O2053" s="28" t="n">
        <x:v>46219.812988715275</x:v>
      </x:c>
      <x:c r="P2053" s="23" t="str">
        <x:v>UBERLANDIA</x:v>
      </x:c>
      <x:c r="Q2053" s="30" t="n">
        <x:v>33396</x:v>
      </x:c>
      <x:c r="R2053" s="22" t="str">
        <x:f>"16827035"</x:f>
        <x:v>16827035</x:v>
      </x:c>
      <x:c r="S2053" s="23" t="str">
        <x:v>masculino</x:v>
      </x:c>
      <x:c r="T2053" s="22" t="str"/>
      <x:c r="U2053" s="23" t="str">
        <x:v>JUNIO RODRIGUES MAGALHAES PEREIRA</x:v>
      </x:c>
      <x:c r="V2053" s="22" t="str">
        <x:f>"102.470.246-43"</x:f>
        <x:v>102.470.246-43</x:v>
      </x:c>
      <x:c r="W2053" s="22" t="str">
        <x:f>"10247024643"</x:f>
        <x:v>10247024643</x:v>
      </x:c>
      <x:c r="X2053" s="23" t="str">
        <x:v>juniorosinha123@gmail.com</x:v>
      </x:c>
      <x:c r="Y2053" s="22" t="str">
        <x:f>"34998970553"</x:f>
        <x:v>34998970553</x:v>
      </x:c>
      <x:c r="Z2053" s="30" t="n">
        <x:v>46378</x:v>
      </x:c>
    </x:row>
    <x:row r="2054" ht="18" customHeight="1">
      <x:c r="A2054" s="22" t="str">
        <x:f>"bd0f3936-d859-4943-a3e5-88dd708c4b4c"</x:f>
        <x:v>bd0f3936-d859-4943-a3e5-88dd708c4b4c</x:v>
      </x:c>
      <x:c r="B2054" s="23" t="str">
        <x:v>JUNIOR OLIVEIRA DOS SANTOS</x:v>
      </x:c>
      <x:c r="C2054" s="23" t="str">
        <x:v>junior oliveira dos santos</x:v>
      </x:c>
      <x:c r="D2054" s="22" t="str">
        <x:f>"46.268.062/0001-80"</x:f>
        <x:v>46.268.062/0001-80</x:v>
      </x:c>
      <x:c r="E2054" s="22" t="str">
        <x:f>"46268062000180"</x:f>
        <x:v>46268062000180</x:v>
      </x:c>
      <x:c r="F2054" s="22" t="str">
        <x:f>"086.961.757-51"</x:f>
        <x:v>086.961.757-51</x:v>
      </x:c>
      <x:c r="G2054" s="22" t="str">
        <x:f>"08696175751"</x:f>
        <x:v>08696175751</x:v>
      </x:c>
      <x:c r="H2054" s="23" t="str">
        <x:v>Junioroliveira336128@gmail.com</x:v>
      </x:c>
      <x:c r="I2054" s="22" t="str">
        <x:f>"21960176016"</x:f>
        <x:v>21960176016</x:v>
      </x:c>
      <x:c r="J2054" s="23" t="str">
        <x:v>SPOT</x:v>
      </x:c>
      <x:c r="K2054" s="23" t="str">
        <x:v>favored_only</x:v>
      </x:c>
      <x:c r="L2054" s="24" t="b">
        <x:v>1</x:v>
      </x:c>
      <x:c r="M2054" s="23" t="n">
        <x:v>1</x:v>
      </x:c>
      <x:c r="N2054" s="28" t="n">
        <x:v>46203.92188238426</x:v>
      </x:c>
      <x:c r="O2054" s="28" t="n">
        <x:v>46219.812988715275</x:v>
      </x:c>
      <x:c r="P2054" s="23" t="str">
        <x:v>QUEIMADOS</x:v>
      </x:c>
      <x:c r="Q2054" s="30" t="n">
        <x:v>29343</x:v>
      </x:c>
      <x:c r="R2054" s="22" t="str">
        <x:f>"1948687760"</x:f>
        <x:v>1948687760</x:v>
      </x:c>
      <x:c r="S2054" s="23" t="str">
        <x:v>masculino</x:v>
      </x:c>
      <x:c r="T2054" s="22" t="str">
        <x:f>"KXZ5D15"</x:f>
        <x:v>KXZ5D15</x:v>
      </x:c>
      <x:c r="U2054" s="23" t="str">
        <x:v>JUNIOR OLIVEIRA DOS SANTOS</x:v>
      </x:c>
      <x:c r="V2054" s="22" t="str">
        <x:f>"086.961.757-51"</x:f>
        <x:v>086.961.757-51</x:v>
      </x:c>
      <x:c r="W2054" s="22" t="str">
        <x:f>"08696175751"</x:f>
        <x:v>08696175751</x:v>
      </x:c>
      <x:c r="X2054" s="23" t="str">
        <x:v>Junioroliveira336128@gmail.com</x:v>
      </x:c>
      <x:c r="Y2054" s="22" t="str">
        <x:f>"21960176016"</x:f>
        <x:v>21960176016</x:v>
      </x:c>
      <x:c r="Z2054" s="30" t="n">
        <x:v>46317</x:v>
      </x:c>
    </x:row>
    <x:row r="2055" ht="18" customHeight="1">
      <x:c r="A2055" s="22" t="str">
        <x:f>"77e148aa-93a2-4555-8f51-9b5b57391bc9"</x:f>
        <x:v>77e148aa-93a2-4555-8f51-9b5b57391bc9</x:v>
      </x:c>
      <x:c r="B2055" s="23" t="str">
        <x:v>JUNNER CESAR MATOS FILHO</x:v>
      </x:c>
      <x:c r="C2055" s="23" t="str">
        <x:v>junner cesar matos filho</x:v>
      </x:c>
      <x:c r="D2055" s="22" t="str">
        <x:f>"50.962.677/0001-89"</x:f>
        <x:v>50.962.677/0001-89</x:v>
      </x:c>
      <x:c r="E2055" s="22" t="str">
        <x:f>"50962677000189"</x:f>
        <x:v>50962677000189</x:v>
      </x:c>
      <x:c r="F2055" s="22" t="str">
        <x:f>"043.797.111-29"</x:f>
        <x:v>043.797.111-29</x:v>
      </x:c>
      <x:c r="G2055" s="22" t="str">
        <x:f>"04379711129"</x:f>
        <x:v>04379711129</x:v>
      </x:c>
      <x:c r="H2055" s="23" t="str">
        <x:v>jcesarmatosfilho@gmail.com</x:v>
      </x:c>
      <x:c r="I2055" s="22" t="str">
        <x:f>"62994504960"</x:f>
        <x:v>62994504960</x:v>
      </x:c>
      <x:c r="J2055" s="23" t="str">
        <x:v>SPOT</x:v>
      </x:c>
      <x:c r="K2055" s="23" t="str">
        <x:v>favored_only</x:v>
      </x:c>
      <x:c r="L2055" s="24" t="b">
        <x:v>1</x:v>
      </x:c>
      <x:c r="M2055" s="23" t="n">
        <x:v>1</x:v>
      </x:c>
      <x:c r="N2055" s="28" t="n">
        <x:v>46219.812988715275</x:v>
      </x:c>
      <x:c r="O2055" s="28" t="n">
        <x:v>46219.812988715275</x:v>
      </x:c>
      <x:c r="P2055" s="23" t="str">
        <x:v>MINAÇU</x:v>
      </x:c>
      <x:c r="Q2055" s="30" t="n">
        <x:v>34296</x:v>
      </x:c>
      <x:c r="R2055" s="22" t="str">
        <x:f>"5798389"</x:f>
        <x:v>5798389</x:v>
      </x:c>
      <x:c r="S2055" s="23" t="str">
        <x:v>masculino</x:v>
      </x:c>
      <x:c r="T2055" s="22" t="str">
        <x:f>"OMY1F66"</x:f>
        <x:v>OMY1F66</x:v>
      </x:c>
      <x:c r="U2055" s="23" t="str">
        <x:v>JUNNER CESAR MATOS FILHO</x:v>
      </x:c>
      <x:c r="V2055" s="22" t="str">
        <x:f>"043.797.111-29"</x:f>
        <x:v>043.797.111-29</x:v>
      </x:c>
      <x:c r="W2055" s="22" t="str">
        <x:f>"04379711129"</x:f>
        <x:v>04379711129</x:v>
      </x:c>
      <x:c r="X2055" s="23" t="str">
        <x:v>jcesarmatosfilho@gmail.com</x:v>
      </x:c>
      <x:c r="Y2055" s="22" t="str">
        <x:f>"62994504960"</x:f>
        <x:v>62994504960</x:v>
      </x:c>
      <x:c r="Z2055" s="30" t="n">
        <x:v>46539</x:v>
      </x:c>
    </x:row>
    <x:row r="2056" ht="18" customHeight="1">
      <x:c r="A2056" s="22" t="str">
        <x:f>"1fc81fe8-e8f6-454e-b0cf-addb12a484bc"</x:f>
        <x:v>1fc81fe8-e8f6-454e-b0cf-addb12a484bc</x:v>
      </x:c>
      <x:c r="B2056" s="23" t="str">
        <x:v>JURACI JOSE DE OLIVEIRA JUNIOR</x:v>
      </x:c>
      <x:c r="C2056" s="23" t="str">
        <x:v>juraci jose de oliveira junior</x:v>
      </x:c>
      <x:c r="D2056" s="22" t="str">
        <x:f>"32.714.053/0001-60"</x:f>
        <x:v>32.714.053/0001-60</x:v>
      </x:c>
      <x:c r="E2056" s="22" t="str">
        <x:f>"32714053000160"</x:f>
        <x:v>32714053000160</x:v>
      </x:c>
      <x:c r="F2056" s="22" t="str">
        <x:f>"73746517168"</x:f>
        <x:v>73746517168</x:v>
      </x:c>
      <x:c r="G2056" s="22" t="str">
        <x:f>"73746517168"</x:f>
        <x:v>73746517168</x:v>
      </x:c>
      <x:c r="H2056" s="23" t="str">
        <x:v>infortechrv@gmail.com</x:v>
      </x:c>
      <x:c r="I2056" s="22" t="str">
        <x:f>"64992820713"</x:f>
        <x:v>64992820713</x:v>
      </x:c>
      <x:c r="J2056" s="23" t="str">
        <x:v>SPOT</x:v>
      </x:c>
      <x:c r="K2056" s="23" t="str">
        <x:v>favored_only</x:v>
      </x:c>
      <x:c r="L2056" s="24" t="b">
        <x:v>1</x:v>
      </x:c>
      <x:c r="M2056" s="23" t="n">
        <x:v>1</x:v>
      </x:c>
      <x:c r="N2056" s="28" t="n">
        <x:v>46203.92186462963</x:v>
      </x:c>
      <x:c r="O2056" s="28" t="n">
        <x:v>46203.92186462963</x:v>
      </x:c>
      <x:c r="P2056" s="23" t="str"/>
      <x:c r="Q2056" s="30" t="str"/>
      <x:c r="R2056" s="22" t="str"/>
      <x:c r="S2056" s="23" t="str"/>
      <x:c r="T2056" s="22" t="str"/>
      <x:c r="U2056" s="23" t="str">
        <x:v>JURACI JOSE DE OLIVEIRA JUNIOR</x:v>
      </x:c>
      <x:c r="V2056" s="22" t="str">
        <x:f>"73746517168"</x:f>
        <x:v>73746517168</x:v>
      </x:c>
      <x:c r="W2056" s="22" t="str">
        <x:f>"73746517168"</x:f>
        <x:v>73746517168</x:v>
      </x:c>
      <x:c r="X2056" s="23" t="str">
        <x:v>infortechrv@gmail.com</x:v>
      </x:c>
      <x:c r="Y2056" s="22" t="str">
        <x:f>"64992820713"</x:f>
        <x:v>64992820713</x:v>
      </x:c>
      <x:c r="Z2056" s="30" t="str"/>
    </x:row>
    <x:row r="2057" ht="18" customHeight="1">
      <x:c r="A2057" s="22" t="str">
        <x:f>"c8b20ede-092e-468e-b056-446bc984fd2c"</x:f>
        <x:v>c8b20ede-092e-468e-b056-446bc984fd2c</x:v>
      </x:c>
      <x:c r="B2057" s="23" t="str">
        <x:v>JURANDIR GONCALVES BUENO</x:v>
      </x:c>
      <x:c r="C2057" s="23" t="str">
        <x:v>jurandir goncalves bueno</x:v>
      </x:c>
      <x:c r="D2057" s="22" t="str">
        <x:f>"67.728.270/0001-94"</x:f>
        <x:v>67.728.270/0001-94</x:v>
      </x:c>
      <x:c r="E2057" s="22" t="str">
        <x:f>"67728270000194"</x:f>
        <x:v>67728270000194</x:v>
      </x:c>
      <x:c r="F2057" s="22" t="str">
        <x:f>"434.521.818-71"</x:f>
        <x:v>434.521.818-71</x:v>
      </x:c>
      <x:c r="G2057" s="22" t="str">
        <x:f>"43452181871"</x:f>
        <x:v>43452181871</x:v>
      </x:c>
      <x:c r="H2057" s="23" t="str">
        <x:v>jurandirr2512@gmail.com</x:v>
      </x:c>
      <x:c r="I2057" s="22" t="str">
        <x:f>"016997745740"</x:f>
        <x:v>016997745740</x:v>
      </x:c>
      <x:c r="J2057" s="23" t="str">
        <x:v>RENTAL</x:v>
      </x:c>
      <x:c r="K2057" s="23" t="str">
        <x:v>rental_company</x:v>
      </x:c>
      <x:c r="L2057" s="24" t="b">
        <x:v>1</x:v>
      </x:c>
      <x:c r="M2057" s="23" t="n">
        <x:v>1</x:v>
      </x:c>
      <x:c r="N2057" s="28" t="n">
        <x:v>46219.812988715275</x:v>
      </x:c>
      <x:c r="O2057" s="28" t="n">
        <x:v>46219.812988715275</x:v>
      </x:c>
      <x:c r="P2057" s="23" t="str">
        <x:v>SÃO CARLOS</x:v>
      </x:c>
      <x:c r="Q2057" s="30" t="n">
        <x:v>34849</x:v>
      </x:c>
      <x:c r="R2057" s="22" t="str">
        <x:f>"400990428"</x:f>
        <x:v>400990428</x:v>
      </x:c>
      <x:c r="S2057" s="23" t="str">
        <x:v>masculino</x:v>
      </x:c>
      <x:c r="T2057" s="22" t="str"/>
      <x:c r="U2057" s="23" t="str">
        <x:v>JURANDIR GONCALVES BUENO</x:v>
      </x:c>
      <x:c r="V2057" s="22" t="str">
        <x:f>"434.521.818-71"</x:f>
        <x:v>434.521.818-71</x:v>
      </x:c>
      <x:c r="W2057" s="22" t="str">
        <x:f>"43452181871"</x:f>
        <x:v>43452181871</x:v>
      </x:c>
      <x:c r="X2057" s="23" t="str">
        <x:v>jurandirr2512@gmail.com</x:v>
      </x:c>
      <x:c r="Y2057" s="22" t="str">
        <x:f>"016997745740"</x:f>
        <x:v>016997745740</x:v>
      </x:c>
      <x:c r="Z2057" s="30" t="n">
        <x:v>46569</x:v>
      </x:c>
    </x:row>
    <x:row r="2058" ht="18" customHeight="1">
      <x:c r="A2058" s="22" t="str">
        <x:f>"9afdb374-ba6a-421e-90cc-420a4f7584fc"</x:f>
        <x:v>9afdb374-ba6a-421e-90cc-420a4f7584fc</x:v>
      </x:c>
      <x:c r="B2058" s="23" t="str">
        <x:v>JUSCELINO SILVESTRE DE CASTRO</x:v>
      </x:c>
      <x:c r="C2058" s="23" t="str">
        <x:v>juscelino silvestre de castro</x:v>
      </x:c>
      <x:c r="D2058" s="22" t="str">
        <x:f>"60.156.046/0001-26"</x:f>
        <x:v>60.156.046/0001-26</x:v>
      </x:c>
      <x:c r="E2058" s="22" t="str">
        <x:f>"60156046000126"</x:f>
        <x:v>60156046000126</x:v>
      </x:c>
      <x:c r="F2058" s="22" t="str">
        <x:f>"460.651.721-20"</x:f>
        <x:v>460.651.721-20</x:v>
      </x:c>
      <x:c r="G2058" s="22" t="str">
        <x:f>"46065172120"</x:f>
        <x:v>46065172120</x:v>
      </x:c>
      <x:c r="H2058" s="23" t="str">
        <x:v>silvestre.castro1510@gmail.com</x:v>
      </x:c>
      <x:c r="I2058" s="22" t="str">
        <x:f>"65984413834"</x:f>
        <x:v>65984413834</x:v>
      </x:c>
      <x:c r="J2058" s="23" t="str">
        <x:v>SPOT</x:v>
      </x:c>
      <x:c r="K2058" s="23" t="str">
        <x:v>favored_only</x:v>
      </x:c>
      <x:c r="L2058" s="24" t="b">
        <x:v>1</x:v>
      </x:c>
      <x:c r="M2058" s="23" t="n">
        <x:v>1</x:v>
      </x:c>
      <x:c r="N2058" s="28" t="n">
        <x:v>46205.60440710648</x:v>
      </x:c>
      <x:c r="O2058" s="28" t="n">
        <x:v>46219.812988715275</x:v>
      </x:c>
      <x:c r="P2058" s="23" t="str">
        <x:v>CUIABA</x:v>
      </x:c>
      <x:c r="Q2058" s="30" t="n">
        <x:v>25856</x:v>
      </x:c>
      <x:c r="R2058" s="22" t="str">
        <x:f>"4633946"</x:f>
        <x:v>4633946</x:v>
      </x:c>
      <x:c r="S2058" s="23" t="str">
        <x:v>masculino</x:v>
      </x:c>
      <x:c r="T2058" s="22" t="str">
        <x:f>"OZZ5B27"</x:f>
        <x:v>OZZ5B27</x:v>
      </x:c>
      <x:c r="U2058" s="23" t="str">
        <x:v>ANGELE SANTOS DA SILVA CAMPOS</x:v>
      </x:c>
      <x:c r="V2058" s="22" t="str">
        <x:f>"054.987.771-16"</x:f>
        <x:v>054.987.771-16</x:v>
      </x:c>
      <x:c r="W2058" s="22" t="str">
        <x:f>"05498777116"</x:f>
        <x:v>05498777116</x:v>
      </x:c>
      <x:c r="X2058" s="23" t="str">
        <x:v>angeleisacampos2@gmail.com</x:v>
      </x:c>
      <x:c r="Y2058" s="22" t="str">
        <x:f>"65993545277"</x:f>
        <x:v>65993545277</x:v>
      </x:c>
      <x:c r="Z2058" s="30" t="n">
        <x:v>46273</x:v>
      </x:c>
    </x:row>
    <x:row r="2059" ht="18" customHeight="1">
      <x:c r="A2059" s="22" t="str">
        <x:f>"06e4d6b0-bec2-429e-b5f4-33659115dc4a"</x:f>
        <x:v>06e4d6b0-bec2-429e-b5f4-33659115dc4a</x:v>
      </x:c>
      <x:c r="B2059" s="23" t="str">
        <x:v>JUSCIMAR HENRIQUE PANSA DAMIAO</x:v>
      </x:c>
      <x:c r="C2059" s="23" t="str">
        <x:v>juscimar henrique pansa damiao</x:v>
      </x:c>
      <x:c r="D2059" s="22" t="str">
        <x:f>"63.305.154/0001-01"</x:f>
        <x:v>63.305.154/0001-01</x:v>
      </x:c>
      <x:c r="E2059" s="22" t="str">
        <x:f>"63305154000101"</x:f>
        <x:v>63305154000101</x:v>
      </x:c>
      <x:c r="F2059" s="22" t="str">
        <x:f>"511.331.388-29"</x:f>
        <x:v>511.331.388-29</x:v>
      </x:c>
      <x:c r="G2059" s="22" t="str">
        <x:f>"51133138829"</x:f>
        <x:v>51133138829</x:v>
      </x:c>
      <x:c r="H2059" s="23" t="str">
        <x:v>juhenriquepansa@outlook.com</x:v>
      </x:c>
      <x:c r="I2059" s="22" t="str">
        <x:f>"11988802234"</x:f>
        <x:v>11988802234</x:v>
      </x:c>
      <x:c r="J2059" s="23" t="str">
        <x:v>RENTALS</x:v>
      </x:c>
      <x:c r="K2059" s="23" t="str">
        <x:v>rental_company</x:v>
      </x:c>
      <x:c r="L2059" s="24" t="b">
        <x:v>1</x:v>
      </x:c>
      <x:c r="M2059" s="23" t="n">
        <x:v>1</x:v>
      </x:c>
      <x:c r="N2059" s="28" t="n">
        <x:v>46219.812988715275</x:v>
      </x:c>
      <x:c r="O2059" s="28" t="n">
        <x:v>46219.812988715275</x:v>
      </x:c>
      <x:c r="P2059" s="23" t="str">
        <x:v>BARUERI</x:v>
      </x:c>
      <x:c r="Q2059" s="30" t="n">
        <x:v>36201</x:v>
      </x:c>
      <x:c r="R2059" s="22" t="str">
        <x:f>"56.882.185-3"</x:f>
        <x:v>56.882.185-3</x:v>
      </x:c>
      <x:c r="S2059" s="23" t="str">
        <x:v>masculino</x:v>
      </x:c>
      <x:c r="T2059" s="22" t="str"/>
      <x:c r="U2059" s="23" t="str">
        <x:v>JUSCIMAR HENRIQUE PANSA DAMIAO</x:v>
      </x:c>
      <x:c r="V2059" s="22" t="str">
        <x:f>"511.331.388-29"</x:f>
        <x:v>511.331.388-29</x:v>
      </x:c>
      <x:c r="W2059" s="22" t="str">
        <x:f>"51133138829"</x:f>
        <x:v>51133138829</x:v>
      </x:c>
      <x:c r="X2059" s="23" t="str">
        <x:v>juhenriquepansa@outlook.com</x:v>
      </x:c>
      <x:c r="Y2059" s="22" t="str">
        <x:f>"11988802234"</x:f>
        <x:v>11988802234</x:v>
      </x:c>
      <x:c r="Z2059" s="30" t="n">
        <x:v>46487</x:v>
      </x:c>
    </x:row>
    <x:row r="2060" ht="18" customHeight="1">
      <x:c r="A2060" s="22" t="str">
        <x:f>"89ef299a-e4b7-4e51-8c35-7c434689e2fa"</x:f>
        <x:v>89ef299a-e4b7-4e51-8c35-7c434689e2fa</x:v>
      </x:c>
      <x:c r="B2060" s="23" t="str">
        <x:v>JUVENAL MEDEIROS GUERRA NETO</x:v>
      </x:c>
      <x:c r="C2060" s="23" t="str">
        <x:v>juvenal medeiros guerra neto</x:v>
      </x:c>
      <x:c r="D2060" s="22" t="str">
        <x:f>"63.632.477/0001-00"</x:f>
        <x:v>63.632.477/0001-00</x:v>
      </x:c>
      <x:c r="E2060" s="22" t="str">
        <x:f>"63632477000100"</x:f>
        <x:v>63632477000100</x:v>
      </x:c>
      <x:c r="F2060" s="22" t="str">
        <x:f>"027.663.272-90"</x:f>
        <x:v>027.663.272-90</x:v>
      </x:c>
      <x:c r="G2060" s="22" t="str">
        <x:f>"02766327290"</x:f>
        <x:v>02766327290</x:v>
      </x:c>
      <x:c r="H2060" s="23" t="str">
        <x:v>guerraneto74@gmail.com</x:v>
      </x:c>
      <x:c r="I2060" s="22" t="str">
        <x:f>"(65) 9208-8945"</x:f>
        <x:v>(65) 9208-8945</x:v>
      </x:c>
      <x:c r="J2060" s="23" t="str">
        <x:v>SPOT</x:v>
      </x:c>
      <x:c r="K2060" s="23" t="str">
        <x:v>favored_only</x:v>
      </x:c>
      <x:c r="L2060" s="24" t="b">
        <x:v>1</x:v>
      </x:c>
      <x:c r="M2060" s="23" t="n">
        <x:v>1</x:v>
      </x:c>
      <x:c r="N2060" s="28" t="n">
        <x:v>46203.92189349537</x:v>
      </x:c>
      <x:c r="O2060" s="28" t="n">
        <x:v>46219.812988715275</x:v>
      </x:c>
      <x:c r="P2060" s="23" t="str">
        <x:v>SINOP</x:v>
      </x:c>
      <x:c r="Q2060" s="30" t="n">
        <x:v>34226</x:v>
      </x:c>
      <x:c r="R2060" s="22" t="str">
        <x:f>"33743770"</x:f>
        <x:v>33743770</x:v>
      </x:c>
      <x:c r="S2060" s="23" t="str">
        <x:v>masculino</x:v>
      </x:c>
      <x:c r="T2060" s="22" t="str">
        <x:f>"OBE3A92"</x:f>
        <x:v>OBE3A92</x:v>
      </x:c>
      <x:c r="U2060" s="23" t="str">
        <x:v>JUVENAL MEDEIROS GUERRA NETO</x:v>
      </x:c>
      <x:c r="V2060" s="22" t="str">
        <x:f>"027.663.272-90"</x:f>
        <x:v>027.663.272-90</x:v>
      </x:c>
      <x:c r="W2060" s="22" t="str">
        <x:f>"02766327290"</x:f>
        <x:v>02766327290</x:v>
      </x:c>
      <x:c r="X2060" s="23" t="str">
        <x:v>guerraneto74@gmail.com</x:v>
      </x:c>
      <x:c r="Y2060" s="22" t="str">
        <x:f>"(65) 9208-8945"</x:f>
        <x:v>(65) 9208-8945</x:v>
      </x:c>
      <x:c r="Z2060" s="30" t="n">
        <x:v>46339</x:v>
      </x:c>
    </x:row>
    <x:row r="2061" ht="18" customHeight="1">
      <x:c r="A2061" s="22" t="str">
        <x:f>"a9cce490-c10d-484e-85bd-d12f6c3b6fd4"</x:f>
        <x:v>a9cce490-c10d-484e-85bd-d12f6c3b6fd4</x:v>
      </x:c>
      <x:c r="B2061" s="23" t="str">
        <x:v>KADU FONTES GALINDO</x:v>
      </x:c>
      <x:c r="C2061" s="23" t="str">
        <x:v>kadu fontes galindo</x:v>
      </x:c>
      <x:c r="D2061" s="22" t="str">
        <x:f>"60.935.580/0001-30"</x:f>
        <x:v>60.935.580/0001-30</x:v>
      </x:c>
      <x:c r="E2061" s="22" t="str">
        <x:f>"60935580000130"</x:f>
        <x:v>60935580000130</x:v>
      </x:c>
      <x:c r="F2061" s="22" t="str">
        <x:f>"15471555660"</x:f>
        <x:v>15471555660</x:v>
      </x:c>
      <x:c r="G2061" s="22" t="str">
        <x:f>"15471555660"</x:f>
        <x:v>15471555660</x:v>
      </x:c>
      <x:c r="H2061" s="23" t="str">
        <x:v>kfontes654@gmail.com</x:v>
      </x:c>
      <x:c r="I2061" s="22" t="str">
        <x:f>"(34) 98878-0010"</x:f>
        <x:v>(34) 98878-0010</x:v>
      </x:c>
      <x:c r="J2061" s="23" t="str">
        <x:v>SPOT</x:v>
      </x:c>
      <x:c r="K2061" s="23" t="str">
        <x:v>favored_only</x:v>
      </x:c>
      <x:c r="L2061" s="24" t="b">
        <x:v>1</x:v>
      </x:c>
      <x:c r="M2061" s="23" t="n">
        <x:v>1</x:v>
      </x:c>
      <x:c r="N2061" s="28" t="n">
        <x:v>46203.9219084375</x:v>
      </x:c>
      <x:c r="O2061" s="28" t="n">
        <x:v>46203.9219084375</x:v>
      </x:c>
      <x:c r="P2061" s="23" t="str"/>
      <x:c r="Q2061" s="30" t="str"/>
      <x:c r="R2061" s="22" t="str"/>
      <x:c r="S2061" s="23" t="str"/>
      <x:c r="T2061" s="22" t="str"/>
      <x:c r="U2061" s="23" t="str">
        <x:v>KADU FONTES GALINDO</x:v>
      </x:c>
      <x:c r="V2061" s="22" t="str">
        <x:f>"15471555660"</x:f>
        <x:v>15471555660</x:v>
      </x:c>
      <x:c r="W2061" s="22" t="str">
        <x:f>"15471555660"</x:f>
        <x:v>15471555660</x:v>
      </x:c>
      <x:c r="X2061" s="23" t="str">
        <x:v>kfontes654@gmail.com</x:v>
      </x:c>
      <x:c r="Y2061" s="22" t="str">
        <x:f>"(34) 98878-0010"</x:f>
        <x:v>(34) 98878-0010</x:v>
      </x:c>
      <x:c r="Z2061" s="30" t="str"/>
    </x:row>
    <x:row r="2062" ht="18" customHeight="1">
      <x:c r="A2062" s="22" t="str">
        <x:f>"b9479d40-2d9c-4c92-b0f8-ea46ddaeece5"</x:f>
        <x:v>b9479d40-2d9c-4c92-b0f8-ea46ddaeece5</x:v>
      </x:c>
      <x:c r="B2062" s="23" t="str">
        <x:v>KAICK PHILLIPE XAVIER LOPES</x:v>
      </x:c>
      <x:c r="C2062" s="23" t="str">
        <x:v>kaick phillipe xavier lopes</x:v>
      </x:c>
      <x:c r="D2062" s="22" t="str">
        <x:f>"51.537.022/0001-26"</x:f>
        <x:v>51.537.022/0001-26</x:v>
      </x:c>
      <x:c r="E2062" s="22" t="str">
        <x:f>"51537022000126"</x:f>
        <x:v>51537022000126</x:v>
      </x:c>
      <x:c r="F2062" s="22" t="str">
        <x:f>"128.308.626-35"</x:f>
        <x:v>128.308.626-35</x:v>
      </x:c>
      <x:c r="G2062" s="22" t="str">
        <x:f>"12830862635"</x:f>
        <x:v>12830862635</x:v>
      </x:c>
      <x:c r="H2062" s="23" t="str">
        <x:v>kaickphillipe45339@gmail.com</x:v>
      </x:c>
      <x:c r="I2062" s="22" t="str">
        <x:f>"33 999353721"</x:f>
        <x:v>33 999353721</x:v>
      </x:c>
      <x:c r="J2062" s="23" t="str">
        <x:v>SPOT</x:v>
      </x:c>
      <x:c r="K2062" s="23" t="str">
        <x:v>favored_only</x:v>
      </x:c>
      <x:c r="L2062" s="24" t="b">
        <x:v>1</x:v>
      </x:c>
      <x:c r="M2062" s="23" t="n">
        <x:v>1</x:v>
      </x:c>
      <x:c r="N2062" s="28" t="n">
        <x:v>46219.812988715275</x:v>
      </x:c>
      <x:c r="O2062" s="28" t="n">
        <x:v>46219.812988715275</x:v>
      </x:c>
      <x:c r="P2062" s="23" t="str">
        <x:v>VESPASIANO</x:v>
      </x:c>
      <x:c r="Q2062" s="30" t="n">
        <x:v>35076</x:v>
      </x:c>
      <x:c r="R2062" s="22" t="str">
        <x:f>"MG 15 956.279"</x:f>
        <x:v>MG 15 956.279</x:v>
      </x:c>
      <x:c r="S2062" s="23" t="str">
        <x:v>masculino</x:v>
      </x:c>
      <x:c r="T2062" s="22" t="str">
        <x:f>"OLL9E82"</x:f>
        <x:v>OLL9E82</x:v>
      </x:c>
      <x:c r="U2062" s="23" t="str">
        <x:v>KAICK PHILLIPE XAVIER LOPES</x:v>
      </x:c>
      <x:c r="V2062" s="22" t="str">
        <x:f>"128.308.626-35"</x:f>
        <x:v>128.308.626-35</x:v>
      </x:c>
      <x:c r="W2062" s="22" t="str">
        <x:f>"12830862635"</x:f>
        <x:v>12830862635</x:v>
      </x:c>
      <x:c r="X2062" s="23" t="str">
        <x:v>kaickphillipe45339@gmail.com</x:v>
      </x:c>
      <x:c r="Y2062" s="22" t="str">
        <x:f>"33 999353721"</x:f>
        <x:v>33 999353721</x:v>
      </x:c>
      <x:c r="Z2062" s="30" t="n">
        <x:v>46522</x:v>
      </x:c>
    </x:row>
    <x:row r="2063" ht="18" customHeight="1">
      <x:c r="A2063" s="22" t="str">
        <x:f>"370eda14-e16a-45b7-9113-791d45e6581d"</x:f>
        <x:v>370eda14-e16a-45b7-9113-791d45e6581d</x:v>
      </x:c>
      <x:c r="B2063" s="23" t="str">
        <x:v>KAIO ANDRE REZENDE</x:v>
      </x:c>
      <x:c r="C2063" s="23" t="str">
        <x:v>kaio andre rezende</x:v>
      </x:c>
      <x:c r="D2063" s="22" t="str">
        <x:f>"66.366.544/0001-80"</x:f>
        <x:v>66.366.544/0001-80</x:v>
      </x:c>
      <x:c r="E2063" s="22" t="str">
        <x:f>"66366544000180"</x:f>
        <x:v>66366544000180</x:v>
      </x:c>
      <x:c r="F2063" s="22" t="str">
        <x:f>"379.242.968-32"</x:f>
        <x:v>379.242.968-32</x:v>
      </x:c>
      <x:c r="G2063" s="22" t="str">
        <x:f>"37924296832"</x:f>
        <x:v>37924296832</x:v>
      </x:c>
      <x:c r="H2063" s="23" t="str">
        <x:v>kaioandre_rezende@hotmail.com</x:v>
      </x:c>
      <x:c r="I2063" s="22" t="str">
        <x:f>"(16)99370-8565"</x:f>
        <x:v>(16)99370-8565</x:v>
      </x:c>
      <x:c r="J2063" s="23" t="str">
        <x:v>RENTAL</x:v>
      </x:c>
      <x:c r="K2063" s="23" t="str">
        <x:v>rental_company</x:v>
      </x:c>
      <x:c r="L2063" s="24" t="b">
        <x:v>1</x:v>
      </x:c>
      <x:c r="M2063" s="23" t="n">
        <x:v>1</x:v>
      </x:c>
      <x:c r="N2063" s="28" t="n">
        <x:v>46219.812988715275</x:v>
      </x:c>
      <x:c r="O2063" s="28" t="n">
        <x:v>46219.812988715275</x:v>
      </x:c>
      <x:c r="P2063" s="23" t="str">
        <x:v>RIBEIRAO PRETO</x:v>
      </x:c>
      <x:c r="Q2063" s="30" t="n">
        <x:v>35766</x:v>
      </x:c>
      <x:c r="R2063" s="22" t="str">
        <x:f>"381712953"</x:f>
        <x:v>381712953</x:v>
      </x:c>
      <x:c r="S2063" s="23" t="str">
        <x:v>masculino</x:v>
      </x:c>
      <x:c r="T2063" s="22" t="str"/>
      <x:c r="U2063" s="23" t="str">
        <x:v>KAIO ANDRE REZENDE</x:v>
      </x:c>
      <x:c r="V2063" s="22" t="str">
        <x:f>"379.242.968-32"</x:f>
        <x:v>379.242.968-32</x:v>
      </x:c>
      <x:c r="W2063" s="22" t="str">
        <x:f>"37924296832"</x:f>
        <x:v>37924296832</x:v>
      </x:c>
      <x:c r="X2063" s="23" t="str">
        <x:v>kaioandre_rezende@hotmail.com</x:v>
      </x:c>
      <x:c r="Y2063" s="22" t="str">
        <x:f>"(16)99370-8565"</x:f>
        <x:v>(16)99370-8565</x:v>
      </x:c>
      <x:c r="Z2063" s="30" t="n">
        <x:v>46560</x:v>
      </x:c>
    </x:row>
    <x:row r="2064" ht="18" customHeight="1">
      <x:c r="A2064" s="22" t="str">
        <x:f>"02945e78-38ab-4550-b849-816dabb51acb"</x:f>
        <x:v>02945e78-38ab-4550-b849-816dabb51acb</x:v>
      </x:c>
      <x:c r="B2064" s="23" t="str">
        <x:v>KAIO GABRIEL LUCIANO RIBEIRO</x:v>
      </x:c>
      <x:c r="C2064" s="23" t="str">
        <x:v>kaio gabriel luciano ribeiro</x:v>
      </x:c>
      <x:c r="D2064" s="22" t="str">
        <x:f>"62.477.532/0001-71"</x:f>
        <x:v>62.477.532/0001-71</x:v>
      </x:c>
      <x:c r="E2064" s="22" t="str">
        <x:f>"62477532000171"</x:f>
        <x:v>62477532000171</x:v>
      </x:c>
      <x:c r="F2064" s="22" t="str">
        <x:f>"128.889.766-92"</x:f>
        <x:v>128.889.766-92</x:v>
      </x:c>
      <x:c r="G2064" s="22" t="str">
        <x:f>"12888976692"</x:f>
        <x:v>12888976692</x:v>
      </x:c>
      <x:c r="H2064" s="23" t="str">
        <x:v>kaiog.ribeiro3001@gmail.com</x:v>
      </x:c>
      <x:c r="I2064" s="22" t="str">
        <x:f>"35997478392"</x:f>
        <x:v>35997478392</x:v>
      </x:c>
      <x:c r="J2064" s="23" t="str">
        <x:v>SPOT</x:v>
      </x:c>
      <x:c r="K2064" s="23" t="str">
        <x:v>favored_only</x:v>
      </x:c>
      <x:c r="L2064" s="24" t="b">
        <x:v>1</x:v>
      </x:c>
      <x:c r="M2064" s="23" t="n">
        <x:v>2</x:v>
      </x:c>
      <x:c r="N2064" s="28" t="n">
        <x:v>46203.921858726855</x:v>
      </x:c>
      <x:c r="O2064" s="28" t="n">
        <x:v>46219.812988715275</x:v>
      </x:c>
      <x:c r="P2064" s="23" t="str">
        <x:v>GUAXUPE</x:v>
      </x:c>
      <x:c r="Q2064" s="30" t="n">
        <x:v>35826</x:v>
      </x:c>
      <x:c r="R2064" s="22" t="str">
        <x:f>"19430406"</x:f>
        <x:v>19430406</x:v>
      </x:c>
      <x:c r="S2064" s="23" t="str">
        <x:v>masculino</x:v>
      </x:c>
      <x:c r="T2064" s="22" t="str">
        <x:f>"ONO1E29"</x:f>
        <x:v>ONO1E29</x:v>
      </x:c>
      <x:c r="U2064" s="23" t="str">
        <x:v>KAIO GABRIEL LUCIANO RIBEIRO</x:v>
      </x:c>
      <x:c r="V2064" s="22" t="str">
        <x:f>"128.889.766-92"</x:f>
        <x:v>128.889.766-92</x:v>
      </x:c>
      <x:c r="W2064" s="22" t="str">
        <x:f>"12888976692"</x:f>
        <x:v>12888976692</x:v>
      </x:c>
      <x:c r="X2064" s="23" t="str">
        <x:v>kaiog.ribeiro3001@gmail.com</x:v>
      </x:c>
      <x:c r="Y2064" s="22" t="str">
        <x:f>"35997478392"</x:f>
        <x:v>35997478392</x:v>
      </x:c>
      <x:c r="Z2064" s="30" t="n">
        <x:v>46264</x:v>
      </x:c>
    </x:row>
    <x:row r="2065" ht="18" customHeight="1">
      <x:c r="A2065" s="22" t="str">
        <x:f>"2696c973-92a7-4e19-b3e9-abc65e43e114"</x:f>
        <x:v>2696c973-92a7-4e19-b3e9-abc65e43e114</x:v>
      </x:c>
      <x:c r="B2065" s="23" t="str">
        <x:v>KAIO RENATO DAUDT DO NASCIMENTO</x:v>
      </x:c>
      <x:c r="C2065" s="23" t="str">
        <x:v>kaio renato daudt do nascimento</x:v>
      </x:c>
      <x:c r="D2065" s="22" t="str">
        <x:f>"51.276.734/0001-39"</x:f>
        <x:v>51.276.734/0001-39</x:v>
      </x:c>
      <x:c r="E2065" s="22" t="str">
        <x:f>"51276734000139"</x:f>
        <x:v>51276734000139</x:v>
      </x:c>
      <x:c r="F2065" s="22" t="str">
        <x:f>"462.058.928-47"</x:f>
        <x:v>462.058.928-47</x:v>
      </x:c>
      <x:c r="G2065" s="22" t="str">
        <x:f>"46205892847"</x:f>
        <x:v>46205892847</x:v>
      </x:c>
      <x:c r="H2065" s="23" t="str">
        <x:v>kaiorenatodn@gmail.com</x:v>
      </x:c>
      <x:c r="I2065" s="22" t="str">
        <x:f>"18 99697-1998"</x:f>
        <x:v>18 99697-1998</x:v>
      </x:c>
      <x:c r="J2065" s="23" t="str">
        <x:v>RENTAL</x:v>
      </x:c>
      <x:c r="K2065" s="23" t="str">
        <x:v>rental_company</x:v>
      </x:c>
      <x:c r="L2065" s="24" t="b">
        <x:v>1</x:v>
      </x:c>
      <x:c r="M2065" s="23" t="n">
        <x:v>1</x:v>
      </x:c>
      <x:c r="N2065" s="28" t="n">
        <x:v>46203.92188238426</x:v>
      </x:c>
      <x:c r="O2065" s="28" t="n">
        <x:v>46219.812988715275</x:v>
      </x:c>
      <x:c r="P2065" s="23" t="str">
        <x:v>PRESIDENTE PRUDENTE</x:v>
      </x:c>
      <x:c r="Q2065" s="30" t="n">
        <x:v>36098</x:v>
      </x:c>
      <x:c r="R2065" s="22" t="str">
        <x:f>"56954595X"</x:f>
        <x:v>56954595X</x:v>
      </x:c>
      <x:c r="S2065" s="23" t="str">
        <x:v>masculino</x:v>
      </x:c>
      <x:c r="T2065" s="22" t="str"/>
      <x:c r="U2065" s="23" t="str">
        <x:v>KAIO RENATO DAUDT DO NASCIMENTO</x:v>
      </x:c>
      <x:c r="V2065" s="22" t="str">
        <x:f>"462.058.928-47"</x:f>
        <x:v>462.058.928-47</x:v>
      </x:c>
      <x:c r="W2065" s="22" t="str">
        <x:f>"46205892847"</x:f>
        <x:v>46205892847</x:v>
      </x:c>
      <x:c r="X2065" s="23" t="str">
        <x:v>kaiorenatodn@gmail.com</x:v>
      </x:c>
      <x:c r="Y2065" s="22" t="str">
        <x:f>"18 99697-1998"</x:f>
        <x:v>18 99697-1998</x:v>
      </x:c>
      <x:c r="Z2065" s="30" t="n">
        <x:v>46322</x:v>
      </x:c>
    </x:row>
    <x:row r="2066" ht="18" customHeight="1">
      <x:c r="A2066" s="22" t="str">
        <x:f>"7f421c5f-5ac8-48e8-8116-b24cc509f596"</x:f>
        <x:v>7f421c5f-5ac8-48e8-8116-b24cc509f596</x:v>
      </x:c>
      <x:c r="B2066" s="23" t="str">
        <x:v>KAIQUE APARECIDO VICENTIN</x:v>
      </x:c>
      <x:c r="C2066" s="23" t="str">
        <x:v>kaique aparecido vicentin</x:v>
      </x:c>
      <x:c r="D2066" s="22" t="str">
        <x:f>"67.623.263/0001-28"</x:f>
        <x:v>67.623.263/0001-28</x:v>
      </x:c>
      <x:c r="E2066" s="22" t="str">
        <x:f>"67623263000128"</x:f>
        <x:v>67623263000128</x:v>
      </x:c>
      <x:c r="F2066" s="22" t="str">
        <x:f>"488.904.738-78"</x:f>
        <x:v>488.904.738-78</x:v>
      </x:c>
      <x:c r="G2066" s="22" t="str">
        <x:f>"48890473878"</x:f>
        <x:v>48890473878</x:v>
      </x:c>
      <x:c r="H2066" s="23" t="str">
        <x:v>kaiquevicentin06@gmail.com</x:v>
      </x:c>
      <x:c r="I2066" s="22" t="str">
        <x:f>"19996521699"</x:f>
        <x:v>19996521699</x:v>
      </x:c>
      <x:c r="J2066" s="23" t="str">
        <x:v>RENTAL</x:v>
      </x:c>
      <x:c r="K2066" s="23" t="str">
        <x:v>rental_company</x:v>
      </x:c>
      <x:c r="L2066" s="24" t="b">
        <x:v>1</x:v>
      </x:c>
      <x:c r="M2066" s="23" t="n">
        <x:v>1</x:v>
      </x:c>
      <x:c r="N2066" s="28" t="n">
        <x:v>46219.812988715275</x:v>
      </x:c>
      <x:c r="O2066" s="28" t="n">
        <x:v>46219.812988715275</x:v>
      </x:c>
      <x:c r="P2066" s="23" t="str">
        <x:v>SÃO CARLOS</x:v>
      </x:c>
      <x:c r="Q2066" s="30" t="n">
        <x:v>37991</x:v>
      </x:c>
      <x:c r="R2066" s="22" t="str">
        <x:f>"59487786-6"</x:f>
        <x:v>59487786-6</x:v>
      </x:c>
      <x:c r="S2066" s="23" t="str">
        <x:v>masculino</x:v>
      </x:c>
      <x:c r="T2066" s="22" t="str"/>
      <x:c r="U2066" s="23" t="str">
        <x:v>KAIQUE APARECIDO VICENTIN</x:v>
      </x:c>
      <x:c r="V2066" s="22" t="str">
        <x:f>"488.904.738-78"</x:f>
        <x:v>488.904.738-78</x:v>
      </x:c>
      <x:c r="W2066" s="22" t="str">
        <x:f>"48890473878"</x:f>
        <x:v>48890473878</x:v>
      </x:c>
      <x:c r="X2066" s="23" t="str">
        <x:v>kaiquevicentin06@gmail.com</x:v>
      </x:c>
      <x:c r="Y2066" s="22" t="str">
        <x:f>"19996521699"</x:f>
        <x:v>19996521699</x:v>
      </x:c>
      <x:c r="Z2066" s="30" t="n">
        <x:v>46562</x:v>
      </x:c>
    </x:row>
    <x:row r="2067" ht="18" customHeight="1">
      <x:c r="A2067" s="22" t="str">
        <x:f>"cda21c23-b998-49d7-8bcc-3b7857a473f3"</x:f>
        <x:v>cda21c23-b998-49d7-8bcc-3b7857a473f3</x:v>
      </x:c>
      <x:c r="B2067" s="23" t="str">
        <x:v>KAIQUE BARRETO DOS SANTOS</x:v>
      </x:c>
      <x:c r="C2067" s="23" t="str">
        <x:v>kaique barreto dos santos</x:v>
      </x:c>
      <x:c r="D2067" s="22" t="str">
        <x:f>"61.529.747/0001-26"</x:f>
        <x:v>61.529.747/0001-26</x:v>
      </x:c>
      <x:c r="E2067" s="22" t="str">
        <x:f>"61529747000126"</x:f>
        <x:v>61529747000126</x:v>
      </x:c>
      <x:c r="F2067" s="22" t="str">
        <x:f>"204.428.987-38"</x:f>
        <x:v>204.428.987-38</x:v>
      </x:c>
      <x:c r="G2067" s="22" t="str">
        <x:f>"20442898738"</x:f>
        <x:v>20442898738</x:v>
      </x:c>
      <x:c r="H2067" s="23" t="str">
        <x:v>KAIQUEBARRETO139@GMAIL.COM</x:v>
      </x:c>
      <x:c r="I2067" s="22" t="str">
        <x:f>"22997891853"</x:f>
        <x:v>22997891853</x:v>
      </x:c>
      <x:c r="J2067" s="23" t="str">
        <x:v>SPOT</x:v>
      </x:c>
      <x:c r="K2067" s="23" t="str">
        <x:v>favored_only</x:v>
      </x:c>
      <x:c r="L2067" s="24" t="b">
        <x:v>1</x:v>
      </x:c>
      <x:c r="M2067" s="23" t="n">
        <x:v>1</x:v>
      </x:c>
      <x:c r="N2067" s="28" t="n">
        <x:v>46205.60700232639</x:v>
      </x:c>
      <x:c r="O2067" s="28" t="n">
        <x:v>46219.812988715275</x:v>
      </x:c>
      <x:c r="P2067" s="23" t="str">
        <x:v>CAMPOS DOS GOYTACAZES</x:v>
      </x:c>
      <x:c r="Q2067" s="30" t="n">
        <x:v>38258</x:v>
      </x:c>
      <x:c r="R2067" s="22" t="str">
        <x:f>"274558915"</x:f>
        <x:v>274558915</x:v>
      </x:c>
      <x:c r="S2067" s="23" t="str">
        <x:v>masculino</x:v>
      </x:c>
      <x:c r="T2067" s="22" t="str">
        <x:f>"FCM7D32"</x:f>
        <x:v>FCM7D32</x:v>
      </x:c>
      <x:c r="U2067" s="23" t="str">
        <x:v>FABIO FELIPE TAVARES VELASCO</x:v>
      </x:c>
      <x:c r="V2067" s="22" t="str">
        <x:f>"194.602.247-09"</x:f>
        <x:v>194.602.247-09</x:v>
      </x:c>
      <x:c r="W2067" s="22" t="str">
        <x:f>"19460224709"</x:f>
        <x:v>19460224709</x:v>
      </x:c>
      <x:c r="X2067" s="23" t="str">
        <x:v>FABIOFELIPETAVARES@GMAIL.COM</x:v>
      </x:c>
      <x:c r="Y2067" s="22" t="str">
        <x:f>"22997956696"</x:f>
        <x:v>22997956696</x:v>
      </x:c>
      <x:c r="Z2067" s="30" t="n">
        <x:v>46394</x:v>
      </x:c>
    </x:row>
    <x:row r="2068" ht="18" customHeight="1">
      <x:c r="A2068" s="22" t="str">
        <x:f>"e2217b25-8de2-40f1-b175-cae18f3c886a"</x:f>
        <x:v>e2217b25-8de2-40f1-b175-cae18f3c886a</x:v>
      </x:c>
      <x:c r="B2068" s="23" t="str">
        <x:v>KAMILLY DA SILVA RIZZI</x:v>
      </x:c>
      <x:c r="C2068" s="23" t="str">
        <x:v>kamilly da silva rizzi</x:v>
      </x:c>
      <x:c r="D2068" s="22" t="str">
        <x:f>"65.086.312/0001-05"</x:f>
        <x:v>65.086.312/0001-05</x:v>
      </x:c>
      <x:c r="E2068" s="22" t="str">
        <x:f>"65086312000105"</x:f>
        <x:v>65086312000105</x:v>
      </x:c>
      <x:c r="F2068" s="22" t="str">
        <x:f>"047.819.121-92"</x:f>
        <x:v>047.819.121-92</x:v>
      </x:c>
      <x:c r="G2068" s="22" t="str">
        <x:f>"04781912192"</x:f>
        <x:v>04781912192</x:v>
      </x:c>
      <x:c r="H2068" s="23" t="str">
        <x:v>kamillyrizzi@gmail.com</x:v>
      </x:c>
      <x:c r="I2068" s="22" t="str">
        <x:f>"65999251318"</x:f>
        <x:v>65999251318</x:v>
      </x:c>
      <x:c r="J2068" s="23" t="str">
        <x:v>SPOT</x:v>
      </x:c>
      <x:c r="K2068" s="23" t="str">
        <x:v>favored_only</x:v>
      </x:c>
      <x:c r="L2068" s="24" t="b">
        <x:v>1</x:v>
      </x:c>
      <x:c r="M2068" s="23" t="n">
        <x:v>1</x:v>
      </x:c>
      <x:c r="N2068" s="28" t="n">
        <x:v>46219.812988715275</x:v>
      </x:c>
      <x:c r="O2068" s="28" t="n">
        <x:v>46219.812988715275</x:v>
      </x:c>
      <x:c r="P2068" s="23" t="str">
        <x:v>CÁCERES</x:v>
      </x:c>
      <x:c r="Q2068" s="30" t="n">
        <x:v>34598</x:v>
      </x:c>
      <x:c r="R2068" s="22" t="str">
        <x:f>"22704663"</x:f>
        <x:v>22704663</x:v>
      </x:c>
      <x:c r="S2068" s="23" t="str">
        <x:v>feminino</x:v>
      </x:c>
      <x:c r="T2068" s="22" t="str">
        <x:f>"OAZ7F18"</x:f>
        <x:v>OAZ7F18</x:v>
      </x:c>
      <x:c r="U2068" s="23" t="str">
        <x:v>KAMILLY DA SILVA RIZZI</x:v>
      </x:c>
      <x:c r="V2068" s="22" t="str">
        <x:f>"047.819.121-92"</x:f>
        <x:v>047.819.121-92</x:v>
      </x:c>
      <x:c r="W2068" s="22" t="str">
        <x:f>"04781912192"</x:f>
        <x:v>04781912192</x:v>
      </x:c>
      <x:c r="X2068" s="23" t="str">
        <x:v>kamillyrizzi@gmail.com</x:v>
      </x:c>
      <x:c r="Y2068" s="22" t="str">
        <x:f>"65-999251318"</x:f>
        <x:v>65-999251318</x:v>
      </x:c>
      <x:c r="Z2068" s="30" t="n">
        <x:v>46519</x:v>
      </x:c>
    </x:row>
    <x:row r="2069" ht="18" customHeight="1">
      <x:c r="A2069" s="22" t="str">
        <x:f>"cf4c9ba2-5387-4b83-8b5d-04a561b9c8b5"</x:f>
        <x:v>cf4c9ba2-5387-4b83-8b5d-04a561b9c8b5</x:v>
      </x:c>
      <x:c r="B2069" s="23" t="str">
        <x:v>KARINA MARIA DA SILVA</x:v>
      </x:c>
      <x:c r="C2069" s="23" t="str">
        <x:v>karina maria da silva</x:v>
      </x:c>
      <x:c r="D2069" s="22" t="str">
        <x:f>"42.410.200/0001-62"</x:f>
        <x:v>42.410.200/0001-62</x:v>
      </x:c>
      <x:c r="E2069" s="22" t="str">
        <x:f>"42410200000162"</x:f>
        <x:v>42410200000162</x:v>
      </x:c>
      <x:c r="F2069" s="22" t="str">
        <x:f>"061.260.716-03"</x:f>
        <x:v>061.260.716-03</x:v>
      </x:c>
      <x:c r="G2069" s="22" t="str">
        <x:f>"06126071603"</x:f>
        <x:v>06126071603</x:v>
      </x:c>
      <x:c r="H2069" s="23" t="str">
        <x:v>karinasilva76888@gmail.com</x:v>
      </x:c>
      <x:c r="I2069" s="22" t="str">
        <x:f>"+55 35 9914-4067"</x:f>
        <x:v>+55 35 9914-4067</x:v>
      </x:c>
      <x:c r="J2069" s="23" t="str">
        <x:v>DESCONHECIDO</x:v>
      </x:c>
      <x:c r="K2069" s="23" t="str">
        <x:v>favored_only</x:v>
      </x:c>
      <x:c r="L2069" s="24" t="b">
        <x:v>1</x:v>
      </x:c>
      <x:c r="M2069" s="23" t="n">
        <x:v>1</x:v>
      </x:c>
      <x:c r="N2069" s="28" t="n">
        <x:v>46205.60382778935</x:v>
      </x:c>
      <x:c r="O2069" s="28" t="n">
        <x:v>46219.812988715275</x:v>
      </x:c>
      <x:c r="P2069" s="23" t="str">
        <x:v>GUAXUPE</x:v>
      </x:c>
      <x:c r="Q2069" s="30" t="str"/>
      <x:c r="R2069" s="22" t="str">
        <x:f>"13748488"</x:f>
        <x:v>13748488</x:v>
      </x:c>
      <x:c r="S2069" s="23" t="str">
        <x:v>masculino</x:v>
      </x:c>
      <x:c r="T2069" s="22" t="str">
        <x:f>"PXR6B27"</x:f>
        <x:v>PXR6B27</x:v>
      </x:c>
      <x:c r="U2069" s="23" t="str">
        <x:v>RICARDO BARROS VECCHI</x:v>
      </x:c>
      <x:c r="V2069" s="22" t="str">
        <x:f>"117.673.196-30"</x:f>
        <x:v>117.673.196-30</x:v>
      </x:c>
      <x:c r="W2069" s="22" t="str">
        <x:f>"11767319630"</x:f>
        <x:v>11767319630</x:v>
      </x:c>
      <x:c r="X2069" s="23" t="str">
        <x:v>RICARDO.VECCHI2013@GMAIL.COM</x:v>
      </x:c>
      <x:c r="Y2069" s="22" t="str">
        <x:f>"35998933894"</x:f>
        <x:v>35998933894</x:v>
      </x:c>
      <x:c r="Z2069" s="30" t="n">
        <x:v>46277</x:v>
      </x:c>
    </x:row>
    <x:row r="2070" ht="18" customHeight="1">
      <x:c r="A2070" s="22" t="str">
        <x:f>"a323e957-1421-4319-96d0-09e38b97720e"</x:f>
        <x:v>a323e957-1421-4319-96d0-09e38b97720e</x:v>
      </x:c>
      <x:c r="B2070" s="23" t="str">
        <x:v>KARINA RIBEIRO</x:v>
      </x:c>
      <x:c r="C2070" s="23" t="str">
        <x:v>karina ribeiro</x:v>
      </x:c>
      <x:c r="D2070" s="22" t="str">
        <x:f>"66.659.635/0001-03"</x:f>
        <x:v>66.659.635/0001-03</x:v>
      </x:c>
      <x:c r="E2070" s="22" t="str">
        <x:f>"66659635000103"</x:f>
        <x:v>66659635000103</x:v>
      </x:c>
      <x:c r="F2070" s="22" t="str">
        <x:f>"000.597.526-37"</x:f>
        <x:v>000.597.526-37</x:v>
      </x:c>
      <x:c r="G2070" s="22" t="str">
        <x:f>"00059752637"</x:f>
        <x:v>00059752637</x:v>
      </x:c>
      <x:c r="H2070" s="23" t="str">
        <x:v>karinaribeiro6540@gmail.com</x:v>
      </x:c>
      <x:c r="I2070" s="22" t="str">
        <x:f>"31982957472"</x:f>
        <x:v>31982957472</x:v>
      </x:c>
      <x:c r="J2070" s="23" t="str">
        <x:v>spot</x:v>
      </x:c>
      <x:c r="K2070" s="23" t="str">
        <x:v>favored_only</x:v>
      </x:c>
      <x:c r="L2070" s="24" t="b">
        <x:v>1</x:v>
      </x:c>
      <x:c r="M2070" s="23" t="n">
        <x:v>1</x:v>
      </x:c>
      <x:c r="N2070" s="28" t="n">
        <x:v>46219.812988715275</x:v>
      </x:c>
      <x:c r="O2070" s="28" t="n">
        <x:v>46219.812988715275</x:v>
      </x:c>
      <x:c r="P2070" s="23" t="str">
        <x:v>CONCEIÇÃO DO MATO DENTRO</x:v>
      </x:c>
      <x:c r="Q2070" s="30" t="n">
        <x:v>26619</x:v>
      </x:c>
      <x:c r="R2070" s="22" t="str">
        <x:f>"38499301"</x:f>
        <x:v>38499301</x:v>
      </x:c>
      <x:c r="S2070" s="23" t="str">
        <x:v>masculino</x:v>
      </x:c>
      <x:c r="T2070" s="22" t="str">
        <x:f>"GSW2D23"</x:f>
        <x:v>GSW2D23</x:v>
      </x:c>
      <x:c r="U2070" s="23" t="str">
        <x:v>KARINA RIBEIRO</x:v>
      </x:c>
      <x:c r="V2070" s="22" t="str">
        <x:f>"000.597.526-37"</x:f>
        <x:v>000.597.526-37</x:v>
      </x:c>
      <x:c r="W2070" s="22" t="str">
        <x:f>"00059752637"</x:f>
        <x:v>00059752637</x:v>
      </x:c>
      <x:c r="X2070" s="23" t="str">
        <x:v>karinaribeiro6540@gmail.com</x:v>
      </x:c>
      <x:c r="Y2070" s="22" t="str">
        <x:f>"31982957472"</x:f>
        <x:v>31982957472</x:v>
      </x:c>
      <x:c r="Z2070" s="30" t="n">
        <x:v>46525</x:v>
      </x:c>
    </x:row>
    <x:row r="2071" ht="18" customHeight="1">
      <x:c r="A2071" s="22" t="str">
        <x:f>"0078b2b9-fe76-4c6a-b906-5ebfbd6ce59a"</x:f>
        <x:v>0078b2b9-fe76-4c6a-b906-5ebfbd6ce59a</x:v>
      </x:c>
      <x:c r="B2071" s="23" t="str">
        <x:v>KARINE APARECIDA NUNES</x:v>
      </x:c>
      <x:c r="C2071" s="23" t="str">
        <x:v>karine aparecida nunes</x:v>
      </x:c>
      <x:c r="D2071" s="22" t="str">
        <x:f>"64.674.485/0001-81"</x:f>
        <x:v>64.674.485/0001-81</x:v>
      </x:c>
      <x:c r="E2071" s="22" t="str">
        <x:f>"64674485000181"</x:f>
        <x:v>64674485000181</x:v>
      </x:c>
      <x:c r="F2071" s="22" t="str">
        <x:f>"148.336.046-63"</x:f>
        <x:v>148.336.046-63</x:v>
      </x:c>
      <x:c r="G2071" s="22" t="str">
        <x:f>"14833604663"</x:f>
        <x:v>14833604663</x:v>
      </x:c>
      <x:c r="H2071" s="23" t="str">
        <x:v>karinenuneskz@hotmail.com</x:v>
      </x:c>
      <x:c r="I2071" s="22" t="str">
        <x:f>"37999654308"</x:f>
        <x:v>37999654308</x:v>
      </x:c>
      <x:c r="J2071" s="23" t="str">
        <x:v>SPOT</x:v>
      </x:c>
      <x:c r="K2071" s="23" t="str">
        <x:v>favored_only</x:v>
      </x:c>
      <x:c r="L2071" s="24" t="b">
        <x:v>1</x:v>
      </x:c>
      <x:c r="M2071" s="23" t="n">
        <x:v>1</x:v>
      </x:c>
      <x:c r="N2071" s="28" t="n">
        <x:v>46219.812988715275</x:v>
      </x:c>
      <x:c r="O2071" s="28" t="n">
        <x:v>46219.812988715275</x:v>
      </x:c>
      <x:c r="P2071" s="23" t="str">
        <x:v>ARAXÁ</x:v>
      </x:c>
      <x:c r="Q2071" s="30" t="n">
        <x:v>36858</x:v>
      </x:c>
      <x:c r="R2071" s="22" t="str">
        <x:f>"MG21254757"</x:f>
        <x:v>MG21254757</x:v>
      </x:c>
      <x:c r="S2071" s="23" t="str">
        <x:v>feminino</x:v>
      </x:c>
      <x:c r="T2071" s="22" t="str">
        <x:f>"RMR1E90"</x:f>
        <x:v>RMR1E90</x:v>
      </x:c>
      <x:c r="U2071" s="23" t="str">
        <x:v>KARINE APARECIDA NUNES</x:v>
      </x:c>
      <x:c r="V2071" s="22" t="str">
        <x:f>"148.336.046-63"</x:f>
        <x:v>148.336.046-63</x:v>
      </x:c>
      <x:c r="W2071" s="22" t="str">
        <x:f>"14833604663"</x:f>
        <x:v>14833604663</x:v>
      </x:c>
      <x:c r="X2071" s="23" t="str">
        <x:v>karinenuneskz@hotmail.com</x:v>
      </x:c>
      <x:c r="Y2071" s="22" t="str">
        <x:f>"37999654308"</x:f>
        <x:v>37999654308</x:v>
      </x:c>
      <x:c r="Z2071" s="30" t="n">
        <x:v>46417</x:v>
      </x:c>
    </x:row>
    <x:row r="2072" ht="18" customHeight="1">
      <x:c r="A2072" s="22" t="str">
        <x:f>"60bf2159-c974-4d8e-bbbf-d02f6f19e1cb"</x:f>
        <x:v>60bf2159-c974-4d8e-bbbf-d02f6f19e1cb</x:v>
      </x:c>
      <x:c r="B2072" s="23" t="str">
        <x:v>KARINE DE CASTRO</x:v>
      </x:c>
      <x:c r="C2072" s="23" t="str">
        <x:v>karine de castro</x:v>
      </x:c>
      <x:c r="D2072" s="22" t="str">
        <x:f>"55.836.561/0001-17"</x:f>
        <x:v>55.836.561/0001-17</x:v>
      </x:c>
      <x:c r="E2072" s="22" t="str">
        <x:f>"55836561000117"</x:f>
        <x:v>55836561000117</x:v>
      </x:c>
      <x:c r="F2072" s="22" t="str">
        <x:f>"029.864.556-46"</x:f>
        <x:v>029.864.556-46</x:v>
      </x:c>
      <x:c r="G2072" s="22" t="str">
        <x:f>"02986455646"</x:f>
        <x:v>02986455646</x:v>
      </x:c>
      <x:c r="H2072" s="23" t="str">
        <x:v>karinecastrok@gmail.com</x:v>
      </x:c>
      <x:c r="I2072" s="22" t="str">
        <x:f>"(34) 99661-4904"</x:f>
        <x:v>(34) 99661-4904</x:v>
      </x:c>
      <x:c r="J2072" s="23" t="str">
        <x:v>RENTAL</x:v>
      </x:c>
      <x:c r="K2072" s="23" t="str">
        <x:v>rental_company</x:v>
      </x:c>
      <x:c r="L2072" s="24" t="b">
        <x:v>1</x:v>
      </x:c>
      <x:c r="M2072" s="23" t="n">
        <x:v>1</x:v>
      </x:c>
      <x:c r="N2072" s="28" t="n">
        <x:v>46203.921824756944</x:v>
      </x:c>
      <x:c r="O2072" s="28" t="n">
        <x:v>46219.812988715275</x:v>
      </x:c>
      <x:c r="P2072" s="23" t="str">
        <x:v>UBERABA</x:v>
      </x:c>
      <x:c r="Q2072" s="30" t="n">
        <x:v>28344</x:v>
      </x:c>
      <x:c r="R2072" s="22" t="str">
        <x:f>"9159611"</x:f>
        <x:v>9159611</x:v>
      </x:c>
      <x:c r="S2072" s="23" t="str">
        <x:v>masculino</x:v>
      </x:c>
      <x:c r="T2072" s="22" t="str"/>
      <x:c r="U2072" s="23" t="str">
        <x:v>KARINE DE CASTRO</x:v>
      </x:c>
      <x:c r="V2072" s="22" t="str">
        <x:f>"029.864.556-46"</x:f>
        <x:v>029.864.556-46</x:v>
      </x:c>
      <x:c r="W2072" s="22" t="str">
        <x:f>"02986455646"</x:f>
        <x:v>02986455646</x:v>
      </x:c>
      <x:c r="X2072" s="23" t="str">
        <x:v>karinecastrok@gmail.com</x:v>
      </x:c>
      <x:c r="Y2072" s="22" t="str">
        <x:f>"(34) 99661-4904"</x:f>
        <x:v>(34) 99661-4904</x:v>
      </x:c>
      <x:c r="Z2072" s="30" t="n">
        <x:v>46270</x:v>
      </x:c>
    </x:row>
    <x:row r="2073" ht="18" customHeight="1">
      <x:c r="A2073" s="22" t="str">
        <x:f>"6a300052-2f23-4a8d-bbed-1d9b000c8092"</x:f>
        <x:v>6a300052-2f23-4a8d-bbed-1d9b000c8092</x:v>
      </x:c>
      <x:c r="B2073" s="23" t="str">
        <x:v>KARLA JAQUELINE ARAUJO DOS SANTOS</x:v>
      </x:c>
      <x:c r="C2073" s="23" t="str">
        <x:v>karla jaqueline araujo dos santos</x:v>
      </x:c>
      <x:c r="D2073" s="22" t="str">
        <x:f>"65.979.191/0001-20"</x:f>
        <x:v>65.979.191/0001-20</x:v>
      </x:c>
      <x:c r="E2073" s="22" t="str">
        <x:f>"65979191000120"</x:f>
        <x:v>65979191000120</x:v>
      </x:c>
      <x:c r="F2073" s="22" t="str">
        <x:f>"050.996.011-11"</x:f>
        <x:v>050.996.011-11</x:v>
      </x:c>
      <x:c r="G2073" s="22" t="str">
        <x:f>"05099601111"</x:f>
        <x:v>05099601111</x:v>
      </x:c>
      <x:c r="H2073" s="23" t="str">
        <x:v>karla_jake_santos@hotmail.com</x:v>
      </x:c>
      <x:c r="I2073" s="22" t="str">
        <x:f>"+55 66 99688-0161"</x:f>
        <x:v>+55 66 99688-0161</x:v>
      </x:c>
      <x:c r="J2073" s="23" t="str">
        <x:v>SPOT</x:v>
      </x:c>
      <x:c r="K2073" s="23" t="str">
        <x:v>favored_only</x:v>
      </x:c>
      <x:c r="L2073" s="24" t="b">
        <x:v>1</x:v>
      </x:c>
      <x:c r="M2073" s="23" t="n">
        <x:v>1</x:v>
      </x:c>
      <x:c r="N2073" s="28" t="n">
        <x:v>46219.812988715275</x:v>
      </x:c>
      <x:c r="O2073" s="28" t="n">
        <x:v>46219.812988715275</x:v>
      </x:c>
      <x:c r="P2073" s="23" t="str">
        <x:v>SINOP</x:v>
      </x:c>
      <x:c r="Q2073" s="30" t="n">
        <x:v>34061</x:v>
      </x:c>
      <x:c r="R2073" s="22" t="str">
        <x:f>"6202161410"</x:f>
        <x:v>6202161410</x:v>
      </x:c>
      <x:c r="S2073" s="23" t="str">
        <x:v>feminino</x:v>
      </x:c>
      <x:c r="T2073" s="22" t="str">
        <x:f>"RAM1G25"</x:f>
        <x:v>RAM1G25</x:v>
      </x:c>
      <x:c r="U2073" s="23" t="str">
        <x:v>SAMUEL FELIPE DA SILVA RODRIGUES</x:v>
      </x:c>
      <x:c r="V2073" s="22" t="str">
        <x:f>"053.443.571-84"</x:f>
        <x:v>053.443.571-84</x:v>
      </x:c>
      <x:c r="W2073" s="22" t="str">
        <x:f>"05344357184"</x:f>
        <x:v>05344357184</x:v>
      </x:c>
      <x:c r="X2073" s="23" t="str">
        <x:v>samuelrodrigues2023@hotmail.com</x:v>
      </x:c>
      <x:c r="Y2073" s="22" t="str">
        <x:f>"+55 66 9264-6905"</x:f>
        <x:v>+55 66 9264-6905</x:v>
      </x:c>
      <x:c r="Z2073" s="30" t="n">
        <x:v>46494</x:v>
      </x:c>
    </x:row>
    <x:row r="2074" ht="18" customHeight="1">
      <x:c r="A2074" s="22" t="str">
        <x:f>"4a9c2491-d41f-4336-96a4-af103fdcc33e"</x:f>
        <x:v>4a9c2491-d41f-4336-96a4-af103fdcc33e</x:v>
      </x:c>
      <x:c r="B2074" s="23" t="str">
        <x:v>KAROLINE FERREIRA DE QUEIROZ</x:v>
      </x:c>
      <x:c r="C2074" s="23" t="str">
        <x:v>karoline ferreira de queiroz</x:v>
      </x:c>
      <x:c r="D2074" s="22" t="str">
        <x:f>"46.934.503/0001-35"</x:f>
        <x:v>46.934.503/0001-35</x:v>
      </x:c>
      <x:c r="E2074" s="22" t="str">
        <x:f>"46934503000135"</x:f>
        <x:v>46934503000135</x:v>
      </x:c>
      <x:c r="F2074" s="22" t="str">
        <x:f>"391.732.008-83"</x:f>
        <x:v>391.732.008-83</x:v>
      </x:c>
      <x:c r="G2074" s="22" t="str">
        <x:f>"39173200883"</x:f>
        <x:v>39173200883</x:v>
      </x:c>
      <x:c r="H2074" s="23" t="str">
        <x:v>karolzinha.gustavo88@gmail.com</x:v>
      </x:c>
      <x:c r="I2074" s="22" t="str">
        <x:f>"11918567820"</x:f>
        <x:v>11918567820</x:v>
      </x:c>
      <x:c r="J2074" s="23" t="str">
        <x:v>RENTAL</x:v>
      </x:c>
      <x:c r="K2074" s="23" t="str">
        <x:v>rental_company</x:v>
      </x:c>
      <x:c r="L2074" s="24" t="b">
        <x:v>1</x:v>
      </x:c>
      <x:c r="M2074" s="23" t="n">
        <x:v>1</x:v>
      </x:c>
      <x:c r="N2074" s="28" t="n">
        <x:v>46203.921852962965</x:v>
      </x:c>
      <x:c r="O2074" s="28" t="n">
        <x:v>46219.812988715275</x:v>
      </x:c>
      <x:c r="P2074" s="23" t="str">
        <x:v>MADEIRA MADEIRA</x:v>
      </x:c>
      <x:c r="Q2074" s="30" t="n">
        <x:v>32444</x:v>
      </x:c>
      <x:c r="R2074" s="22" t="str">
        <x:f>"421346267"</x:f>
        <x:v>421346267</x:v>
      </x:c>
      <x:c r="S2074" s="23" t="str">
        <x:v>feminino</x:v>
      </x:c>
      <x:c r="T2074" s="22" t="str"/>
      <x:c r="U2074" s="23" t="str">
        <x:v>KAROLINE FERREIRA DE QUEIROZ</x:v>
      </x:c>
      <x:c r="V2074" s="22" t="str">
        <x:f>"391.732.008-83"</x:f>
        <x:v>391.732.008-83</x:v>
      </x:c>
      <x:c r="W2074" s="22" t="str">
        <x:f>"39173200883"</x:f>
        <x:v>39173200883</x:v>
      </x:c>
      <x:c r="X2074" s="23" t="str">
        <x:v>karolzinha.gustavo88@gmail.com</x:v>
      </x:c>
      <x:c r="Y2074" s="22" t="str">
        <x:f>"11918567820"</x:f>
        <x:v>11918567820</x:v>
      </x:c>
      <x:c r="Z2074" s="30" t="n">
        <x:v>46246</x:v>
      </x:c>
    </x:row>
    <x:row r="2075" ht="18" customHeight="1">
      <x:c r="A2075" s="22" t="str">
        <x:f>"05908ad5-9655-41ba-83ba-12b29d2e82ef"</x:f>
        <x:v>05908ad5-9655-41ba-83ba-12b29d2e82ef</x:v>
      </x:c>
      <x:c r="B2075" s="23" t="str">
        <x:v>KAROLINY DE OLIVEIRA ZOVEDI</x:v>
      </x:c>
      <x:c r="C2075" s="23" t="str">
        <x:v>karoliny de oliveira zovedi</x:v>
      </x:c>
      <x:c r="D2075" s="22" t="str">
        <x:f>"65.144.671/0001-71"</x:f>
        <x:v>65.144.671/0001-71</x:v>
      </x:c>
      <x:c r="E2075" s="22" t="str">
        <x:f>"65144671000171"</x:f>
        <x:v>65144671000171</x:v>
      </x:c>
      <x:c r="F2075" s="22" t="str">
        <x:f>"503.180.708-39"</x:f>
        <x:v>503.180.708-39</x:v>
      </x:c>
      <x:c r="G2075" s="22" t="str">
        <x:f>"50318070839"</x:f>
        <x:v>50318070839</x:v>
      </x:c>
      <x:c r="H2075" s="23" t="str">
        <x:v>karolinyoliveirazovedi@gmail.com</x:v>
      </x:c>
      <x:c r="I2075" s="22" t="str">
        <x:f>"17 99661-7763"</x:f>
        <x:v>17 99661-7763</x:v>
      </x:c>
      <x:c r="J2075" s="23" t="str">
        <x:v>SPOT</x:v>
      </x:c>
      <x:c r="K2075" s="23" t="str">
        <x:v>favored_only</x:v>
      </x:c>
      <x:c r="L2075" s="24" t="b">
        <x:v>1</x:v>
      </x:c>
      <x:c r="M2075" s="23" t="n">
        <x:v>1</x:v>
      </x:c>
      <x:c r="N2075" s="28" t="n">
        <x:v>46219.812988715275</x:v>
      </x:c>
      <x:c r="O2075" s="28" t="n">
        <x:v>46219.812988715275</x:v>
      </x:c>
      <x:c r="P2075" s="23" t="str">
        <x:v>BARRETOS</x:v>
      </x:c>
      <x:c r="Q2075" s="30" t="n">
        <x:v>38637</x:v>
      </x:c>
      <x:c r="R2075" s="22" t="str">
        <x:f>"604859764"</x:f>
        <x:v>604859764</x:v>
      </x:c>
      <x:c r="S2075" s="23" t="str">
        <x:v>feminino</x:v>
      </x:c>
      <x:c r="T2075" s="22" t="str"/>
      <x:c r="U2075" s="23" t="str">
        <x:v>KAROLINY DE OLIVEIRA ZOVEDI</x:v>
      </x:c>
      <x:c r="V2075" s="22" t="str">
        <x:f>"503.180.708-39"</x:f>
        <x:v>503.180.708-39</x:v>
      </x:c>
      <x:c r="W2075" s="22" t="str">
        <x:f>"50318070839"</x:f>
        <x:v>50318070839</x:v>
      </x:c>
      <x:c r="X2075" s="23" t="str">
        <x:v>karolinyoliveirazovedi@gmail.com</x:v>
      </x:c>
      <x:c r="Y2075" s="22" t="str">
        <x:f>"17 99661-7763"</x:f>
        <x:v>17 99661-7763</x:v>
      </x:c>
      <x:c r="Z2075" s="30" t="n">
        <x:v>46434</x:v>
      </x:c>
    </x:row>
    <x:row r="2076" ht="18" customHeight="1">
      <x:c r="A2076" s="22" t="str">
        <x:f>"592f0866-1489-4846-b848-817b8f04c13c"</x:f>
        <x:v>592f0866-1489-4846-b848-817b8f04c13c</x:v>
      </x:c>
      <x:c r="B2076" s="23" t="str">
        <x:v>Karoliny Maia Campos</x:v>
      </x:c>
      <x:c r="C2076" s="23" t="str">
        <x:v>karoliny maia campos</x:v>
      </x:c>
      <x:c r="D2076" s="22" t="str">
        <x:f>"62.099.913/0001-64"</x:f>
        <x:v>62.099.913/0001-64</x:v>
      </x:c>
      <x:c r="E2076" s="22" t="str">
        <x:f>"62099913000164"</x:f>
        <x:v>62099913000164</x:v>
      </x:c>
      <x:c r="F2076" s="22" t="str">
        <x:f>"060.222.081-57"</x:f>
        <x:v>060.222.081-57</x:v>
      </x:c>
      <x:c r="G2076" s="22" t="str">
        <x:f>"06022208157"</x:f>
        <x:v>06022208157</x:v>
      </x:c>
      <x:c r="H2076" s="23" t="str">
        <x:v>kahmaia_@hotmail.com</x:v>
      </x:c>
      <x:c r="I2076" s="22" t="str">
        <x:f>"(65) 9 9803-2471"</x:f>
        <x:v>(65) 9 9803-2471</x:v>
      </x:c>
      <x:c r="J2076" s="23" t="str">
        <x:v>SPOT</x:v>
      </x:c>
      <x:c r="K2076" s="23" t="str">
        <x:v>favored_only</x:v>
      </x:c>
      <x:c r="L2076" s="24" t="b">
        <x:v>1</x:v>
      </x:c>
      <x:c r="M2076" s="23" t="n">
        <x:v>1</x:v>
      </x:c>
      <x:c r="N2076" s="28" t="n">
        <x:v>46203.921852962965</x:v>
      </x:c>
      <x:c r="O2076" s="28" t="n">
        <x:v>46203.921852962965</x:v>
      </x:c>
      <x:c r="P2076" s="23" t="str"/>
      <x:c r="Q2076" s="30" t="str"/>
      <x:c r="R2076" s="22" t="str"/>
      <x:c r="S2076" s="23" t="str"/>
      <x:c r="T2076" s="22" t="str"/>
      <x:c r="U2076" s="23" t="str">
        <x:v>Karoliny Maia Campos</x:v>
      </x:c>
      <x:c r="V2076" s="22" t="str">
        <x:f>"060.222.081-57"</x:f>
        <x:v>060.222.081-57</x:v>
      </x:c>
      <x:c r="W2076" s="22" t="str">
        <x:f>"06022208157"</x:f>
        <x:v>06022208157</x:v>
      </x:c>
      <x:c r="X2076" s="23" t="str">
        <x:v>kahmaia_@hotmail.com</x:v>
      </x:c>
      <x:c r="Y2076" s="22" t="str">
        <x:f>"(65) 9 9803-2471"</x:f>
        <x:v>(65) 9 9803-2471</x:v>
      </x:c>
      <x:c r="Z2076" s="30" t="str"/>
    </x:row>
    <x:row r="2077" ht="18" customHeight="1">
      <x:c r="A2077" s="22" t="str">
        <x:f>"04e2c3f0-76fa-4a66-bd0f-8ae2a13cd306"</x:f>
        <x:v>04e2c3f0-76fa-4a66-bd0f-8ae2a13cd306</x:v>
      </x:c>
      <x:c r="B2077" s="23" t="str">
        <x:v>KATIANA CRISTINA CORTEZ</x:v>
      </x:c>
      <x:c r="C2077" s="23" t="str">
        <x:v>katiana cristina cortez</x:v>
      </x:c>
      <x:c r="D2077" s="22" t="str">
        <x:f>"59.788.684/0001-80"</x:f>
        <x:v>59.788.684/0001-80</x:v>
      </x:c>
      <x:c r="E2077" s="22" t="str">
        <x:f>"59788684000180"</x:f>
        <x:v>59788684000180</x:v>
      </x:c>
      <x:c r="F2077" s="22" t="str">
        <x:f>"044.485.396-01"</x:f>
        <x:v>044.485.396-01</x:v>
      </x:c>
      <x:c r="G2077" s="22" t="str">
        <x:f>"04448539601"</x:f>
        <x:v>04448539601</x:v>
      </x:c>
      <x:c r="H2077" s="23" t="str">
        <x:v>katianaccortez@hotmail.com</x:v>
      </x:c>
      <x:c r="I2077" s="22" t="str">
        <x:f>"35988520569"</x:f>
        <x:v>35988520569</x:v>
      </x:c>
      <x:c r="J2077" s="23" t="str">
        <x:v>RENTAL</x:v>
      </x:c>
      <x:c r="K2077" s="23" t="str">
        <x:v>rental_company</x:v>
      </x:c>
      <x:c r="L2077" s="24" t="b">
        <x:v>1</x:v>
      </x:c>
      <x:c r="M2077" s="23" t="n">
        <x:v>1</x:v>
      </x:c>
      <x:c r="N2077" s="28" t="n">
        <x:v>46203.921852962965</x:v>
      </x:c>
      <x:c r="O2077" s="28" t="n">
        <x:v>46219.812988715275</x:v>
      </x:c>
      <x:c r="P2077" s="23" t="str">
        <x:v>POUSO ALEGRE</x:v>
      </x:c>
      <x:c r="Q2077" s="30" t="n">
        <x:v>28916</x:v>
      </x:c>
      <x:c r="R2077" s="22" t="str">
        <x:f>"4448539601"</x:f>
        <x:v>4448539601</x:v>
      </x:c>
      <x:c r="S2077" s="23" t="str">
        <x:v>feminino</x:v>
      </x:c>
      <x:c r="T2077" s="22" t="str"/>
      <x:c r="U2077" s="23" t="str">
        <x:v>KATIANA CRISTINA CORTEZ</x:v>
      </x:c>
      <x:c r="V2077" s="22" t="str">
        <x:f>"044.485.396-01"</x:f>
        <x:v>044.485.396-01</x:v>
      </x:c>
      <x:c r="W2077" s="22" t="str">
        <x:f>"04448539601"</x:f>
        <x:v>04448539601</x:v>
      </x:c>
      <x:c r="X2077" s="23" t="str">
        <x:v>katianaccortez@hotmail.com</x:v>
      </x:c>
      <x:c r="Y2077" s="22" t="str">
        <x:f>"35988520569"</x:f>
        <x:v>35988520569</x:v>
      </x:c>
      <x:c r="Z2077" s="30" t="n">
        <x:v>46249</x:v>
      </x:c>
    </x:row>
    <x:row r="2078" ht="18" customHeight="1">
      <x:c r="A2078" s="22" t="str">
        <x:f>"41985d54-47e0-46da-9b44-d1826fadab64"</x:f>
        <x:v>41985d54-47e0-46da-9b44-d1826fadab64</x:v>
      </x:c>
      <x:c r="B2078" s="23" t="str">
        <x:v>KATIUCIA MANOELA MOUTA CAMACHO NASCIMENTO</x:v>
      </x:c>
      <x:c r="C2078" s="23" t="str">
        <x:v>katiucia manoela mouta camacho nascimento</x:v>
      </x:c>
      <x:c r="D2078" s="22" t="str">
        <x:f>"38.213.947/0001-53"</x:f>
        <x:v>38.213.947/0001-53</x:v>
      </x:c>
      <x:c r="E2078" s="22" t="str">
        <x:f>"38213947000153"</x:f>
        <x:v>38213947000153</x:v>
      </x:c>
      <x:c r="F2078" s="22" t="str">
        <x:f>"11562496786"</x:f>
        <x:v>11562496786</x:v>
      </x:c>
      <x:c r="G2078" s="22" t="str">
        <x:f>"11562496786"</x:f>
        <x:v>11562496786</x:v>
      </x:c>
      <x:c r="H2078" s="23" t="str">
        <x:v>katiucianascimento17@gmail.com</x:v>
      </x:c>
      <x:c r="I2078" s="22" t="str">
        <x:f>"21996376912"</x:f>
        <x:v>21996376912</x:v>
      </x:c>
      <x:c r="J2078" s="23" t="str">
        <x:v>SPOT</x:v>
      </x:c>
      <x:c r="K2078" s="23" t="str">
        <x:v>favored_only</x:v>
      </x:c>
      <x:c r="L2078" s="24" t="b">
        <x:v>1</x:v>
      </x:c>
      <x:c r="M2078" s="23" t="n">
        <x:v>1</x:v>
      </x:c>
      <x:c r="N2078" s="28" t="n">
        <x:v>46203.92188238426</x:v>
      </x:c>
      <x:c r="O2078" s="28" t="n">
        <x:v>46203.92188238426</x:v>
      </x:c>
      <x:c r="P2078" s="23" t="str"/>
      <x:c r="Q2078" s="30" t="str"/>
      <x:c r="R2078" s="22" t="str"/>
      <x:c r="S2078" s="23" t="str"/>
      <x:c r="T2078" s="22" t="str"/>
      <x:c r="U2078" s="23" t="str">
        <x:v>KATIUCIA MANOELA MOUTA CAMACHO NASCIMENTO</x:v>
      </x:c>
      <x:c r="V2078" s="22" t="str">
        <x:f>"11562496786"</x:f>
        <x:v>11562496786</x:v>
      </x:c>
      <x:c r="W2078" s="22" t="str">
        <x:f>"11562496786"</x:f>
        <x:v>11562496786</x:v>
      </x:c>
      <x:c r="X2078" s="23" t="str">
        <x:v>katiucianascimento17@gmail.com</x:v>
      </x:c>
      <x:c r="Y2078" s="22" t="str">
        <x:f>"21996376912"</x:f>
        <x:v>21996376912</x:v>
      </x:c>
      <x:c r="Z2078" s="30" t="str"/>
    </x:row>
    <x:row r="2079" ht="18" customHeight="1">
      <x:c r="A2079" s="22" t="str">
        <x:f>"6cba4aeb-e9e0-4d11-a634-6e7f27403053"</x:f>
        <x:v>6cba4aeb-e9e0-4d11-a634-6e7f27403053</x:v>
      </x:c>
      <x:c r="B2079" s="23" t="str">
        <x:v>KATTIUCE SILVA EGUES</x:v>
      </x:c>
      <x:c r="C2079" s="23" t="str">
        <x:v>kattiuce silva egues</x:v>
      </x:c>
      <x:c r="D2079" s="22" t="str">
        <x:f>"50.073.217/0001-08"</x:f>
        <x:v>50.073.217/0001-08</x:v>
      </x:c>
      <x:c r="E2079" s="22" t="str">
        <x:f>"50073217000108"</x:f>
        <x:v>50073217000108</x:v>
      </x:c>
      <x:c r="F2079" s="22" t="str">
        <x:f>"016.540.461-24"</x:f>
        <x:v>016.540.461-24</x:v>
      </x:c>
      <x:c r="G2079" s="22" t="str">
        <x:f>"01654046124"</x:f>
        <x:v>01654046124</x:v>
      </x:c>
      <x:c r="H2079" s="23" t="str">
        <x:v>kattiuceegues@gmail.com</x:v>
      </x:c>
      <x:c r="I2079" s="22" t="str">
        <x:f>"65992997643"</x:f>
        <x:v>65992997643</x:v>
      </x:c>
      <x:c r="J2079" s="23" t="str">
        <x:v>SPOT</x:v>
      </x:c>
      <x:c r="K2079" s="23" t="str">
        <x:v>favored_only</x:v>
      </x:c>
      <x:c r="L2079" s="24" t="b">
        <x:v>1</x:v>
      </x:c>
      <x:c r="M2079" s="23" t="n">
        <x:v>1</x:v>
      </x:c>
      <x:c r="N2079" s="28" t="n">
        <x:v>46205.60300141204</x:v>
      </x:c>
      <x:c r="O2079" s="28" t="n">
        <x:v>46219.812988715275</x:v>
      </x:c>
      <x:c r="P2079" s="23" t="str">
        <x:v>CÁCERES</x:v>
      </x:c>
      <x:c r="Q2079" s="30" t="n">
        <x:v>31352</x:v>
      </x:c>
      <x:c r="R2079" s="22" t="str">
        <x:f>"18561314"</x:f>
        <x:v>18561314</x:v>
      </x:c>
      <x:c r="S2079" s="23" t="str">
        <x:v>feminino</x:v>
      </x:c>
      <x:c r="T2079" s="22" t="str">
        <x:f>"RAL3G42"</x:f>
        <x:v>RAL3G42</x:v>
      </x:c>
      <x:c r="U2079" s="23" t="str">
        <x:v>EVANDRO DE OLIVEIRA LOURENCO</x:v>
      </x:c>
      <x:c r="V2079" s="22" t="str">
        <x:f>"012.957.851-70"</x:f>
        <x:v>012.957.851-70</x:v>
      </x:c>
      <x:c r="W2079" s="22" t="str">
        <x:f>"01295785170"</x:f>
        <x:v>01295785170</x:v>
      </x:c>
      <x:c r="X2079" s="23" t="str">
        <x:v>evandromsoliveira@gmail.com</x:v>
      </x:c>
      <x:c r="Y2079" s="22" t="str">
        <x:f>"65-99218-8094"</x:f>
        <x:v>65-99218-8094</x:v>
      </x:c>
      <x:c r="Z2079" s="30" t="n">
        <x:v>46534</x:v>
      </x:c>
    </x:row>
    <x:row r="2080" ht="18" customHeight="1">
      <x:c r="A2080" s="22" t="str">
        <x:f>"57f5b45d-f049-45c3-841a-49d1c9279257"</x:f>
        <x:v>57f5b45d-f049-45c3-841a-49d1c9279257</x:v>
      </x:c>
      <x:c r="B2080" s="23" t="str">
        <x:v>KAUA CHELES DE SOUZA</x:v>
      </x:c>
      <x:c r="C2080" s="23" t="str">
        <x:v>kaua cheles de souza</x:v>
      </x:c>
      <x:c r="D2080" s="22" t="str">
        <x:f>"57.669.990/0001-72"</x:f>
        <x:v>57.669.990/0001-72</x:v>
      </x:c>
      <x:c r="E2080" s="22" t="str">
        <x:f>"57669990000172"</x:f>
        <x:v>57669990000172</x:v>
      </x:c>
      <x:c r="F2080" s="22" t="str">
        <x:f>"195.546.447-28"</x:f>
        <x:v>195.546.447-28</x:v>
      </x:c>
      <x:c r="G2080" s="22" t="str">
        <x:f>"19554644728"</x:f>
        <x:v>19554644728</x:v>
      </x:c>
      <x:c r="H2080" s="23" t="str">
        <x:v>kauacheles@gmail.com</x:v>
      </x:c>
      <x:c r="I2080" s="22" t="str">
        <x:f>"21983384771"</x:f>
        <x:v>21983384771</x:v>
      </x:c>
      <x:c r="J2080" s="23" t="str">
        <x:v>SPOT</x:v>
      </x:c>
      <x:c r="K2080" s="23" t="str">
        <x:v>favored_only</x:v>
      </x:c>
      <x:c r="L2080" s="24" t="b">
        <x:v>1</x:v>
      </x:c>
      <x:c r="M2080" s="23" t="n">
        <x:v>1</x:v>
      </x:c>
      <x:c r="N2080" s="28" t="n">
        <x:v>46203.92189965278</x:v>
      </x:c>
      <x:c r="O2080" s="28" t="n">
        <x:v>46219.812988715275</x:v>
      </x:c>
      <x:c r="P2080" s="23" t="str">
        <x:v>CAMPO GRANDE</x:v>
      </x:c>
      <x:c r="Q2080" s="30" t="n">
        <x:v>38038</x:v>
      </x:c>
      <x:c r="R2080" s="22" t="str">
        <x:f>"19554644728"</x:f>
        <x:v>19554644728</x:v>
      </x:c>
      <x:c r="S2080" s="23" t="str">
        <x:v>masculino</x:v>
      </x:c>
      <x:c r="T2080" s="22" t="str">
        <x:f>"LRZ7I90"</x:f>
        <x:v>LRZ7I90</x:v>
      </x:c>
      <x:c r="U2080" s="23" t="str">
        <x:v>KAUA CHELES DE SOUZA</x:v>
      </x:c>
      <x:c r="V2080" s="22" t="str">
        <x:f>"195.546.447-28"</x:f>
        <x:v>195.546.447-28</x:v>
      </x:c>
      <x:c r="W2080" s="22" t="str">
        <x:f>"19554644728"</x:f>
        <x:v>19554644728</x:v>
      </x:c>
      <x:c r="X2080" s="23" t="str">
        <x:v>kauacheles@gmail.com</x:v>
      </x:c>
      <x:c r="Y2080" s="22" t="str">
        <x:f>"21983384771"</x:f>
        <x:v>21983384771</x:v>
      </x:c>
      <x:c r="Z2080" s="30" t="n">
        <x:v>46351</x:v>
      </x:c>
    </x:row>
    <x:row r="2081" ht="18" customHeight="1">
      <x:c r="A2081" s="22" t="str">
        <x:f>"88f6b1b9-041b-4a76-8c3c-1b0ddbc8a1f9"</x:f>
        <x:v>88f6b1b9-041b-4a76-8c3c-1b0ddbc8a1f9</x:v>
      </x:c>
      <x:c r="B2081" s="23" t="str">
        <x:v>KAUA CHRISTIANO DOS SANTOS BURATO</x:v>
      </x:c>
      <x:c r="C2081" s="23" t="str">
        <x:v>kaua christiano dos santos burato</x:v>
      </x:c>
      <x:c r="D2081" s="22" t="str">
        <x:f>"66.002.066/0001-29"</x:f>
        <x:v>66.002.066/0001-29</x:v>
      </x:c>
      <x:c r="E2081" s="22" t="str">
        <x:f>"66002066000129"</x:f>
        <x:v>66002066000129</x:v>
      </x:c>
      <x:c r="F2081" s="22" t="str">
        <x:f>"436.841.098-00"</x:f>
        <x:v>436.841.098-00</x:v>
      </x:c>
      <x:c r="G2081" s="22" t="str">
        <x:f>"43684109800"</x:f>
        <x:v>43684109800</x:v>
      </x:c>
      <x:c r="H2081" s="23" t="str">
        <x:v>kauaburatocel@gmail.com</x:v>
      </x:c>
      <x:c r="I2081" s="22" t="str">
        <x:f>"+55 14 99849-3246"</x:f>
        <x:v>+55 14 99849-3246</x:v>
      </x:c>
      <x:c r="J2081" s="23" t="str">
        <x:v>SPOT</x:v>
      </x:c>
      <x:c r="K2081" s="23" t="str">
        <x:v>favored_only</x:v>
      </x:c>
      <x:c r="L2081" s="24" t="b">
        <x:v>1</x:v>
      </x:c>
      <x:c r="M2081" s="23" t="n">
        <x:v>1</x:v>
      </x:c>
      <x:c r="N2081" s="28" t="n">
        <x:v>46219.812988715275</x:v>
      </x:c>
      <x:c r="O2081" s="28" t="n">
        <x:v>46219.812988715275</x:v>
      </x:c>
      <x:c r="P2081" s="23" t="str">
        <x:v>MARILIA</x:v>
      </x:c>
      <x:c r="Q2081" s="30" t="n">
        <x:v>38698</x:v>
      </x:c>
      <x:c r="R2081" s="22" t="str">
        <x:f>"56000482"</x:f>
        <x:v>56000482</x:v>
      </x:c>
      <x:c r="S2081" s="23" t="str">
        <x:v>masculino</x:v>
      </x:c>
      <x:c r="T2081" s="22" t="str">
        <x:f>"FXM6C63"</x:f>
        <x:v>FXM6C63</x:v>
      </x:c>
      <x:c r="U2081" s="23" t="str">
        <x:v>KAUA CHRISTIANO DOS SANTOS BURATO</x:v>
      </x:c>
      <x:c r="V2081" s="22" t="str">
        <x:f>"436.841.098-00"</x:f>
        <x:v>436.841.098-00</x:v>
      </x:c>
      <x:c r="W2081" s="22" t="str">
        <x:f>"43684109800"</x:f>
        <x:v>43684109800</x:v>
      </x:c>
      <x:c r="X2081" s="23" t="str">
        <x:v>kauaburatocel@gmail.com</x:v>
      </x:c>
      <x:c r="Y2081" s="22" t="str">
        <x:f>"+55 14 99849-3246"</x:f>
        <x:v>+55 14 99849-3246</x:v>
      </x:c>
      <x:c r="Z2081" s="30" t="n">
        <x:v>46564</x:v>
      </x:c>
    </x:row>
    <x:row r="2082" ht="18" customHeight="1">
      <x:c r="A2082" s="22" t="str">
        <x:f>"ead1a4a2-abda-43e5-b241-a730cfdfde11"</x:f>
        <x:v>ead1a4a2-abda-43e5-b241-a730cfdfde11</x:v>
      </x:c>
      <x:c r="B2082" s="23" t="str">
        <x:v>KAUA DOS SANTOS PEREIRA</x:v>
      </x:c>
      <x:c r="C2082" s="23" t="str">
        <x:v>kaua dos santos pereira</x:v>
      </x:c>
      <x:c r="D2082" s="22" t="str">
        <x:f>"62.389.167/0001-43"</x:f>
        <x:v>62.389.167/0001-43</x:v>
      </x:c>
      <x:c r="E2082" s="22" t="str">
        <x:f>"62389167000143"</x:f>
        <x:v>62389167000143</x:v>
      </x:c>
      <x:c r="F2082" s="22" t="str">
        <x:f>"065.751.642-26"</x:f>
        <x:v>065.751.642-26</x:v>
      </x:c>
      <x:c r="G2082" s="22" t="str">
        <x:f>"06575164226"</x:f>
        <x:v>06575164226</x:v>
      </x:c>
      <x:c r="H2082" s="23" t="str">
        <x:v>kdossantos838@gmail.com</x:v>
      </x:c>
      <x:c r="I2082" s="22" t="str">
        <x:f>"62993296466"</x:f>
        <x:v>62993296466</x:v>
      </x:c>
      <x:c r="J2082" s="23" t="str">
        <x:v>RENTAL</x:v>
      </x:c>
      <x:c r="K2082" s="23" t="str">
        <x:v>rental_company</x:v>
      </x:c>
      <x:c r="L2082" s="24" t="b">
        <x:v>1</x:v>
      </x:c>
      <x:c r="M2082" s="23" t="n">
        <x:v>2</x:v>
      </x:c>
      <x:c r="N2082" s="28" t="n">
        <x:v>46203.92186462963</x:v>
      </x:c>
      <x:c r="O2082" s="28" t="n">
        <x:v>46219.812988715275</x:v>
      </x:c>
      <x:c r="P2082" s="23" t="str">
        <x:v>GOIANIA</x:v>
      </x:c>
      <x:c r="Q2082" s="30" t="n">
        <x:v>38667</x:v>
      </x:c>
      <x:c r="R2082" s="22" t="str">
        <x:f>"8341463"</x:f>
        <x:v>8341463</x:v>
      </x:c>
      <x:c r="S2082" s="23" t="str">
        <x:v>masculino</x:v>
      </x:c>
      <x:c r="T2082" s="22" t="str"/>
      <x:c r="U2082" s="23" t="str">
        <x:v>KAUA DOS SANTOS PEREIRA</x:v>
      </x:c>
      <x:c r="V2082" s="22" t="str">
        <x:f>"065.751.642-26"</x:f>
        <x:v>065.751.642-26</x:v>
      </x:c>
      <x:c r="W2082" s="22" t="str">
        <x:f>"06575164226"</x:f>
        <x:v>06575164226</x:v>
      </x:c>
      <x:c r="X2082" s="23" t="str">
        <x:v>kdossantos838@gmail.com</x:v>
      </x:c>
      <x:c r="Y2082" s="22" t="str">
        <x:f>"62993296466"</x:f>
        <x:v>62993296466</x:v>
      </x:c>
      <x:c r="Z2082" s="30" t="n">
        <x:v>46270</x:v>
      </x:c>
    </x:row>
    <x:row r="2083" ht="18" customHeight="1">
      <x:c r="A2083" s="22" t="str">
        <x:f>"8c9b5149-2355-4b00-800a-fa40f5a9a33f"</x:f>
        <x:v>8c9b5149-2355-4b00-800a-fa40f5a9a33f</x:v>
      </x:c>
      <x:c r="B2083" s="23" t="str">
        <x:v>KAUA HENRIQUE CORREIA DE FRANCA</x:v>
      </x:c>
      <x:c r="C2083" s="23" t="str">
        <x:v>kaua henrique correia de franca</x:v>
      </x:c>
      <x:c r="D2083" s="22" t="str">
        <x:f>"22.775.679/0001-23"</x:f>
        <x:v>22.775.679/0001-23</x:v>
      </x:c>
      <x:c r="E2083" s="22" t="str">
        <x:f>"22775679000123"</x:f>
        <x:v>22775679000123</x:v>
      </x:c>
      <x:c r="F2083" s="22" t="str">
        <x:f>"490.704.588-37"</x:f>
        <x:v>490.704.588-37</x:v>
      </x:c>
      <x:c r="G2083" s="22" t="str">
        <x:f>"49070458837"</x:f>
        <x:v>49070458837</x:v>
      </x:c>
      <x:c r="H2083" s="23" t="str">
        <x:v>kauag200612@gmail.com</x:v>
      </x:c>
      <x:c r="I2083" s="22" t="str">
        <x:f>"18 99636-4871"</x:f>
        <x:v>18 99636-4871</x:v>
      </x:c>
      <x:c r="J2083" s="23" t="str">
        <x:v>RENTAL</x:v>
      </x:c>
      <x:c r="K2083" s="23" t="str">
        <x:v>rental_company</x:v>
      </x:c>
      <x:c r="L2083" s="24" t="b">
        <x:v>1</x:v>
      </x:c>
      <x:c r="M2083" s="23" t="n">
        <x:v>1</x:v>
      </x:c>
      <x:c r="N2083" s="28" t="n">
        <x:v>46219.812988715275</x:v>
      </x:c>
      <x:c r="O2083" s="28" t="n">
        <x:v>46219.812988715275</x:v>
      </x:c>
      <x:c r="P2083" s="23" t="str">
        <x:v>PRESIDENTE PRUDENTE</x:v>
      </x:c>
      <x:c r="Q2083" s="30" t="n">
        <x:v>38818</x:v>
      </x:c>
      <x:c r="R2083" s="22" t="str">
        <x:f>"587777436"</x:f>
        <x:v>587777436</x:v>
      </x:c>
      <x:c r="S2083" s="23" t="str">
        <x:v>masculino</x:v>
      </x:c>
      <x:c r="T2083" s="22" t="str"/>
      <x:c r="U2083" s="23" t="str">
        <x:v>KAUA HENRIQUE CORREIA DE FRANCA</x:v>
      </x:c>
      <x:c r="V2083" s="22" t="str">
        <x:f>"490.704.588-37"</x:f>
        <x:v>490.704.588-37</x:v>
      </x:c>
      <x:c r="W2083" s="22" t="str">
        <x:f>"49070458837"</x:f>
        <x:v>49070458837</x:v>
      </x:c>
      <x:c r="X2083" s="23" t="str">
        <x:v>kauag200612@gmail.com</x:v>
      </x:c>
      <x:c r="Y2083" s="22" t="str">
        <x:f>"18 99636-4871"</x:f>
        <x:v>18 99636-4871</x:v>
      </x:c>
      <x:c r="Z2083" s="30" t="n">
        <x:v>46444</x:v>
      </x:c>
    </x:row>
    <x:row r="2084" ht="18" customHeight="1">
      <x:c r="A2084" s="22" t="str">
        <x:f>"5689040c-e9ce-4b50-aed4-386861bdd9de"</x:f>
        <x:v>5689040c-e9ce-4b50-aed4-386861bdd9de</x:v>
      </x:c>
      <x:c r="B2084" s="23" t="str">
        <x:v>KAUAN DA SILVA FRUCTUOZO</x:v>
      </x:c>
      <x:c r="C2084" s="23" t="str">
        <x:v>kauan da silva fructuozo</x:v>
      </x:c>
      <x:c r="D2084" s="22" t="str">
        <x:f>"62.295.221/0001-91"</x:f>
        <x:v>62.295.221/0001-91</x:v>
      </x:c>
      <x:c r="E2084" s="22" t="str">
        <x:f>"62295221000191"</x:f>
        <x:v>62295221000191</x:v>
      </x:c>
      <x:c r="F2084" s="22" t="str">
        <x:f>"146.618.817-02"</x:f>
        <x:v>146.618.817-02</x:v>
      </x:c>
      <x:c r="G2084" s="22" t="str">
        <x:f>"14661881702"</x:f>
        <x:v>14661881702</x:v>
      </x:c>
      <x:c r="H2084" s="23" t="str">
        <x:v>fructuozoK@gmail.com</x:v>
      </x:c>
      <x:c r="I2084" s="22" t="str">
        <x:f>"21965606563"</x:f>
        <x:v>21965606563</x:v>
      </x:c>
      <x:c r="J2084" s="23" t="str">
        <x:v>SPOT</x:v>
      </x:c>
      <x:c r="K2084" s="23" t="str">
        <x:v>favored_only</x:v>
      </x:c>
      <x:c r="L2084" s="24" t="b">
        <x:v>1</x:v>
      </x:c>
      <x:c r="M2084" s="23" t="n">
        <x:v>1</x:v>
      </x:c>
      <x:c r="N2084" s="28" t="n">
        <x:v>46203.921858726855</x:v>
      </x:c>
      <x:c r="O2084" s="28" t="n">
        <x:v>46219.812988715275</x:v>
      </x:c>
      <x:c r="P2084" s="23" t="str">
        <x:v>QUEIMADOS</x:v>
      </x:c>
      <x:c r="Q2084" s="30" t="n">
        <x:v>37960</x:v>
      </x:c>
      <x:c r="R2084" s="22" t="str">
        <x:f>"280994104"</x:f>
        <x:v>280994104</x:v>
      </x:c>
      <x:c r="S2084" s="23" t="str">
        <x:v>masculino</x:v>
      </x:c>
      <x:c r="T2084" s="22" t="str">
        <x:f>"LPW3H85"</x:f>
        <x:v>LPW3H85</x:v>
      </x:c>
      <x:c r="U2084" s="23" t="str">
        <x:v>KAUAN DA SILVA FRUCTUOZO</x:v>
      </x:c>
      <x:c r="V2084" s="22" t="str">
        <x:f>"146.618.817-02"</x:f>
        <x:v>146.618.817-02</x:v>
      </x:c>
      <x:c r="W2084" s="22" t="str">
        <x:f>"14661881702"</x:f>
        <x:v>14661881702</x:v>
      </x:c>
      <x:c r="X2084" s="23" t="str">
        <x:v>fructuozoK@gmail.com</x:v>
      </x:c>
      <x:c r="Y2084" s="22" t="str">
        <x:f>"21965606563"</x:f>
        <x:v>21965606563</x:v>
      </x:c>
      <x:c r="Z2084" s="30" t="n">
        <x:v>46257</x:v>
      </x:c>
    </x:row>
    <x:row r="2085" ht="18" customHeight="1">
      <x:c r="A2085" s="22" t="str">
        <x:f>"bb94d02b-ff8c-4a74-b7f0-40be7988274f"</x:f>
        <x:v>bb94d02b-ff8c-4a74-b7f0-40be7988274f</x:v>
      </x:c>
      <x:c r="B2085" s="23" t="str">
        <x:v>KAUAN FELIPE ALVES MARQUES</x:v>
      </x:c>
      <x:c r="C2085" s="23" t="str">
        <x:v>kauan felipe alves marques</x:v>
      </x:c>
      <x:c r="D2085" s="22" t="str">
        <x:f>"67.624.214/0001-00"</x:f>
        <x:v>67.624.214/0001-00</x:v>
      </x:c>
      <x:c r="E2085" s="22" t="str">
        <x:f>"67624214000100"</x:f>
        <x:v>67624214000100</x:v>
      </x:c>
      <x:c r="F2085" s="22" t="str">
        <x:f>"167.955.536-71"</x:f>
        <x:v>167.955.536-71</x:v>
      </x:c>
      <x:c r="G2085" s="22" t="str">
        <x:f>"16795553671"</x:f>
        <x:v>16795553671</x:v>
      </x:c>
      <x:c r="H2085" s="23" t="str">
        <x:v>Kauanfelipe052@gmail.com</x:v>
      </x:c>
      <x:c r="I2085" s="22" t="str">
        <x:f>"(35) 99169-2209"</x:f>
        <x:v>(35) 99169-2209</x:v>
      </x:c>
      <x:c r="J2085" s="23" t="str">
        <x:v>RENTAL</x:v>
      </x:c>
      <x:c r="K2085" s="23" t="str">
        <x:v>rental_company</x:v>
      </x:c>
      <x:c r="L2085" s="24" t="b">
        <x:v>1</x:v>
      </x:c>
      <x:c r="M2085" s="23" t="n">
        <x:v>1</x:v>
      </x:c>
      <x:c r="N2085" s="28" t="n">
        <x:v>46219.812988715275</x:v>
      </x:c>
      <x:c r="O2085" s="28" t="n">
        <x:v>46219.812988715275</x:v>
      </x:c>
      <x:c r="P2085" s="23" t="str">
        <x:v>POUSO ALEGRE</x:v>
      </x:c>
      <x:c r="Q2085" s="30" t="n">
        <x:v>38793</x:v>
      </x:c>
      <x:c r="R2085" s="22" t="str">
        <x:f>"MG23908195 PC MG"</x:f>
        <x:v>MG23908195 PC MG</x:v>
      </x:c>
      <x:c r="S2085" s="23" t="str">
        <x:v>masculino</x:v>
      </x:c>
      <x:c r="T2085" s="22" t="str"/>
      <x:c r="U2085" s="23" t="str">
        <x:v>KAUAN FELIPE ALVES MARQUES</x:v>
      </x:c>
      <x:c r="V2085" s="22" t="str">
        <x:f>"167.955.536-71"</x:f>
        <x:v>167.955.536-71</x:v>
      </x:c>
      <x:c r="W2085" s="22" t="str">
        <x:f>"16795553671"</x:f>
        <x:v>16795553671</x:v>
      </x:c>
      <x:c r="X2085" s="23" t="str">
        <x:v>Kauanfelipe052@gmail.com</x:v>
      </x:c>
      <x:c r="Y2085" s="22" t="str">
        <x:f>"(35) 99169-2209"</x:f>
        <x:v>(35) 99169-2209</x:v>
      </x:c>
      <x:c r="Z2085" s="30" t="n">
        <x:v>46560</x:v>
      </x:c>
    </x:row>
    <x:row r="2086" ht="18" customHeight="1">
      <x:c r="A2086" s="22" t="str">
        <x:f>"cb203938-2946-4e21-80b5-65dc2359966a"</x:f>
        <x:v>cb203938-2946-4e21-80b5-65dc2359966a</x:v>
      </x:c>
      <x:c r="B2086" s="23" t="str">
        <x:v>KAUAN HENRIQUE PATROCINIO DE SOUZA</x:v>
      </x:c>
      <x:c r="C2086" s="23" t="str">
        <x:v>kauan henrique patrocinio de souza</x:v>
      </x:c>
      <x:c r="D2086" s="22" t="str">
        <x:f>"55.168.429/0001-84"</x:f>
        <x:v>55.168.429/0001-84</x:v>
      </x:c>
      <x:c r="E2086" s="22" t="str">
        <x:f>"55168429000184"</x:f>
        <x:v>55168429000184</x:v>
      </x:c>
      <x:c r="F2086" s="22" t="str">
        <x:f>"138.267.976-98"</x:f>
        <x:v>138.267.976-98</x:v>
      </x:c>
      <x:c r="G2086" s="22" t="str">
        <x:f>"13826797698"</x:f>
        <x:v>13826797698</x:v>
      </x:c>
      <x:c r="H2086" s="23" t="str">
        <x:v>kauanpatrocinio68@gmail.com</x:v>
      </x:c>
      <x:c r="I2086" s="22" t="str">
        <x:f>"(11) 942752414"</x:f>
        <x:v>(11) 942752414</x:v>
      </x:c>
      <x:c r="J2086" s="23" t="str">
        <x:v>SPOT</x:v>
      </x:c>
      <x:c r="K2086" s="23" t="str">
        <x:v>favored_only</x:v>
      </x:c>
      <x:c r="L2086" s="24" t="b">
        <x:v>1</x:v>
      </x:c>
      <x:c r="M2086" s="23" t="n">
        <x:v>1</x:v>
      </x:c>
      <x:c r="N2086" s="28" t="n">
        <x:v>46203.9219084375</x:v>
      </x:c>
      <x:c r="O2086" s="28" t="n">
        <x:v>46219.812988715275</x:v>
      </x:c>
      <x:c r="P2086" s="23" t="str">
        <x:v>BARUERI</x:v>
      </x:c>
      <x:c r="Q2086" s="30" t="n">
        <x:v>37269</x:v>
      </x:c>
      <x:c r="R2086" s="22" t="str">
        <x:f>"388551999"</x:f>
        <x:v>388551999</x:v>
      </x:c>
      <x:c r="S2086" s="23" t="str">
        <x:v>masculino</x:v>
      </x:c>
      <x:c r="T2086" s="22" t="str">
        <x:f>"RFY3B22"</x:f>
        <x:v>RFY3B22</x:v>
      </x:c>
      <x:c r="U2086" s="23" t="str">
        <x:v>KAUAN HENRIQUE PATROCINIO DE SOUZA</x:v>
      </x:c>
      <x:c r="V2086" s="22" t="str">
        <x:f>"138.267.976-98"</x:f>
        <x:v>138.267.976-98</x:v>
      </x:c>
      <x:c r="W2086" s="22" t="str">
        <x:f>"13826797698"</x:f>
        <x:v>13826797698</x:v>
      </x:c>
      <x:c r="X2086" s="23" t="str">
        <x:v>kauanpatrocinio68@gmail.com</x:v>
      </x:c>
      <x:c r="Y2086" s="22" t="str">
        <x:f>"(11) 942752414"</x:f>
        <x:v>(11) 942752414</x:v>
      </x:c>
      <x:c r="Z2086" s="30" t="n">
        <x:v>46385</x:v>
      </x:c>
    </x:row>
    <x:row r="2087" ht="18" customHeight="1">
      <x:c r="A2087" s="22" t="str">
        <x:f>"25927a15-2ab7-45b5-8cf6-820e98c327c2"</x:f>
        <x:v>25927a15-2ab7-45b5-8cf6-820e98c327c2</x:v>
      </x:c>
      <x:c r="B2087" s="23" t="str">
        <x:v>KAUAN MENDONCA SOUZA</x:v>
      </x:c>
      <x:c r="C2087" s="23" t="str">
        <x:v>kauan mendonca souza</x:v>
      </x:c>
      <x:c r="D2087" s="22" t="str">
        <x:f>"54.970.655/0001-11"</x:f>
        <x:v>54.970.655/0001-11</x:v>
      </x:c>
      <x:c r="E2087" s="22" t="str">
        <x:f>"54970655000111"</x:f>
        <x:v>54970655000111</x:v>
      </x:c>
      <x:c r="F2087" s="22" t="str">
        <x:f>"551.878.228-45"</x:f>
        <x:v>551.878.228-45</x:v>
      </x:c>
      <x:c r="G2087" s="22" t="str">
        <x:f>"55187822845"</x:f>
        <x:v>55187822845</x:v>
      </x:c>
      <x:c r="H2087" s="23" t="str">
        <x:v>kauanmendonca47@gmail.com</x:v>
      </x:c>
      <x:c r="I2087" s="22" t="str">
        <x:f>"11 940068752"</x:f>
        <x:v>11 940068752</x:v>
      </x:c>
      <x:c r="J2087" s="23" t="str">
        <x:v>RENTAL</x:v>
      </x:c>
      <x:c r="K2087" s="23" t="str">
        <x:v>rental_company</x:v>
      </x:c>
      <x:c r="L2087" s="24" t="b">
        <x:v>1</x:v>
      </x:c>
      <x:c r="M2087" s="23" t="n">
        <x:v>1</x:v>
      </x:c>
      <x:c r="N2087" s="28" t="n">
        <x:v>46219.812988715275</x:v>
      </x:c>
      <x:c r="O2087" s="28" t="n">
        <x:v>46219.812988715275</x:v>
      </x:c>
      <x:c r="P2087" s="23" t="str">
        <x:v>BARUERI</x:v>
      </x:c>
      <x:c r="Q2087" s="30" t="n">
        <x:v>38142</x:v>
      </x:c>
      <x:c r="R2087" s="22" t="str">
        <x:f>"547602790"</x:f>
        <x:v>547602790</x:v>
      </x:c>
      <x:c r="S2087" s="23" t="str">
        <x:v>masculino</x:v>
      </x:c>
      <x:c r="T2087" s="22" t="str"/>
      <x:c r="U2087" s="23" t="str">
        <x:v>KAUAN MENDONCA SOUZA</x:v>
      </x:c>
      <x:c r="V2087" s="22" t="str">
        <x:f>"551.878.228-45"</x:f>
        <x:v>551.878.228-45</x:v>
      </x:c>
      <x:c r="W2087" s="22" t="str">
        <x:f>"55187822845"</x:f>
        <x:v>55187822845</x:v>
      </x:c>
      <x:c r="X2087" s="23" t="str">
        <x:v>kauanmendonca47@gmail.com</x:v>
      </x:c>
      <x:c r="Y2087" s="22" t="str">
        <x:f>"11 940068752"</x:f>
        <x:v>11 940068752</x:v>
      </x:c>
      <x:c r="Z2087" s="30" t="n">
        <x:v>46536</x:v>
      </x:c>
    </x:row>
    <x:row r="2088" ht="18" customHeight="1">
      <x:c r="A2088" s="22" t="str">
        <x:f>"72a231ba-62e7-48b1-b557-969cdf7d33fe"</x:f>
        <x:v>72a231ba-62e7-48b1-b557-969cdf7d33fe</x:v>
      </x:c>
      <x:c r="B2088" s="23" t="str">
        <x:v>KAUE DOS SANTOS</x:v>
      </x:c>
      <x:c r="C2088" s="23" t="str">
        <x:v>kaue dos santos</x:v>
      </x:c>
      <x:c r="D2088" s="22" t="str">
        <x:f>"48.840.944/0001-01"</x:f>
        <x:v>48.840.944/0001-01</x:v>
      </x:c>
      <x:c r="E2088" s="22" t="str">
        <x:f>"48840944000101"</x:f>
        <x:v>48840944000101</x:v>
      </x:c>
      <x:c r="F2088" s="22" t="str">
        <x:f>"044.801.931-03"</x:f>
        <x:v>044.801.931-03</x:v>
      </x:c>
      <x:c r="G2088" s="22" t="str">
        <x:f>"04480193103"</x:f>
        <x:v>04480193103</x:v>
      </x:c>
      <x:c r="H2088" s="23" t="str">
        <x:v>O_KRA_3@HOTMAIL.COM</x:v>
      </x:c>
      <x:c r="I2088" s="22" t="str">
        <x:f>"65996440467"</x:f>
        <x:v>65996440467</x:v>
      </x:c>
      <x:c r="J2088" s="23" t="str">
        <x:v>SPOT</x:v>
      </x:c>
      <x:c r="K2088" s="23" t="str">
        <x:v>favored_only</x:v>
      </x:c>
      <x:c r="L2088" s="24" t="b">
        <x:v>1</x:v>
      </x:c>
      <x:c r="M2088" s="23" t="n">
        <x:v>1</x:v>
      </x:c>
      <x:c r="N2088" s="28" t="n">
        <x:v>46205.604869386574</x:v>
      </x:c>
      <x:c r="O2088" s="28" t="n">
        <x:v>46219.812988715275</x:v>
      </x:c>
      <x:c r="P2088" s="23" t="str">
        <x:v>CÁCERES</x:v>
      </x:c>
      <x:c r="Q2088" s="30" t="n">
        <x:v>37310</x:v>
      </x:c>
      <x:c r="R2088" s="22" t="str">
        <x:f>"30406870"</x:f>
        <x:v>30406870</x:v>
      </x:c>
      <x:c r="S2088" s="23" t="str">
        <x:v>masculino</x:v>
      </x:c>
      <x:c r="T2088" s="22" t="str">
        <x:f>"KAT1A15"</x:f>
        <x:v>KAT1A15</x:v>
      </x:c>
      <x:c r="U2088" s="23" t="str">
        <x:v>GILSON WERNEK KURY VEIGA</x:v>
      </x:c>
      <x:c r="V2088" s="22" t="str">
        <x:f>"951.145.998-87"</x:f>
        <x:v>951.145.998-87</x:v>
      </x:c>
      <x:c r="W2088" s="22" t="str">
        <x:f>"95114599887"</x:f>
        <x:v>95114599887</x:v>
      </x:c>
      <x:c r="X2088" s="23" t="str">
        <x:v>gwkury@gmail.com</x:v>
      </x:c>
      <x:c r="Y2088" s="22" t="str">
        <x:f>"65999665004"</x:f>
        <x:v>65999665004</x:v>
      </x:c>
      <x:c r="Z2088" s="30" t="n">
        <x:v>46301</x:v>
      </x:c>
    </x:row>
    <x:row r="2089" ht="18" customHeight="1">
      <x:c r="A2089" s="22" t="str">
        <x:f>"62a45590-42b8-452e-ad9a-dd3e5d979b6d"</x:f>
        <x:v>62a45590-42b8-452e-ad9a-dd3e5d979b6d</x:v>
      </x:c>
      <x:c r="B2089" s="23" t="str">
        <x:v>KAUE KARRIELY RODRIGUES DE OLIVEIRA</x:v>
      </x:c>
      <x:c r="C2089" s="23" t="str">
        <x:v>kaue karriely rodrigues de oliveira</x:v>
      </x:c>
      <x:c r="D2089" s="22" t="str">
        <x:f>"62.858.713/0001-48"</x:f>
        <x:v>62.858.713/0001-48</x:v>
      </x:c>
      <x:c r="E2089" s="22" t="str">
        <x:f>"62858713000148"</x:f>
        <x:v>62858713000148</x:v>
      </x:c>
      <x:c r="F2089" s="22" t="str">
        <x:f>"704.760.086-89"</x:f>
        <x:v>704.760.086-89</x:v>
      </x:c>
      <x:c r="G2089" s="22" t="str">
        <x:f>"70476008689"</x:f>
        <x:v>70476008689</x:v>
      </x:c>
      <x:c r="H2089" s="23" t="str">
        <x:v>kaauee034@gmail.com</x:v>
      </x:c>
      <x:c r="I2089" s="22" t="str">
        <x:f>"34996735305"</x:f>
        <x:v>34996735305</x:v>
      </x:c>
      <x:c r="J2089" s="23" t="str">
        <x:v>RENTAL</x:v>
      </x:c>
      <x:c r="K2089" s="23" t="str">
        <x:v>rental_company</x:v>
      </x:c>
      <x:c r="L2089" s="24" t="b">
        <x:v>1</x:v>
      </x:c>
      <x:c r="M2089" s="23" t="n">
        <x:v>1</x:v>
      </x:c>
      <x:c r="N2089" s="28" t="n">
        <x:v>46219.812988715275</x:v>
      </x:c>
      <x:c r="O2089" s="28" t="n">
        <x:v>46219.812988715275</x:v>
      </x:c>
      <x:c r="P2089" s="23" t="str">
        <x:v>UBERLANDIA</x:v>
      </x:c>
      <x:c r="Q2089" s="30" t="n">
        <x:v>49260</x:v>
      </x:c>
      <x:c r="R2089" s="22" t="str">
        <x:f>"22762677"</x:f>
        <x:v>22762677</x:v>
      </x:c>
      <x:c r="S2089" s="23" t="str">
        <x:v>masculino</x:v>
      </x:c>
      <x:c r="T2089" s="22" t="str"/>
      <x:c r="U2089" s="23" t="str">
        <x:v>KAUE KARRIELY RODRIGUES DE OLIVEIRA</x:v>
      </x:c>
      <x:c r="V2089" s="22" t="str">
        <x:f>"704.760.086-89"</x:f>
        <x:v>704.760.086-89</x:v>
      </x:c>
      <x:c r="W2089" s="22" t="str">
        <x:f>"70476008689"</x:f>
        <x:v>70476008689</x:v>
      </x:c>
      <x:c r="X2089" s="23" t="str">
        <x:v>kaauee034@gmail.com</x:v>
      </x:c>
      <x:c r="Y2089" s="22" t="str">
        <x:f>"34996735305"</x:f>
        <x:v>34996735305</x:v>
      </x:c>
      <x:c r="Z2089" s="30" t="n">
        <x:v>46474</x:v>
      </x:c>
    </x:row>
    <x:row r="2090" ht="18" customHeight="1">
      <x:c r="A2090" s="22" t="str">
        <x:f>"7092da37-8638-4537-ac79-a3e4811afb7d"</x:f>
        <x:v>7092da37-8638-4537-ac79-a3e4811afb7d</x:v>
      </x:c>
      <x:c r="B2090" s="23" t="str">
        <x:v>KAWAN ALVES DO NASCIMENTO</x:v>
      </x:c>
      <x:c r="C2090" s="23" t="str">
        <x:v>kawan alves do nascimento</x:v>
      </x:c>
      <x:c r="D2090" s="22" t="str">
        <x:f>"60.237.169/0001-91"</x:f>
        <x:v>60.237.169/0001-91</x:v>
      </x:c>
      <x:c r="E2090" s="22" t="str">
        <x:f>"60237169000191"</x:f>
        <x:v>60237169000191</x:v>
      </x:c>
      <x:c r="F2090" s="22" t="str">
        <x:f>"479.969.298-40"</x:f>
        <x:v>479.969.298-40</x:v>
      </x:c>
      <x:c r="G2090" s="22" t="str">
        <x:f>"47996929840"</x:f>
        <x:v>47996929840</x:v>
      </x:c>
      <x:c r="H2090" s="23" t="str">
        <x:v>kawannasc1572@gmail.com</x:v>
      </x:c>
      <x:c r="I2090" s="22" t="str">
        <x:f>"(16)98246-3186"</x:f>
        <x:v>(16)98246-3186</x:v>
      </x:c>
      <x:c r="J2090" s="23" t="str">
        <x:v>SPOT</x:v>
      </x:c>
      <x:c r="K2090" s="23" t="str">
        <x:v>favored_only</x:v>
      </x:c>
      <x:c r="L2090" s="24" t="b">
        <x:v>1</x:v>
      </x:c>
      <x:c r="M2090" s="23" t="n">
        <x:v>1</x:v>
      </x:c>
      <x:c r="N2090" s="28" t="n">
        <x:v>46203.92188238426</x:v>
      </x:c>
      <x:c r="O2090" s="28" t="n">
        <x:v>46219.812988715275</x:v>
      </x:c>
      <x:c r="P2090" s="23" t="str">
        <x:v>SÃO CARLOS</x:v>
      </x:c>
      <x:c r="Q2090" s="30" t="n">
        <x:v>37915</x:v>
      </x:c>
      <x:c r="R2090" s="22" t="str">
        <x:f>"559944883"</x:f>
        <x:v>559944883</x:v>
      </x:c>
      <x:c r="S2090" s="23" t="str">
        <x:v>masculino</x:v>
      </x:c>
      <x:c r="T2090" s="22" t="str">
        <x:f>"HFI8H04"</x:f>
        <x:v>HFI8H04</x:v>
      </x:c>
      <x:c r="U2090" s="23" t="str">
        <x:v>KAWAN ALVES DO NASCIMENTO</x:v>
      </x:c>
      <x:c r="V2090" s="22" t="str">
        <x:f>"479.969.298-40"</x:f>
        <x:v>479.969.298-40</x:v>
      </x:c>
      <x:c r="W2090" s="22" t="str">
        <x:f>"47996929840"</x:f>
        <x:v>47996929840</x:v>
      </x:c>
      <x:c r="X2090" s="23" t="str">
        <x:v>kawannasc1572@gmail.com</x:v>
      </x:c>
      <x:c r="Y2090" s="22" t="str">
        <x:f>"(16)98246-3186"</x:f>
        <x:v>(16)98246-3186</x:v>
      </x:c>
      <x:c r="Z2090" s="30" t="n">
        <x:v>46323</x:v>
      </x:c>
    </x:row>
    <x:row r="2091" ht="18" customHeight="1">
      <x:c r="A2091" s="22" t="str">
        <x:f>"acb6488c-0d26-404b-996b-8a7215fb723d"</x:f>
        <x:v>acb6488c-0d26-404b-996b-8a7215fb723d</x:v>
      </x:c>
      <x:c r="B2091" s="23" t="str">
        <x:v>KAWAN HENRIQUE PEREIRA DA SILVA</x:v>
      </x:c>
      <x:c r="C2091" s="23" t="str">
        <x:v>kawan henrique pereira da silva</x:v>
      </x:c>
      <x:c r="D2091" s="22" t="str">
        <x:f>"08.625.479/0001-63"</x:f>
        <x:v>08.625.479/0001-63</x:v>
      </x:c>
      <x:c r="E2091" s="22" t="str">
        <x:f>"08625479000163"</x:f>
        <x:v>08625479000163</x:v>
      </x:c>
      <x:c r="F2091" s="22" t="str">
        <x:f>"075.889.831-24"</x:f>
        <x:v>075.889.831-24</x:v>
      </x:c>
      <x:c r="G2091" s="22" t="str">
        <x:f>"07588983124"</x:f>
        <x:v>07588983124</x:v>
      </x:c>
      <x:c r="H2091" s="23" t="str">
        <x:v>kawan102004@gmail.con</x:v>
      </x:c>
      <x:c r="I2091" s="22" t="str">
        <x:f>"65 99325801"</x:f>
        <x:v>65 99325801</x:v>
      </x:c>
      <x:c r="J2091" s="23" t="str">
        <x:v>SPOT</x:v>
      </x:c>
      <x:c r="K2091" s="23" t="str">
        <x:v>favored_only</x:v>
      </x:c>
      <x:c r="L2091" s="24" t="b">
        <x:v>1</x:v>
      </x:c>
      <x:c r="M2091" s="23" t="n">
        <x:v>1</x:v>
      </x:c>
      <x:c r="N2091" s="28" t="n">
        <x:v>46205.60398548611</x:v>
      </x:c>
      <x:c r="O2091" s="28" t="n">
        <x:v>46219.812988715275</x:v>
      </x:c>
      <x:c r="P2091" s="23" t="str">
        <x:v>CUIABA</x:v>
      </x:c>
      <x:c r="Q2091" s="30" t="n">
        <x:v>38028</x:v>
      </x:c>
      <x:c r="R2091" s="22" t="str">
        <x:f>"2948645-9"</x:f>
        <x:v>2948645-9</x:v>
      </x:c>
      <x:c r="S2091" s="23" t="str">
        <x:v>masculino</x:v>
      </x:c>
      <x:c r="T2091" s="22" t="str">
        <x:f>"OON0C59"</x:f>
        <x:v>OON0C59</x:v>
      </x:c>
      <x:c r="U2091" s="23" t="str">
        <x:v>ARMANDO MACIEL DE ARRUDA PALMA</x:v>
      </x:c>
      <x:c r="V2091" s="22" t="str">
        <x:f>"468.969.451-68"</x:f>
        <x:v>468.969.451-68</x:v>
      </x:c>
      <x:c r="W2091" s="22" t="str">
        <x:f>"46896945168"</x:f>
        <x:v>46896945168</x:v>
      </x:c>
      <x:c r="X2091" s="23" t="str">
        <x:v>armandopalmaeng@outlook.com</x:v>
      </x:c>
      <x:c r="Y2091" s="22" t="str">
        <x:f>"65 9228-9683"</x:f>
        <x:v>65 9228-9683</x:v>
      </x:c>
      <x:c r="Z2091" s="30" t="n">
        <x:v>46253</x:v>
      </x:c>
    </x:row>
    <x:row r="2092" ht="18" customHeight="1">
      <x:c r="A2092" s="22" t="str">
        <x:f>"31e5d2bf-c960-4fdb-b2d5-cfd227662d7d"</x:f>
        <x:v>31e5d2bf-c960-4fdb-b2d5-cfd227662d7d</x:v>
      </x:c>
      <x:c r="B2092" s="23" t="str">
        <x:v>KAYKE ALMEIDA VERDAN</x:v>
      </x:c>
      <x:c r="C2092" s="23" t="str">
        <x:v>kayke almeida verdan</x:v>
      </x:c>
      <x:c r="D2092" s="22" t="str">
        <x:f>"45.674.237/0001-96"</x:f>
        <x:v>45.674.237/0001-96</x:v>
      </x:c>
      <x:c r="E2092" s="22" t="str">
        <x:f>"45674237000196"</x:f>
        <x:v>45674237000196</x:v>
      </x:c>
      <x:c r="F2092" s="22" t="str">
        <x:f>"174.619.997-02"</x:f>
        <x:v>174.619.997-02</x:v>
      </x:c>
      <x:c r="G2092" s="22" t="str">
        <x:f>"17461999702"</x:f>
        <x:v>17461999702</x:v>
      </x:c>
      <x:c r="H2092" s="23" t="str">
        <x:v>kaykealmeida012@gmail.com</x:v>
      </x:c>
      <x:c r="I2092" s="22" t="str">
        <x:f>"22 981412795"</x:f>
        <x:v>22 981412795</x:v>
      </x:c>
      <x:c r="J2092" s="23" t="str">
        <x:v>SPOT</x:v>
      </x:c>
      <x:c r="K2092" s="23" t="str">
        <x:v>favored_only</x:v>
      </x:c>
      <x:c r="L2092" s="24" t="b">
        <x:v>1</x:v>
      </x:c>
      <x:c r="M2092" s="23" t="n">
        <x:v>1</x:v>
      </x:c>
      <x:c r="N2092" s="28" t="n">
        <x:v>46205.605596469904</x:v>
      </x:c>
      <x:c r="O2092" s="28" t="n">
        <x:v>46219.812988715275</x:v>
      </x:c>
      <x:c r="P2092" s="23" t="str">
        <x:v>CAMPOS DOS GOYTACAZES</x:v>
      </x:c>
      <x:c r="Q2092" s="30" t="n">
        <x:v>37959</x:v>
      </x:c>
      <x:c r="R2092" s="22" t="str">
        <x:f>"303257117"</x:f>
        <x:v>303257117</x:v>
      </x:c>
      <x:c r="S2092" s="23" t="str">
        <x:v>masculino</x:v>
      </x:c>
      <x:c r="T2092" s="22" t="str">
        <x:f>"LMW3G67"</x:f>
        <x:v>LMW3G67</x:v>
      </x:c>
      <x:c r="U2092" s="23" t="str">
        <x:v>CARLOS ALBERTO FERREIRA SOUTO</x:v>
      </x:c>
      <x:c r="V2092" s="22" t="str">
        <x:f>"128.564.167-13"</x:f>
        <x:v>128.564.167-13</x:v>
      </x:c>
      <x:c r="W2092" s="22" t="str">
        <x:f>"12856416713"</x:f>
        <x:v>12856416713</x:v>
      </x:c>
      <x:c r="X2092" s="23" t="str">
        <x:v>bstramportes@gmail.com</x:v>
      </x:c>
      <x:c r="Y2092" s="22" t="str">
        <x:f>"22 999814749"</x:f>
        <x:v>22 999814749</x:v>
      </x:c>
      <x:c r="Z2092" s="30" t="n">
        <x:v>46327</x:v>
      </x:c>
    </x:row>
    <x:row r="2093" ht="18" customHeight="1">
      <x:c r="A2093" s="22" t="str">
        <x:f>"4c2b0358-d06d-4179-b3a6-8af09aab532d"</x:f>
        <x:v>4c2b0358-d06d-4179-b3a6-8af09aab532d</x:v>
      </x:c>
      <x:c r="B2093" s="23" t="str">
        <x:v>KAYKY RIBEIRO MELZ</x:v>
      </x:c>
      <x:c r="C2093" s="23" t="str">
        <x:v>kayky ribeiro melz</x:v>
      </x:c>
      <x:c r="D2093" s="22" t="str">
        <x:f>"65.382.338/0001-09"</x:f>
        <x:v>65.382.338/0001-09</x:v>
      </x:c>
      <x:c r="E2093" s="22" t="str">
        <x:f>"65382338000109"</x:f>
        <x:v>65382338000109</x:v>
      </x:c>
      <x:c r="F2093" s="22" t="str">
        <x:f>"452.536.878-07"</x:f>
        <x:v>452.536.878-07</x:v>
      </x:c>
      <x:c r="G2093" s="22" t="str">
        <x:f>"45253687807"</x:f>
        <x:v>45253687807</x:v>
      </x:c>
      <x:c r="H2093" s="23" t="str">
        <x:v>Kaykyribeiro449@gmail.com</x:v>
      </x:c>
      <x:c r="I2093" s="22" t="str">
        <x:f>"18991167439"</x:f>
        <x:v>18991167439</x:v>
      </x:c>
      <x:c r="J2093" s="23" t="str">
        <x:v>RENTAL</x:v>
      </x:c>
      <x:c r="K2093" s="23" t="str">
        <x:v>rental_company</x:v>
      </x:c>
      <x:c r="L2093" s="24" t="b">
        <x:v>1</x:v>
      </x:c>
      <x:c r="M2093" s="23" t="n">
        <x:v>1</x:v>
      </x:c>
      <x:c r="N2093" s="28" t="n">
        <x:v>46219.812988715275</x:v>
      </x:c>
      <x:c r="O2093" s="28" t="n">
        <x:v>46219.812988715275</x:v>
      </x:c>
      <x:c r="P2093" s="23" t="str">
        <x:v>PRESIDENTE PRUDENTE</x:v>
      </x:c>
      <x:c r="Q2093" s="30" t="n">
        <x:v>38866</x:v>
      </x:c>
      <x:c r="R2093" s="22" t="str">
        <x:f>"564042031"</x:f>
        <x:v>564042031</x:v>
      </x:c>
      <x:c r="S2093" s="23" t="str">
        <x:v>masculino</x:v>
      </x:c>
      <x:c r="T2093" s="22" t="str"/>
      <x:c r="U2093" s="23" t="str">
        <x:v>KAYKY RIBEIRO MELZ</x:v>
      </x:c>
      <x:c r="V2093" s="22" t="str">
        <x:f>"452.536.878-07"</x:f>
        <x:v>452.536.878-07</x:v>
      </x:c>
      <x:c r="W2093" s="22" t="str">
        <x:f>"45253687807"</x:f>
        <x:v>45253687807</x:v>
      </x:c>
      <x:c r="X2093" s="23" t="str">
        <x:v>Kaykyribeiro449@gmail.com</x:v>
      </x:c>
      <x:c r="Y2093" s="22" t="str">
        <x:f>"18991167439"</x:f>
        <x:v>18991167439</x:v>
      </x:c>
      <x:c r="Z2093" s="30" t="n">
        <x:v>46446</x:v>
      </x:c>
    </x:row>
    <x:row r="2094" ht="18" customHeight="1">
      <x:c r="A2094" s="22" t="str">
        <x:f>"bb0117c9-5859-4d1c-8c11-cbc516e66a02"</x:f>
        <x:v>bb0117c9-5859-4d1c-8c11-cbc516e66a02</x:v>
      </x:c>
      <x:c r="B2094" s="23" t="str">
        <x:v>KAYO RAYLANDER</x:v>
      </x:c>
      <x:c r="C2094" s="23" t="str">
        <x:v>kayo raylander</x:v>
      </x:c>
      <x:c r="D2094" s="22" t="str">
        <x:f>"62.512.301/0001-51"</x:f>
        <x:v>62.512.301/0001-51</x:v>
      </x:c>
      <x:c r="E2094" s="22" t="str">
        <x:f>"62512301000151"</x:f>
        <x:v>62512301000151</x:v>
      </x:c>
      <x:c r="F2094" s="22" t="str">
        <x:f>"16354905614"</x:f>
        <x:v>16354905614</x:v>
      </x:c>
      <x:c r="G2094" s="22" t="str">
        <x:f>"16354905614"</x:f>
        <x:v>16354905614</x:v>
      </x:c>
      <x:c r="H2094" s="23" t="str">
        <x:v>strongelitesr@gmail.com</x:v>
      </x:c>
      <x:c r="I2094" s="22" t="str">
        <x:f>"3175958262"</x:f>
        <x:v>3175958262</x:v>
      </x:c>
      <x:c r="J2094" s="23" t="str">
        <x:v>SPOT</x:v>
      </x:c>
      <x:c r="K2094" s="23" t="str">
        <x:v>favored_only</x:v>
      </x:c>
      <x:c r="L2094" s="24" t="b">
        <x:v>1</x:v>
      </x:c>
      <x:c r="M2094" s="23" t="n">
        <x:v>1</x:v>
      </x:c>
      <x:c r="N2094" s="28" t="n">
        <x:v>46203.92189965278</x:v>
      </x:c>
      <x:c r="O2094" s="28" t="n">
        <x:v>46203.92189965278</x:v>
      </x:c>
      <x:c r="P2094" s="23" t="str"/>
      <x:c r="Q2094" s="30" t="str"/>
      <x:c r="R2094" s="22" t="str"/>
      <x:c r="S2094" s="23" t="str"/>
      <x:c r="T2094" s="22" t="str"/>
      <x:c r="U2094" s="23" t="str">
        <x:v>KAYO RAYLANDER</x:v>
      </x:c>
      <x:c r="V2094" s="22" t="str">
        <x:f>"16354905614"</x:f>
        <x:v>16354905614</x:v>
      </x:c>
      <x:c r="W2094" s="22" t="str">
        <x:f>"16354905614"</x:f>
        <x:v>16354905614</x:v>
      </x:c>
      <x:c r="X2094" s="23" t="str">
        <x:v>strongelitesr@gmail.com</x:v>
      </x:c>
      <x:c r="Y2094" s="22" t="str">
        <x:f>"3175958262"</x:f>
        <x:v>3175958262</x:v>
      </x:c>
      <x:c r="Z2094" s="30" t="str"/>
    </x:row>
    <x:row r="2095" ht="18" customHeight="1">
      <x:c r="A2095" s="22" t="str">
        <x:f>"1b99662f-b217-4eb7-b2bc-563901c24441"</x:f>
        <x:v>1b99662f-b217-4eb7-b2bc-563901c24441</x:v>
      </x:c>
      <x:c r="B2095" s="23" t="str">
        <x:v>KAYQUE LENZING BARBOSA</x:v>
      </x:c>
      <x:c r="C2095" s="23" t="str">
        <x:v>kayque lenzing barbosa</x:v>
      </x:c>
      <x:c r="D2095" s="22" t="str">
        <x:f>"59.278.248/0001-61"</x:f>
        <x:v>59.278.248/0001-61</x:v>
      </x:c>
      <x:c r="E2095" s="22" t="str">
        <x:f>"59278248000161"</x:f>
        <x:v>59278248000161</x:v>
      </x:c>
      <x:c r="F2095" s="22" t="str">
        <x:f>"416.178.668-90"</x:f>
        <x:v>416.178.668-90</x:v>
      </x:c>
      <x:c r="G2095" s="22" t="str">
        <x:f>"41617866890"</x:f>
        <x:v>41617866890</x:v>
      </x:c>
      <x:c r="H2095" s="23" t="str">
        <x:v>kayquelbarbosa@gmail.com</x:v>
      </x:c>
      <x:c r="I2095" s="22" t="str">
        <x:f>"+55 17 99187-9034"</x:f>
        <x:v>+55 17 99187-9034</x:v>
      </x:c>
      <x:c r="J2095" s="23" t="str">
        <x:v>RENTAL</x:v>
      </x:c>
      <x:c r="K2095" s="23" t="str">
        <x:v>rental_company</x:v>
      </x:c>
      <x:c r="L2095" s="24" t="b">
        <x:v>1</x:v>
      </x:c>
      <x:c r="M2095" s="23" t="n">
        <x:v>1</x:v>
      </x:c>
      <x:c r="N2095" s="28" t="n">
        <x:v>46219.812988715275</x:v>
      </x:c>
      <x:c r="O2095" s="28" t="n">
        <x:v>46219.812988715275</x:v>
      </x:c>
      <x:c r="P2095" s="23" t="str">
        <x:v>BARRETOS</x:v>
      </x:c>
      <x:c r="Q2095" s="30" t="n">
        <x:v>34807</x:v>
      </x:c>
      <x:c r="R2095" s="22" t="str">
        <x:f>"40699832"</x:f>
        <x:v>40699832</x:v>
      </x:c>
      <x:c r="S2095" s="23" t="str">
        <x:v>masculino</x:v>
      </x:c>
      <x:c r="T2095" s="22" t="str"/>
      <x:c r="U2095" s="23" t="str">
        <x:v>KAYQUE LENZING BARBOSA</x:v>
      </x:c>
      <x:c r="V2095" s="22" t="str">
        <x:f>"416.178.668-90"</x:f>
        <x:v>416.178.668-90</x:v>
      </x:c>
      <x:c r="W2095" s="22" t="str">
        <x:f>"41617866890"</x:f>
        <x:v>41617866890</x:v>
      </x:c>
      <x:c r="X2095" s="23" t="str">
        <x:v>kayquelbarbosa@gmail.com</x:v>
      </x:c>
      <x:c r="Y2095" s="22" t="str">
        <x:f>"+55 17 99187-9034"</x:f>
        <x:v>+55 17 99187-9034</x:v>
      </x:c>
      <x:c r="Z2095" s="30" t="n">
        <x:v>46528</x:v>
      </x:c>
    </x:row>
    <x:row r="2096" ht="18" customHeight="1">
      <x:c r="A2096" s="22" t="str">
        <x:f>"a2377d2c-759f-4c82-ac5a-e81d47260764"</x:f>
        <x:v>a2377d2c-759f-4c82-ac5a-e81d47260764</x:v>
      </x:c>
      <x:c r="B2096" s="23" t="str">
        <x:v>KEILA FONTES</x:v>
      </x:c>
      <x:c r="C2096" s="23" t="str">
        <x:v>keila fontes</x:v>
      </x:c>
      <x:c r="D2096" s="22" t="str">
        <x:f>"60.935.580/0001-30"</x:f>
        <x:v>60.935.580/0001-30</x:v>
      </x:c>
      <x:c r="E2096" s="22" t="str">
        <x:f>"60935580000130"</x:f>
        <x:v>60935580000130</x:v>
      </x:c>
      <x:c r="F2096" s="22" t="str">
        <x:f>"072.550.106-52"</x:f>
        <x:v>072.550.106-52</x:v>
      </x:c>
      <x:c r="G2096" s="22" t="str">
        <x:f>"07255010652"</x:f>
        <x:v>07255010652</x:v>
      </x:c>
      <x:c r="H2096" s="23" t="str">
        <x:v>kfontes654@gmail.com</x:v>
      </x:c>
      <x:c r="I2096" s="22" t="str">
        <x:f>"(34) 98878-0010"</x:f>
        <x:v>(34) 98878-0010</x:v>
      </x:c>
      <x:c r="J2096" s="23" t="str">
        <x:v>SPOT</x:v>
      </x:c>
      <x:c r="K2096" s="23" t="str">
        <x:v>favored_only</x:v>
      </x:c>
      <x:c r="L2096" s="24" t="b">
        <x:v>1</x:v>
      </x:c>
      <x:c r="M2096" s="23" t="n">
        <x:v>1</x:v>
      </x:c>
      <x:c r="N2096" s="28" t="n">
        <x:v>46205.606896087964</x:v>
      </x:c>
      <x:c r="O2096" s="28" t="n">
        <x:v>46219.812988715275</x:v>
      </x:c>
      <x:c r="P2096" s="23" t="str">
        <x:v>ARAXÁ</x:v>
      </x:c>
      <x:c r="Q2096" s="30" t="n">
        <x:v>31226</x:v>
      </x:c>
      <x:c r="R2096" s="22" t="str">
        <x:f>"MG7301422"</x:f>
        <x:v>MG7301422</x:v>
      </x:c>
      <x:c r="S2096" s="23" t="str">
        <x:v>feminino</x:v>
      </x:c>
      <x:c r="T2096" s="22" t="str">
        <x:f>"ONU1B65"</x:f>
        <x:v>ONU1B65</x:v>
      </x:c>
      <x:c r="U2096" s="23" t="str">
        <x:v>KADU FONTES GALINDO</x:v>
      </x:c>
      <x:c r="V2096" s="22" t="str">
        <x:f>"154.715.556-60"</x:f>
        <x:v>154.715.556-60</x:v>
      </x:c>
      <x:c r="W2096" s="22" t="str">
        <x:f>"15471555660"</x:f>
        <x:v>15471555660</x:v>
      </x:c>
      <x:c r="X2096" s="23" t="str">
        <x:v>kfontes654@gmail.com</x:v>
      </x:c>
      <x:c r="Y2096" s="22" t="str">
        <x:f>"(34) 98878-0010"</x:f>
        <x:v>(34) 98878-0010</x:v>
      </x:c>
      <x:c r="Z2096" s="30" t="n">
        <x:v>46386</x:v>
      </x:c>
    </x:row>
    <x:row r="2097" ht="18" customHeight="1">
      <x:c r="A2097" s="22" t="str">
        <x:f>"4a0a0a20-7329-4ea2-a480-2c66a2ca50a5"</x:f>
        <x:v>4a0a0a20-7329-4ea2-a480-2c66a2ca50a5</x:v>
      </x:c>
      <x:c r="B2097" s="23" t="str">
        <x:v>KELLERSON BARBOSA DE SOUZA</x:v>
      </x:c>
      <x:c r="C2097" s="23" t="str">
        <x:v>kellerson barbosa de souza</x:v>
      </x:c>
      <x:c r="D2097" s="22" t="str">
        <x:f>"63.435.274/0001-23"</x:f>
        <x:v>63.435.274/0001-23</x:v>
      </x:c>
      <x:c r="E2097" s="22" t="str">
        <x:f>"63435274000123"</x:f>
        <x:v>63435274000123</x:v>
      </x:c>
      <x:c r="F2097" s="22" t="str">
        <x:f>"152.446.037-01"</x:f>
        <x:v>152.446.037-01</x:v>
      </x:c>
      <x:c r="G2097" s="22" t="str">
        <x:f>"15244603701"</x:f>
        <x:v>15244603701</x:v>
      </x:c>
      <x:c r="H2097" s="23" t="str">
        <x:v>kellersonsouza@outlook.com</x:v>
      </x:c>
      <x:c r="I2097" s="22" t="str">
        <x:f>"21975731407"</x:f>
        <x:v>21975731407</x:v>
      </x:c>
      <x:c r="J2097" s="23" t="str">
        <x:v>spot</x:v>
      </x:c>
      <x:c r="K2097" s="23" t="str">
        <x:v>favored_only</x:v>
      </x:c>
      <x:c r="L2097" s="24" t="b">
        <x:v>1</x:v>
      </x:c>
      <x:c r="M2097" s="23" t="n">
        <x:v>1</x:v>
      </x:c>
      <x:c r="N2097" s="28" t="n">
        <x:v>46219.812988715275</x:v>
      </x:c>
      <x:c r="O2097" s="28" t="n">
        <x:v>46219.812988715275</x:v>
      </x:c>
      <x:c r="P2097" s="23" t="str">
        <x:v>QUEIMADOS</x:v>
      </x:c>
      <x:c r="Q2097" s="30" t="n">
        <x:v>34650</x:v>
      </x:c>
      <x:c r="R2097" s="22" t="str">
        <x:f>"235511110"</x:f>
        <x:v>235511110</x:v>
      </x:c>
      <x:c r="S2097" s="23" t="str">
        <x:v>masculino</x:v>
      </x:c>
      <x:c r="T2097" s="22" t="str">
        <x:f>"LPL5C97"</x:f>
        <x:v>LPL5C97</x:v>
      </x:c>
      <x:c r="U2097" s="23" t="str">
        <x:v>KELLERSON BARBOSA DE SOUZA</x:v>
      </x:c>
      <x:c r="V2097" s="22" t="str">
        <x:f>"152.446.037-01"</x:f>
        <x:v>152.446.037-01</x:v>
      </x:c>
      <x:c r="W2097" s="22" t="str">
        <x:f>"15244603701"</x:f>
        <x:v>15244603701</x:v>
      </x:c>
      <x:c r="X2097" s="23" t="str">
        <x:v>kellersonsouza@outlook.com</x:v>
      </x:c>
      <x:c r="Y2097" s="22" t="str">
        <x:f>"21975731407"</x:f>
        <x:v>21975731407</x:v>
      </x:c>
      <x:c r="Z2097" s="30" t="n">
        <x:v>46553</x:v>
      </x:c>
    </x:row>
    <x:row r="2098" ht="18" customHeight="1">
      <x:c r="A2098" s="22" t="str">
        <x:f>"e1a4d8e8-c4c9-45b6-929c-6a35d943d0dc"</x:f>
        <x:v>e1a4d8e8-c4c9-45b6-929c-6a35d943d0dc</x:v>
      </x:c>
      <x:c r="B2098" s="23" t="str">
        <x:v>KELLERSON BARBOSA DE SOUZA</x:v>
      </x:c>
      <x:c r="C2098" s="23" t="str">
        <x:v>kellerson barbosa de souza</x:v>
      </x:c>
      <x:c r="D2098" s="22" t="str">
        <x:f>"65.515.490/0001-04"</x:f>
        <x:v>65.515.490/0001-04</x:v>
      </x:c>
      <x:c r="E2098" s="22" t="str">
        <x:f>"65515490000104"</x:f>
        <x:v>65515490000104</x:v>
      </x:c>
      <x:c r="F2098" s="22" t="str">
        <x:f>"152.446.037-01"</x:f>
        <x:v>152.446.037-01</x:v>
      </x:c>
      <x:c r="G2098" s="22" t="str">
        <x:f>"15244603701"</x:f>
        <x:v>15244603701</x:v>
      </x:c>
      <x:c r="H2098" s="23" t="str">
        <x:v>kellersonsouza@outlook.com</x:v>
      </x:c>
      <x:c r="I2098" s="22" t="str">
        <x:f>"21975731407"</x:f>
        <x:v>21975731407</x:v>
      </x:c>
      <x:c r="J2098" s="23" t="str">
        <x:v>SPOT</x:v>
      </x:c>
      <x:c r="K2098" s="23" t="str">
        <x:v>favored_only</x:v>
      </x:c>
      <x:c r="L2098" s="24" t="b">
        <x:v>1</x:v>
      </x:c>
      <x:c r="M2098" s="23" t="n">
        <x:v>2</x:v>
      </x:c>
      <x:c r="N2098" s="28" t="n">
        <x:v>46219.812988715275</x:v>
      </x:c>
      <x:c r="O2098" s="28" t="n">
        <x:v>46219.812988715275</x:v>
      </x:c>
      <x:c r="P2098" s="23" t="str">
        <x:v>QUEIMADOS</x:v>
      </x:c>
      <x:c r="Q2098" s="30" t="n">
        <x:v>34650</x:v>
      </x:c>
      <x:c r="R2098" s="22" t="str">
        <x:f>"235511110"</x:f>
        <x:v>235511110</x:v>
      </x:c>
      <x:c r="S2098" s="23" t="str">
        <x:v>masculino</x:v>
      </x:c>
      <x:c r="T2098" s="22" t="str">
        <x:f>"FDS2I37"</x:f>
        <x:v>FDS2I37</x:v>
      </x:c>
      <x:c r="U2098" s="23" t="str">
        <x:v>FERNANDA DE CARVALHO OLIVEIRA</x:v>
      </x:c>
      <x:c r="V2098" s="22" t="str">
        <x:f>"163.638.217-70"</x:f>
        <x:v>163.638.217-70</x:v>
      </x:c>
      <x:c r="W2098" s="22" t="str">
        <x:f>"16363821770"</x:f>
        <x:v>16363821770</x:v>
      </x:c>
      <x:c r="X2098" s="23" t="str">
        <x:v>feeh.oliiveira@yahoo.com</x:v>
      </x:c>
      <x:c r="Y2098" s="22" t="str">
        <x:f>"21990126739"</x:f>
        <x:v>21990126739</x:v>
      </x:c>
      <x:c r="Z2098" s="30" t="n">
        <x:v>46465</x:v>
      </x:c>
    </x:row>
    <x:row r="2099" ht="18" customHeight="1">
      <x:c r="A2099" s="22" t="str">
        <x:f>"291f271a-24a7-4be4-b288-e9e2f7aab7bc"</x:f>
        <x:v>291f271a-24a7-4be4-b288-e9e2f7aab7bc</x:v>
      </x:c>
      <x:c r="B2099" s="23" t="str">
        <x:v>KELVIN CHRISTIAN ALVES GUIMARAES</x:v>
      </x:c>
      <x:c r="C2099" s="23" t="str">
        <x:v>kelvin christian alves guimaraes</x:v>
      </x:c>
      <x:c r="D2099" s="22" t="str">
        <x:f>"50.913.154/0001-42"</x:f>
        <x:v>50.913.154/0001-42</x:v>
      </x:c>
      <x:c r="E2099" s="22" t="str">
        <x:f>"50913154000142"</x:f>
        <x:v>50913154000142</x:v>
      </x:c>
      <x:c r="F2099" s="22" t="str">
        <x:f>"094.836.176-00"</x:f>
        <x:v>094.836.176-00</x:v>
      </x:c>
      <x:c r="G2099" s="22" t="str">
        <x:f>"09483617600"</x:f>
        <x:v>09483617600</x:v>
      </x:c>
      <x:c r="H2099" s="23" t="str">
        <x:v>kelvenchris@hotmail.com</x:v>
      </x:c>
      <x:c r="I2099" s="22" t="str">
        <x:f>"31982418704"</x:f>
        <x:v>31982418704</x:v>
      </x:c>
      <x:c r="J2099" s="23" t="str">
        <x:v>SPOT</x:v>
      </x:c>
      <x:c r="K2099" s="23" t="str">
        <x:v>favored_only</x:v>
      </x:c>
      <x:c r="L2099" s="24" t="b">
        <x:v>1</x:v>
      </x:c>
      <x:c r="M2099" s="23" t="n">
        <x:v>1</x:v>
      </x:c>
      <x:c r="N2099" s="28" t="n">
        <x:v>46203.921858726855</x:v>
      </x:c>
      <x:c r="O2099" s="28" t="n">
        <x:v>46219.812988715275</x:v>
      </x:c>
      <x:c r="P2099" s="23" t="str">
        <x:v>CONTAGEM</x:v>
      </x:c>
      <x:c r="Q2099" s="30" t="n">
        <x:v>33804</x:v>
      </x:c>
      <x:c r="R2099" s="22" t="str">
        <x:f>"17123832"</x:f>
        <x:v>17123832</x:v>
      </x:c>
      <x:c r="S2099" s="23" t="str">
        <x:v>masculino</x:v>
      </x:c>
      <x:c r="T2099" s="22" t="str">
        <x:f>"ELG8B83"</x:f>
        <x:v>ELG8B83</x:v>
      </x:c>
      <x:c r="U2099" s="23" t="str">
        <x:v>KELVIN CHRISTIAN ALVES GUIMARAES</x:v>
      </x:c>
      <x:c r="V2099" s="22" t="str">
        <x:f>"094.836.176-00"</x:f>
        <x:v>094.836.176-00</x:v>
      </x:c>
      <x:c r="W2099" s="22" t="str">
        <x:f>"09483617600"</x:f>
        <x:v>09483617600</x:v>
      </x:c>
      <x:c r="X2099" s="23" t="str">
        <x:v>kelvenchris@hotmail.com</x:v>
      </x:c>
      <x:c r="Y2099" s="22" t="str">
        <x:f>"31982418704"</x:f>
        <x:v>31982418704</x:v>
      </x:c>
      <x:c r="Z2099" s="30" t="n">
        <x:v>46266</x:v>
      </x:c>
    </x:row>
    <x:row r="2100" ht="18" customHeight="1">
      <x:c r="A2100" s="22" t="str">
        <x:f>"c08dd44d-41f3-43fd-8e78-bfbdca9abf46"</x:f>
        <x:v>c08dd44d-41f3-43fd-8e78-bfbdca9abf46</x:v>
      </x:c>
      <x:c r="B2100" s="23" t="str">
        <x:v>KELVIN KLEIAN PEREIRA RODRIGUES</x:v>
      </x:c>
      <x:c r="C2100" s="23" t="str">
        <x:v>kelvin kleian pereira rodrigues</x:v>
      </x:c>
      <x:c r="D2100" s="22" t="str">
        <x:f>"58.950.730/0001-33"</x:f>
        <x:v>58.950.730/0001-33</x:v>
      </x:c>
      <x:c r="E2100" s="22" t="str">
        <x:f>"58950730000133"</x:f>
        <x:v>58950730000133</x:v>
      </x:c>
      <x:c r="F2100" s="22" t="str">
        <x:f>"073.286.401-11"</x:f>
        <x:v>073.286.401-11</x:v>
      </x:c>
      <x:c r="G2100" s="22" t="str">
        <x:f>"07328640111"</x:f>
        <x:v>07328640111</x:v>
      </x:c>
      <x:c r="H2100" s="23" t="str">
        <x:v>kelvinkleian4@gmail.com</x:v>
      </x:c>
      <x:c r="I2100" s="22" t="str">
        <x:f>"65 8111-0905"</x:f>
        <x:v>65 8111-0905</x:v>
      </x:c>
      <x:c r="J2100" s="23" t="str">
        <x:v>RENTAL</x:v>
      </x:c>
      <x:c r="K2100" s="23" t="str">
        <x:v>rental_company</x:v>
      </x:c>
      <x:c r="L2100" s="24" t="b">
        <x:v>1</x:v>
      </x:c>
      <x:c r="M2100" s="23" t="n">
        <x:v>1</x:v>
      </x:c>
      <x:c r="N2100" s="28" t="n">
        <x:v>46203.921887453704</x:v>
      </x:c>
      <x:c r="O2100" s="28" t="n">
        <x:v>46219.812988715275</x:v>
      </x:c>
      <x:c r="P2100" s="23" t="str">
        <x:v>CUIABA</x:v>
      </x:c>
      <x:c r="Q2100" s="30" t="n">
        <x:v>37013</x:v>
      </x:c>
      <x:c r="R2100" s="22" t="str">
        <x:f>"22575685"</x:f>
        <x:v>22575685</x:v>
      </x:c>
      <x:c r="S2100" s="23" t="str">
        <x:v>masculino</x:v>
      </x:c>
      <x:c r="T2100" s="22" t="str"/>
      <x:c r="U2100" s="23" t="str">
        <x:v>KELVIN KLEIAN PEREIRA RODRIGUES</x:v>
      </x:c>
      <x:c r="V2100" s="22" t="str">
        <x:f>"073.286.401-11"</x:f>
        <x:v>073.286.401-11</x:v>
      </x:c>
      <x:c r="W2100" s="22" t="str">
        <x:f>"07328640111"</x:f>
        <x:v>07328640111</x:v>
      </x:c>
      <x:c r="X2100" s="23" t="str">
        <x:v>kelvinkleian4@gmail.com</x:v>
      </x:c>
      <x:c r="Y2100" s="22" t="str">
        <x:f>"65 8111-0905"</x:f>
        <x:v>65 8111-0905</x:v>
      </x:c>
      <x:c r="Z2100" s="30" t="n">
        <x:v>46332</x:v>
      </x:c>
    </x:row>
    <x:row r="2101" ht="18" customHeight="1">
      <x:c r="A2101" s="22" t="str">
        <x:f>"72dc6be2-64ea-4639-847a-bf0e1402183e"</x:f>
        <x:v>72dc6be2-64ea-4639-847a-bf0e1402183e</x:v>
      </x:c>
      <x:c r="B2101" s="23" t="str">
        <x:v>KELVIN PATRYCK DE OLIVEIRA</x:v>
      </x:c>
      <x:c r="C2101" s="23" t="str">
        <x:v>kelvin patryck de oliveira</x:v>
      </x:c>
      <x:c r="D2101" s="22" t="str">
        <x:f>"64.794.904/0001-19"</x:f>
        <x:v>64.794.904/0001-19</x:v>
      </x:c>
      <x:c r="E2101" s="22" t="str">
        <x:f>"64794904000119"</x:f>
        <x:v>64794904000119</x:v>
      </x:c>
      <x:c r="F2101" s="22" t="str">
        <x:f>"403.310.118-75"</x:f>
        <x:v>403.310.118-75</x:v>
      </x:c>
      <x:c r="G2101" s="22" t="str">
        <x:f>"40331011875"</x:f>
        <x:v>40331011875</x:v>
      </x:c>
      <x:c r="H2101" s="23" t="str">
        <x:v>Kelvin.oliveira0412@gmail.com</x:v>
      </x:c>
      <x:c r="I2101" s="22" t="str">
        <x:f>"(35) 9 9138-6512"</x:f>
        <x:v>(35) 9 9138-6512</x:v>
      </x:c>
      <x:c r="J2101" s="23" t="str">
        <x:v>RENTAL</x:v>
      </x:c>
      <x:c r="K2101" s="23" t="str">
        <x:v>rental_company</x:v>
      </x:c>
      <x:c r="L2101" s="24" t="b">
        <x:v>1</x:v>
      </x:c>
      <x:c r="M2101" s="23" t="n">
        <x:v>1</x:v>
      </x:c>
      <x:c r="N2101" s="28" t="n">
        <x:v>46219.812988715275</x:v>
      </x:c>
      <x:c r="O2101" s="28" t="n">
        <x:v>46219.812988715275</x:v>
      </x:c>
      <x:c r="P2101" s="23" t="str">
        <x:v>POUSO ALEGRE</x:v>
      </x:c>
      <x:c r="Q2101" s="30" t="n">
        <x:v>33212</x:v>
      </x:c>
      <x:c r="R2101" s="22" t="str">
        <x:f>"3634511390"</x:f>
        <x:v>3634511390</x:v>
      </x:c>
      <x:c r="S2101" s="23" t="str">
        <x:v>masculino</x:v>
      </x:c>
      <x:c r="T2101" s="22" t="str"/>
      <x:c r="U2101" s="23" t="str">
        <x:v>KELVIN PATRYCK DE OLIVEIRA</x:v>
      </x:c>
      <x:c r="V2101" s="22" t="str">
        <x:f>"403.310.118-75"</x:f>
        <x:v>403.310.118-75</x:v>
      </x:c>
      <x:c r="W2101" s="22" t="str">
        <x:f>"40331011875"</x:f>
        <x:v>40331011875</x:v>
      </x:c>
      <x:c r="X2101" s="23" t="str">
        <x:v>Kelvin.oliveira0412@gmail.com</x:v>
      </x:c>
      <x:c r="Y2101" s="22" t="str">
        <x:f>"(35) 9 9138-6512"</x:f>
        <x:v>(35) 9 9138-6512</x:v>
      </x:c>
      <x:c r="Z2101" s="30" t="n">
        <x:v>46465</x:v>
      </x:c>
    </x:row>
    <x:row r="2102" ht="18" customHeight="1">
      <x:c r="A2102" s="22" t="str">
        <x:f>"c47d3106-2564-4ade-8935-35ca0319550c"</x:f>
        <x:v>c47d3106-2564-4ade-8935-35ca0319550c</x:v>
      </x:c>
      <x:c r="B2102" s="23" t="str">
        <x:v>KELYNTON OLIVEIRA DA SILVA</x:v>
      </x:c>
      <x:c r="C2102" s="23" t="str">
        <x:v>kelynton oliveira da silva</x:v>
      </x:c>
      <x:c r="D2102" s="22" t="str">
        <x:f>"55.869.800/0001-35"</x:f>
        <x:v>55.869.800/0001-35</x:v>
      </x:c>
      <x:c r="E2102" s="22" t="str">
        <x:f>"55869800000135"</x:f>
        <x:v>55869800000135</x:v>
      </x:c>
      <x:c r="F2102" s="22" t="str">
        <x:f>"145.959.567-03"</x:f>
        <x:v>145.959.567-03</x:v>
      </x:c>
      <x:c r="G2102" s="22" t="str">
        <x:f>"14595956703"</x:f>
        <x:v>14595956703</x:v>
      </x:c>
      <x:c r="H2102" s="23" t="str">
        <x:v>kelyntonrhillary@gmail.com</x:v>
      </x:c>
      <x:c r="I2102" s="22" t="str">
        <x:f>"21974246630"</x:f>
        <x:v>21974246630</x:v>
      </x:c>
      <x:c r="J2102" s="23" t="str">
        <x:v>SPOT</x:v>
      </x:c>
      <x:c r="K2102" s="23" t="str">
        <x:v>favored_only</x:v>
      </x:c>
      <x:c r="L2102" s="24" t="b">
        <x:v>1</x:v>
      </x:c>
      <x:c r="M2102" s="23" t="n">
        <x:v>1</x:v>
      </x:c>
      <x:c r="N2102" s="28" t="n">
        <x:v>46203.921887453704</x:v>
      </x:c>
      <x:c r="O2102" s="28" t="n">
        <x:v>46219.812988715275</x:v>
      </x:c>
      <x:c r="P2102" s="23" t="str">
        <x:v>QUEIMADOS</x:v>
      </x:c>
      <x:c r="Q2102" s="30" t="n">
        <x:v>34761</x:v>
      </x:c>
      <x:c r="R2102" s="22" t="str">
        <x:f>"273834341"</x:f>
        <x:v>273834341</x:v>
      </x:c>
      <x:c r="S2102" s="23" t="str">
        <x:v>masculino</x:v>
      </x:c>
      <x:c r="T2102" s="22" t="str">
        <x:f>"QQS7E19"</x:f>
        <x:v>QQS7E19</x:v>
      </x:c>
      <x:c r="U2102" s="23" t="str">
        <x:v>KELYNTON OLIVEIRA DA SILVA</x:v>
      </x:c>
      <x:c r="V2102" s="22" t="str">
        <x:f>"145.959.567-03"</x:f>
        <x:v>145.959.567-03</x:v>
      </x:c>
      <x:c r="W2102" s="22" t="str">
        <x:f>"14595956703"</x:f>
        <x:v>14595956703</x:v>
      </x:c>
      <x:c r="X2102" s="23" t="str">
        <x:v>kelyntonrhillary@gmail.com</x:v>
      </x:c>
      <x:c r="Y2102" s="22" t="str">
        <x:f>"21974246630"</x:f>
        <x:v>21974246630</x:v>
      </x:c>
      <x:c r="Z2102" s="30" t="n">
        <x:v>46327</x:v>
      </x:c>
    </x:row>
    <x:row r="2103" ht="18" customHeight="1">
      <x:c r="A2103" s="22" t="str">
        <x:f>"480c97a5-d908-4a91-b440-9c44a3d9a6cc"</x:f>
        <x:v>480c97a5-d908-4a91-b440-9c44a3d9a6cc</x:v>
      </x:c>
      <x:c r="B2103" s="23" t="str">
        <x:v>KENEDY AMELIO TEIXEIRA MARTINS</x:v>
      </x:c>
      <x:c r="C2103" s="23" t="str">
        <x:v>kenedy amelio teixeira martins</x:v>
      </x:c>
      <x:c r="D2103" s="22" t="str">
        <x:f>"67.958.161/0001-63"</x:f>
        <x:v>67.958.161/0001-63</x:v>
      </x:c>
      <x:c r="E2103" s="22" t="str">
        <x:f>"67958161000163"</x:f>
        <x:v>67958161000163</x:v>
      </x:c>
      <x:c r="F2103" s="22" t="str">
        <x:f>"385.820.618-03"</x:f>
        <x:v>385.820.618-03</x:v>
      </x:c>
      <x:c r="G2103" s="22" t="str">
        <x:f>"38582061803"</x:f>
        <x:v>38582061803</x:v>
      </x:c>
      <x:c r="H2103" s="23" t="str">
        <x:v>kenedyamelio1989@gmail.com</x:v>
      </x:c>
      <x:c r="I2103" s="22" t="str">
        <x:f>"11 97019-8767"</x:f>
        <x:v>11 97019-8767</x:v>
      </x:c>
      <x:c r="J2103" s="23" t="str">
        <x:v>spot</x:v>
      </x:c>
      <x:c r="K2103" s="23" t="str">
        <x:v>favored_only</x:v>
      </x:c>
      <x:c r="L2103" s="24" t="b">
        <x:v>1</x:v>
      </x:c>
      <x:c r="M2103" s="23" t="n">
        <x:v>1</x:v>
      </x:c>
      <x:c r="N2103" s="28" t="n">
        <x:v>46219.812988715275</x:v>
      </x:c>
      <x:c r="O2103" s="28" t="n">
        <x:v>46219.812988715275</x:v>
      </x:c>
      <x:c r="P2103" s="23" t="str">
        <x:v>BARUERI</x:v>
      </x:c>
      <x:c r="Q2103" s="30" t="n">
        <x:v>32742</x:v>
      </x:c>
      <x:c r="R2103" s="22" t="str">
        <x:f>"470481110"</x:f>
        <x:v>470481110</x:v>
      </x:c>
      <x:c r="S2103" s="23" t="str">
        <x:v>masculino</x:v>
      </x:c>
      <x:c r="T2103" s="22" t="str">
        <x:f>"AVF1G87"</x:f>
        <x:v>AVF1G87</x:v>
      </x:c>
      <x:c r="U2103" s="23" t="str">
        <x:v>KENEDY AMELIO TEIXEIRA MARTINS</x:v>
      </x:c>
      <x:c r="V2103" s="22" t="str">
        <x:f>"385.820.618-03"</x:f>
        <x:v>385.820.618-03</x:v>
      </x:c>
      <x:c r="W2103" s="22" t="str">
        <x:f>"38582061803"</x:f>
        <x:v>38582061803</x:v>
      </x:c>
      <x:c r="X2103" s="23" t="str">
        <x:v>kenedyamelio1989@gmail.com</x:v>
      </x:c>
      <x:c r="Y2103" s="22" t="str">
        <x:f>"11 97019-8767"</x:f>
        <x:v>11 97019-8767</x:v>
      </x:c>
      <x:c r="Z2103" s="30" t="n">
        <x:v>46581</x:v>
      </x:c>
    </x:row>
    <x:row r="2104" ht="18" customHeight="1">
      <x:c r="A2104" s="22" t="str">
        <x:f>"08d58a3d-f4eb-40b8-9307-4d2fa22bff66"</x:f>
        <x:v>08d58a3d-f4eb-40b8-9307-4d2fa22bff66</x:v>
      </x:c>
      <x:c r="B2104" s="23" t="str">
        <x:v>KENNEDY DE CASTRO NOGUEIRA</x:v>
      </x:c>
      <x:c r="C2104" s="23" t="str">
        <x:v>kennedy de castro nogueira</x:v>
      </x:c>
      <x:c r="D2104" s="22" t="str">
        <x:f>"63.663.628/0001-97"</x:f>
        <x:v>63.663.628/0001-97</x:v>
      </x:c>
      <x:c r="E2104" s="22" t="str">
        <x:f>"63663628000197"</x:f>
        <x:v>63663628000197</x:v>
      </x:c>
      <x:c r="F2104" s="22" t="str">
        <x:f>"917.689.857-15"</x:f>
        <x:v>917.689.857-15</x:v>
      </x:c>
      <x:c r="G2104" s="22" t="str">
        <x:f>"91768985715"</x:f>
        <x:v>91768985715</x:v>
      </x:c>
      <x:c r="H2104" s="23" t="str">
        <x:v>kennedy.castro63@Gmail.com</x:v>
      </x:c>
      <x:c r="I2104" s="22" t="str">
        <x:f>"21986629621"</x:f>
        <x:v>21986629621</x:v>
      </x:c>
      <x:c r="J2104" s="23" t="str">
        <x:v>SPOT</x:v>
      </x:c>
      <x:c r="K2104" s="23" t="str">
        <x:v>favored_only</x:v>
      </x:c>
      <x:c r="L2104" s="24" t="b">
        <x:v>1</x:v>
      </x:c>
      <x:c r="M2104" s="23" t="n">
        <x:v>1</x:v>
      </x:c>
      <x:c r="N2104" s="28" t="n">
        <x:v>46203.921904421295</x:v>
      </x:c>
      <x:c r="O2104" s="28" t="n">
        <x:v>46205.60810052083</x:v>
      </x:c>
      <x:c r="P2104" s="23" t="str">
        <x:v>CAMPO GRANDE</x:v>
      </x:c>
      <x:c r="Q2104" s="30" t="n">
        <x:v>23341</x:v>
      </x:c>
      <x:c r="R2104" s="22" t="str">
        <x:f>"0074784299"</x:f>
        <x:v>0074784299</x:v>
      </x:c>
      <x:c r="S2104" s="23" t="str">
        <x:v>Masculino</x:v>
      </x:c>
      <x:c r="T2104" s="22" t="str">
        <x:f>"KWW9E25"</x:f>
        <x:v>KWW9E25</x:v>
      </x:c>
      <x:c r="U2104" s="23" t="str">
        <x:v>KENNEDY DE CASTRO NOGUEIRA</x:v>
      </x:c>
      <x:c r="V2104" s="22" t="str">
        <x:f>"91768985715"</x:f>
        <x:v>91768985715</x:v>
      </x:c>
      <x:c r="W2104" s="22" t="str">
        <x:f>"91768985715"</x:f>
        <x:v>91768985715</x:v>
      </x:c>
      <x:c r="X2104" s="23" t="str">
        <x:v>kennedy.castro63@Gmail.com</x:v>
      </x:c>
      <x:c r="Y2104" s="22" t="str">
        <x:f>"21986629621"</x:f>
        <x:v>21986629621</x:v>
      </x:c>
      <x:c r="Z2104" s="30" t="n">
        <x:v>46225</x:v>
      </x:c>
    </x:row>
    <x:row r="2105" ht="18" customHeight="1">
      <x:c r="A2105" s="22" t="str">
        <x:f>"1fb7c52f-b3cb-4092-a7d3-dd4403d90cfa"</x:f>
        <x:v>1fb7c52f-b3cb-4092-a7d3-dd4403d90cfa</x:v>
      </x:c>
      <x:c r="B2105" s="23" t="str">
        <x:v>KENNEDY DOUGLAS LUIZ GONCALVES</x:v>
      </x:c>
      <x:c r="C2105" s="23" t="str">
        <x:v>kennedy douglas luiz goncalves</x:v>
      </x:c>
      <x:c r="D2105" s="22" t="str">
        <x:f>"66.241.288/0001-02"</x:f>
        <x:v>66.241.288/0001-02</x:v>
      </x:c>
      <x:c r="E2105" s="22" t="str">
        <x:f>"66241288000102"</x:f>
        <x:v>66241288000102</x:v>
      </x:c>
      <x:c r="F2105" s="22" t="str">
        <x:f>"020.330.936-70"</x:f>
        <x:v>020.330.936-70</x:v>
      </x:c>
      <x:c r="G2105" s="22" t="str">
        <x:f>"02033093670"</x:f>
        <x:v>02033093670</x:v>
      </x:c>
      <x:c r="H2105" s="23" t="str">
        <x:v>kennedygoncalves510@gmail.com</x:v>
      </x:c>
      <x:c r="I2105" s="22" t="str">
        <x:f>"(35)997252724"</x:f>
        <x:v>(35)997252724</x:v>
      </x:c>
      <x:c r="J2105" s="23" t="str">
        <x:v>RENTALS</x:v>
      </x:c>
      <x:c r="K2105" s="23" t="str">
        <x:v>rental_company</x:v>
      </x:c>
      <x:c r="L2105" s="24" t="b">
        <x:v>1</x:v>
      </x:c>
      <x:c r="M2105" s="23" t="n">
        <x:v>1</x:v>
      </x:c>
      <x:c r="N2105" s="28" t="n">
        <x:v>46219.812988715275</x:v>
      </x:c>
      <x:c r="O2105" s="28" t="n">
        <x:v>46219.812988715275</x:v>
      </x:c>
      <x:c r="P2105" s="23" t="str">
        <x:v>POUSO ALEGRE</x:v>
      </x:c>
      <x:c r="Q2105" s="30" t="n">
        <x:v>35219</x:v>
      </x:c>
      <x:c r="R2105" s="22" t="str">
        <x:f>"40225677"</x:f>
        <x:v>40225677</x:v>
      </x:c>
      <x:c r="S2105" s="23" t="str">
        <x:v>masculino</x:v>
      </x:c>
      <x:c r="T2105" s="22" t="str"/>
      <x:c r="U2105" s="23" t="str">
        <x:v>KENNEDY DOUGLAS LUIZ GONCALVES</x:v>
      </x:c>
      <x:c r="V2105" s="22" t="str">
        <x:f>"020.330.936-70"</x:f>
        <x:v>020.330.936-70</x:v>
      </x:c>
      <x:c r="W2105" s="22" t="str">
        <x:f>"02033093670"</x:f>
        <x:v>02033093670</x:v>
      </x:c>
      <x:c r="X2105" s="23" t="str">
        <x:v>kennedygoncalves510@gmail.com</x:v>
      </x:c>
      <x:c r="Y2105" s="22" t="str">
        <x:f>"(35)997252724"</x:f>
        <x:v>(35)997252724</x:v>
      </x:c>
      <x:c r="Z2105" s="30" t="n">
        <x:v>46492</x:v>
      </x:c>
    </x:row>
    <x:row r="2106" ht="18" customHeight="1">
      <x:c r="A2106" s="22" t="str">
        <x:f>"4d96286d-2aa0-4597-868e-a28e837aa50c"</x:f>
        <x:v>4d96286d-2aa0-4597-868e-a28e837aa50c</x:v>
      </x:c>
      <x:c r="B2106" s="23" t="str">
        <x:v>KENNIDI HENRIQUE DA SILVA</x:v>
      </x:c>
      <x:c r="C2106" s="23" t="str">
        <x:v>kennidi henrique da silva</x:v>
      </x:c>
      <x:c r="D2106" s="22" t="str">
        <x:f>"64.493.624/0001-70"</x:f>
        <x:v>64.493.624/0001-70</x:v>
      </x:c>
      <x:c r="E2106" s="22" t="str">
        <x:f>"64493624000170"</x:f>
        <x:v>64493624000170</x:v>
      </x:c>
      <x:c r="F2106" s="22" t="str">
        <x:f>"059.618.271-60"</x:f>
        <x:v>059.618.271-60</x:v>
      </x:c>
      <x:c r="G2106" s="22" t="str">
        <x:f>"05961827160"</x:f>
        <x:v>05961827160</x:v>
      </x:c>
      <x:c r="H2106" s="23" t="str">
        <x:v>kennedyhds@gmail.com</x:v>
      </x:c>
      <x:c r="I2106" s="22" t="str">
        <x:f>"65 9220-8031"</x:f>
        <x:v>65 9220-8031</x:v>
      </x:c>
      <x:c r="J2106" s="23" t="str">
        <x:v>SPOT</x:v>
      </x:c>
      <x:c r="K2106" s="23" t="str">
        <x:v>favored_only</x:v>
      </x:c>
      <x:c r="L2106" s="24" t="b">
        <x:v>1</x:v>
      </x:c>
      <x:c r="M2106" s="23" t="n">
        <x:v>1</x:v>
      </x:c>
      <x:c r="N2106" s="28" t="n">
        <x:v>46219.812988715275</x:v>
      </x:c>
      <x:c r="O2106" s="28" t="n">
        <x:v>46219.812988715275</x:v>
      </x:c>
      <x:c r="P2106" s="23" t="str">
        <x:v>CUIABA</x:v>
      </x:c>
      <x:c r="Q2106" s="30" t="n">
        <x:v>34923</x:v>
      </x:c>
      <x:c r="R2106" s="22" t="str">
        <x:f>"2477352"</x:f>
        <x:v>2477352</x:v>
      </x:c>
      <x:c r="S2106" s="23" t="str">
        <x:v>masculino</x:v>
      </x:c>
      <x:c r="T2106" s="22" t="str">
        <x:f>"QBU3F11"</x:f>
        <x:v>QBU3F11</x:v>
      </x:c>
      <x:c r="U2106" s="23" t="str">
        <x:v>KENNIDI HENRIQUE DA SILVA</x:v>
      </x:c>
      <x:c r="V2106" s="22" t="str">
        <x:f>"059.618.271-60"</x:f>
        <x:v>059.618.271-60</x:v>
      </x:c>
      <x:c r="W2106" s="22" t="str">
        <x:f>"05961827160"</x:f>
        <x:v>05961827160</x:v>
      </x:c>
      <x:c r="X2106" s="23" t="str">
        <x:v>kennedyhds@gmail.com</x:v>
      </x:c>
      <x:c r="Y2106" s="22" t="str">
        <x:f>"65 9220-8031"</x:f>
        <x:v>65 9220-8031</x:v>
      </x:c>
      <x:c r="Z2106" s="30" t="n">
        <x:v>46406</x:v>
      </x:c>
    </x:row>
    <x:row r="2107" ht="18" customHeight="1">
      <x:c r="A2107" s="22" t="str">
        <x:f>"59889c39-3617-4d4e-8058-6f7457d1a52e"</x:f>
        <x:v>59889c39-3617-4d4e-8058-6f7457d1a52e</x:v>
      </x:c>
      <x:c r="B2107" s="23" t="str">
        <x:v>KESLEY ANDRE LOPES</x:v>
      </x:c>
      <x:c r="C2107" s="23" t="str">
        <x:v>kesley andre lopes</x:v>
      </x:c>
      <x:c r="D2107" s="22" t="str">
        <x:f>"61.872.075/0001-57"</x:f>
        <x:v>61.872.075/0001-57</x:v>
      </x:c>
      <x:c r="E2107" s="22" t="str">
        <x:f>"61872075000157"</x:f>
        <x:v>61872075000157</x:v>
      </x:c>
      <x:c r="F2107" s="22" t="str">
        <x:f>"377.350.798-42"</x:f>
        <x:v>377.350.798-42</x:v>
      </x:c>
      <x:c r="G2107" s="22" t="str">
        <x:f>"37735079842"</x:f>
        <x:v>37735079842</x:v>
      </x:c>
      <x:c r="H2107" s="23" t="str">
        <x:v>Kesleyandrelopes@gmail.com</x:v>
      </x:c>
      <x:c r="I2107" s="22" t="str">
        <x:f>"11959632219"</x:f>
        <x:v>11959632219</x:v>
      </x:c>
      <x:c r="J2107" s="23" t="str">
        <x:v>RENTAL</x:v>
      </x:c>
      <x:c r="K2107" s="23" t="str">
        <x:v>rental_company</x:v>
      </x:c>
      <x:c r="L2107" s="24" t="b">
        <x:v>1</x:v>
      </x:c>
      <x:c r="M2107" s="23" t="n">
        <x:v>1</x:v>
      </x:c>
      <x:c r="N2107" s="28" t="n">
        <x:v>46203.92186888889</x:v>
      </x:c>
      <x:c r="O2107" s="28" t="n">
        <x:v>46219.812988715275</x:v>
      </x:c>
      <x:c r="P2107" s="23" t="str">
        <x:v>BARUERI</x:v>
      </x:c>
      <x:c r="Q2107" s="30" t="n">
        <x:v>34946</x:v>
      </x:c>
      <x:c r="R2107" s="22" t="str">
        <x:f>"4340304"</x:f>
        <x:v>4340304</x:v>
      </x:c>
      <x:c r="S2107" s="23" t="str">
        <x:v>masculino</x:v>
      </x:c>
      <x:c r="T2107" s="22" t="str"/>
      <x:c r="U2107" s="23" t="str">
        <x:v>KESLEY ANDRE LOPES</x:v>
      </x:c>
      <x:c r="V2107" s="22" t="str">
        <x:f>"377.350.798-42"</x:f>
        <x:v>377.350.798-42</x:v>
      </x:c>
      <x:c r="W2107" s="22" t="str">
        <x:f>"37735079842"</x:f>
        <x:v>37735079842</x:v>
      </x:c>
      <x:c r="X2107" s="23" t="str">
        <x:v>Kesleyandrelopes@gmail.com</x:v>
      </x:c>
      <x:c r="Y2107" s="22" t="str">
        <x:f>"11959632219"</x:f>
        <x:v>11959632219</x:v>
      </x:c>
      <x:c r="Z2107" s="30" t="n">
        <x:v>46294</x:v>
      </x:c>
    </x:row>
    <x:row r="2108" ht="18" customHeight="1">
      <x:c r="A2108" s="22" t="str">
        <x:f>"3e90138b-1f31-4f2b-b329-e5fa810c7362"</x:f>
        <x:v>3e90138b-1f31-4f2b-b329-e5fa810c7362</x:v>
      </x:c>
      <x:c r="B2108" s="23" t="str">
        <x:v>KESSER JUNIO DOS SANTOS</x:v>
      </x:c>
      <x:c r="C2108" s="23" t="str">
        <x:v>kesser junio dos santos</x:v>
      </x:c>
      <x:c r="D2108" s="22" t="str">
        <x:f>"55.686.840/0001-41"</x:f>
        <x:v>55.686.840/0001-41</x:v>
      </x:c>
      <x:c r="E2108" s="22" t="str">
        <x:f>"55686840000141"</x:f>
        <x:v>55686840000141</x:v>
      </x:c>
      <x:c r="F2108" s="22" t="str">
        <x:f>"019.879.046-56"</x:f>
        <x:v>019.879.046-56</x:v>
      </x:c>
      <x:c r="G2108" s="22" t="str">
        <x:f>"01987904656"</x:f>
        <x:v>01987904656</x:v>
      </x:c>
      <x:c r="H2108" s="23" t="str">
        <x:v>kesserjunio11@gmail.com</x:v>
      </x:c>
      <x:c r="I2108" s="22" t="str">
        <x:f>"34999716665"</x:f>
        <x:v>34999716665</x:v>
      </x:c>
      <x:c r="J2108" s="23" t="str">
        <x:v>SPOT</x:v>
      </x:c>
      <x:c r="K2108" s="23" t="str">
        <x:v>favored_only</x:v>
      </x:c>
      <x:c r="L2108" s="24" t="b">
        <x:v>1</x:v>
      </x:c>
      <x:c r="M2108" s="23" t="n">
        <x:v>1</x:v>
      </x:c>
      <x:c r="N2108" s="28" t="n">
        <x:v>46219.812988715275</x:v>
      </x:c>
      <x:c r="O2108" s="28" t="n">
        <x:v>46219.812988715275</x:v>
      </x:c>
      <x:c r="P2108" s="23" t="str">
        <x:v>PATOS DE MINAS</x:v>
      </x:c>
      <x:c r="Q2108" s="30" t="n">
        <x:v>34547</x:v>
      </x:c>
      <x:c r="R2108" s="22" t="str">
        <x:f>"MG 16925645"</x:f>
        <x:v>MG 16925645</x:v>
      </x:c>
      <x:c r="S2108" s="23" t="str">
        <x:v>masculino</x:v>
      </x:c>
      <x:c r="T2108" s="22" t="str">
        <x:f>"PWK9B31"</x:f>
        <x:v>PWK9B31</x:v>
      </x:c>
      <x:c r="U2108" s="23" t="str">
        <x:v>KESSER JUNIO DOS SANTOS</x:v>
      </x:c>
      <x:c r="V2108" s="22" t="str">
        <x:f>"019.879.046-56"</x:f>
        <x:v>019.879.046-56</x:v>
      </x:c>
      <x:c r="W2108" s="22" t="str">
        <x:f>"01987904656"</x:f>
        <x:v>01987904656</x:v>
      </x:c>
      <x:c r="X2108" s="23" t="str">
        <x:v>kesserjunio11@gmail.com</x:v>
      </x:c>
      <x:c r="Y2108" s="22" t="str">
        <x:f>"34999716665"</x:f>
        <x:v>34999716665</x:v>
      </x:c>
      <x:c r="Z2108" s="30" t="n">
        <x:v>46469</x:v>
      </x:c>
    </x:row>
    <x:row r="2109" ht="18" customHeight="1">
      <x:c r="A2109" s="22" t="str">
        <x:f>"d77ea672-4349-494b-8e6f-212a34fd2b06"</x:f>
        <x:v>d77ea672-4349-494b-8e6f-212a34fd2b06</x:v>
      </x:c>
      <x:c r="B2109" s="23" t="str">
        <x:v>ketellyn Lopes Avelar</x:v>
      </x:c>
      <x:c r="C2109" s="23" t="str">
        <x:v>ketellyn lopes avelar</x:v>
      </x:c>
      <x:c r="D2109" s="22" t="str">
        <x:f>"59.873.728/0001-70"</x:f>
        <x:v>59.873.728/0001-70</x:v>
      </x:c>
      <x:c r="E2109" s="22" t="str">
        <x:f>"59873728000170"</x:f>
        <x:v>59873728000170</x:v>
      </x:c>
      <x:c r="F2109" s="22" t="str">
        <x:f>"106.889.106-88"</x:f>
        <x:v>106.889.106-88</x:v>
      </x:c>
      <x:c r="G2109" s="22" t="str">
        <x:f>"10688910688"</x:f>
        <x:v>10688910688</x:v>
      </x:c>
      <x:c r="H2109" s="23" t="str">
        <x:v>ketellynlopes1@gmail.com</x:v>
      </x:c>
      <x:c r="I2109" s="22" t="str">
        <x:f>"31984557331"</x:f>
        <x:v>31984557331</x:v>
      </x:c>
      <x:c r="J2109" s="23" t="str">
        <x:v>SPOT</x:v>
      </x:c>
      <x:c r="K2109" s="23" t="str">
        <x:v>favored_only</x:v>
      </x:c>
      <x:c r="L2109" s="24" t="b">
        <x:v>1</x:v>
      </x:c>
      <x:c r="M2109" s="23" t="n">
        <x:v>1</x:v>
      </x:c>
      <x:c r="N2109" s="28" t="n">
        <x:v>46203.92184908565</x:v>
      </x:c>
      <x:c r="O2109" s="28" t="n">
        <x:v>46205.60513590278</x:v>
      </x:c>
      <x:c r="P2109" s="23" t="str">
        <x:v>CONTAGEM</x:v>
      </x:c>
      <x:c r="Q2109" s="30" t="n">
        <x:v>37228</x:v>
      </x:c>
      <x:c r="R2109" s="22" t="str">
        <x:f>"20361009"</x:f>
        <x:v>20361009</x:v>
      </x:c>
      <x:c r="S2109" s="23" t="str">
        <x:v>Feminino</x:v>
      </x:c>
      <x:c r="T2109" s="22" t="str">
        <x:f>"HNQ7222"</x:f>
        <x:v>HNQ7222</x:v>
      </x:c>
      <x:c r="U2109" s="23" t="str">
        <x:v>ketellyn Lopes Avelar</x:v>
      </x:c>
      <x:c r="V2109" s="22" t="str">
        <x:f>"10688910688"</x:f>
        <x:v>10688910688</x:v>
      </x:c>
      <x:c r="W2109" s="22" t="str">
        <x:f>"10688910688"</x:f>
        <x:v>10688910688</x:v>
      </x:c>
      <x:c r="X2109" s="23" t="str">
        <x:v>ketellynlopes1@gmail.com</x:v>
      </x:c>
      <x:c r="Y2109" s="22" t="str">
        <x:f>"31984557331"</x:f>
        <x:v>31984557331</x:v>
      </x:c>
      <x:c r="Z2109" s="30" t="n">
        <x:v>46228</x:v>
      </x:c>
    </x:row>
    <x:row r="2110" ht="18" customHeight="1">
      <x:c r="A2110" s="22" t="str">
        <x:f>"04146a2a-7e79-42bd-9855-dbb4838efab6"</x:f>
        <x:v>04146a2a-7e79-42bd-9855-dbb4838efab6</x:v>
      </x:c>
      <x:c r="B2110" s="23" t="str">
        <x:v>KEVEN APARECIDO LELES SOUZA SILVA</x:v>
      </x:c>
      <x:c r="C2110" s="23" t="str">
        <x:v>keven aparecido leles souza silva</x:v>
      </x:c>
      <x:c r="D2110" s="22" t="str">
        <x:f>"63.882.497/0001-39"</x:f>
        <x:v>63.882.497/0001-39</x:v>
      </x:c>
      <x:c r="E2110" s="22" t="str">
        <x:f>"63882497000139"</x:f>
        <x:v>63882497000139</x:v>
      </x:c>
      <x:c r="F2110" s="22" t="str">
        <x:f>"072.504.991-06"</x:f>
        <x:v>072.504.991-06</x:v>
      </x:c>
      <x:c r="G2110" s="22" t="str">
        <x:f>"07250499106"</x:f>
        <x:v>07250499106</x:v>
      </x:c>
      <x:c r="H2110" s="23" t="str">
        <x:v>Kevenap.ka@gmail.com</x:v>
      </x:c>
      <x:c r="I2110" s="22" t="str">
        <x:f>"55 67 9841-5820"</x:f>
        <x:v>55 67 9841-5820</x:v>
      </x:c>
      <x:c r="J2110" s="23" t="str">
        <x:v>SPOT</x:v>
      </x:c>
      <x:c r="K2110" s="23" t="str">
        <x:v>favored_only</x:v>
      </x:c>
      <x:c r="L2110" s="24" t="b">
        <x:v>1</x:v>
      </x:c>
      <x:c r="M2110" s="23" t="n">
        <x:v>1</x:v>
      </x:c>
      <x:c r="N2110" s="28" t="n">
        <x:v>46203.921904421295</x:v>
      </x:c>
      <x:c r="O2110" s="28" t="n">
        <x:v>46219.812988715275</x:v>
      </x:c>
      <x:c r="P2110" s="23" t="str">
        <x:v>CHAPADÃO DO SUL</x:v>
      </x:c>
      <x:c r="Q2110" s="30" t="n">
        <x:v>36345</x:v>
      </x:c>
      <x:c r="R2110" s="22" t="str">
        <x:f>"2295036"</x:f>
        <x:v>2295036</x:v>
      </x:c>
      <x:c r="S2110" s="23" t="str">
        <x:v>masculino</x:v>
      </x:c>
      <x:c r="T2110" s="22" t="str">
        <x:f>"QAW6J16"</x:f>
        <x:v>QAW6J16</x:v>
      </x:c>
      <x:c r="U2110" s="23" t="str">
        <x:v>KEVEN APARECIDO LELES SOUZA SILVA</x:v>
      </x:c>
      <x:c r="V2110" s="22" t="str">
        <x:f>"072.504.991-06"</x:f>
        <x:v>072.504.991-06</x:v>
      </x:c>
      <x:c r="W2110" s="22" t="str">
        <x:f>"07250499106"</x:f>
        <x:v>07250499106</x:v>
      </x:c>
      <x:c r="X2110" s="23" t="str">
        <x:v>Kevenap.ka@gmail.com</x:v>
      </x:c>
      <x:c r="Y2110" s="22" t="str">
        <x:f>"55 67 9841-5820"</x:f>
        <x:v>55 67 9841-5820</x:v>
      </x:c>
      <x:c r="Z2110" s="30" t="n">
        <x:v>46365</x:v>
      </x:c>
    </x:row>
    <x:row r="2111" ht="18" customHeight="1">
      <x:c r="A2111" s="22" t="str">
        <x:f>"6bc8ad17-7a87-4cc0-aca3-21eba67674a0"</x:f>
        <x:v>6bc8ad17-7a87-4cc0-aca3-21eba67674a0</x:v>
      </x:c>
      <x:c r="B2111" s="23" t="str">
        <x:v>KEVEN CESAR DA CUNHA</x:v>
      </x:c>
      <x:c r="C2111" s="23" t="str">
        <x:v>keven cesar da cunha</x:v>
      </x:c>
      <x:c r="D2111" s="22" t="str">
        <x:f>"60.736.583/0001-45"</x:f>
        <x:v>60.736.583/0001-45</x:v>
      </x:c>
      <x:c r="E2111" s="22" t="str">
        <x:f>"60736583000145"</x:f>
        <x:v>60736583000145</x:v>
      </x:c>
      <x:c r="F2111" s="22" t="str">
        <x:f>"133.444.006-90"</x:f>
        <x:v>133.444.006-90</x:v>
      </x:c>
      <x:c r="G2111" s="22" t="str">
        <x:f>"13344400690"</x:f>
        <x:v>13344400690</x:v>
      </x:c>
      <x:c r="H2111" s="23" t="str">
        <x:v>kevencesar1262@gmail.com</x:v>
      </x:c>
      <x:c r="I2111" s="22" t="str">
        <x:f>"31998265960"</x:f>
        <x:v>31998265960</x:v>
      </x:c>
      <x:c r="J2111" s="23" t="str">
        <x:v>SPOT</x:v>
      </x:c>
      <x:c r="K2111" s="23" t="str">
        <x:v>favored_only</x:v>
      </x:c>
      <x:c r="L2111" s="24" t="b">
        <x:v>1</x:v>
      </x:c>
      <x:c r="M2111" s="23" t="n">
        <x:v>1</x:v>
      </x:c>
      <x:c r="N2111" s="28" t="n">
        <x:v>46203.92186888889</x:v>
      </x:c>
      <x:c r="O2111" s="28" t="n">
        <x:v>46219.812988715275</x:v>
      </x:c>
      <x:c r="P2111" s="23" t="str">
        <x:v>CONTAGEM</x:v>
      </x:c>
      <x:c r="Q2111" s="30" t="n">
        <x:v>35814</x:v>
      </x:c>
      <x:c r="R2111" s="22" t="str">
        <x:f>"19603056"</x:f>
        <x:v>19603056</x:v>
      </x:c>
      <x:c r="S2111" s="23" t="str">
        <x:v>masculino</x:v>
      </x:c>
      <x:c r="T2111" s="22" t="str">
        <x:f>"OZF2G07"</x:f>
        <x:v>OZF2G07</x:v>
      </x:c>
      <x:c r="U2111" s="23" t="str">
        <x:v>KEVEN CESAR DA CUNHA</x:v>
      </x:c>
      <x:c r="V2111" s="22" t="str">
        <x:f>"133.444.006-90"</x:f>
        <x:v>133.444.006-90</x:v>
      </x:c>
      <x:c r="W2111" s="22" t="str">
        <x:f>"13344400690"</x:f>
        <x:v>13344400690</x:v>
      </x:c>
      <x:c r="X2111" s="23" t="str">
        <x:v>kevencesar1262@gmail.com</x:v>
      </x:c>
      <x:c r="Y2111" s="22" t="str">
        <x:f>"31998265960"</x:f>
        <x:v>31998265960</x:v>
      </x:c>
      <x:c r="Z2111" s="30" t="n">
        <x:v>46291</x:v>
      </x:c>
    </x:row>
    <x:row r="2112" ht="18" customHeight="1">
      <x:c r="A2112" s="22" t="str">
        <x:f>"1db2f605-df40-4da5-9d15-6bc3d401e4d9"</x:f>
        <x:v>1db2f605-df40-4da5-9d15-6bc3d401e4d9</x:v>
      </x:c>
      <x:c r="B2112" s="23" t="str">
        <x:v>KEVIN FRANK CAVERNAGHI</x:v>
      </x:c>
      <x:c r="C2112" s="23" t="str">
        <x:v>kevin frank cavernaghi</x:v>
      </x:c>
      <x:c r="D2112" s="22" t="str">
        <x:f>"60.519.872/0001-92"</x:f>
        <x:v>60.519.872/0001-92</x:v>
      </x:c>
      <x:c r="E2112" s="22" t="str">
        <x:f>"60519872000192"</x:f>
        <x:v>60519872000192</x:v>
      </x:c>
      <x:c r="F2112" s="22" t="str">
        <x:f>"095.920.816-03"</x:f>
        <x:v>095.920.816-03</x:v>
      </x:c>
      <x:c r="G2112" s="22" t="str">
        <x:f>"09592081603"</x:f>
        <x:v>09592081603</x:v>
      </x:c>
      <x:c r="H2112" s="23" t="str">
        <x:v>kevincavernaghi00@gmail.com</x:v>
      </x:c>
      <x:c r="I2112" s="22" t="str">
        <x:f>"34 996669691"</x:f>
        <x:v>34 996669691</x:v>
      </x:c>
      <x:c r="J2112" s="23" t="str">
        <x:v>RENTAL</x:v>
      </x:c>
      <x:c r="K2112" s="23" t="str">
        <x:v>rental_company</x:v>
      </x:c>
      <x:c r="L2112" s="24" t="b">
        <x:v>1</x:v>
      </x:c>
      <x:c r="M2112" s="23" t="n">
        <x:v>1</x:v>
      </x:c>
      <x:c r="N2112" s="28" t="n">
        <x:v>46219.812988715275</x:v>
      </x:c>
      <x:c r="O2112" s="28" t="n">
        <x:v>46219.812988715275</x:v>
      </x:c>
      <x:c r="P2112" s="23" t="str">
        <x:v>UBERLANDIA</x:v>
      </x:c>
      <x:c r="Q2112" s="30" t="n">
        <x:v>34543</x:v>
      </x:c>
      <x:c r="R2112" s="22" t="str">
        <x:f>"16256319"</x:f>
        <x:v>16256319</x:v>
      </x:c>
      <x:c r="S2112" s="23" t="str">
        <x:v>masculino</x:v>
      </x:c>
      <x:c r="T2112" s="22" t="str"/>
      <x:c r="U2112" s="23" t="str">
        <x:v>KEVIN FRANK CAVERNAGHI</x:v>
      </x:c>
      <x:c r="V2112" s="22" t="str">
        <x:f>"095.920.816-03"</x:f>
        <x:v>095.920.816-03</x:v>
      </x:c>
      <x:c r="W2112" s="22" t="str">
        <x:f>"09592081603"</x:f>
        <x:v>09592081603</x:v>
      </x:c>
      <x:c r="X2112" s="23" t="str">
        <x:v>kevincavernaghi00@gmail.com</x:v>
      </x:c>
      <x:c r="Y2112" s="22" t="str">
        <x:f>"34 996669691"</x:f>
        <x:v>34 996669691</x:v>
      </x:c>
      <x:c r="Z2112" s="30" t="n">
        <x:v>46483</x:v>
      </x:c>
    </x:row>
    <x:row r="2113" ht="18" customHeight="1">
      <x:c r="A2113" s="22" t="str">
        <x:f>"79e0061a-583c-4392-af17-b47bc6d5746f"</x:f>
        <x:v>79e0061a-583c-4392-af17-b47bc6d5746f</x:v>
      </x:c>
      <x:c r="B2113" s="23" t="str">
        <x:v>KEVIN NIZIO FUNKE</x:v>
      </x:c>
      <x:c r="C2113" s="23" t="str">
        <x:v>kevin nizio funke</x:v>
      </x:c>
      <x:c r="D2113" s="22" t="str">
        <x:f>"49.493.865/0001-26"</x:f>
        <x:v>49.493.865/0001-26</x:v>
      </x:c>
      <x:c r="E2113" s="22" t="str">
        <x:f>"49493865000126"</x:f>
        <x:v>49493865000126</x:v>
      </x:c>
      <x:c r="F2113" s="22" t="str">
        <x:f>"707.049.231-65"</x:f>
        <x:v>707.049.231-65</x:v>
      </x:c>
      <x:c r="G2113" s="22" t="str">
        <x:f>"70704923165"</x:f>
        <x:v>70704923165</x:v>
      </x:c>
      <x:c r="H2113" s="23" t="str">
        <x:v>kevinets2014@gmail.com</x:v>
      </x:c>
      <x:c r="I2113" s="22" t="str">
        <x:f>"61991159700"</x:f>
        <x:v>61991159700</x:v>
      </x:c>
      <x:c r="J2113" s="23" t="str">
        <x:v>RENTAL</x:v>
      </x:c>
      <x:c r="K2113" s="23" t="str">
        <x:v>rental_company</x:v>
      </x:c>
      <x:c r="L2113" s="24" t="b">
        <x:v>1</x:v>
      </x:c>
      <x:c r="M2113" s="23" t="n">
        <x:v>1</x:v>
      </x:c>
      <x:c r="N2113" s="28" t="n">
        <x:v>46219.812988715275</x:v>
      </x:c>
      <x:c r="O2113" s="28" t="n">
        <x:v>46219.812988715275</x:v>
      </x:c>
      <x:c r="P2113" s="23" t="str">
        <x:v>GOIANIA</x:v>
      </x:c>
      <x:c r="Q2113" s="30" t="n">
        <x:v>37170</x:v>
      </x:c>
      <x:c r="R2113" s="22" t="str">
        <x:f>"6648007"</x:f>
        <x:v>6648007</x:v>
      </x:c>
      <x:c r="S2113" s="23" t="str">
        <x:v>masculino</x:v>
      </x:c>
      <x:c r="T2113" s="22" t="str"/>
      <x:c r="U2113" s="23" t="str">
        <x:v>KEVIN NIZIO FUNKE</x:v>
      </x:c>
      <x:c r="V2113" s="22" t="str">
        <x:f>"707.049.231-65"</x:f>
        <x:v>707.049.231-65</x:v>
      </x:c>
      <x:c r="W2113" s="22" t="str">
        <x:f>"70704923165"</x:f>
        <x:v>70704923165</x:v>
      </x:c>
      <x:c r="X2113" s="23" t="str">
        <x:v>kevinets2014@gmail.com</x:v>
      </x:c>
      <x:c r="Y2113" s="22" t="str">
        <x:f>"61991159700"</x:f>
        <x:v>61991159700</x:v>
      </x:c>
      <x:c r="Z2113" s="30" t="n">
        <x:v>46571</x:v>
      </x:c>
    </x:row>
    <x:row r="2114" ht="18" customHeight="1">
      <x:c r="A2114" s="22" t="str">
        <x:f>"63b1b43a-d7fe-46b3-a17f-211340beecc2"</x:f>
        <x:v>63b1b43a-d7fe-46b3-a17f-211340beecc2</x:v>
      </x:c>
      <x:c r="B2114" s="23" t="str">
        <x:v>KEVIN WALLISON DOS SANTOS</x:v>
      </x:c>
      <x:c r="C2114" s="23" t="str">
        <x:v>kevin wallison dos santos</x:v>
      </x:c>
      <x:c r="D2114" s="22" t="str">
        <x:f>"64.720.489/0001-59"</x:f>
        <x:v>64.720.489/0001-59</x:v>
      </x:c>
      <x:c r="E2114" s="22" t="str">
        <x:f>"64720489000159"</x:f>
        <x:v>64720489000159</x:v>
      </x:c>
      <x:c r="F2114" s="22" t="str">
        <x:f>"124.983.586-09"</x:f>
        <x:v>124.983.586-09</x:v>
      </x:c>
      <x:c r="G2114" s="22" t="str">
        <x:f>"12498358609"</x:f>
        <x:v>12498358609</x:v>
      </x:c>
      <x:c r="H2114" s="23" t="str">
        <x:v>kevin-wallison@hotmail.com</x:v>
      </x:c>
      <x:c r="I2114" s="22" t="str">
        <x:f>"31986915760"</x:f>
        <x:v>31986915760</x:v>
      </x:c>
      <x:c r="J2114" s="23" t="str">
        <x:v>DESCONHECIDO</x:v>
      </x:c>
      <x:c r="K2114" s="23" t="str">
        <x:v>favored_only</x:v>
      </x:c>
      <x:c r="L2114" s="24" t="b">
        <x:v>1</x:v>
      </x:c>
      <x:c r="M2114" s="23" t="n">
        <x:v>1</x:v>
      </x:c>
      <x:c r="N2114" s="28" t="n">
        <x:v>46219.812988715275</x:v>
      </x:c>
      <x:c r="O2114" s="28" t="n">
        <x:v>46219.812988715275</x:v>
      </x:c>
      <x:c r="P2114" s="23" t="str">
        <x:v>VESPASIANO</x:v>
      </x:c>
      <x:c r="Q2114" s="30" t="str"/>
      <x:c r="R2114" s="22" t="str">
        <x:f>"RG: MG16.481.183"</x:f>
        <x:v>RG: MG16.481.183</x:v>
      </x:c>
      <x:c r="S2114" s="23" t="str">
        <x:v>masculino</x:v>
      </x:c>
      <x:c r="T2114" s="22" t="str">
        <x:f>"GIY0B71"</x:f>
        <x:v>GIY0B71</x:v>
      </x:c>
      <x:c r="U2114" s="23" t="str">
        <x:v>KEVIN WALLISON DOS SANTOS</x:v>
      </x:c>
      <x:c r="V2114" s="22" t="str">
        <x:f>"124.983.586-09"</x:f>
        <x:v>124.983.586-09</x:v>
      </x:c>
      <x:c r="W2114" s="22" t="str">
        <x:f>"12498358609"</x:f>
        <x:v>12498358609</x:v>
      </x:c>
      <x:c r="X2114" s="23" t="str">
        <x:v>kevin-wallison@hotmail.com</x:v>
      </x:c>
      <x:c r="Y2114" s="22" t="str">
        <x:f>"31986915760"</x:f>
        <x:v>31986915760</x:v>
      </x:c>
      <x:c r="Z2114" s="30" t="n">
        <x:v>46424</x:v>
      </x:c>
    </x:row>
    <x:row r="2115" ht="18" customHeight="1">
      <x:c r="A2115" s="22" t="str">
        <x:f>"66be9f91-21b9-4212-827a-c0155e8f58a3"</x:f>
        <x:v>66be9f91-21b9-4212-827a-c0155e8f58a3</x:v>
      </x:c>
      <x:c r="B2115" s="23" t="str">
        <x:v>KILLDHERR RONAN DE OLIVEIRA FERREIRA</x:v>
      </x:c>
      <x:c r="C2115" s="23" t="str">
        <x:v>killdherr ronan de oliveira ferreira</x:v>
      </x:c>
      <x:c r="D2115" s="22" t="str">
        <x:f>"48.353.905/0001-71"</x:f>
        <x:v>48.353.905/0001-71</x:v>
      </x:c>
      <x:c r="E2115" s="22" t="str">
        <x:f>"48353905000171"</x:f>
        <x:v>48353905000171</x:v>
      </x:c>
      <x:c r="F2115" s="22" t="str">
        <x:f>"023.271.586-64"</x:f>
        <x:v>023.271.586-64</x:v>
      </x:c>
      <x:c r="G2115" s="22" t="str">
        <x:f>"02327158664"</x:f>
        <x:v>02327158664</x:v>
      </x:c>
      <x:c r="H2115" s="23" t="str">
        <x:v>killdherr@gmail.com</x:v>
      </x:c>
      <x:c r="I2115" s="22" t="str">
        <x:f>"31 995517754"</x:f>
        <x:v>31 995517754</x:v>
      </x:c>
      <x:c r="J2115" s="23" t="str">
        <x:v>SPOT</x:v>
      </x:c>
      <x:c r="K2115" s="23" t="str">
        <x:v>favored_only</x:v>
      </x:c>
      <x:c r="L2115" s="24" t="b">
        <x:v>1</x:v>
      </x:c>
      <x:c r="M2115" s="23" t="n">
        <x:v>1</x:v>
      </x:c>
      <x:c r="N2115" s="28" t="n">
        <x:v>46203.92191240741</x:v>
      </x:c>
      <x:c r="O2115" s="28" t="n">
        <x:v>46205.60886199074</x:v>
      </x:c>
      <x:c r="P2115" s="23" t="str">
        <x:v>VESPASIANO</x:v>
      </x:c>
      <x:c r="Q2115" s="30" t="n">
        <x:v>35789</x:v>
      </x:c>
      <x:c r="R2115" s="22" t="str">
        <x:f>"mg20866624"</x:f>
        <x:v>mg20866624</x:v>
      </x:c>
      <x:c r="S2115" s="23" t="str">
        <x:v>Masculino</x:v>
      </x:c>
      <x:c r="T2115" s="22" t="str">
        <x:f>"KRG4A97"</x:f>
        <x:v>KRG4A97</x:v>
      </x:c>
      <x:c r="U2115" s="23" t="str">
        <x:v>Killdherr ronan de Oliveira Ferreira</x:v>
      </x:c>
      <x:c r="V2115" s="22" t="str">
        <x:f>"02327158664"</x:f>
        <x:v>02327158664</x:v>
      </x:c>
      <x:c r="W2115" s="22" t="str">
        <x:f>"02327158664"</x:f>
        <x:v>02327158664</x:v>
      </x:c>
      <x:c r="X2115" s="23" t="str">
        <x:v>killdherr@gmail.com</x:v>
      </x:c>
      <x:c r="Y2115" s="22" t="str">
        <x:f>"31 995517754"</x:f>
        <x:v>31 995517754</x:v>
      </x:c>
      <x:c r="Z2115" s="30" t="n">
        <x:v>46201</x:v>
      </x:c>
    </x:row>
    <x:row r="2116" ht="18" customHeight="1">
      <x:c r="A2116" s="22" t="str">
        <x:f>"aad41e3b-ce7d-4c88-b960-ce1ee5064448"</x:f>
        <x:v>aad41e3b-ce7d-4c88-b960-ce1ee5064448</x:v>
      </x:c>
      <x:c r="B2116" s="23" t="str">
        <x:v>KLEBER DO NASCIMENTO JUNIOR</x:v>
      </x:c>
      <x:c r="C2116" s="23" t="str">
        <x:v>kleber do nascimento junior</x:v>
      </x:c>
      <x:c r="D2116" s="22" t="str">
        <x:f>"60.791.883/0001-27"</x:f>
        <x:v>60.791.883/0001-27</x:v>
      </x:c>
      <x:c r="E2116" s="22" t="str">
        <x:f>"60791883000127"</x:f>
        <x:v>60791883000127</x:v>
      </x:c>
      <x:c r="F2116" s="22" t="str">
        <x:f>"098.617.157-38"</x:f>
        <x:v>098.617.157-38</x:v>
      </x:c>
      <x:c r="G2116" s="22" t="str">
        <x:f>"09861715738"</x:f>
        <x:v>09861715738</x:v>
      </x:c>
      <x:c r="H2116" s="23" t="str">
        <x:v>Knjdeluna@gmail.com</x:v>
      </x:c>
      <x:c r="I2116" s="22" t="str">
        <x:f>"21995629163"</x:f>
        <x:v>21995629163</x:v>
      </x:c>
      <x:c r="J2116" s="23" t="str">
        <x:v>SPOT</x:v>
      </x:c>
      <x:c r="K2116" s="23" t="str">
        <x:v>favored_only</x:v>
      </x:c>
      <x:c r="L2116" s="24" t="b">
        <x:v>1</x:v>
      </x:c>
      <x:c r="M2116" s="23" t="n">
        <x:v>1</x:v>
      </x:c>
      <x:c r="N2116" s="28" t="n">
        <x:v>46203.92191240741</x:v>
      </x:c>
      <x:c r="O2116" s="28" t="n">
        <x:v>46219.812988715275</x:v>
      </x:c>
      <x:c r="P2116" s="23" t="str">
        <x:v>CORDOVIL</x:v>
      </x:c>
      <x:c r="Q2116" s="30" t="n">
        <x:v>31048</x:v>
      </x:c>
      <x:c r="R2116" s="22" t="str">
        <x:f>"200148070"</x:f>
        <x:v>200148070</x:v>
      </x:c>
      <x:c r="S2116" s="23" t="str">
        <x:v>masculino</x:v>
      </x:c>
      <x:c r="T2116" s="22" t="str">
        <x:f>"KPA6E55"</x:f>
        <x:v>KPA6E55</x:v>
      </x:c>
      <x:c r="U2116" s="23" t="str">
        <x:v>KLEBER DO NASCIMENTO JUNIOR</x:v>
      </x:c>
      <x:c r="V2116" s="22" t="str">
        <x:f>"098.617.157-38"</x:f>
        <x:v>098.617.157-38</x:v>
      </x:c>
      <x:c r="W2116" s="22" t="str">
        <x:f>"09861715738"</x:f>
        <x:v>09861715738</x:v>
      </x:c>
      <x:c r="X2116" s="23" t="str">
        <x:v>Knjdeluna@gmail.com</x:v>
      </x:c>
      <x:c r="Y2116" s="22" t="str">
        <x:f>"21995629163"</x:f>
        <x:v>21995629163</x:v>
      </x:c>
      <x:c r="Z2116" s="30" t="n">
        <x:v>46395</x:v>
      </x:c>
    </x:row>
    <x:row r="2117" ht="18" customHeight="1">
      <x:c r="A2117" s="22" t="str">
        <x:f>"36c88c3d-d629-40a1-b9cd-522087e969fb"</x:f>
        <x:v>36c88c3d-d629-40a1-b9cd-522087e969fb</x:v>
      </x:c>
      <x:c r="B2117" s="23" t="str">
        <x:v>KLEBER JUNIO LOUBET OKUMI</x:v>
      </x:c>
      <x:c r="C2117" s="23" t="str">
        <x:v>kleber junio loubet okumi</x:v>
      </x:c>
      <x:c r="D2117" s="22" t="str">
        <x:f>"49.055.349/0001-10"</x:f>
        <x:v>49.055.349/0001-10</x:v>
      </x:c>
      <x:c r="E2117" s="22" t="str">
        <x:f>"49055349000110"</x:f>
        <x:v>49055349000110</x:v>
      </x:c>
      <x:c r="F2117" s="22" t="str">
        <x:f>"451.096.598-26"</x:f>
        <x:v>451.096.598-26</x:v>
      </x:c>
      <x:c r="G2117" s="22" t="str">
        <x:f>"45109659826"</x:f>
        <x:v>45109659826</x:v>
      </x:c>
      <x:c r="H2117" s="23" t="str">
        <x:v>Kleber.junior.okumi@gmail.com</x:v>
      </x:c>
      <x:c r="I2117" s="22" t="str">
        <x:f>"11933961997"</x:f>
        <x:v>11933961997</x:v>
      </x:c>
      <x:c r="J2117" s="23" t="str">
        <x:v>SPOT</x:v>
      </x:c>
      <x:c r="K2117" s="23" t="str">
        <x:v>favored_only</x:v>
      </x:c>
      <x:c r="L2117" s="24" t="b">
        <x:v>1</x:v>
      </x:c>
      <x:c r="M2117" s="23" t="n">
        <x:v>1</x:v>
      </x:c>
      <x:c r="N2117" s="28" t="n">
        <x:v>46219.812988715275</x:v>
      </x:c>
      <x:c r="O2117" s="28" t="n">
        <x:v>46219.812988715275</x:v>
      </x:c>
      <x:c r="P2117" s="23" t="str">
        <x:v>JALES</x:v>
      </x:c>
      <x:c r="Q2117" s="30" t="n">
        <x:v>35713</x:v>
      </x:c>
      <x:c r="R2117" s="22" t="str">
        <x:f>"56157821"</x:f>
        <x:v>56157821</x:v>
      </x:c>
      <x:c r="S2117" s="23" t="str">
        <x:v>masculino</x:v>
      </x:c>
      <x:c r="T2117" s="22" t="str">
        <x:f>"FLT7063"</x:f>
        <x:v>FLT7063</x:v>
      </x:c>
      <x:c r="U2117" s="23" t="str">
        <x:v>KLEBER JUNIO LOUBET OKUMI</x:v>
      </x:c>
      <x:c r="V2117" s="22" t="str">
        <x:f>"451.096.598-26"</x:f>
        <x:v>451.096.598-26</x:v>
      </x:c>
      <x:c r="W2117" s="22" t="str">
        <x:f>"45109659826"</x:f>
        <x:v>45109659826</x:v>
      </x:c>
      <x:c r="X2117" s="23" t="str">
        <x:v>Kleber.junior.okumi@gmail.com</x:v>
      </x:c>
      <x:c r="Y2117" s="22" t="str">
        <x:f>"11933961997"</x:f>
        <x:v>11933961997</x:v>
      </x:c>
      <x:c r="Z2117" s="30" t="n">
        <x:v>46514</x:v>
      </x:c>
    </x:row>
    <x:row r="2118" ht="18" customHeight="1">
      <x:c r="A2118" s="22" t="str">
        <x:f>"77032d96-7a75-42b1-8e42-8e7a5f457cf5"</x:f>
        <x:v>77032d96-7a75-42b1-8e42-8e7a5f457cf5</x:v>
      </x:c>
      <x:c r="B2118" s="23" t="str">
        <x:v>KLEBER RAMOS BANDEIRA</x:v>
      </x:c>
      <x:c r="C2118" s="23" t="str">
        <x:v>kleber ramos bandeira</x:v>
      </x:c>
      <x:c r="D2118" s="22" t="str">
        <x:f>"58.073.285/0001-70"</x:f>
        <x:v>58.073.285/0001-70</x:v>
      </x:c>
      <x:c r="E2118" s="22" t="str">
        <x:f>"58073285000170"</x:f>
        <x:v>58073285000170</x:v>
      </x:c>
      <x:c r="F2118" s="22" t="str">
        <x:f>"404.163.268-46"</x:f>
        <x:v>404.163.268-46</x:v>
      </x:c>
      <x:c r="G2118" s="22" t="str">
        <x:f>"40416326846"</x:f>
        <x:v>40416326846</x:v>
      </x:c>
      <x:c r="H2118" s="23" t="str">
        <x:v>kramosbandeira@gmail.com</x:v>
      </x:c>
      <x:c r="I2118" s="22" t="str">
        <x:f>"11 97660-0784"</x:f>
        <x:v>11 97660-0784</x:v>
      </x:c>
      <x:c r="J2118" s="23" t="str">
        <x:v>RENTAL</x:v>
      </x:c>
      <x:c r="K2118" s="23" t="str">
        <x:v>rental_company</x:v>
      </x:c>
      <x:c r="L2118" s="24" t="b">
        <x:v>1</x:v>
      </x:c>
      <x:c r="M2118" s="23" t="n">
        <x:v>1</x:v>
      </x:c>
      <x:c r="N2118" s="28" t="n">
        <x:v>46219.812988715275</x:v>
      </x:c>
      <x:c r="O2118" s="28" t="n">
        <x:v>46219.812988715275</x:v>
      </x:c>
      <x:c r="P2118" s="23" t="str">
        <x:v>BARUERI</x:v>
      </x:c>
      <x:c r="Q2118" s="30" t="n">
        <x:v>33605</x:v>
      </x:c>
      <x:c r="R2118" s="22" t="str">
        <x:f>"35979476"</x:f>
        <x:v>35979476</x:v>
      </x:c>
      <x:c r="S2118" s="23" t="str">
        <x:v>masculino</x:v>
      </x:c>
      <x:c r="T2118" s="22" t="str"/>
      <x:c r="U2118" s="23" t="str">
        <x:v>KLEBER RAMOS BANDEIRA</x:v>
      </x:c>
      <x:c r="V2118" s="22" t="str">
        <x:f>"404.163.268-46"</x:f>
        <x:v>404.163.268-46</x:v>
      </x:c>
      <x:c r="W2118" s="22" t="str">
        <x:f>"40416326846"</x:f>
        <x:v>40416326846</x:v>
      </x:c>
      <x:c r="X2118" s="23" t="str">
        <x:v>kramosbandeira@gmail.com</x:v>
      </x:c>
      <x:c r="Y2118" s="22" t="str">
        <x:f>"11 97660-0784"</x:f>
        <x:v>11 97660-0784</x:v>
      </x:c>
      <x:c r="Z2118" s="30" t="n">
        <x:v>46372</x:v>
      </x:c>
    </x:row>
    <x:row r="2119" ht="18" customHeight="1">
      <x:c r="A2119" s="22" t="str">
        <x:f>"ab7ca907-2dcf-4e13-ae23-d01bf0c8d3cd"</x:f>
        <x:v>ab7ca907-2dcf-4e13-ae23-d01bf0c8d3cd</x:v>
      </x:c>
      <x:c r="B2119" s="23" t="str">
        <x:v>KLEBER RIBEIRO</x:v>
      </x:c>
      <x:c r="C2119" s="23" t="str">
        <x:v>kleber ribeiro</x:v>
      </x:c>
      <x:c r="D2119" s="22" t="str">
        <x:f>"66.422.274/0001-87"</x:f>
        <x:v>66.422.274/0001-87</x:v>
      </x:c>
      <x:c r="E2119" s="22" t="str">
        <x:f>"66422274000187"</x:f>
        <x:v>66422274000187</x:v>
      </x:c>
      <x:c r="F2119" s="22" t="str">
        <x:f>"396.630.908-47"</x:f>
        <x:v>396.630.908-47</x:v>
      </x:c>
      <x:c r="G2119" s="22" t="str">
        <x:f>"39663090847"</x:f>
        <x:v>39663090847</x:v>
      </x:c>
      <x:c r="H2119" s="23" t="str">
        <x:v>Kleberribeiro488@gmail.com</x:v>
      </x:c>
      <x:c r="I2119" s="22" t="str">
        <x:f>"16997904679"</x:f>
        <x:v>16997904679</x:v>
      </x:c>
      <x:c r="J2119" s="23" t="str">
        <x:v>SPOT</x:v>
      </x:c>
      <x:c r="K2119" s="23" t="str">
        <x:v>favored_only</x:v>
      </x:c>
      <x:c r="L2119" s="24" t="b">
        <x:v>1</x:v>
      </x:c>
      <x:c r="M2119" s="23" t="n">
        <x:v>1</x:v>
      </x:c>
      <x:c r="N2119" s="28" t="n">
        <x:v>46219.812988715275</x:v>
      </x:c>
      <x:c r="O2119" s="28" t="n">
        <x:v>46219.812988715275</x:v>
      </x:c>
      <x:c r="P2119" s="23" t="str">
        <x:v>SÃO CARLOS</x:v>
      </x:c>
      <x:c r="Q2119" s="30" t="n">
        <x:v>34092</x:v>
      </x:c>
      <x:c r="R2119" s="22" t="str">
        <x:f>"488562752"</x:f>
        <x:v>488562752</x:v>
      </x:c>
      <x:c r="S2119" s="23" t="str">
        <x:v>masculino</x:v>
      </x:c>
      <x:c r="T2119" s="22" t="str">
        <x:f>"FIZ4591"</x:f>
        <x:v>FIZ4591</x:v>
      </x:c>
      <x:c r="U2119" s="23" t="str">
        <x:v>OTAVIO DOS SANTOS SENA</x:v>
      </x:c>
      <x:c r="V2119" s="22" t="str">
        <x:f>"549.137.268-46"</x:f>
        <x:v>549.137.268-46</x:v>
      </x:c>
      <x:c r="W2119" s="22" t="str">
        <x:f>"54913726846"</x:f>
        <x:v>54913726846</x:v>
      </x:c>
      <x:c r="X2119" s="23" t="str">
        <x:v>Otaviosava23@icloud.com</x:v>
      </x:c>
      <x:c r="Y2119" s="22" t="str">
        <x:f>"16996084059"</x:f>
        <x:v>16996084059</x:v>
      </x:c>
      <x:c r="Z2119" s="30" t="n">
        <x:v>46520</x:v>
      </x:c>
    </x:row>
    <x:row r="2120" ht="18" customHeight="1">
      <x:c r="A2120" s="22" t="str">
        <x:f>"41688f4b-2390-490b-b7dc-0fb09397918f"</x:f>
        <x:v>41688f4b-2390-490b-b7dc-0fb09397918f</x:v>
      </x:c>
      <x:c r="B2120" s="23" t="str">
        <x:v>KLEISER JOSE ARAUJO</x:v>
      </x:c>
      <x:c r="C2120" s="23" t="str">
        <x:v>kleiser jose araujo</x:v>
      </x:c>
      <x:c r="D2120" s="22" t="str">
        <x:f>"38.226.032/0001-82"</x:f>
        <x:v>38.226.032/0001-82</x:v>
      </x:c>
      <x:c r="E2120" s="22" t="str">
        <x:f>"38226032000182"</x:f>
        <x:v>38226032000182</x:v>
      </x:c>
      <x:c r="F2120" s="22" t="str">
        <x:f>"097.608.156-30"</x:f>
        <x:v>097.608.156-30</x:v>
      </x:c>
      <x:c r="G2120" s="22" t="str">
        <x:f>"09760815630"</x:f>
        <x:v>09760815630</x:v>
      </x:c>
      <x:c r="H2120" s="23" t="str">
        <x:v>KLEISER.DESENHA@OUTLOOK.COM</x:v>
      </x:c>
      <x:c r="I2120" s="22" t="str">
        <x:f>"35 991730019"</x:f>
        <x:v>35 991730019</x:v>
      </x:c>
      <x:c r="J2120" s="23" t="str">
        <x:v>SPOT</x:v>
      </x:c>
      <x:c r="K2120" s="23" t="str">
        <x:v>favored_only</x:v>
      </x:c>
      <x:c r="L2120" s="24" t="b">
        <x:v>1</x:v>
      </x:c>
      <x:c r="M2120" s="23" t="n">
        <x:v>2</x:v>
      </x:c>
      <x:c r="N2120" s="28" t="n">
        <x:v>46203.921824756944</x:v>
      </x:c>
      <x:c r="O2120" s="28" t="n">
        <x:v>46220.50398740741</x:v>
      </x:c>
      <x:c r="P2120" s="23" t="str">
        <x:v>GUAXUPE</x:v>
      </x:c>
      <x:c r="Q2120" s="30" t="str"/>
      <x:c r="R2120" s="22" t="str"/>
      <x:c r="S2120" s="23" t="str"/>
      <x:c r="T2120" s="22" t="str"/>
      <x:c r="U2120" s="23" t="str">
        <x:v>KLEISER JOSE ARAUJO</x:v>
      </x:c>
      <x:c r="V2120" s="22" t="str">
        <x:f>"09760815630"</x:f>
        <x:v>09760815630</x:v>
      </x:c>
      <x:c r="W2120" s="22" t="str">
        <x:f>"09760815630"</x:f>
        <x:v>09760815630</x:v>
      </x:c>
      <x:c r="X2120" s="23" t="str">
        <x:v>savanastore19@outlook.com</x:v>
      </x:c>
      <x:c r="Y2120" s="22" t="str">
        <x:f>"35 9173-0019"</x:f>
        <x:v>35 9173-0019</x:v>
      </x:c>
      <x:c r="Z2120" s="30" t="str"/>
    </x:row>
    <x:row r="2121" ht="18" customHeight="1">
      <x:c r="A2121" s="22" t="str">
        <x:f>"cb8cf36f-3d43-4b4e-a94a-81f29f274400"</x:f>
        <x:v>cb8cf36f-3d43-4b4e-a94a-81f29f274400</x:v>
      </x:c>
      <x:c r="B2121" s="23" t="str">
        <x:v>KLEITON CARDOSO PEREIRA</x:v>
      </x:c>
      <x:c r="C2121" s="23" t="str">
        <x:v>kleiton cardoso pereira</x:v>
      </x:c>
      <x:c r="D2121" s="22" t="str">
        <x:f>"37.823.997/0001-90"</x:f>
        <x:v>37.823.997/0001-90</x:v>
      </x:c>
      <x:c r="E2121" s="22" t="str">
        <x:f>"37823997000190"</x:f>
        <x:v>37823997000190</x:v>
      </x:c>
      <x:c r="F2121" s="22" t="str">
        <x:f>"020.691.421-08"</x:f>
        <x:v>020.691.421-08</x:v>
      </x:c>
      <x:c r="G2121" s="22" t="str">
        <x:f>"02069142108"</x:f>
        <x:v>02069142108</x:v>
      </x:c>
      <x:c r="H2121" s="23" t="str">
        <x:v>kleiton28021988@gmail.com</x:v>
      </x:c>
      <x:c r="I2121" s="22" t="str">
        <x:f>"62985723727"</x:f>
        <x:v>62985723727</x:v>
      </x:c>
      <x:c r="J2121" s="23" t="str">
        <x:v>SPOT</x:v>
      </x:c>
      <x:c r="K2121" s="23" t="str">
        <x:v>favored_only</x:v>
      </x:c>
      <x:c r="L2121" s="24" t="b">
        <x:v>1</x:v>
      </x:c>
      <x:c r="M2121" s="23" t="n">
        <x:v>1</x:v>
      </x:c>
      <x:c r="N2121" s="28" t="n">
        <x:v>46205.60191715278</x:v>
      </x:c>
      <x:c r="O2121" s="28" t="n">
        <x:v>46219.812988715275</x:v>
      </x:c>
      <x:c r="P2121" s="23" t="str">
        <x:v>GOIANIA</x:v>
      </x:c>
      <x:c r="Q2121" s="30" t="n">
        <x:v>32201</x:v>
      </x:c>
      <x:c r="R2121" s="22" t="str">
        <x:f>"4992729"</x:f>
        <x:v>4992729</x:v>
      </x:c>
      <x:c r="S2121" s="23" t="str">
        <x:v>masculino</x:v>
      </x:c>
      <x:c r="T2121" s="22" t="str">
        <x:f>"NFK0H68"</x:f>
        <x:v>NFK0H68</x:v>
      </x:c>
      <x:c r="U2121" s="23" t="str">
        <x:v>DANILLO BACIEL ALMEIDA</x:v>
      </x:c>
      <x:c r="V2121" s="22" t="str">
        <x:f>"962.005.291-91"</x:f>
        <x:v>962.005.291-91</x:v>
      </x:c>
      <x:c r="W2121" s="22" t="str">
        <x:f>"96200529191"</x:f>
        <x:v>96200529191</x:v>
      </x:c>
      <x:c r="X2121" s="23" t="str">
        <x:v>rpt.cargas@gmail.com</x:v>
      </x:c>
      <x:c r="Y2121" s="22" t="str">
        <x:f>"62 996610607"</x:f>
        <x:v>62 996610607</x:v>
      </x:c>
      <x:c r="Z2121" s="30" t="n">
        <x:v>46294</x:v>
      </x:c>
    </x:row>
    <x:row r="2122" ht="18" customHeight="1">
      <x:c r="A2122" s="22" t="str">
        <x:f>"e88777a6-3236-434f-a3b4-d0f4685b90a0"</x:f>
        <x:v>e88777a6-3236-434f-a3b4-d0f4685b90a0</x:v>
      </x:c>
      <x:c r="B2122" s="23" t="str">
        <x:v>KLEVER DE SOUZA CASTILHO</x:v>
      </x:c>
      <x:c r="C2122" s="23" t="str">
        <x:v>klever de souza castilho</x:v>
      </x:c>
      <x:c r="D2122" s="22" t="str">
        <x:f>"67.817.469/0001-99"</x:f>
        <x:v>67.817.469/0001-99</x:v>
      </x:c>
      <x:c r="E2122" s="22" t="str">
        <x:f>"67817469000199"</x:f>
        <x:v>67817469000199</x:v>
      </x:c>
      <x:c r="F2122" s="22" t="str">
        <x:f>"876.764.191-15"</x:f>
        <x:v>876.764.191-15</x:v>
      </x:c>
      <x:c r="G2122" s="22" t="str">
        <x:f>"87676419115"</x:f>
        <x:v>87676419115</x:v>
      </x:c>
      <x:c r="H2122" s="23" t="str">
        <x:v>klever.marista@gmail.com</x:v>
      </x:c>
      <x:c r="I2122" s="22" t="str">
        <x:f>"‪65-99248-7445"</x:f>
        <x:v>‪65-99248-7445</x:v>
      </x:c>
      <x:c r="J2122" s="23" t="str">
        <x:v>spot</x:v>
      </x:c>
      <x:c r="K2122" s="23" t="str">
        <x:v>favored_only</x:v>
      </x:c>
      <x:c r="L2122" s="24" t="b">
        <x:v>1</x:v>
      </x:c>
      <x:c r="M2122" s="23" t="n">
        <x:v>1</x:v>
      </x:c>
      <x:c r="N2122" s="28" t="n">
        <x:v>46219.812988715275</x:v>
      </x:c>
      <x:c r="O2122" s="28" t="n">
        <x:v>46219.812988715275</x:v>
      </x:c>
      <x:c r="P2122" s="23" t="str">
        <x:v>CÁCERES</x:v>
      </x:c>
      <x:c r="Q2122" s="30" t="n">
        <x:v>28470</x:v>
      </x:c>
      <x:c r="R2122" s="22" t="str">
        <x:f>"998098 SSP MT"</x:f>
        <x:v>998098 SSP MT</x:v>
      </x:c>
      <x:c r="S2122" s="23" t="str">
        <x:v>masculino</x:v>
      </x:c>
      <x:c r="T2122" s="22" t="str">
        <x:f>"OBP6171"</x:f>
        <x:v>OBP6171</x:v>
      </x:c>
      <x:c r="U2122" s="23" t="str">
        <x:v>KLEVER DE SOUZA CASTILHO</x:v>
      </x:c>
      <x:c r="V2122" s="22" t="str">
        <x:f>"876.764.191-15"</x:f>
        <x:v>876.764.191-15</x:v>
      </x:c>
      <x:c r="W2122" s="22" t="str">
        <x:f>"87676419115"</x:f>
        <x:v>87676419115</x:v>
      </x:c>
      <x:c r="X2122" s="23" t="str">
        <x:v>klever.marista@gmail.com</x:v>
      </x:c>
      <x:c r="Y2122" s="22" t="str">
        <x:f>"‪65-99248-7445"</x:f>
        <x:v>‪65-99248-7445</x:v>
      </x:c>
      <x:c r="Z2122" s="30" t="n">
        <x:v>46575</x:v>
      </x:c>
    </x:row>
    <x:row r="2123" ht="18" customHeight="1">
      <x:c r="A2123" s="22" t="str">
        <x:f>"977bd276-2854-44a1-9635-5013f99b2b23"</x:f>
        <x:v>977bd276-2854-44a1-9635-5013f99b2b23</x:v>
      </x:c>
      <x:c r="B2123" s="23" t="str">
        <x:v>KLEVERSON CHRISTIAN FERREIRA</x:v>
      </x:c>
      <x:c r="C2123" s="23" t="str">
        <x:v>kleverson christian ferreira</x:v>
      </x:c>
      <x:c r="D2123" s="22" t="str">
        <x:f>"62.920.854/0001-43"</x:f>
        <x:v>62.920.854/0001-43</x:v>
      </x:c>
      <x:c r="E2123" s="22" t="str">
        <x:f>"62920854000143"</x:f>
        <x:v>62920854000143</x:v>
      </x:c>
      <x:c r="F2123" s="22" t="str">
        <x:f>"146.246.896-90"</x:f>
        <x:v>146.246.896-90</x:v>
      </x:c>
      <x:c r="G2123" s="22" t="str">
        <x:f>"14624689690"</x:f>
        <x:v>14624689690</x:v>
      </x:c>
      <x:c r="H2123" s="23" t="str">
        <x:v>kleversoncf20@gmail.com</x:v>
      </x:c>
      <x:c r="I2123" s="22" t="str">
        <x:f>"( 37)999912957"</x:f>
        <x:v>( 37)999912957</x:v>
      </x:c>
      <x:c r="J2123" s="23" t="str">
        <x:v>RENTAL</x:v>
      </x:c>
      <x:c r="K2123" s="23" t="str">
        <x:v>rental_company</x:v>
      </x:c>
      <x:c r="L2123" s="24" t="b">
        <x:v>1</x:v>
      </x:c>
      <x:c r="M2123" s="23" t="n">
        <x:v>1</x:v>
      </x:c>
      <x:c r="N2123" s="28" t="n">
        <x:v>46203.92186888889</x:v>
      </x:c>
      <x:c r="O2123" s="28" t="n">
        <x:v>46219.812988715275</x:v>
      </x:c>
      <x:c r="P2123" s="23" t="str">
        <x:v>CONTAGEM</x:v>
      </x:c>
      <x:c r="Q2123" s="30" t="n">
        <x:v>36646</x:v>
      </x:c>
      <x:c r="R2123" s="22" t="str">
        <x:f>"17947722"</x:f>
        <x:v>17947722</x:v>
      </x:c>
      <x:c r="S2123" s="23" t="str">
        <x:v>masculino</x:v>
      </x:c>
      <x:c r="T2123" s="22" t="str"/>
      <x:c r="U2123" s="23" t="str">
        <x:v>KLEVERSON CHRISTIAN FERREIRA</x:v>
      </x:c>
      <x:c r="V2123" s="22" t="str">
        <x:f>"146.246.896-90"</x:f>
        <x:v>146.246.896-90</x:v>
      </x:c>
      <x:c r="W2123" s="22" t="str">
        <x:f>"14624689690"</x:f>
        <x:v>14624689690</x:v>
      </x:c>
      <x:c r="X2123" s="23" t="str">
        <x:v>kleversoncf20@gmail.com</x:v>
      </x:c>
      <x:c r="Y2123" s="22" t="str">
        <x:f>"( 37)999912957"</x:f>
        <x:v>( 37)999912957</x:v>
      </x:c>
      <x:c r="Z2123" s="30" t="n">
        <x:v>46297</x:v>
      </x:c>
    </x:row>
    <x:row r="2124" ht="18" customHeight="1">
      <x:c r="A2124" s="22" t="str">
        <x:f>"2dc923e6-23f3-45fe-a6dc-2ca25710aca3"</x:f>
        <x:v>2dc923e6-23f3-45fe-a6dc-2ca25710aca3</x:v>
      </x:c>
      <x:c r="B2124" s="23" t="str">
        <x:v>KLISMANN ROGER SOUZA</x:v>
      </x:c>
      <x:c r="C2124" s="23" t="str">
        <x:v>klismann roger souza</x:v>
      </x:c>
      <x:c r="D2124" s="22" t="str">
        <x:f>"54.077.694/0001-94"</x:f>
        <x:v>54.077.694/0001-94</x:v>
      </x:c>
      <x:c r="E2124" s="22" t="str">
        <x:f>"54077694000194"</x:f>
        <x:v>54077694000194</x:v>
      </x:c>
      <x:c r="F2124" s="22" t="str">
        <x:f>"139.225.386-14"</x:f>
        <x:v>139.225.386-14</x:v>
      </x:c>
      <x:c r="G2124" s="22" t="str">
        <x:f>"13922538614"</x:f>
        <x:v>13922538614</x:v>
      </x:c>
      <x:c r="H2124" s="23" t="str">
        <x:v>klissouza98@gmail.com</x:v>
      </x:c>
      <x:c r="I2124" s="22" t="str">
        <x:f>"338860-3173"</x:f>
        <x:v>338860-3173</x:v>
      </x:c>
      <x:c r="J2124" s="23" t="str">
        <x:v>RENTAL</x:v>
      </x:c>
      <x:c r="K2124" s="23" t="str">
        <x:v>rental_company</x:v>
      </x:c>
      <x:c r="L2124" s="24" t="b">
        <x:v>1</x:v>
      </x:c>
      <x:c r="M2124" s="23" t="n">
        <x:v>1</x:v>
      </x:c>
      <x:c r="N2124" s="28" t="n">
        <x:v>46219.812988715275</x:v>
      </x:c>
      <x:c r="O2124" s="28" t="n">
        <x:v>46219.812988715275</x:v>
      </x:c>
      <x:c r="P2124" s="23" t="str">
        <x:v>NOVA LIMA</x:v>
      </x:c>
      <x:c r="Q2124" s="30" t="n">
        <x:v>35965</x:v>
      </x:c>
      <x:c r="R2124" s="22" t="str">
        <x:f>"19669094"</x:f>
        <x:v>19669094</x:v>
      </x:c>
      <x:c r="S2124" s="23" t="str">
        <x:v>masculino</x:v>
      </x:c>
      <x:c r="T2124" s="22" t="str"/>
      <x:c r="U2124" s="23" t="str">
        <x:v>KLISMANN ROGER SOUZA</x:v>
      </x:c>
      <x:c r="V2124" s="22" t="str">
        <x:f>"139.225.386-14"</x:f>
        <x:v>139.225.386-14</x:v>
      </x:c>
      <x:c r="W2124" s="22" t="str">
        <x:f>"13922538614"</x:f>
        <x:v>13922538614</x:v>
      </x:c>
      <x:c r="X2124" s="23" t="str">
        <x:v>klissouza98@gmail.com</x:v>
      </x:c>
      <x:c r="Y2124" s="22" t="str">
        <x:f>"338860-3173"</x:f>
        <x:v>338860-3173</x:v>
      </x:c>
      <x:c r="Z2124" s="30" t="n">
        <x:v>46414</x:v>
      </x:c>
    </x:row>
    <x:row r="2125" ht="18" customHeight="1">
      <x:c r="A2125" s="22" t="str">
        <x:f>"6f953880-8d88-4bfc-b225-fdb7eae5d72d"</x:f>
        <x:v>6f953880-8d88-4bfc-b225-fdb7eae5d72d</x:v>
      </x:c>
      <x:c r="B2125" s="23" t="str">
        <x:v>KYANNE STEFANE DE SOUSA</x:v>
      </x:c>
      <x:c r="C2125" s="23" t="str">
        <x:v>kyanne stefane de sousa</x:v>
      </x:c>
      <x:c r="D2125" s="22" t="str">
        <x:f>"63.243.864/0001-54"</x:f>
        <x:v>63.243.864/0001-54</x:v>
      </x:c>
      <x:c r="E2125" s="22" t="str">
        <x:f>"63243864000154"</x:f>
        <x:v>63243864000154</x:v>
      </x:c>
      <x:c r="F2125" s="22" t="str">
        <x:f>"12496601654"</x:f>
        <x:v>12496601654</x:v>
      </x:c>
      <x:c r="G2125" s="22" t="str">
        <x:f>"12496601654"</x:f>
        <x:v>12496601654</x:v>
      </x:c>
      <x:c r="H2125" s="23" t="str">
        <x:v>Kyannestefane25@gmail.com</x:v>
      </x:c>
      <x:c r="I2125" s="22" t="str">
        <x:f>"31995793525"</x:f>
        <x:v>31995793525</x:v>
      </x:c>
      <x:c r="J2125" s="23" t="str">
        <x:v>SPOT</x:v>
      </x:c>
      <x:c r="K2125" s="23" t="str">
        <x:v>favored_only</x:v>
      </x:c>
      <x:c r="L2125" s="24" t="b">
        <x:v>1</x:v>
      </x:c>
      <x:c r="M2125" s="23" t="n">
        <x:v>1</x:v>
      </x:c>
      <x:c r="N2125" s="28" t="n">
        <x:v>46203.92188238426</x:v>
      </x:c>
      <x:c r="O2125" s="28" t="n">
        <x:v>46203.92188238426</x:v>
      </x:c>
      <x:c r="P2125" s="23" t="str"/>
      <x:c r="Q2125" s="30" t="str"/>
      <x:c r="R2125" s="22" t="str"/>
      <x:c r="S2125" s="23" t="str"/>
      <x:c r="T2125" s="22" t="str"/>
      <x:c r="U2125" s="23" t="str">
        <x:v>KYANNE STEFANE DE SOUSA</x:v>
      </x:c>
      <x:c r="V2125" s="22" t="str">
        <x:f>"12496601654"</x:f>
        <x:v>12496601654</x:v>
      </x:c>
      <x:c r="W2125" s="22" t="str">
        <x:f>"12496601654"</x:f>
        <x:v>12496601654</x:v>
      </x:c>
      <x:c r="X2125" s="23" t="str">
        <x:v>Kyannestefane25@gmail.com</x:v>
      </x:c>
      <x:c r="Y2125" s="22" t="str">
        <x:f>"31995793525"</x:f>
        <x:v>31995793525</x:v>
      </x:c>
      <x:c r="Z2125" s="30" t="str"/>
    </x:row>
    <x:row r="2126" ht="18" customHeight="1">
      <x:c r="A2126" s="22" t="str">
        <x:f>"1a91b6dd-f122-47d5-b9dd-5fe004597e85"</x:f>
        <x:v>1a91b6dd-f122-47d5-b9dd-5fe004597e85</x:v>
      </x:c>
      <x:c r="B2126" s="23" t="str">
        <x:v>LAELSON NUNES FERREIRA</x:v>
      </x:c>
      <x:c r="C2126" s="23" t="str">
        <x:v>laelson nunes ferreira</x:v>
      </x:c>
      <x:c r="D2126" s="22" t="str">
        <x:f>"67.766.666/0001-26"</x:f>
        <x:v>67.766.666/0001-26</x:v>
      </x:c>
      <x:c r="E2126" s="22" t="str">
        <x:f>"67766666000126"</x:f>
        <x:v>67766666000126</x:v>
      </x:c>
      <x:c r="F2126" s="22" t="str">
        <x:f>"393.720.448-22"</x:f>
        <x:v>393.720.448-22</x:v>
      </x:c>
      <x:c r="G2126" s="22" t="str">
        <x:f>"39372044822"</x:f>
        <x:v>39372044822</x:v>
      </x:c>
      <x:c r="H2126" s="23" t="str">
        <x:v>laelsonf503@gmail.com</x:v>
      </x:c>
      <x:c r="I2126" s="22" t="str">
        <x:f>"17 99636-7470"</x:f>
        <x:v>17 99636-7470</x:v>
      </x:c>
      <x:c r="J2126" s="23" t="str">
        <x:v>RENTAL</x:v>
      </x:c>
      <x:c r="K2126" s="23" t="str">
        <x:v>rental_company</x:v>
      </x:c>
      <x:c r="L2126" s="24" t="b">
        <x:v>1</x:v>
      </x:c>
      <x:c r="M2126" s="23" t="n">
        <x:v>1</x:v>
      </x:c>
      <x:c r="N2126" s="28" t="n">
        <x:v>46219.812988715275</x:v>
      </x:c>
      <x:c r="O2126" s="28" t="n">
        <x:v>46219.812988715275</x:v>
      </x:c>
      <x:c r="P2126" s="23" t="str">
        <x:v>BARRETOS</x:v>
      </x:c>
      <x:c r="Q2126" s="30" t="n">
        <x:v>36056</x:v>
      </x:c>
      <x:c r="R2126" s="22" t="str">
        <x:f>"537074946"</x:f>
        <x:v>537074946</x:v>
      </x:c>
      <x:c r="S2126" s="23" t="str">
        <x:v>masculino</x:v>
      </x:c>
      <x:c r="T2126" s="22" t="str"/>
      <x:c r="U2126" s="23" t="str">
        <x:v>LAELSON NUNES FERREIRA</x:v>
      </x:c>
      <x:c r="V2126" s="22" t="str">
        <x:f>"393.720.448-22"</x:f>
        <x:v>393.720.448-22</x:v>
      </x:c>
      <x:c r="W2126" s="22" t="str">
        <x:f>"39372044822"</x:f>
        <x:v>39372044822</x:v>
      </x:c>
      <x:c r="X2126" s="23" t="str">
        <x:v>laelsonf503@gmail.com</x:v>
      </x:c>
      <x:c r="Y2126" s="22" t="str">
        <x:f>"17 99636-7470"</x:f>
        <x:v>17 99636-7470</x:v>
      </x:c>
      <x:c r="Z2126" s="30" t="n">
        <x:v>46569</x:v>
      </x:c>
    </x:row>
    <x:row r="2127" ht="18" customHeight="1">
      <x:c r="A2127" s="22" t="str">
        <x:f>"28f1c70e-dc3c-44c6-a3c1-8ac50fee398d"</x:f>
        <x:v>28f1c70e-dc3c-44c6-a3c1-8ac50fee398d</x:v>
      </x:c>
      <x:c r="B2127" s="23" t="str">
        <x:v>LAERT KAIZER PERUCIO JUNIOR</x:v>
      </x:c>
      <x:c r="C2127" s="23" t="str">
        <x:v>laert kaizer perucio junior</x:v>
      </x:c>
      <x:c r="D2127" s="22" t="str">
        <x:f>"64.560.356/0001-62"</x:f>
        <x:v>64.560.356/0001-62</x:v>
      </x:c>
      <x:c r="E2127" s="22" t="str">
        <x:f>"64560356000162"</x:f>
        <x:v>64560356000162</x:v>
      </x:c>
      <x:c r="F2127" s="22" t="str">
        <x:f>"062.949.397-98"</x:f>
        <x:v>062.949.397-98</x:v>
      </x:c>
      <x:c r="G2127" s="22" t="str">
        <x:f>"06294939798"</x:f>
        <x:v>06294939798</x:v>
      </x:c>
      <x:c r="H2127" s="23" t="str">
        <x:v>laertkaizer90@gmail.com</x:v>
      </x:c>
      <x:c r="I2127" s="22" t="str">
        <x:f>"21982087543"</x:f>
        <x:v>21982087543</x:v>
      </x:c>
      <x:c r="J2127" s="23" t="str">
        <x:v>SPOT</x:v>
      </x:c>
      <x:c r="K2127" s="23" t="str">
        <x:v>favored_only</x:v>
      </x:c>
      <x:c r="L2127" s="24" t="b">
        <x:v>1</x:v>
      </x:c>
      <x:c r="M2127" s="23" t="n">
        <x:v>1</x:v>
      </x:c>
      <x:c r="N2127" s="28" t="n">
        <x:v>46219.812988715275</x:v>
      </x:c>
      <x:c r="O2127" s="28" t="n">
        <x:v>46219.812988715275</x:v>
      </x:c>
      <x:c r="P2127" s="23" t="str">
        <x:v>QUEIMADOS</x:v>
      </x:c>
      <x:c r="Q2127" s="30" t="n">
        <x:v>35297</x:v>
      </x:c>
      <x:c r="R2127" s="22" t="str">
        <x:f>"234903177"</x:f>
        <x:v>234903177</x:v>
      </x:c>
      <x:c r="S2127" s="23" t="str">
        <x:v>masculino</x:v>
      </x:c>
      <x:c r="T2127" s="22" t="str">
        <x:f>"GUA5F94"</x:f>
        <x:v>GUA5F94</x:v>
      </x:c>
      <x:c r="U2127" s="23" t="str">
        <x:v>LAERT KAIZER PERUCIO JUNIOR</x:v>
      </x:c>
      <x:c r="V2127" s="22" t="str">
        <x:f>"062.949.397-98"</x:f>
        <x:v>062.949.397-98</x:v>
      </x:c>
      <x:c r="W2127" s="22" t="str">
        <x:f>"06294939798"</x:f>
        <x:v>06294939798</x:v>
      </x:c>
      <x:c r="X2127" s="23" t="str">
        <x:v>laertkaizer90@gmail.com</x:v>
      </x:c>
      <x:c r="Y2127" s="22" t="str">
        <x:f>"21982087543"</x:f>
        <x:v>21982087543</x:v>
      </x:c>
      <x:c r="Z2127" s="30" t="n">
        <x:v>46502</x:v>
      </x:c>
    </x:row>
    <x:row r="2128" ht="18" customHeight="1">
      <x:c r="A2128" s="22" t="str">
        <x:f>"a4da4f34-1051-421b-8650-473afab23680"</x:f>
        <x:v>a4da4f34-1051-421b-8650-473afab23680</x:v>
      </x:c>
      <x:c r="B2128" s="23" t="str">
        <x:v>LAISA SIMOES DE AZEVEDO SOUZA</x:v>
      </x:c>
      <x:c r="C2128" s="23" t="str">
        <x:v>laisa simoes de azevedo souza</x:v>
      </x:c>
      <x:c r="D2128" s="22" t="str">
        <x:f>"64.977.735/0001-52"</x:f>
        <x:v>64.977.735/0001-52</x:v>
      </x:c>
      <x:c r="E2128" s="22" t="str">
        <x:f>"64977735000152"</x:f>
        <x:v>64977735000152</x:v>
      </x:c>
      <x:c r="F2128" s="22" t="str">
        <x:f>"055.602.395-18"</x:f>
        <x:v>055.602.395-18</x:v>
      </x:c>
      <x:c r="G2128" s="22" t="str">
        <x:f>"05560239518"</x:f>
        <x:v>05560239518</x:v>
      </x:c>
      <x:c r="H2128" s="23" t="str">
        <x:v>simoeslaisa@gmail.com</x:v>
      </x:c>
      <x:c r="I2128" s="22" t="str">
        <x:f>"2196558-5078"</x:f>
        <x:v>2196558-5078</x:v>
      </x:c>
      <x:c r="J2128" s="23" t="str">
        <x:v>SPOT</x:v>
      </x:c>
      <x:c r="K2128" s="23" t="str">
        <x:v>favored_only</x:v>
      </x:c>
      <x:c r="L2128" s="24" t="b">
        <x:v>1</x:v>
      </x:c>
      <x:c r="M2128" s="23" t="n">
        <x:v>1</x:v>
      </x:c>
      <x:c r="N2128" s="28" t="n">
        <x:v>46219.812988715275</x:v>
      </x:c>
      <x:c r="O2128" s="28" t="n">
        <x:v>46219.812988715275</x:v>
      </x:c>
      <x:c r="P2128" s="23" t="str">
        <x:v>ITABORAI</x:v>
      </x:c>
      <x:c r="Q2128" s="30" t="n">
        <x:v>36102</x:v>
      </x:c>
      <x:c r="R2128" s="22" t="str">
        <x:f>"330253964"</x:f>
        <x:v>330253964</x:v>
      </x:c>
      <x:c r="S2128" s="23" t="str">
        <x:v>feminino</x:v>
      </x:c>
      <x:c r="T2128" s="22" t="str">
        <x:f>"kpp3f49"</x:f>
        <x:v>kpp3f49</x:v>
      </x:c>
      <x:c r="U2128" s="23" t="str">
        <x:v>LAISA SIMOES DE AZEVEDO SOUZA</x:v>
      </x:c>
      <x:c r="V2128" s="22" t="str">
        <x:f>"055.602.395-18"</x:f>
        <x:v>055.602.395-18</x:v>
      </x:c>
      <x:c r="W2128" s="22" t="str">
        <x:f>"05560239518"</x:f>
        <x:v>05560239518</x:v>
      </x:c>
      <x:c r="X2128" s="23" t="str">
        <x:v>simoeslaisa@gmail.com</x:v>
      </x:c>
      <x:c r="Y2128" s="22" t="str">
        <x:f>"2196558-5078"</x:f>
        <x:v>2196558-5078</x:v>
      </x:c>
      <x:c r="Z2128" s="30" t="n">
        <x:v>46462</x:v>
      </x:c>
    </x:row>
    <x:row r="2129" ht="18" customHeight="1">
      <x:c r="A2129" s="22" t="str">
        <x:f>"07a57910-853d-461b-b42e-aaa3dbbc4e92"</x:f>
        <x:v>07a57910-853d-461b-b42e-aaa3dbbc4e92</x:v>
      </x:c>
      <x:c r="B2129" s="23" t="str">
        <x:v>LARA CRYSTINA FERREIRA</x:v>
      </x:c>
      <x:c r="C2129" s="23" t="str">
        <x:v>lara crystina ferreira</x:v>
      </x:c>
      <x:c r="D2129" s="22" t="str">
        <x:f>"66.070.048/0001-84"</x:f>
        <x:v>66.070.048/0001-84</x:v>
      </x:c>
      <x:c r="E2129" s="22" t="str">
        <x:f>"66070048000184"</x:f>
        <x:v>66070048000184</x:v>
      </x:c>
      <x:c r="F2129" s="22" t="str">
        <x:f>"081.462.546-08"</x:f>
        <x:v>081.462.546-08</x:v>
      </x:c>
      <x:c r="G2129" s="22" t="str">
        <x:f>"08146254608"</x:f>
        <x:v>08146254608</x:v>
      </x:c>
      <x:c r="H2129" s="23" t="str">
        <x:v>ferreiralara11@hotmail.com</x:v>
      </x:c>
      <x:c r="I2129" s="22" t="str">
        <x:f>"33988781248"</x:f>
        <x:v>33988781248</x:v>
      </x:c>
      <x:c r="J2129" s="23" t="str">
        <x:v>SPOT</x:v>
      </x:c>
      <x:c r="K2129" s="23" t="str">
        <x:v>favored_only</x:v>
      </x:c>
      <x:c r="L2129" s="24" t="b">
        <x:v>1</x:v>
      </x:c>
      <x:c r="M2129" s="23" t="n">
        <x:v>1</x:v>
      </x:c>
      <x:c r="N2129" s="28" t="n">
        <x:v>46219.812988715275</x:v>
      </x:c>
      <x:c r="O2129" s="28" t="n">
        <x:v>46219.812988715275</x:v>
      </x:c>
      <x:c r="P2129" s="23" t="str">
        <x:v>GUANHAES</x:v>
      </x:c>
      <x:c r="Q2129" s="30" t="n">
        <x:v>35410</x:v>
      </x:c>
      <x:c r="R2129" s="22" t="str">
        <x:f>"20212383"</x:f>
        <x:v>20212383</x:v>
      </x:c>
      <x:c r="S2129" s="23" t="str">
        <x:v>feminino</x:v>
      </x:c>
      <x:c r="T2129" s="22" t="str">
        <x:f>"GOF8A70"</x:f>
        <x:v>GOF8A70</x:v>
      </x:c>
      <x:c r="U2129" s="23" t="str">
        <x:v>LARA CRYSTINA FERREIRA</x:v>
      </x:c>
      <x:c r="V2129" s="22" t="str">
        <x:f>"081.462.546-08"</x:f>
        <x:v>081.462.546-08</x:v>
      </x:c>
      <x:c r="W2129" s="22" t="str">
        <x:f>"08146254608"</x:f>
        <x:v>08146254608</x:v>
      </x:c>
      <x:c r="X2129" s="23" t="str">
        <x:v>ferreiralara11@hotmail.com</x:v>
      </x:c>
      <x:c r="Y2129" s="22" t="str">
        <x:f>"33988781248"</x:f>
        <x:v>33988781248</x:v>
      </x:c>
      <x:c r="Z2129" s="30" t="n">
        <x:v>46541</x:v>
      </x:c>
    </x:row>
    <x:row r="2130" ht="18" customHeight="1">
      <x:c r="A2130" s="22" t="str">
        <x:f>"1eb52e4c-9b48-4d61-9e22-41e844bc04f6"</x:f>
        <x:v>1eb52e4c-9b48-4d61-9e22-41e844bc04f6</x:v>
      </x:c>
      <x:c r="B2130" s="23" t="str">
        <x:v>LARISSA DE PAIVA SILVA</x:v>
      </x:c>
      <x:c r="C2130" s="23" t="str">
        <x:v>larissa de paiva silva</x:v>
      </x:c>
      <x:c r="D2130" s="22" t="str">
        <x:f>"63.096.474/0001-07"</x:f>
        <x:v>63.096.474/0001-07</x:v>
      </x:c>
      <x:c r="E2130" s="22" t="str">
        <x:f>"63096474000107"</x:f>
        <x:v>63096474000107</x:v>
      </x:c>
      <x:c r="F2130" s="22" t="str">
        <x:f>"121.837.276-16"</x:f>
        <x:v>121.837.276-16</x:v>
      </x:c>
      <x:c r="G2130" s="22" t="str">
        <x:f>"12183727616"</x:f>
        <x:v>12183727616</x:v>
      </x:c>
      <x:c r="H2130" s="23" t="str">
        <x:v>larissapaivasilva111@gmail.com</x:v>
      </x:c>
      <x:c r="I2130" s="22" t="str">
        <x:f>"35 988223497"</x:f>
        <x:v>35 988223497</x:v>
      </x:c>
      <x:c r="J2130" s="23" t="str">
        <x:v>RENTAL</x:v>
      </x:c>
      <x:c r="K2130" s="23" t="str">
        <x:v>rental_company</x:v>
      </x:c>
      <x:c r="L2130" s="24" t="b">
        <x:v>1</x:v>
      </x:c>
      <x:c r="M2130" s="23" t="n">
        <x:v>1</x:v>
      </x:c>
      <x:c r="N2130" s="28" t="n">
        <x:v>46219.812988715275</x:v>
      </x:c>
      <x:c r="O2130" s="28" t="n">
        <x:v>46219.812988715275</x:v>
      </x:c>
      <x:c r="P2130" s="23" t="str">
        <x:v>POUSO ALEGRE</x:v>
      </x:c>
      <x:c r="Q2130" s="30" t="n">
        <x:v>38269</x:v>
      </x:c>
      <x:c r="R2130" s="22" t="str">
        <x:f>"19547780"</x:f>
        <x:v>19547780</x:v>
      </x:c>
      <x:c r="S2130" s="23" t="str">
        <x:v>feminino</x:v>
      </x:c>
      <x:c r="T2130" s="22" t="str"/>
      <x:c r="U2130" s="23" t="str">
        <x:v>LARISSA DE PAIVA SILVA</x:v>
      </x:c>
      <x:c r="V2130" s="22" t="str">
        <x:f>"121.837.276-16"</x:f>
        <x:v>121.837.276-16</x:v>
      </x:c>
      <x:c r="W2130" s="22" t="str">
        <x:f>"12183727616"</x:f>
        <x:v>12183727616</x:v>
      </x:c>
      <x:c r="X2130" s="23" t="str">
        <x:v>larissapaivasilva111@gmail.com</x:v>
      </x:c>
      <x:c r="Y2130" s="22" t="str">
        <x:f>"35 988223497"</x:f>
        <x:v>35 988223497</x:v>
      </x:c>
      <x:c r="Z2130" s="30" t="n">
        <x:v>46518</x:v>
      </x:c>
    </x:row>
    <x:row r="2131" ht="18" customHeight="1">
      <x:c r="A2131" s="22" t="str">
        <x:f>"45d42bec-4512-456b-87d8-261324a02943"</x:f>
        <x:v>45d42bec-4512-456b-87d8-261324a02943</x:v>
      </x:c>
      <x:c r="B2131" s="23" t="str">
        <x:v>LARISSA FIGUEIREDOSILVA</x:v>
      </x:c>
      <x:c r="C2131" s="23" t="str">
        <x:v>larissa figueiredosilva</x:v>
      </x:c>
      <x:c r="D2131" s="22" t="str">
        <x:f>"67.105.811/0001-28"</x:f>
        <x:v>67.105.811/0001-28</x:v>
      </x:c>
      <x:c r="E2131" s="22" t="str">
        <x:f>"67105811000128"</x:f>
        <x:v>67105811000128</x:v>
      </x:c>
      <x:c r="F2131" s="22" t="str">
        <x:f>"144.011.037-93"</x:f>
        <x:v>144.011.037-93</x:v>
      </x:c>
      <x:c r="G2131" s="22" t="str">
        <x:f>"14401103793"</x:f>
        <x:v>14401103793</x:v>
      </x:c>
      <x:c r="H2131" s="23" t="str">
        <x:v>lolacorreriaa@gmail.com</x:v>
      </x:c>
      <x:c r="I2131" s="22" t="str">
        <x:f>"21964078572"</x:f>
        <x:v>21964078572</x:v>
      </x:c>
      <x:c r="J2131" s="23" t="str">
        <x:v>SPOT</x:v>
      </x:c>
      <x:c r="K2131" s="23" t="str">
        <x:v>favored_only</x:v>
      </x:c>
      <x:c r="L2131" s="24" t="b">
        <x:v>1</x:v>
      </x:c>
      <x:c r="M2131" s="23" t="n">
        <x:v>1</x:v>
      </x:c>
      <x:c r="N2131" s="28" t="n">
        <x:v>46219.812988715275</x:v>
      </x:c>
      <x:c r="O2131" s="28" t="n">
        <x:v>46219.812988715275</x:v>
      </x:c>
      <x:c r="P2131" s="23" t="str">
        <x:v>ITABORAI</x:v>
      </x:c>
      <x:c r="Q2131" s="30" t="n">
        <x:v>34142</x:v>
      </x:c>
      <x:c r="R2131" s="22" t="str">
        <x:f>"270513674"</x:f>
        <x:v>270513674</x:v>
      </x:c>
      <x:c r="S2131" s="23" t="str">
        <x:v>masculino</x:v>
      </x:c>
      <x:c r="T2131" s="22" t="str">
        <x:f>"LTH8F72"</x:f>
        <x:v>LTH8F72</x:v>
      </x:c>
      <x:c r="U2131" s="23" t="str">
        <x:v>LARISSA FIGUEIREDO SILVA</x:v>
      </x:c>
      <x:c r="V2131" s="22" t="str">
        <x:f>"144.011.037-93"</x:f>
        <x:v>144.011.037-93</x:v>
      </x:c>
      <x:c r="W2131" s="22" t="str">
        <x:f>"14401103793"</x:f>
        <x:v>14401103793</x:v>
      </x:c>
      <x:c r="X2131" s="23" t="str">
        <x:v>lolacorreriaa@gmail.com</x:v>
      </x:c>
      <x:c r="Y2131" s="22" t="str">
        <x:f>"21964078572"</x:f>
        <x:v>21964078572</x:v>
      </x:c>
      <x:c r="Z2131" s="30" t="n">
        <x:v>46554</x:v>
      </x:c>
    </x:row>
    <x:row r="2132" ht="18" customHeight="1">
      <x:c r="A2132" s="22" t="str">
        <x:f>"e36ca363-67f2-41db-b3fc-45aafa251931"</x:f>
        <x:v>e36ca363-67f2-41db-b3fc-45aafa251931</x:v>
      </x:c>
      <x:c r="B2132" s="23" t="str">
        <x:v>LARISSA NADINI DA SILVA MORAES</x:v>
      </x:c>
      <x:c r="C2132" s="23" t="str">
        <x:v>larissa nadini da silva moraes</x:v>
      </x:c>
      <x:c r="D2132" s="22" t="str">
        <x:f>"50.850.746/0001-62"</x:f>
        <x:v>50.850.746/0001-62</x:v>
      </x:c>
      <x:c r="E2132" s="22" t="str">
        <x:f>"50850746000162"</x:f>
        <x:v>50850746000162</x:v>
      </x:c>
      <x:c r="F2132" s="22" t="str">
        <x:f>"469.452.138-11"</x:f>
        <x:v>469.452.138-11</x:v>
      </x:c>
      <x:c r="G2132" s="22" t="str">
        <x:f>"46945213811"</x:f>
        <x:v>46945213811</x:v>
      </x:c>
      <x:c r="H2132" s="23" t="str">
        <x:v>moraesnadini@gmail.com</x:v>
      </x:c>
      <x:c r="I2132" s="22" t="str">
        <x:f>"11914879745"</x:f>
        <x:v>11914879745</x:v>
      </x:c>
      <x:c r="J2132" s="23" t="str">
        <x:v>SPOT</x:v>
      </x:c>
      <x:c r="K2132" s="23" t="str">
        <x:v>favored_only</x:v>
      </x:c>
      <x:c r="L2132" s="24" t="b">
        <x:v>1</x:v>
      </x:c>
      <x:c r="M2132" s="23" t="n">
        <x:v>1</x:v>
      </x:c>
      <x:c r="N2132" s="28" t="n">
        <x:v>46219.812988715275</x:v>
      </x:c>
      <x:c r="O2132" s="28" t="n">
        <x:v>46219.812988715275</x:v>
      </x:c>
      <x:c r="P2132" s="23" t="str">
        <x:v>BARUERI</x:v>
      </x:c>
      <x:c r="Q2132" s="30" t="n">
        <x:v>35875</x:v>
      </x:c>
      <x:c r="R2132" s="22" t="str">
        <x:f>"531375973"</x:f>
        <x:v>531375973</x:v>
      </x:c>
      <x:c r="S2132" s="23" t="str">
        <x:v>feminino</x:v>
      </x:c>
      <x:c r="T2132" s="22" t="str">
        <x:f>"EMG8647"</x:f>
        <x:v>EMG8647</x:v>
      </x:c>
      <x:c r="U2132" s="23" t="str">
        <x:v>LARISSA NADINI DA SILVA MORAES</x:v>
      </x:c>
      <x:c r="V2132" s="22" t="str">
        <x:f>"469.452.138-11"</x:f>
        <x:v>469.452.138-11</x:v>
      </x:c>
      <x:c r="W2132" s="22" t="str">
        <x:f>"46945213811"</x:f>
        <x:v>46945213811</x:v>
      </x:c>
      <x:c r="X2132" s="23" t="str">
        <x:v>moraesnadini@gmail.com</x:v>
      </x:c>
      <x:c r="Y2132" s="22" t="str">
        <x:f>"11914879745"</x:f>
        <x:v>11914879745</x:v>
      </x:c>
      <x:c r="Z2132" s="30" t="n">
        <x:v>46467</x:v>
      </x:c>
    </x:row>
    <x:row r="2133" ht="18" customHeight="1">
      <x:c r="A2133" s="22" t="str">
        <x:f>"eea0e311-3098-4ffe-8f06-ce884fb97f17"</x:f>
        <x:v>eea0e311-3098-4ffe-8f06-ce884fb97f17</x:v>
      </x:c>
      <x:c r="B2133" s="23" t="str">
        <x:v>LARISSA RODRIGUES SOARES</x:v>
      </x:c>
      <x:c r="C2133" s="23" t="str">
        <x:v>larissa rodrigues soares</x:v>
      </x:c>
      <x:c r="D2133" s="22" t="str">
        <x:f>"45.582.358/0001-08"</x:f>
        <x:v>45.582.358/0001-08</x:v>
      </x:c>
      <x:c r="E2133" s="22" t="str">
        <x:f>"45582358000108"</x:f>
        <x:v>45582358000108</x:v>
      </x:c>
      <x:c r="F2133" s="22" t="str">
        <x:f>"059.045.501-03"</x:f>
        <x:v>059.045.501-03</x:v>
      </x:c>
      <x:c r="G2133" s="22" t="str">
        <x:f>"05904550103"</x:f>
        <x:v>05904550103</x:v>
      </x:c>
      <x:c r="H2133" s="23" t="str">
        <x:v>laryrodrigues1442@gmail.com</x:v>
      </x:c>
      <x:c r="I2133" s="22" t="str">
        <x:f>"62985208187"</x:f>
        <x:v>62985208187</x:v>
      </x:c>
      <x:c r="J2133" s="23" t="str">
        <x:v>SPOT</x:v>
      </x:c>
      <x:c r="K2133" s="23" t="str">
        <x:v>favored_only</x:v>
      </x:c>
      <x:c r="L2133" s="24" t="b">
        <x:v>1</x:v>
      </x:c>
      <x:c r="M2133" s="23" t="n">
        <x:v>1</x:v>
      </x:c>
      <x:c r="N2133" s="28" t="n">
        <x:v>46203.92183332176</x:v>
      </x:c>
      <x:c r="O2133" s="28" t="n">
        <x:v>46219.812988715275</x:v>
      </x:c>
      <x:c r="P2133" s="23" t="str">
        <x:v>MINAÇU</x:v>
      </x:c>
      <x:c r="Q2133" s="30" t="n">
        <x:v>35466</x:v>
      </x:c>
      <x:c r="R2133" s="22" t="str">
        <x:f>"6269750"</x:f>
        <x:v>6269750</x:v>
      </x:c>
      <x:c r="S2133" s="23" t="str">
        <x:v>feminino</x:v>
      </x:c>
      <x:c r="T2133" s="22" t="str">
        <x:f>"OLH2325"</x:f>
        <x:v>OLH2325</x:v>
      </x:c>
      <x:c r="U2133" s="23" t="str">
        <x:v>LARISSA RODRIGUES SOARES</x:v>
      </x:c>
      <x:c r="V2133" s="22" t="str">
        <x:f>"059.045.501-03"</x:f>
        <x:v>059.045.501-03</x:v>
      </x:c>
      <x:c r="W2133" s="22" t="str">
        <x:f>"05904550103"</x:f>
        <x:v>05904550103</x:v>
      </x:c>
      <x:c r="X2133" s="23" t="str">
        <x:v>laryrodrigues1442@gmail.com</x:v>
      </x:c>
      <x:c r="Y2133" s="22" t="str">
        <x:f>"62985208187"</x:f>
        <x:v>62985208187</x:v>
      </x:c>
      <x:c r="Z2133" s="30" t="n">
        <x:v>46269</x:v>
      </x:c>
    </x:row>
    <x:row r="2134" ht="18" customHeight="1">
      <x:c r="A2134" s="22" t="str">
        <x:f>"8978ca5a-64c3-44cd-b976-3c9f4cc1bebc"</x:f>
        <x:v>8978ca5a-64c3-44cd-b976-3c9f4cc1bebc</x:v>
      </x:c>
      <x:c r="B2134" s="23" t="str">
        <x:v>Larissa Vieira dos Santos</x:v>
      </x:c>
      <x:c r="C2134" s="23" t="str">
        <x:v>larissa vieira dos santos</x:v>
      </x:c>
      <x:c r="D2134" s="22" t="str">
        <x:f>"57.640.960/0001-33"</x:f>
        <x:v>57.640.960/0001-33</x:v>
      </x:c>
      <x:c r="E2134" s="22" t="str">
        <x:f>"57640960000133"</x:f>
        <x:v>57640960000133</x:v>
      </x:c>
      <x:c r="F2134" s="22" t="str">
        <x:f>"008.333.101-86"</x:f>
        <x:v>008.333.101-86</x:v>
      </x:c>
      <x:c r="G2134" s="22" t="str">
        <x:f>"00833310186"</x:f>
        <x:v>00833310186</x:v>
      </x:c>
      <x:c r="H2134" s="23" t="str">
        <x:v>lara467@hotmail.com</x:v>
      </x:c>
      <x:c r="I2134" s="22" t="str">
        <x:f>"62 92067221"</x:f>
        <x:v>62 92067221</x:v>
      </x:c>
      <x:c r="J2134" s="23" t="str">
        <x:v>SPOT</x:v>
      </x:c>
      <x:c r="K2134" s="23" t="str">
        <x:v>favored_only</x:v>
      </x:c>
      <x:c r="L2134" s="24" t="b">
        <x:v>1</x:v>
      </x:c>
      <x:c r="M2134" s="23" t="n">
        <x:v>1</x:v>
      </x:c>
      <x:c r="N2134" s="28" t="n">
        <x:v>46203.921840393516</x:v>
      </x:c>
      <x:c r="O2134" s="28" t="n">
        <x:v>46205.60485078704</x:v>
      </x:c>
      <x:c r="P2134" s="23" t="str">
        <x:v>GOIANIA</x:v>
      </x:c>
      <x:c r="Q2134" s="30" t="n">
        <x:v>29262</x:v>
      </x:c>
      <x:c r="R2134" s="22" t="str">
        <x:f>"3671312"</x:f>
        <x:v>3671312</x:v>
      </x:c>
      <x:c r="S2134" s="23" t="str">
        <x:v>Feminino</x:v>
      </x:c>
      <x:c r="T2134" s="22" t="str">
        <x:f>"RVN2C20"</x:f>
        <x:v>RVN2C20</x:v>
      </x:c>
      <x:c r="U2134" s="23" t="str">
        <x:v>Larissa Vieira dos Santos</x:v>
      </x:c>
      <x:c r="V2134" s="22" t="str">
        <x:f>"008.333.101-86"</x:f>
        <x:v>008.333.101-86</x:v>
      </x:c>
      <x:c r="W2134" s="22" t="str">
        <x:f>"00833310186"</x:f>
        <x:v>00833310186</x:v>
      </x:c>
      <x:c r="X2134" s="23" t="str">
        <x:v>lara467@hotmail.com</x:v>
      </x:c>
      <x:c r="Y2134" s="22" t="str">
        <x:f>"62 92067221"</x:f>
        <x:v>62 92067221</x:v>
      </x:c>
      <x:c r="Z2134" s="30" t="n">
        <x:v>46214</x:v>
      </x:c>
    </x:row>
    <x:row r="2135" ht="18" customHeight="1">
      <x:c r="A2135" s="22" t="str">
        <x:f>"adb3ff44-c0d0-4dbb-a672-0b3994a9ea37"</x:f>
        <x:v>adb3ff44-c0d0-4dbb-a672-0b3994a9ea37</x:v>
      </x:c>
      <x:c r="B2135" s="23" t="str">
        <x:v>Laura Magalhães Alvim</x:v>
      </x:c>
      <x:c r="C2135" s="23" t="str">
        <x:v>laura magalhaes alvim</x:v>
      </x:c>
      <x:c r="D2135" s="22" t="str">
        <x:f>"59.378.369/0001-85"</x:f>
        <x:v>59.378.369/0001-85</x:v>
      </x:c>
      <x:c r="E2135" s="22" t="str">
        <x:f>"59378369000185"</x:f>
        <x:v>59378369000185</x:v>
      </x:c>
      <x:c r="F2135" s="22" t="str">
        <x:f>"144.408.726-62"</x:f>
        <x:v>144.408.726-62</x:v>
      </x:c>
      <x:c r="G2135" s="22" t="str">
        <x:f>"14440872662"</x:f>
        <x:v>14440872662</x:v>
      </x:c>
      <x:c r="H2135" s="23" t="str">
        <x:v>laurinhamagalhaes@icloud.com</x:v>
      </x:c>
      <x:c r="I2135" s="22" t="str">
        <x:f>"31993832097"</x:f>
        <x:v>31993832097</x:v>
      </x:c>
      <x:c r="J2135" s="23" t="str">
        <x:v>SPOT</x:v>
      </x:c>
      <x:c r="K2135" s="23" t="str">
        <x:v>favored_only</x:v>
      </x:c>
      <x:c r="L2135" s="24" t="b">
        <x:v>1</x:v>
      </x:c>
      <x:c r="M2135" s="23" t="n">
        <x:v>1</x:v>
      </x:c>
      <x:c r="N2135" s="28" t="n">
        <x:v>46203.921840393516</x:v>
      </x:c>
      <x:c r="O2135" s="28" t="n">
        <x:v>46205.6049356713</x:v>
      </x:c>
      <x:c r="P2135" s="23" t="str">
        <x:v>CONTAGEM</x:v>
      </x:c>
      <x:c r="Q2135" s="30" t="n">
        <x:v>37896</x:v>
      </x:c>
      <x:c r="R2135" s="22" t="str">
        <x:f>"22572039"</x:f>
        <x:v>22572039</x:v>
      </x:c>
      <x:c r="S2135" s="23" t="str">
        <x:v>Feminino</x:v>
      </x:c>
      <x:c r="T2135" s="22" t="str">
        <x:f>"HIU5H60"</x:f>
        <x:v>HIU5H60</x:v>
      </x:c>
      <x:c r="U2135" s="23" t="str">
        <x:v>Laura Magalhães Alvim</x:v>
      </x:c>
      <x:c r="V2135" s="22" t="str">
        <x:f>"14440872662"</x:f>
        <x:v>14440872662</x:v>
      </x:c>
      <x:c r="W2135" s="22" t="str">
        <x:f>"14440872662"</x:f>
        <x:v>14440872662</x:v>
      </x:c>
      <x:c r="X2135" s="23" t="str">
        <x:v>laurinhamagalhaes@icloud.com</x:v>
      </x:c>
      <x:c r="Y2135" s="22" t="str">
        <x:f>"31993832097"</x:f>
        <x:v>31993832097</x:v>
      </x:c>
      <x:c r="Z2135" s="30" t="n">
        <x:v>46218</x:v>
      </x:c>
    </x:row>
    <x:row r="2136" ht="18" customHeight="1">
      <x:c r="A2136" s="22" t="str">
        <x:f>"9286b8ca-fc8c-43e7-9c05-b2f0f186a1f3"</x:f>
        <x:v>9286b8ca-fc8c-43e7-9c05-b2f0f186a1f3</x:v>
      </x:c>
      <x:c r="B2136" s="23" t="str">
        <x:v>Laura Rangel Gravina</x:v>
      </x:c>
      <x:c r="C2136" s="23" t="str">
        <x:v>laura rangel gravina</x:v>
      </x:c>
      <x:c r="D2136" s="22" t="str">
        <x:f>"55.565.066/0001-10"</x:f>
        <x:v>55.565.066/0001-10</x:v>
      </x:c>
      <x:c r="E2136" s="22" t="str">
        <x:f>"55565066000110"</x:f>
        <x:v>55565066000110</x:v>
      </x:c>
      <x:c r="F2136" s="22" t="str">
        <x:f>"182.895.287-79"</x:f>
        <x:v>182.895.287-79</x:v>
      </x:c>
      <x:c r="G2136" s="22" t="str">
        <x:f>"18289528779"</x:f>
        <x:v>18289528779</x:v>
      </x:c>
      <x:c r="H2136" s="23" t="str">
        <x:v>laura_gravina@hotmail.com</x:v>
      </x:c>
      <x:c r="I2136" s="22" t="str">
        <x:f>"(22)999882213"</x:f>
        <x:v>(22)999882213</x:v>
      </x:c>
      <x:c r="J2136" s="23" t="str">
        <x:v>SPOT</x:v>
      </x:c>
      <x:c r="K2136" s="23" t="str">
        <x:v>favored_only</x:v>
      </x:c>
      <x:c r="L2136" s="24" t="b">
        <x:v>1</x:v>
      </x:c>
      <x:c r="M2136" s="23" t="n">
        <x:v>1</x:v>
      </x:c>
      <x:c r="N2136" s="28" t="n">
        <x:v>46203.92189965278</x:v>
      </x:c>
      <x:c r="O2136" s="28" t="n">
        <x:v>46203.92189965278</x:v>
      </x:c>
      <x:c r="P2136" s="23" t="str"/>
      <x:c r="Q2136" s="30" t="str"/>
      <x:c r="R2136" s="22" t="str"/>
      <x:c r="S2136" s="23" t="str"/>
      <x:c r="T2136" s="22" t="str"/>
      <x:c r="U2136" s="23" t="str">
        <x:v>Laura Rangel Gravina</x:v>
      </x:c>
      <x:c r="V2136" s="22" t="str">
        <x:f>"182.895.287-79"</x:f>
        <x:v>182.895.287-79</x:v>
      </x:c>
      <x:c r="W2136" s="22" t="str">
        <x:f>"18289528779"</x:f>
        <x:v>18289528779</x:v>
      </x:c>
      <x:c r="X2136" s="23" t="str">
        <x:v>laura_gravina@hotmail.com</x:v>
      </x:c>
      <x:c r="Y2136" s="22" t="str">
        <x:f>"(22)999882213"</x:f>
        <x:v>(22)999882213</x:v>
      </x:c>
      <x:c r="Z2136" s="30" t="str"/>
    </x:row>
    <x:row r="2137" ht="18" customHeight="1">
      <x:c r="A2137" s="22" t="str">
        <x:f>"5ca9e395-2321-4383-b68a-31a6a5094514"</x:f>
        <x:v>5ca9e395-2321-4383-b68a-31a6a5094514</x:v>
      </x:c>
      <x:c r="B2137" s="23" t="str">
        <x:v>LAURA TONETTO PEREIRA</x:v>
      </x:c>
      <x:c r="C2137" s="23" t="str">
        <x:v>laura tonetto pereira</x:v>
      </x:c>
      <x:c r="D2137" s="22" t="str">
        <x:f>"49.111.978/0001-10"</x:f>
        <x:v>49.111.978/0001-10</x:v>
      </x:c>
      <x:c r="E2137" s="22" t="str">
        <x:f>"49111978000110"</x:f>
        <x:v>49111978000110</x:v>
      </x:c>
      <x:c r="F2137" s="22" t="str">
        <x:f>"929.409.940-72"</x:f>
        <x:v>929.409.940-72</x:v>
      </x:c>
      <x:c r="G2137" s="22" t="str">
        <x:f>"92940994072"</x:f>
        <x:v>92940994072</x:v>
      </x:c>
      <x:c r="H2137" s="23" t="str">
        <x:v>Lauratoneto@hotmail.com</x:v>
      </x:c>
      <x:c r="I2137" s="22" t="str">
        <x:f>"65 98110-7600"</x:f>
        <x:v>65 98110-7600</x:v>
      </x:c>
      <x:c r="J2137" s="23" t="str">
        <x:v>SPOT</x:v>
      </x:c>
      <x:c r="K2137" s="23" t="str">
        <x:v>favored_only</x:v>
      </x:c>
      <x:c r="L2137" s="24" t="b">
        <x:v>1</x:v>
      </x:c>
      <x:c r="M2137" s="23" t="n">
        <x:v>1</x:v>
      </x:c>
      <x:c r="N2137" s="28" t="n">
        <x:v>46205.60481907408</x:v>
      </x:c>
      <x:c r="O2137" s="28" t="n">
        <x:v>46219.812988715275</x:v>
      </x:c>
      <x:c r="P2137" s="23" t="str">
        <x:v>PONTES E LACERDA</x:v>
      </x:c>
      <x:c r="Q2137" s="30" t="n">
        <x:v>26003</x:v>
      </x:c>
      <x:c r="R2137" s="22" t="str">
        <x:f>"69032125"</x:f>
        <x:v>69032125</x:v>
      </x:c>
      <x:c r="S2137" s="23" t="str">
        <x:v>feminino</x:v>
      </x:c>
      <x:c r="T2137" s="22" t="str">
        <x:f>"RAY3A20"</x:f>
        <x:v>RAY3A20</x:v>
      </x:c>
      <x:c r="U2137" s="23" t="str">
        <x:v>WAGNER DE OLIVEIRA SURUBI</x:v>
      </x:c>
      <x:c r="V2137" s="22" t="str">
        <x:f>"039.985.191-73"</x:f>
        <x:v>039.985.191-73</x:v>
      </x:c>
      <x:c r="W2137" s="22" t="str">
        <x:f>"03998519173"</x:f>
        <x:v>03998519173</x:v>
      </x:c>
      <x:c r="X2137" s="23" t="str">
        <x:v>Wagnerdeoliveirasurubi@gmail.com</x:v>
      </x:c>
      <x:c r="Y2137" s="22" t="str">
        <x:f>"+55 65 8103-3066"</x:f>
        <x:v>+55 65 8103-3066</x:v>
      </x:c>
      <x:c r="Z2137" s="30" t="n">
        <x:v>46298</x:v>
      </x:c>
    </x:row>
    <x:row r="2138" ht="18" customHeight="1">
      <x:c r="A2138" s="22" t="str">
        <x:f>"7429dba9-badf-4540-8933-822a3ad18987"</x:f>
        <x:v>7429dba9-badf-4540-8933-822a3ad18987</x:v>
      </x:c>
      <x:c r="B2138" s="23" t="str">
        <x:v>LAURO DE SOUZA FONSECA</x:v>
      </x:c>
      <x:c r="C2138" s="23" t="str">
        <x:v>lauro de souza fonseca</x:v>
      </x:c>
      <x:c r="D2138" s="22" t="str">
        <x:f>"59.088.238/0001-63"</x:f>
        <x:v>59.088.238/0001-63</x:v>
      </x:c>
      <x:c r="E2138" s="22" t="str">
        <x:f>"59088238000163"</x:f>
        <x:v>59088238000163</x:v>
      </x:c>
      <x:c r="F2138" s="22" t="str">
        <x:f>"039.284.966-62"</x:f>
        <x:v>039.284.966-62</x:v>
      </x:c>
      <x:c r="G2138" s="22" t="str">
        <x:f>"03928496662"</x:f>
        <x:v>03928496662</x:v>
      </x:c>
      <x:c r="H2138" s="23" t="str">
        <x:v>laurodesousafonseca@gmail.com</x:v>
      </x:c>
      <x:c r="I2138" s="22" t="str">
        <x:f>"(33) 98804-2914"</x:f>
        <x:v>(33) 98804-2914</x:v>
      </x:c>
      <x:c r="J2138" s="23" t="str">
        <x:v>SPOT</x:v>
      </x:c>
      <x:c r="K2138" s="23" t="str">
        <x:v>favored_only</x:v>
      </x:c>
      <x:c r="L2138" s="24" t="b">
        <x:v>1</x:v>
      </x:c>
      <x:c r="M2138" s="23" t="n">
        <x:v>1</x:v>
      </x:c>
      <x:c r="N2138" s="28" t="n">
        <x:v>46205.60677436343</x:v>
      </x:c>
      <x:c r="O2138" s="28" t="n">
        <x:v>46219.812988715275</x:v>
      </x:c>
      <x:c r="P2138" s="23" t="str">
        <x:v>TEOFILO OTONI</x:v>
      </x:c>
      <x:c r="Q2138" s="30" t="n">
        <x:v>28193</x:v>
      </x:c>
      <x:c r="R2138" s="22" t="str">
        <x:f>"10277745"</x:f>
        <x:v>10277745</x:v>
      </x:c>
      <x:c r="S2138" s="23" t="str">
        <x:v>masculino</x:v>
      </x:c>
      <x:c r="T2138" s="22" t="str">
        <x:f>"NYV8207"</x:f>
        <x:v>NYV8207</x:v>
      </x:c>
      <x:c r="U2138" s="23" t="str">
        <x:v>MIGUEL CARVALHO SCHUFFNER</x:v>
      </x:c>
      <x:c r="V2138" s="22" t="str">
        <x:f>"704.385.436-96"</x:f>
        <x:v>704.385.436-96</x:v>
      </x:c>
      <x:c r="W2138" s="22" t="str">
        <x:f>"70438543696"</x:f>
        <x:v>70438543696</x:v>
      </x:c>
      <x:c r="X2138" s="23" t="str">
        <x:v>miguelcarvalho435@gmail.com</x:v>
      </x:c>
      <x:c r="Y2138" s="22" t="str">
        <x:f>"33987397227"</x:f>
        <x:v>33987397227</x:v>
      </x:c>
      <x:c r="Z2138" s="30" t="n">
        <x:v>46374</x:v>
      </x:c>
    </x:row>
    <x:row r="2139" ht="18" customHeight="1">
      <x:c r="A2139" s="22" t="str">
        <x:f>"ea5731cc-1847-4b7b-8632-7ce927678571"</x:f>
        <x:v>ea5731cc-1847-4b7b-8632-7ce927678571</x:v>
      </x:c>
      <x:c r="B2139" s="23" t="str">
        <x:v>LAURO DOS SANROS SILVA</x:v>
      </x:c>
      <x:c r="C2139" s="23" t="str">
        <x:v>lauro dos sanros silva</x:v>
      </x:c>
      <x:c r="D2139" s="22" t="str">
        <x:f>"41.088.997/0001-60"</x:f>
        <x:v>41.088.997/0001-60</x:v>
      </x:c>
      <x:c r="E2139" s="22" t="str">
        <x:f>"41088997000160"</x:f>
        <x:v>41088997000160</x:v>
      </x:c>
      <x:c r="F2139" s="22" t="str">
        <x:f>"099.862.497-75"</x:f>
        <x:v>099.862.497-75</x:v>
      </x:c>
      <x:c r="G2139" s="22" t="str">
        <x:f>"09986249775"</x:f>
        <x:v>09986249775</x:v>
      </x:c>
      <x:c r="H2139" s="23" t="str">
        <x:v>laurosantoss11@outlook.com</x:v>
      </x:c>
      <x:c r="I2139" s="22" t="str">
        <x:f>"22 999885066"</x:f>
        <x:v>22 999885066</x:v>
      </x:c>
      <x:c r="J2139" s="23" t="str">
        <x:v>SPOT</x:v>
      </x:c>
      <x:c r="K2139" s="23" t="str">
        <x:v>favored_only</x:v>
      </x:c>
      <x:c r="L2139" s="24" t="b">
        <x:v>1</x:v>
      </x:c>
      <x:c r="M2139" s="23" t="n">
        <x:v>1</x:v>
      </x:c>
      <x:c r="N2139" s="28" t="n">
        <x:v>46203.92189965278</x:v>
      </x:c>
      <x:c r="O2139" s="28" t="n">
        <x:v>46219.812988715275</x:v>
      </x:c>
      <x:c r="P2139" s="23" t="str">
        <x:v>CAMPOS DOS GOYTACAZES</x:v>
      </x:c>
      <x:c r="Q2139" s="30" t="n">
        <x:v>30358</x:v>
      </x:c>
      <x:c r="R2139" s="22" t="str">
        <x:f>"130619893"</x:f>
        <x:v>130619893</x:v>
      </x:c>
      <x:c r="S2139" s="23" t="str">
        <x:v>masculino</x:v>
      </x:c>
      <x:c r="T2139" s="22" t="str">
        <x:f>"RFC6G79"</x:f>
        <x:v>RFC6G79</x:v>
      </x:c>
      <x:c r="U2139" s="23" t="str">
        <x:v>LAURO DOS SANROS SILVA</x:v>
      </x:c>
      <x:c r="V2139" s="22" t="str">
        <x:f>"099.862.497-75"</x:f>
        <x:v>099.862.497-75</x:v>
      </x:c>
      <x:c r="W2139" s="22" t="str">
        <x:f>"09986249775"</x:f>
        <x:v>09986249775</x:v>
      </x:c>
      <x:c r="X2139" s="23" t="str">
        <x:v>laurosantoss11@outlook.com</x:v>
      </x:c>
      <x:c r="Y2139" s="22" t="str">
        <x:f>"22 999885066"</x:f>
        <x:v>22 999885066</x:v>
      </x:c>
      <x:c r="Z2139" s="30" t="n">
        <x:v>46347</x:v>
      </x:c>
    </x:row>
    <x:row r="2140" ht="18" customHeight="1">
      <x:c r="A2140" s="22" t="str">
        <x:f>"6c70c904-2177-4c3d-87be-0a0d7a3c4ad0"</x:f>
        <x:v>6c70c904-2177-4c3d-87be-0a0d7a3c4ad0</x:v>
      </x:c>
      <x:c r="B2140" s="23" t="str">
        <x:v>LAURO GONCALVES MALHEIROS</x:v>
      </x:c>
      <x:c r="C2140" s="23" t="str">
        <x:v>lauro goncalves malheiros</x:v>
      </x:c>
      <x:c r="D2140" s="22" t="str">
        <x:f>"54.288.695/0001-88"</x:f>
        <x:v>54.288.695/0001-88</x:v>
      </x:c>
      <x:c r="E2140" s="22" t="str">
        <x:f>"54288695000188"</x:f>
        <x:v>54288695000188</x:v>
      </x:c>
      <x:c r="F2140" s="22" t="str">
        <x:f>"049.626.961-57"</x:f>
        <x:v>049.626.961-57</x:v>
      </x:c>
      <x:c r="G2140" s="22" t="str">
        <x:f>"04962696157"</x:f>
        <x:v>04962696157</x:v>
      </x:c>
      <x:c r="H2140" s="23" t="str">
        <x:v>lauro.malheiros@gmail.com</x:v>
      </x:c>
      <x:c r="I2140" s="22" t="str">
        <x:f>"6599996-9068"</x:f>
        <x:v>6599996-9068</x:v>
      </x:c>
      <x:c r="J2140" s="23" t="str">
        <x:v>SPOT</x:v>
      </x:c>
      <x:c r="K2140" s="23" t="str">
        <x:v>favored_only</x:v>
      </x:c>
      <x:c r="L2140" s="24" t="b">
        <x:v>1</x:v>
      </x:c>
      <x:c r="M2140" s="23" t="n">
        <x:v>1</x:v>
      </x:c>
      <x:c r="N2140" s="28" t="n">
        <x:v>46203.921840393516</x:v>
      </x:c>
      <x:c r="O2140" s="28" t="n">
        <x:v>46219.812988715275</x:v>
      </x:c>
      <x:c r="P2140" s="23" t="str">
        <x:v>CUIABA</x:v>
      </x:c>
      <x:c r="Q2140" s="30" t="n">
        <x:v>33582</x:v>
      </x:c>
      <x:c r="R2140" s="22" t="str">
        <x:f>"20309201"</x:f>
        <x:v>20309201</x:v>
      </x:c>
      <x:c r="S2140" s="23" t="str">
        <x:v>masculino</x:v>
      </x:c>
      <x:c r="T2140" s="22" t="str">
        <x:f>"RAX3F13"</x:f>
        <x:v>RAX3F13</x:v>
      </x:c>
      <x:c r="U2140" s="23" t="str">
        <x:v>LAURO GONCALVES MALHEIROS</x:v>
      </x:c>
      <x:c r="V2140" s="22" t="str">
        <x:f>"049.626.961-57"</x:f>
        <x:v>049.626.961-57</x:v>
      </x:c>
      <x:c r="W2140" s="22" t="str">
        <x:f>"04962696157"</x:f>
        <x:v>04962696157</x:v>
      </x:c>
      <x:c r="X2140" s="23" t="str">
        <x:v>lauro.malheiros@gmail.com</x:v>
      </x:c>
      <x:c r="Y2140" s="22" t="str">
        <x:f>"6599996-9068"</x:f>
        <x:v>6599996-9068</x:v>
      </x:c>
      <x:c r="Z2140" s="30" t="n">
        <x:v>46221</x:v>
      </x:c>
    </x:row>
    <x:row r="2141" ht="18" customHeight="1">
      <x:c r="A2141" s="22" t="str">
        <x:f>"7b5a38e9-5f8d-4cec-8f22-b20b39a2b95e"</x:f>
        <x:v>7b5a38e9-5f8d-4cec-8f22-b20b39a2b95e</x:v>
      </x:c>
      <x:c r="B2141" s="23" t="str">
        <x:v>LAYDISON LEONARDO DO NASCIMENTO</x:v>
      </x:c>
      <x:c r="C2141" s="23" t="str">
        <x:v>laydison leonardo do nascimento</x:v>
      </x:c>
      <x:c r="D2141" s="22" t="str">
        <x:f>"63.868.367/0001-41"</x:f>
        <x:v>63.868.367/0001-41</x:v>
      </x:c>
      <x:c r="E2141" s="22" t="str">
        <x:f>"63868367000141"</x:f>
        <x:v>63868367000141</x:v>
      </x:c>
      <x:c r="F2141" s="22" t="str">
        <x:f>"125.675.836-10"</x:f>
        <x:v>125.675.836-10</x:v>
      </x:c>
      <x:c r="G2141" s="22" t="str">
        <x:f>"12567583610"</x:f>
        <x:v>12567583610</x:v>
      </x:c>
      <x:c r="H2141" s="23" t="str">
        <x:v>leonardolaydison@gmail.com</x:v>
      </x:c>
      <x:c r="I2141" s="22" t="str">
        <x:f>"+55 31 9687-9797"</x:f>
        <x:v>+55 31 9687-9797</x:v>
      </x:c>
      <x:c r="J2141" s="23" t="str">
        <x:v>RENTAL</x:v>
      </x:c>
      <x:c r="K2141" s="23" t="str">
        <x:v>rental_company</x:v>
      </x:c>
      <x:c r="L2141" s="24" t="b">
        <x:v>1</x:v>
      </x:c>
      <x:c r="M2141" s="23" t="n">
        <x:v>1</x:v>
      </x:c>
      <x:c r="N2141" s="28" t="n">
        <x:v>46219.812988715275</x:v>
      </x:c>
      <x:c r="O2141" s="28" t="n">
        <x:v>46219.812988715275</x:v>
      </x:c>
      <x:c r="P2141" s="23" t="str">
        <x:v>GUANHAES</x:v>
      </x:c>
      <x:c r="Q2141" s="30" t="n">
        <x:v>32947</x:v>
      </x:c>
      <x:c r="R2141" s="22" t="str">
        <x:f>"000000265752477SSP RJ"</x:f>
        <x:v>000000265752477SSP RJ</x:v>
      </x:c>
      <x:c r="S2141" s="23" t="str">
        <x:v>masculino</x:v>
      </x:c>
      <x:c r="T2141" s="22" t="str"/>
      <x:c r="U2141" s="23" t="str">
        <x:v>LAYDISON LEONARDO DO NASCIMENTO</x:v>
      </x:c>
      <x:c r="V2141" s="22" t="str">
        <x:f>"125.675.836-10"</x:f>
        <x:v>125.675.836-10</x:v>
      </x:c>
      <x:c r="W2141" s="22" t="str">
        <x:f>"12567583610"</x:f>
        <x:v>12567583610</x:v>
      </x:c>
      <x:c r="X2141" s="23" t="str">
        <x:v>leonardolaydison@gmail.com</x:v>
      </x:c>
      <x:c r="Y2141" s="22" t="str">
        <x:f>"+55 31 9687-9797"</x:f>
        <x:v>+55 31 9687-9797</x:v>
      </x:c>
      <x:c r="Z2141" s="30" t="n">
        <x:v>46583</x:v>
      </x:c>
    </x:row>
    <x:row r="2142" ht="18" customHeight="1">
      <x:c r="A2142" s="22" t="str">
        <x:f>"d18754d9-b854-4fde-880e-6a6be95b5e8c"</x:f>
        <x:v>d18754d9-b854-4fde-880e-6a6be95b5e8c</x:v>
      </x:c>
      <x:c r="B2142" s="23" t="str">
        <x:v>LAZARO AMARAL RAIMUNDO DIAS</x:v>
      </x:c>
      <x:c r="C2142" s="23" t="str">
        <x:v>lazaro amaral raimundo dias</x:v>
      </x:c>
      <x:c r="D2142" s="22" t="str">
        <x:f>"46.977.610/0001-40"</x:f>
        <x:v>46.977.610/0001-40</x:v>
      </x:c>
      <x:c r="E2142" s="22" t="str">
        <x:f>"46977610000140"</x:f>
        <x:v>46977610000140</x:v>
      </x:c>
      <x:c r="F2142" s="22" t="str">
        <x:f>"043.049.671-00"</x:f>
        <x:v>043.049.671-00</x:v>
      </x:c>
      <x:c r="G2142" s="22" t="str">
        <x:f>"04304967100"</x:f>
        <x:v>04304967100</x:v>
      </x:c>
      <x:c r="H2142" s="23" t="str">
        <x:v>lazarodias159@gmail.com</x:v>
      </x:c>
      <x:c r="I2142" s="22" t="str">
        <x:f>"62982013212"</x:f>
        <x:v>62982013212</x:v>
      </x:c>
      <x:c r="J2142" s="23" t="str">
        <x:v>SPOT</x:v>
      </x:c>
      <x:c r="K2142" s="23" t="str">
        <x:v>favored_only</x:v>
      </x:c>
      <x:c r="L2142" s="24" t="b">
        <x:v>1</x:v>
      </x:c>
      <x:c r="M2142" s="23" t="n">
        <x:v>1</x:v>
      </x:c>
      <x:c r="N2142" s="28" t="n">
        <x:v>46219.812988715275</x:v>
      </x:c>
      <x:c r="O2142" s="28" t="n">
        <x:v>46219.812988715275</x:v>
      </x:c>
      <x:c r="P2142" s="23" t="str">
        <x:v>MOZARLANDIA</x:v>
      </x:c>
      <x:c r="Q2142" s="30" t="n">
        <x:v>33914</x:v>
      </x:c>
      <x:c r="R2142" s="22" t="str">
        <x:f>"5799282 SSP GO"</x:f>
        <x:v>5799282 SSP GO</x:v>
      </x:c>
      <x:c r="S2142" s="23" t="str">
        <x:v>masculino</x:v>
      </x:c>
      <x:c r="T2142" s="22" t="str">
        <x:f>"RBT4F30"</x:f>
        <x:v>RBT4F30</x:v>
      </x:c>
      <x:c r="U2142" s="23" t="str">
        <x:v>WESLLEY FERNANDES BARBOSA</x:v>
      </x:c>
      <x:c r="V2142" s="22" t="str">
        <x:f>"009.823.861-25"</x:f>
        <x:v>009.823.861-25</x:v>
      </x:c>
      <x:c r="W2142" s="22" t="str">
        <x:f>"00982386125"</x:f>
        <x:v>00982386125</x:v>
      </x:c>
      <x:c r="X2142" s="23" t="str">
        <x:v>fernandob120297@gmail.com</x:v>
      </x:c>
      <x:c r="Y2142" s="22" t="str">
        <x:f>"62 8236 4564"</x:f>
        <x:v>62 8236 4564</x:v>
      </x:c>
      <x:c r="Z2142" s="30" t="n">
        <x:v>46340</x:v>
      </x:c>
    </x:row>
    <x:row r="2143" ht="18" customHeight="1">
      <x:c r="A2143" s="22" t="str">
        <x:f>"5584eca0-d632-43a4-a277-f817814c4366"</x:f>
        <x:v>5584eca0-d632-43a4-a277-f817814c4366</x:v>
      </x:c>
      <x:c r="B2143" s="23" t="str">
        <x:v>Leandro Augusto Caixeta Pereira</x:v>
      </x:c>
      <x:c r="C2143" s="23" t="str">
        <x:v>leandro augusto caixeta pereira</x:v>
      </x:c>
      <x:c r="D2143" s="22" t="str">
        <x:f>"54.233.766/0001-45"</x:f>
        <x:v>54.233.766/0001-45</x:v>
      </x:c>
      <x:c r="E2143" s="22" t="str">
        <x:f>"54233766000145"</x:f>
        <x:v>54233766000145</x:v>
      </x:c>
      <x:c r="F2143" s="22" t="str">
        <x:f>"081.974.576-62"</x:f>
        <x:v>081.974.576-62</x:v>
      </x:c>
      <x:c r="G2143" s="22" t="str">
        <x:f>"08197457662"</x:f>
        <x:v>08197457662</x:v>
      </x:c>
      <x:c r="H2143" s="23" t="str">
        <x:v>tiopetshomekennel@gmail.com</x:v>
      </x:c>
      <x:c r="I2143" s="22" t="str">
        <x:f>"31 98628-5456"</x:f>
        <x:v>31 98628-5456</x:v>
      </x:c>
      <x:c r="J2143" s="23" t="str">
        <x:v>SPOT</x:v>
      </x:c>
      <x:c r="K2143" s="23" t="str">
        <x:v>favored_only</x:v>
      </x:c>
      <x:c r="L2143" s="24" t="b">
        <x:v>1</x:v>
      </x:c>
      <x:c r="M2143" s="23" t="n">
        <x:v>1</x:v>
      </x:c>
      <x:c r="N2143" s="28" t="n">
        <x:v>46205.60316643518</x:v>
      </x:c>
      <x:c r="O2143" s="28" t="n">
        <x:v>46205.60471266204</x:v>
      </x:c>
      <x:c r="P2143" s="23" t="str">
        <x:v>CONTAGEM</x:v>
      </x:c>
      <x:c r="Q2143" s="30" t="n">
        <x:v>31772</x:v>
      </x:c>
      <x:c r="R2143" s="22" t="str">
        <x:f>"14836079"</x:f>
        <x:v>14836079</x:v>
      </x:c>
      <x:c r="S2143" s="23" t="str">
        <x:v>Masculino</x:v>
      </x:c>
      <x:c r="T2143" s="22" t="str">
        <x:f>"QQB3G85"</x:f>
        <x:v>QQB3G85</x:v>
      </x:c>
      <x:c r="U2143" s="23" t="str">
        <x:v>Raphaela De Souza Mayrink</x:v>
      </x:c>
      <x:c r="V2143" s="22" t="str">
        <x:f>"052.529.596-84"</x:f>
        <x:v>052.529.596-84</x:v>
      </x:c>
      <x:c r="W2143" s="22" t="str">
        <x:f>"05252959684"</x:f>
        <x:v>05252959684</x:v>
      </x:c>
      <x:c r="X2143" s="23" t="str">
        <x:v>tiopetshomekennel@gmail.com</x:v>
      </x:c>
      <x:c r="Y2143" s="22" t="str">
        <x:f>"31 98628-5456"</x:f>
        <x:v>31 98628-5456</x:v>
      </x:c>
      <x:c r="Z2143" s="30" t="n">
        <x:v>46208</x:v>
      </x:c>
    </x:row>
    <x:row r="2144" ht="18" customHeight="1">
      <x:c r="A2144" s="22" t="str">
        <x:f>"3963de88-576d-4e22-ba25-e28f8430b796"</x:f>
        <x:v>3963de88-576d-4e22-ba25-e28f8430b796</x:v>
      </x:c>
      <x:c r="B2144" s="23" t="str">
        <x:v>LEANDRO BRANDINO PIRES PIMENTA</x:v>
      </x:c>
      <x:c r="C2144" s="23" t="str">
        <x:v>leandro brandino pires pimenta</x:v>
      </x:c>
      <x:c r="D2144" s="22" t="str">
        <x:f>"48.979.247/0001-28"</x:f>
        <x:v>48.979.247/0001-28</x:v>
      </x:c>
      <x:c r="E2144" s="22" t="str">
        <x:f>"48979247000128"</x:f>
        <x:v>48979247000128</x:v>
      </x:c>
      <x:c r="F2144" s="22" t="str">
        <x:f>"140.977.347-76"</x:f>
        <x:v>140.977.347-76</x:v>
      </x:c>
      <x:c r="G2144" s="22" t="str">
        <x:f>"14097734776"</x:f>
        <x:v>14097734776</x:v>
      </x:c>
      <x:c r="H2144" s="23" t="str">
        <x:v>Leandro.pimenta555@gmail.com</x:v>
      </x:c>
      <x:c r="I2144" s="22" t="str">
        <x:f>"21978577827"</x:f>
        <x:v>21978577827</x:v>
      </x:c>
      <x:c r="J2144" s="23" t="str">
        <x:v>SPOT</x:v>
      </x:c>
      <x:c r="K2144" s="23" t="str">
        <x:v>favored_only</x:v>
      </x:c>
      <x:c r="L2144" s="24" t="b">
        <x:v>1</x:v>
      </x:c>
      <x:c r="M2144" s="23" t="n">
        <x:v>1</x:v>
      </x:c>
      <x:c r="N2144" s="28" t="n">
        <x:v>46219.812988715275</x:v>
      </x:c>
      <x:c r="O2144" s="28" t="n">
        <x:v>46219.812988715275</x:v>
      </x:c>
      <x:c r="P2144" s="23" t="str">
        <x:v>SÃO JOAO DE MERITI</x:v>
      </x:c>
      <x:c r="Q2144" s="30" t="n">
        <x:v>34349</x:v>
      </x:c>
      <x:c r="R2144" s="22" t="str">
        <x:f>"267133262"</x:f>
        <x:v>267133262</x:v>
      </x:c>
      <x:c r="S2144" s="23" t="str">
        <x:v>masculino</x:v>
      </x:c>
      <x:c r="T2144" s="22" t="str">
        <x:f>"KYB6B21"</x:f>
        <x:v>KYB6B21</x:v>
      </x:c>
      <x:c r="U2144" s="23" t="str">
        <x:v>LEANDRO BRANDINO PIRES PIMENTA</x:v>
      </x:c>
      <x:c r="V2144" s="22" t="str">
        <x:f>"140.977.347-76"</x:f>
        <x:v>140.977.347-76</x:v>
      </x:c>
      <x:c r="W2144" s="22" t="str">
        <x:f>"14097734776"</x:f>
        <x:v>14097734776</x:v>
      </x:c>
      <x:c r="X2144" s="23" t="str">
        <x:v>Leandro.pimenta555@gmail.com</x:v>
      </x:c>
      <x:c r="Y2144" s="22" t="str">
        <x:f>"21978577827"</x:f>
        <x:v>21978577827</x:v>
      </x:c>
      <x:c r="Z2144" s="30" t="n">
        <x:v>46452</x:v>
      </x:c>
    </x:row>
    <x:row r="2145" ht="18" customHeight="1">
      <x:c r="A2145" s="22" t="str">
        <x:f>"f9a02619-8af3-45a0-b7d7-aca7ffc729d3"</x:f>
        <x:v>f9a02619-8af3-45a0-b7d7-aca7ffc729d3</x:v>
      </x:c>
      <x:c r="B2145" s="23" t="str">
        <x:v>LEANDRO CLAITON ARAUJO</x:v>
      </x:c>
      <x:c r="C2145" s="23" t="str">
        <x:v>leandro claiton araujo</x:v>
      </x:c>
      <x:c r="D2145" s="22" t="str">
        <x:f>"47.702.073/0001-99"</x:f>
        <x:v>47.702.073/0001-99</x:v>
      </x:c>
      <x:c r="E2145" s="22" t="str">
        <x:f>"47702073000199"</x:f>
        <x:v>47702073000199</x:v>
      </x:c>
      <x:c r="F2145" s="22" t="str">
        <x:f>"040.718.386-80"</x:f>
        <x:v>040.718.386-80</x:v>
      </x:c>
      <x:c r="G2145" s="22" t="str">
        <x:f>"04071838680"</x:f>
        <x:v>04071838680</x:v>
      </x:c>
      <x:c r="H2145" s="23" t="str">
        <x:v>LEANDRO.TIMBRASIL@OUTLOOK.COM</x:v>
      </x:c>
      <x:c r="I2145" s="22" t="str">
        <x:f>"35 991840200"</x:f>
        <x:v>35 991840200</x:v>
      </x:c>
      <x:c r="J2145" s="23" t="str">
        <x:v>SPOT</x:v>
      </x:c>
      <x:c r="K2145" s="23" t="str">
        <x:v>favored_only</x:v>
      </x:c>
      <x:c r="L2145" s="24" t="b">
        <x:v>1</x:v>
      </x:c>
      <x:c r="M2145" s="23" t="n">
        <x:v>1</x:v>
      </x:c>
      <x:c r="N2145" s="28" t="n">
        <x:v>46203.921824756944</x:v>
      </x:c>
      <x:c r="O2145" s="28" t="n">
        <x:v>46219.812988715275</x:v>
      </x:c>
      <x:c r="P2145" s="23" t="str">
        <x:v>GUAXUPE</x:v>
      </x:c>
      <x:c r="Q2145" s="30" t="n">
        <x:v>29445</x:v>
      </x:c>
      <x:c r="R2145" s="22" t="str">
        <x:f>"12052605"</x:f>
        <x:v>12052605</x:v>
      </x:c>
      <x:c r="S2145" s="23" t="str">
        <x:v>masculino</x:v>
      </x:c>
      <x:c r="T2145" s="22" t="str">
        <x:f>"PMJ2589"</x:f>
        <x:v>PMJ2589</x:v>
      </x:c>
      <x:c r="U2145" s="23" t="str">
        <x:v>LEANDRO CLAITON ARAUJO</x:v>
      </x:c>
      <x:c r="V2145" s="22" t="str">
        <x:f>"040.718.386-80"</x:f>
        <x:v>040.718.386-80</x:v>
      </x:c>
      <x:c r="W2145" s="22" t="str">
        <x:f>"04071838680"</x:f>
        <x:v>04071838680</x:v>
      </x:c>
      <x:c r="X2145" s="23" t="str">
        <x:v>LEANDRO.TIMBRASIL@OUTLOOK.COM</x:v>
      </x:c>
      <x:c r="Y2145" s="22" t="str">
        <x:f>"35 991840200"</x:f>
        <x:v>35 991840200</x:v>
      </x:c>
      <x:c r="Z2145" s="30" t="n">
        <x:v>46226</x:v>
      </x:c>
    </x:row>
    <x:row r="2146" ht="18" customHeight="1">
      <x:c r="A2146" s="22" t="str">
        <x:f>"2f409312-06c3-4103-a5e4-2a37451ab7e6"</x:f>
        <x:v>2f409312-06c3-4103-a5e4-2a37451ab7e6</x:v>
      </x:c>
      <x:c r="B2146" s="23" t="str">
        <x:v>LEANDRO DA SILVA SANTOS</x:v>
      </x:c>
      <x:c r="C2146" s="23" t="str">
        <x:v>leandro da silva santos</x:v>
      </x:c>
      <x:c r="D2146" s="22" t="str">
        <x:f>"65.759.544/0001-87"</x:f>
        <x:v>65.759.544/0001-87</x:v>
      </x:c>
      <x:c r="E2146" s="22" t="str">
        <x:f>"65759544000187"</x:f>
        <x:v>65759544000187</x:v>
      </x:c>
      <x:c r="F2146" s="22" t="str">
        <x:f>"424.591.678-81"</x:f>
        <x:v>424.591.678-81</x:v>
      </x:c>
      <x:c r="G2146" s="22" t="str">
        <x:f>"42459167881"</x:f>
        <x:v>42459167881</x:v>
      </x:c>
      <x:c r="H2146" s="23" t="str">
        <x:v>ls3274260@gmail.com</x:v>
      </x:c>
      <x:c r="I2146" s="22" t="str">
        <x:f>"35998938932"</x:f>
        <x:v>35998938932</x:v>
      </x:c>
      <x:c r="J2146" s="23" t="str">
        <x:v>RENTAL</x:v>
      </x:c>
      <x:c r="K2146" s="23" t="str">
        <x:v>rental_company</x:v>
      </x:c>
      <x:c r="L2146" s="24" t="b">
        <x:v>1</x:v>
      </x:c>
      <x:c r="M2146" s="23" t="n">
        <x:v>1</x:v>
      </x:c>
      <x:c r="N2146" s="28" t="n">
        <x:v>46219.812988715275</x:v>
      </x:c>
      <x:c r="O2146" s="28" t="n">
        <x:v>46219.812988715275</x:v>
      </x:c>
      <x:c r="P2146" s="23" t="str">
        <x:v>POUSO ALEGRE</x:v>
      </x:c>
      <x:c r="Q2146" s="30" t="n">
        <x:v>34170</x:v>
      </x:c>
      <x:c r="R2146" s="22" t="str">
        <x:f>"41736656"</x:f>
        <x:v>41736656</x:v>
      </x:c>
      <x:c r="S2146" s="23" t="str">
        <x:v>masculino</x:v>
      </x:c>
      <x:c r="T2146" s="22" t="str"/>
      <x:c r="U2146" s="23" t="str">
        <x:v>LEANDRO DA SILVA SANTOS</x:v>
      </x:c>
      <x:c r="V2146" s="22" t="str">
        <x:f>"424.591.678-81"</x:f>
        <x:v>424.591.678-81</x:v>
      </x:c>
      <x:c r="W2146" s="22" t="str">
        <x:f>"42459167881"</x:f>
        <x:v>42459167881</x:v>
      </x:c>
      <x:c r="X2146" s="23" t="str">
        <x:v>ls3274260@gmail.com</x:v>
      </x:c>
      <x:c r="Y2146" s="22" t="str">
        <x:f>"35998938932"</x:f>
        <x:v>35998938932</x:v>
      </x:c>
      <x:c r="Z2146" s="30" t="n">
        <x:v>46465</x:v>
      </x:c>
    </x:row>
    <x:row r="2147" ht="18" customHeight="1">
      <x:c r="A2147" s="22" t="str">
        <x:f>"ea3041d6-35f6-4c88-ace1-820e07af4574"</x:f>
        <x:v>ea3041d6-35f6-4c88-ace1-820e07af4574</x:v>
      </x:c>
      <x:c r="B2147" s="23" t="str">
        <x:v>LEANDRO DE DEUS MELO</x:v>
      </x:c>
      <x:c r="C2147" s="23" t="str">
        <x:v>leandro de deus melo</x:v>
      </x:c>
      <x:c r="D2147" s="22" t="str">
        <x:f>"63.022.256/0001-10"</x:f>
        <x:v>63.022.256/0001-10</x:v>
      </x:c>
      <x:c r="E2147" s="22" t="str">
        <x:f>"63022256000110"</x:f>
        <x:v>63022256000110</x:v>
      </x:c>
      <x:c r="F2147" s="22" t="str">
        <x:f>"468.597.638-09"</x:f>
        <x:v>468.597.638-09</x:v>
      </x:c>
      <x:c r="G2147" s="22" t="str">
        <x:f>"46859763809"</x:f>
        <x:v>46859763809</x:v>
      </x:c>
      <x:c r="H2147" s="23" t="str">
        <x:v>lehhdedeus@gmail.com</x:v>
      </x:c>
      <x:c r="I2147" s="22" t="str">
        <x:f>"17997384737"</x:f>
        <x:v>17997384737</x:v>
      </x:c>
      <x:c r="J2147" s="23" t="str">
        <x:v>RENTAL</x:v>
      </x:c>
      <x:c r="K2147" s="23" t="str">
        <x:v>rental_company</x:v>
      </x:c>
      <x:c r="L2147" s="24" t="b">
        <x:v>1</x:v>
      </x:c>
      <x:c r="M2147" s="23" t="n">
        <x:v>1</x:v>
      </x:c>
      <x:c r="N2147" s="28" t="n">
        <x:v>46203.92188238426</x:v>
      </x:c>
      <x:c r="O2147" s="28" t="n">
        <x:v>46219.812988715275</x:v>
      </x:c>
      <x:c r="P2147" s="23" t="str">
        <x:v>JALES</x:v>
      </x:c>
      <x:c r="Q2147" s="30" t="n">
        <x:v>36391</x:v>
      </x:c>
      <x:c r="R2147" s="22" t="str">
        <x:f>"434831438"</x:f>
        <x:v>434831438</x:v>
      </x:c>
      <x:c r="S2147" s="23" t="str">
        <x:v>masculino</x:v>
      </x:c>
      <x:c r="T2147" s="22" t="str"/>
      <x:c r="U2147" s="23" t="str">
        <x:v>LEANDRO DE DEUS MELO</x:v>
      </x:c>
      <x:c r="V2147" s="22" t="str">
        <x:f>"468.597.638-09"</x:f>
        <x:v>468.597.638-09</x:v>
      </x:c>
      <x:c r="W2147" s="22" t="str">
        <x:f>"46859763809"</x:f>
        <x:v>46859763809</x:v>
      </x:c>
      <x:c r="X2147" s="23" t="str">
        <x:v>lehhdedeus@gmail.com</x:v>
      </x:c>
      <x:c r="Y2147" s="22" t="str">
        <x:f>"17997384737"</x:f>
        <x:v>17997384737</x:v>
      </x:c>
      <x:c r="Z2147" s="30" t="n">
        <x:v>46319</x:v>
      </x:c>
    </x:row>
    <x:row r="2148" ht="18" customHeight="1">
      <x:c r="A2148" s="22" t="str">
        <x:f>"d77d1ce4-2202-48d4-860c-30a5d38bc1bd"</x:f>
        <x:v>d77d1ce4-2202-48d4-860c-30a5d38bc1bd</x:v>
      </x:c>
      <x:c r="B2148" s="23" t="str">
        <x:v>LEANDRO DE OLIVEIRA SAMPAIO</x:v>
      </x:c>
      <x:c r="C2148" s="23" t="str">
        <x:v>leandro de oliveira sampaio</x:v>
      </x:c>
      <x:c r="D2148" s="22" t="str">
        <x:f>"62.214.715/0001-02"</x:f>
        <x:v>62.214.715/0001-02</x:v>
      </x:c>
      <x:c r="E2148" s="22" t="str">
        <x:f>"62214715000102"</x:f>
        <x:v>62214715000102</x:v>
      </x:c>
      <x:c r="F2148" s="22" t="str">
        <x:f>"011.924.226-51"</x:f>
        <x:v>011.924.226-51</x:v>
      </x:c>
      <x:c r="G2148" s="22" t="str">
        <x:f>"01192422651"</x:f>
        <x:v>01192422651</x:v>
      </x:c>
      <x:c r="H2148" s="23" t="str">
        <x:v>leandro05.sampaio@gmail.com</x:v>
      </x:c>
      <x:c r="I2148" s="22" t="str">
        <x:f>"31 97233-6005"</x:f>
        <x:v>31 97233-6005</x:v>
      </x:c>
      <x:c r="J2148" s="23" t="str">
        <x:v>RENTAL</x:v>
      </x:c>
      <x:c r="K2148" s="23" t="str">
        <x:v>rental_company</x:v>
      </x:c>
      <x:c r="L2148" s="24" t="b">
        <x:v>1</x:v>
      </x:c>
      <x:c r="M2148" s="23" t="n">
        <x:v>1</x:v>
      </x:c>
      <x:c r="N2148" s="28" t="n">
        <x:v>46219.812988715275</x:v>
      </x:c>
      <x:c r="O2148" s="28" t="n">
        <x:v>46219.812988715275</x:v>
      </x:c>
      <x:c r="P2148" s="23" t="str">
        <x:v>NOVA LIMA</x:v>
      </x:c>
      <x:c r="Q2148" s="30" t="n">
        <x:v>29225</x:v>
      </x:c>
      <x:c r="R2148" s="22" t="str">
        <x:f>"MG7378192"</x:f>
        <x:v>MG7378192</x:v>
      </x:c>
      <x:c r="S2148" s="23" t="str">
        <x:v>masculino</x:v>
      </x:c>
      <x:c r="T2148" s="22" t="str"/>
      <x:c r="U2148" s="23" t="str">
        <x:v>LEANDRO DE OLIVEIRA SAMPAIO</x:v>
      </x:c>
      <x:c r="V2148" s="22" t="str">
        <x:f>"011.924.226-51"</x:f>
        <x:v>011.924.226-51</x:v>
      </x:c>
      <x:c r="W2148" s="22" t="str">
        <x:f>"01192422651"</x:f>
        <x:v>01192422651</x:v>
      </x:c>
      <x:c r="X2148" s="23" t="str">
        <x:v>leandro05.sampaio@gmail.com</x:v>
      </x:c>
      <x:c r="Y2148" s="22" t="str">
        <x:f>"31 97233-6005"</x:f>
        <x:v>31 97233-6005</x:v>
      </x:c>
      <x:c r="Z2148" s="30" t="n">
        <x:v>46550</x:v>
      </x:c>
    </x:row>
    <x:row r="2149" ht="18" customHeight="1">
      <x:c r="A2149" s="22" t="str">
        <x:f>"61d32de0-9131-4be2-92ca-4b4aa9b6d94c"</x:f>
        <x:v>61d32de0-9131-4be2-92ca-4b4aa9b6d94c</x:v>
      </x:c>
      <x:c r="B2149" s="23" t="str">
        <x:v>LEANDRO DE SOUZA TELES</x:v>
      </x:c>
      <x:c r="C2149" s="23" t="str">
        <x:v>leandro de souza teles</x:v>
      </x:c>
      <x:c r="D2149" s="22" t="str">
        <x:f>"64.492.720/0001-02"</x:f>
        <x:v>64.492.720/0001-02</x:v>
      </x:c>
      <x:c r="E2149" s="22" t="str">
        <x:f>"64492720000102"</x:f>
        <x:v>64492720000102</x:v>
      </x:c>
      <x:c r="F2149" s="22" t="str">
        <x:f>"023.473.451-50"</x:f>
        <x:v>023.473.451-50</x:v>
      </x:c>
      <x:c r="G2149" s="22" t="str">
        <x:f>"02347345150"</x:f>
        <x:v>02347345150</x:v>
      </x:c>
      <x:c r="H2149" s="23" t="str">
        <x:v>leandrotelles.rep@gmail.com</x:v>
      </x:c>
      <x:c r="I2149" s="22" t="str">
        <x:f>"65962331788"</x:f>
        <x:v>65962331788</x:v>
      </x:c>
      <x:c r="J2149" s="23" t="str">
        <x:v>SPOT</x:v>
      </x:c>
      <x:c r="K2149" s="23" t="str">
        <x:v>favored_only</x:v>
      </x:c>
      <x:c r="L2149" s="24" t="b">
        <x:v>1</x:v>
      </x:c>
      <x:c r="M2149" s="23" t="n">
        <x:v>2</x:v>
      </x:c>
      <x:c r="N2149" s="28" t="n">
        <x:v>46219.812988715275</x:v>
      </x:c>
      <x:c r="O2149" s="28" t="n">
        <x:v>46219.812988715275</x:v>
      </x:c>
      <x:c r="P2149" s="23" t="str">
        <x:v>CUIABA</x:v>
      </x:c>
      <x:c r="Q2149" s="30" t="n">
        <x:v>32316</x:v>
      </x:c>
      <x:c r="R2149" s="22" t="str">
        <x:f>"18492584"</x:f>
        <x:v>18492584</x:v>
      </x:c>
      <x:c r="S2149" s="23" t="str">
        <x:v>masculino</x:v>
      </x:c>
      <x:c r="T2149" s="22" t="str">
        <x:f>"QTB5D06"</x:f>
        <x:v>QTB5D06</x:v>
      </x:c>
      <x:c r="U2149" s="23" t="str">
        <x:v>LEANDRO DE SOUZA TELES</x:v>
      </x:c>
      <x:c r="V2149" s="22" t="str">
        <x:f>"023.473.451-50"</x:f>
        <x:v>023.473.451-50</x:v>
      </x:c>
      <x:c r="W2149" s="22" t="str">
        <x:f>"02347345150"</x:f>
        <x:v>02347345150</x:v>
      </x:c>
      <x:c r="X2149" s="23" t="str">
        <x:v>leandrotelles.rep@gmail.com</x:v>
      </x:c>
      <x:c r="Y2149" s="22" t="str">
        <x:f>"65962331788"</x:f>
        <x:v>65962331788</x:v>
      </x:c>
      <x:c r="Z2149" s="30" t="n">
        <x:v>46530</x:v>
      </x:c>
    </x:row>
    <x:row r="2150" ht="18" customHeight="1">
      <x:c r="A2150" s="22" t="str">
        <x:f>"9780c70c-1b74-404d-9d6a-11967c97c09f"</x:f>
        <x:v>9780c70c-1b74-404d-9d6a-11967c97c09f</x:v>
      </x:c>
      <x:c r="B2150" s="23" t="str">
        <x:v>LEANDRO DOS REIS FERNANDES</x:v>
      </x:c>
      <x:c r="C2150" s="23" t="str">
        <x:v>leandro dos reis fernandes</x:v>
      </x:c>
      <x:c r="D2150" s="22" t="str">
        <x:f>"48.781.588/0001-94"</x:f>
        <x:v>48.781.588/0001-94</x:v>
      </x:c>
      <x:c r="E2150" s="22" t="str">
        <x:f>"48781588000194"</x:f>
        <x:v>48781588000194</x:v>
      </x:c>
      <x:c r="F2150" s="22" t="str">
        <x:f>"059.865.626-07"</x:f>
        <x:v>059.865.626-07</x:v>
      </x:c>
      <x:c r="G2150" s="22" t="str">
        <x:f>"05986562607"</x:f>
        <x:v>05986562607</x:v>
      </x:c>
      <x:c r="H2150" s="23" t="str">
        <x:v>leandro_rfernandes@hotmail.com</x:v>
      </x:c>
      <x:c r="I2150" s="22" t="str">
        <x:f>"34992510558"</x:f>
        <x:v>34992510558</x:v>
      </x:c>
      <x:c r="J2150" s="23" t="str">
        <x:v>RENTAL</x:v>
      </x:c>
      <x:c r="K2150" s="23" t="str">
        <x:v>rental_company</x:v>
      </x:c>
      <x:c r="L2150" s="24" t="b">
        <x:v>1</x:v>
      </x:c>
      <x:c r="M2150" s="23" t="n">
        <x:v>1</x:v>
      </x:c>
      <x:c r="N2150" s="28" t="n">
        <x:v>46219.812988715275</x:v>
      </x:c>
      <x:c r="O2150" s="28" t="n">
        <x:v>46219.812988715275</x:v>
      </x:c>
      <x:c r="P2150" s="23" t="str">
        <x:v>UBERABA</x:v>
      </x:c>
      <x:c r="Q2150" s="30" t="n">
        <x:v>30740</x:v>
      </x:c>
      <x:c r="R2150" s="22" t="str">
        <x:f>"13337560"</x:f>
        <x:v>13337560</x:v>
      </x:c>
      <x:c r="S2150" s="23" t="str">
        <x:v>masculino</x:v>
      </x:c>
      <x:c r="T2150" s="22" t="str"/>
      <x:c r="U2150" s="23" t="str">
        <x:v>LEANDRO DOS REIS FERNANDES</x:v>
      </x:c>
      <x:c r="V2150" s="22" t="str">
        <x:f>"059.865.626-07"</x:f>
        <x:v>059.865.626-07</x:v>
      </x:c>
      <x:c r="W2150" s="22" t="str">
        <x:f>"05986562607"</x:f>
        <x:v>05986562607</x:v>
      </x:c>
      <x:c r="X2150" s="23" t="str">
        <x:v>leandro_rfernandes@hotmail.com</x:v>
      </x:c>
      <x:c r="Y2150" s="22" t="str">
        <x:f>"34992510558"</x:f>
        <x:v>34992510558</x:v>
      </x:c>
      <x:c r="Z2150" s="30" t="n">
        <x:v>46525</x:v>
      </x:c>
    </x:row>
    <x:row r="2151" ht="18" customHeight="1">
      <x:c r="A2151" s="22" t="str">
        <x:f>"3739b195-e6ff-4b51-b279-33d16e9860ef"</x:f>
        <x:v>3739b195-e6ff-4b51-b279-33d16e9860ef</x:v>
      </x:c>
      <x:c r="B2151" s="23" t="str">
        <x:v>LEANDRO DOS SANTOS ALMEIDA</x:v>
      </x:c>
      <x:c r="C2151" s="23" t="str">
        <x:v>leandro dos santos almeida</x:v>
      </x:c>
      <x:c r="D2151" s="22" t="str">
        <x:f>"63.418.239/0001-04"</x:f>
        <x:v>63.418.239/0001-04</x:v>
      </x:c>
      <x:c r="E2151" s="22" t="str">
        <x:f>"63418239000104"</x:f>
        <x:v>63418239000104</x:v>
      </x:c>
      <x:c r="F2151" s="22" t="str">
        <x:f>"050.552.555-01"</x:f>
        <x:v>050.552.555-01</x:v>
      </x:c>
      <x:c r="G2151" s="22" t="str">
        <x:f>"05055255501"</x:f>
        <x:v>05055255501</x:v>
      </x:c>
      <x:c r="H2151" s="23" t="str">
        <x:v>leandro.pscat.13@gmail.com</x:v>
      </x:c>
      <x:c r="I2151" s="22" t="str">
        <x:f>"64 8455-8069"</x:f>
        <x:v>64 8455-8069</x:v>
      </x:c>
      <x:c r="J2151" s="23" t="str">
        <x:v>RENTAL</x:v>
      </x:c>
      <x:c r="K2151" s="23" t="str">
        <x:v>rental_company</x:v>
      </x:c>
      <x:c r="L2151" s="24" t="b">
        <x:v>1</x:v>
      </x:c>
      <x:c r="M2151" s="23" t="n">
        <x:v>1</x:v>
      </x:c>
      <x:c r="N2151" s="28" t="n">
        <x:v>46219.812988715275</x:v>
      </x:c>
      <x:c r="O2151" s="28" t="n">
        <x:v>46219.812988715275</x:v>
      </x:c>
      <x:c r="P2151" s="23" t="str">
        <x:v>RIO VERDE</x:v>
      </x:c>
      <x:c r="Q2151" s="30" t="n">
        <x:v>33208</x:v>
      </x:c>
      <x:c r="R2151" s="22" t="str">
        <x:f>"1516857895"</x:f>
        <x:v>1516857895</x:v>
      </x:c>
      <x:c r="S2151" s="23" t="str">
        <x:v>masculino</x:v>
      </x:c>
      <x:c r="T2151" s="22" t="str"/>
      <x:c r="U2151" s="23" t="str">
        <x:v>LEANDRO DOS SANTOS ALMEIDA</x:v>
      </x:c>
      <x:c r="V2151" s="22" t="str">
        <x:f>"050.552.555-01"</x:f>
        <x:v>050.552.555-01</x:v>
      </x:c>
      <x:c r="W2151" s="22" t="str">
        <x:f>"05055255501"</x:f>
        <x:v>05055255501</x:v>
      </x:c>
      <x:c r="X2151" s="23" t="str">
        <x:v>leandro.pscat.13@gmail.com</x:v>
      </x:c>
      <x:c r="Y2151" s="22" t="str">
        <x:f>"64 8455-8069"</x:f>
        <x:v>64 8455-8069</x:v>
      </x:c>
      <x:c r="Z2151" s="30" t="n">
        <x:v>46437</x:v>
      </x:c>
    </x:row>
    <x:row r="2152" ht="18" customHeight="1">
      <x:c r="A2152" s="22" t="str">
        <x:f>"9447b81a-cbec-4714-a8a7-a9eb0ec5c764"</x:f>
        <x:v>9447b81a-cbec-4714-a8a7-a9eb0ec5c764</x:v>
      </x:c>
      <x:c r="B2152" s="23" t="str">
        <x:v>LEANDRO DOS SANTOS FERREIRA</x:v>
      </x:c>
      <x:c r="C2152" s="23" t="str">
        <x:v>leandro dos santos ferreira</x:v>
      </x:c>
      <x:c r="D2152" s="22" t="str">
        <x:f>"37.823.997/0001-90"</x:f>
        <x:v>37.823.997/0001-90</x:v>
      </x:c>
      <x:c r="E2152" s="22" t="str">
        <x:f>"37823997000190"</x:f>
        <x:v>37823997000190</x:v>
      </x:c>
      <x:c r="F2152" s="22" t="str">
        <x:f>"604.243.603-14"</x:f>
        <x:v>604.243.603-14</x:v>
      </x:c>
      <x:c r="G2152" s="22" t="str">
        <x:f>"60424360314"</x:f>
        <x:v>60424360314</x:v>
      </x:c>
      <x:c r="H2152" s="23" t="str">
        <x:v>lferreira.sc@gmail.com</x:v>
      </x:c>
      <x:c r="I2152" s="22" t="str">
        <x:f>"88 9261-0510"</x:f>
        <x:v>88 9261-0510</x:v>
      </x:c>
      <x:c r="J2152" s="23" t="str">
        <x:v>SPOT</x:v>
      </x:c>
      <x:c r="K2152" s="23" t="str">
        <x:v>favored_only</x:v>
      </x:c>
      <x:c r="L2152" s="24" t="b">
        <x:v>1</x:v>
      </x:c>
      <x:c r="M2152" s="23" t="n">
        <x:v>1</x:v>
      </x:c>
      <x:c r="N2152" s="28" t="n">
        <x:v>46219.812988715275</x:v>
      </x:c>
      <x:c r="O2152" s="28" t="n">
        <x:v>46219.812988715275</x:v>
      </x:c>
      <x:c r="P2152" s="23" t="str">
        <x:v>CHAPADÃO DO SUL</x:v>
      </x:c>
      <x:c r="Q2152" s="30" t="n">
        <x:v>12097</x:v>
      </x:c>
      <x:c r="R2152" s="22" t="str">
        <x:f>"2009099166008"</x:f>
        <x:v>2009099166008</x:v>
      </x:c>
      <x:c r="S2152" s="23" t="str">
        <x:v>masculino</x:v>
      </x:c>
      <x:c r="T2152" s="22" t="str">
        <x:f>"OAY2J21"</x:f>
        <x:v>OAY2J21</x:v>
      </x:c>
      <x:c r="U2152" s="23" t="str">
        <x:v>RODOPRIME TRANSPORTES E CARGAS LTDA</x:v>
      </x:c>
      <x:c r="V2152" s="22" t="str">
        <x:f>"962.005.291-91"</x:f>
        <x:v>962.005.291-91</x:v>
      </x:c>
      <x:c r="W2152" s="22" t="str">
        <x:f>"96200529191"</x:f>
        <x:v>96200529191</x:v>
      </x:c>
      <x:c r="X2152" s="23" t="str">
        <x:v>rtp.cargas@gmail.com</x:v>
      </x:c>
      <x:c r="Y2152" s="22" t="str">
        <x:f>"62991277279"</x:f>
        <x:v>62991277279</x:v>
      </x:c>
      <x:c r="Z2152" s="30" t="n">
        <x:v>46466</x:v>
      </x:c>
    </x:row>
    <x:row r="2153" ht="18" customHeight="1">
      <x:c r="A2153" s="22" t="str">
        <x:f>"948039ea-8f08-48f4-bf79-627fa639c8cb"</x:f>
        <x:v>948039ea-8f08-48f4-bf79-627fa639c8cb</x:v>
      </x:c>
      <x:c r="B2153" s="23" t="str">
        <x:v>LEANDRO FREITAS DE OLIVEIRA</x:v>
      </x:c>
      <x:c r="C2153" s="23" t="str">
        <x:v>leandro freitas de oliveira</x:v>
      </x:c>
      <x:c r="D2153" s="22" t="str">
        <x:f>"60.995.434/0001-09"</x:f>
        <x:v>60.995.434/0001-09</x:v>
      </x:c>
      <x:c r="E2153" s="22" t="str">
        <x:f>"60995434000109"</x:f>
        <x:v>60995434000109</x:v>
      </x:c>
      <x:c r="F2153" s="22" t="str">
        <x:f>"073.765.916-56"</x:f>
        <x:v>073.765.916-56</x:v>
      </x:c>
      <x:c r="G2153" s="22" t="str">
        <x:f>"07376591656"</x:f>
        <x:v>07376591656</x:v>
      </x:c>
      <x:c r="H2153" s="23" t="str">
        <x:v>freitasoliveira.leandro@gmail.com</x:v>
      </x:c>
      <x:c r="I2153" s="22" t="str">
        <x:f>"31 99628-8468"</x:f>
        <x:v>31 99628-8468</x:v>
      </x:c>
      <x:c r="J2153" s="23" t="str">
        <x:v>SPOT</x:v>
      </x:c>
      <x:c r="K2153" s="23" t="str">
        <x:v>favored_only</x:v>
      </x:c>
      <x:c r="L2153" s="24" t="b">
        <x:v>1</x:v>
      </x:c>
      <x:c r="M2153" s="23" t="n">
        <x:v>1</x:v>
      </x:c>
      <x:c r="N2153" s="28" t="n">
        <x:v>46219.812988715275</x:v>
      </x:c>
      <x:c r="O2153" s="28" t="n">
        <x:v>46219.812988715275</x:v>
      </x:c>
      <x:c r="P2153" s="23" t="str">
        <x:v>GUANHAES</x:v>
      </x:c>
      <x:c r="Q2153" s="30" t="n">
        <x:v>32504</x:v>
      </x:c>
      <x:c r="R2153" s="22" t="str">
        <x:f>"16879542"</x:f>
        <x:v>16879542</x:v>
      </x:c>
      <x:c r="S2153" s="23" t="str">
        <x:v>masculino</x:v>
      </x:c>
      <x:c r="T2153" s="22" t="str">
        <x:f>"OXP3I59"</x:f>
        <x:v>OXP3I59</x:v>
      </x:c>
      <x:c r="U2153" s="23" t="str">
        <x:v>PEDRO HENRIQUE ANDRADE FREITAS OLIVEIRA</x:v>
      </x:c>
      <x:c r="V2153" s="22" t="str">
        <x:f>"124.863.066-17"</x:f>
        <x:v>124.863.066-17</x:v>
      </x:c>
      <x:c r="W2153" s="22" t="str">
        <x:f>"12486306617"</x:f>
        <x:v>12486306617</x:v>
      </x:c>
      <x:c r="X2153" s="23" t="str">
        <x:v>pedroferros2011@hotmail.com</x:v>
      </x:c>
      <x:c r="Y2153" s="22" t="str">
        <x:f>"31997621487"</x:f>
        <x:v>31997621487</x:v>
      </x:c>
      <x:c r="Z2153" s="30" t="n">
        <x:v>46578</x:v>
      </x:c>
    </x:row>
    <x:row r="2154" ht="18" customHeight="1">
      <x:c r="A2154" s="22" t="str">
        <x:f>"a5c5e302-478f-46bf-834c-4803ce0b742a"</x:f>
        <x:v>a5c5e302-478f-46bf-834c-4803ce0b742a</x:v>
      </x:c>
      <x:c r="B2154" s="23" t="str">
        <x:v>LEANDRO GAMA DOS SANTOS</x:v>
      </x:c>
      <x:c r="C2154" s="23" t="str">
        <x:v>leandro gama dos santos</x:v>
      </x:c>
      <x:c r="D2154" s="22" t="str">
        <x:f>"59.138.901/0001-97"</x:f>
        <x:v>59.138.901/0001-97</x:v>
      </x:c>
      <x:c r="E2154" s="22" t="str">
        <x:f>"59138901000197"</x:f>
        <x:v>59138901000197</x:v>
      </x:c>
      <x:c r="F2154" s="22" t="str">
        <x:f>"159.044.057-90"</x:f>
        <x:v>159.044.057-90</x:v>
      </x:c>
      <x:c r="G2154" s="22" t="str">
        <x:f>"15904405790"</x:f>
        <x:v>15904405790</x:v>
      </x:c>
      <x:c r="H2154" s="23" t="str">
        <x:v>leandrogamamusic@gmail.com</x:v>
      </x:c>
      <x:c r="I2154" s="22" t="str">
        <x:f>"21992653784"</x:f>
        <x:v>21992653784</x:v>
      </x:c>
      <x:c r="J2154" s="23" t="str">
        <x:v>SPOT</x:v>
      </x:c>
      <x:c r="K2154" s="23" t="str">
        <x:v>favored_only</x:v>
      </x:c>
      <x:c r="L2154" s="24" t="b">
        <x:v>1</x:v>
      </x:c>
      <x:c r="M2154" s="23" t="n">
        <x:v>2</x:v>
      </x:c>
      <x:c r="N2154" s="28" t="n">
        <x:v>46203.9218771875</x:v>
      </x:c>
      <x:c r="O2154" s="28" t="n">
        <x:v>46219.812988715275</x:v>
      </x:c>
      <x:c r="P2154" s="23" t="str">
        <x:v>QUEIMADOS</x:v>
      </x:c>
      <x:c r="Q2154" s="30" t="n">
        <x:v>34046</x:v>
      </x:c>
      <x:c r="R2154" s="22" t="str">
        <x:f>"271610172"</x:f>
        <x:v>271610172</x:v>
      </x:c>
      <x:c r="S2154" s="23" t="str">
        <x:v>masculino</x:v>
      </x:c>
      <x:c r="T2154" s="22" t="str">
        <x:f>"LMD7G44"</x:f>
        <x:v>LMD7G44</x:v>
      </x:c>
      <x:c r="U2154" s="23" t="str">
        <x:v>LEANDRO GAMA DOS SANTOS</x:v>
      </x:c>
      <x:c r="V2154" s="22" t="str">
        <x:f>"159.044.057-90"</x:f>
        <x:v>159.044.057-90</x:v>
      </x:c>
      <x:c r="W2154" s="22" t="str">
        <x:f>"15904405790"</x:f>
        <x:v>15904405790</x:v>
      </x:c>
      <x:c r="X2154" s="23" t="str">
        <x:v>leandrogamamusic@gmail.com</x:v>
      </x:c>
      <x:c r="Y2154" s="22" t="str">
        <x:f>"21992653784"</x:f>
        <x:v>21992653784</x:v>
      </x:c>
      <x:c r="Z2154" s="30" t="n">
        <x:v>46428</x:v>
      </x:c>
    </x:row>
    <x:row r="2155" ht="18" customHeight="1">
      <x:c r="A2155" s="22" t="str">
        <x:f>"edb81a63-4a7a-4b6b-a3fb-4221f2e0ef5d"</x:f>
        <x:v>edb81a63-4a7a-4b6b-a3fb-4221f2e0ef5d</x:v>
      </x:c>
      <x:c r="B2155" s="23" t="str">
        <x:v>LEANDRO GOMES SPINDOLA</x:v>
      </x:c>
      <x:c r="C2155" s="23" t="str">
        <x:v>leandro gomes spindola</x:v>
      </x:c>
      <x:c r="D2155" s="22" t="str">
        <x:f>"60.317.994/0001-04"</x:f>
        <x:v>60.317.994/0001-04</x:v>
      </x:c>
      <x:c r="E2155" s="22" t="str">
        <x:f>"60317994000104"</x:f>
        <x:v>60317994000104</x:v>
      </x:c>
      <x:c r="F2155" s="22" t="str">
        <x:f>"389.722.918-89"</x:f>
        <x:v>389.722.918-89</x:v>
      </x:c>
      <x:c r="G2155" s="22" t="str">
        <x:f>"38972291889"</x:f>
        <x:v>38972291889</x:v>
      </x:c>
      <x:c r="H2155" s="23" t="str">
        <x:v>leandrosspindola@gmail.com</x:v>
      </x:c>
      <x:c r="I2155" s="22" t="str">
        <x:f>"17996001561"</x:f>
        <x:v>17996001561</x:v>
      </x:c>
      <x:c r="J2155" s="23" t="str">
        <x:v>SPOT</x:v>
      </x:c>
      <x:c r="K2155" s="23" t="str">
        <x:v>favored_only</x:v>
      </x:c>
      <x:c r="L2155" s="24" t="b">
        <x:v>1</x:v>
      </x:c>
      <x:c r="M2155" s="23" t="n">
        <x:v>1</x:v>
      </x:c>
      <x:c r="N2155" s="28" t="n">
        <x:v>46203.92189965278</x:v>
      </x:c>
      <x:c r="O2155" s="28" t="n">
        <x:v>46219.812988715275</x:v>
      </x:c>
      <x:c r="P2155" s="23" t="str">
        <x:v>BARRETOS</x:v>
      </x:c>
      <x:c r="Q2155" s="30" t="n">
        <x:v>32352</x:v>
      </x:c>
      <x:c r="R2155" s="22" t="str">
        <x:f>"40504804"</x:f>
        <x:v>40504804</x:v>
      </x:c>
      <x:c r="S2155" s="23" t="str">
        <x:v>masculino</x:v>
      </x:c>
      <x:c r="T2155" s="22" t="str">
        <x:f>"LUF4J80"</x:f>
        <x:v>LUF4J80</x:v>
      </x:c>
      <x:c r="U2155" s="23" t="str">
        <x:v>LEANDRO GOMES SPINDOLA</x:v>
      </x:c>
      <x:c r="V2155" s="22" t="str">
        <x:f>"389.722.918-89"</x:f>
        <x:v>389.722.918-89</x:v>
      </x:c>
      <x:c r="W2155" s="22" t="str">
        <x:f>"38972291889"</x:f>
        <x:v>38972291889</x:v>
      </x:c>
      <x:c r="X2155" s="23" t="str">
        <x:v>leandrosspindola@gmail.com</x:v>
      </x:c>
      <x:c r="Y2155" s="22" t="str">
        <x:f>"17996001561"</x:f>
        <x:v>17996001561</x:v>
      </x:c>
      <x:c r="Z2155" s="30" t="n">
        <x:v>46351</x:v>
      </x:c>
    </x:row>
    <x:row r="2156" ht="18" customHeight="1">
      <x:c r="A2156" s="22" t="str">
        <x:f>"e7901747-83d2-4846-8b37-21328d07fb63"</x:f>
        <x:v>e7901747-83d2-4846-8b37-21328d07fb63</x:v>
      </x:c>
      <x:c r="B2156" s="23" t="str">
        <x:v>LEANDRO JOSE DE FREITAS</x:v>
      </x:c>
      <x:c r="C2156" s="23" t="str">
        <x:v>leandro jose de freitas</x:v>
      </x:c>
      <x:c r="D2156" s="22" t="str">
        <x:f>"48.918.765/0001-31"</x:f>
        <x:v>48.918.765/0001-31</x:v>
      </x:c>
      <x:c r="E2156" s="22" t="str">
        <x:f>"48918765000131"</x:f>
        <x:v>48918765000131</x:v>
      </x:c>
      <x:c r="F2156" s="22" t="str">
        <x:f>"030.599.616-97"</x:f>
        <x:v>030.599.616-97</x:v>
      </x:c>
      <x:c r="G2156" s="22" t="str">
        <x:f>"03059961697"</x:f>
        <x:v>03059961697</x:v>
      </x:c>
      <x:c r="H2156" s="23" t="str">
        <x:v>leandrojosdefreitas123@gmail.com</x:v>
      </x:c>
      <x:c r="I2156" s="22" t="str">
        <x:f>"31992058159"</x:f>
        <x:v>31992058159</x:v>
      </x:c>
      <x:c r="J2156" s="23" t="str">
        <x:v>SPOT</x:v>
      </x:c>
      <x:c r="K2156" s="23" t="str">
        <x:v>favored_only</x:v>
      </x:c>
      <x:c r="L2156" s="24" t="b">
        <x:v>1</x:v>
      </x:c>
      <x:c r="M2156" s="23" t="n">
        <x:v>1</x:v>
      </x:c>
      <x:c r="N2156" s="28" t="n">
        <x:v>46219.812988715275</x:v>
      </x:c>
      <x:c r="O2156" s="28" t="n">
        <x:v>46219.812988715275</x:v>
      </x:c>
      <x:c r="P2156" s="23" t="str">
        <x:v>CONTAGEM</x:v>
      </x:c>
      <x:c r="Q2156" s="30" t="n">
        <x:v>28430</x:v>
      </x:c>
      <x:c r="R2156" s="22" t="str">
        <x:f>"7656832"</x:f>
        <x:v>7656832</x:v>
      </x:c>
      <x:c r="S2156" s="23" t="str">
        <x:v>masculino</x:v>
      </x:c>
      <x:c r="T2156" s="22" t="str"/>
      <x:c r="U2156" s="23" t="str">
        <x:v>LEANDRO JOSE DE FREITAS</x:v>
      </x:c>
      <x:c r="V2156" s="22" t="str">
        <x:f>"030.599.616-97"</x:f>
        <x:v>030.599.616-97</x:v>
      </x:c>
      <x:c r="W2156" s="22" t="str">
        <x:f>"03059961697"</x:f>
        <x:v>03059961697</x:v>
      </x:c>
      <x:c r="X2156" s="23" t="str">
        <x:v>leandrojosdefreitas123@gmail.com</x:v>
      </x:c>
      <x:c r="Y2156" s="22" t="str">
        <x:f>"31992058159"</x:f>
        <x:v>31992058159</x:v>
      </x:c>
      <x:c r="Z2156" s="30" t="n">
        <x:v>46555</x:v>
      </x:c>
    </x:row>
    <x:row r="2157" ht="18" customHeight="1">
      <x:c r="A2157" s="22" t="str">
        <x:f>"404cd267-3529-4909-8c8c-e743a27ad47a"</x:f>
        <x:v>404cd267-3529-4909-8c8c-e743a27ad47a</x:v>
      </x:c>
      <x:c r="B2157" s="23" t="str">
        <x:v>LEANDRO JOSE DOS SANTOS</x:v>
      </x:c>
      <x:c r="C2157" s="23" t="str">
        <x:v>leandro jose dos santos</x:v>
      </x:c>
      <x:c r="D2157" s="22" t="str">
        <x:f>"64.821.844/0001-86"</x:f>
        <x:v>64.821.844/0001-86</x:v>
      </x:c>
      <x:c r="E2157" s="22" t="str">
        <x:f>"64821844000186"</x:f>
        <x:v>64821844000186</x:v>
      </x:c>
      <x:c r="F2157" s="22" t="str">
        <x:f>"015.848.606-42"</x:f>
        <x:v>015.848.606-42</x:v>
      </x:c>
      <x:c r="G2157" s="22" t="str">
        <x:f>"01584860642"</x:f>
        <x:v>01584860642</x:v>
      </x:c>
      <x:c r="H2157" s="23" t="str">
        <x:v>leandrojs122@gmail.com</x:v>
      </x:c>
      <x:c r="I2157" s="22" t="str">
        <x:f>"(35) 99950-4171"</x:f>
        <x:v>(35) 99950-4171</x:v>
      </x:c>
      <x:c r="J2157" s="23" t="str">
        <x:v>SPOT</x:v>
      </x:c>
      <x:c r="K2157" s="23" t="str">
        <x:v>favored_only</x:v>
      </x:c>
      <x:c r="L2157" s="24" t="b">
        <x:v>1</x:v>
      </x:c>
      <x:c r="M2157" s="23" t="n">
        <x:v>1</x:v>
      </x:c>
      <x:c r="N2157" s="28" t="n">
        <x:v>46219.812988715275</x:v>
      </x:c>
      <x:c r="O2157" s="28" t="n">
        <x:v>46219.812988715275</x:v>
      </x:c>
      <x:c r="P2157" s="23" t="str">
        <x:v>POUSO ALEGRE</x:v>
      </x:c>
      <x:c r="Q2157" s="30" t="n">
        <x:v>32553</x:v>
      </x:c>
      <x:c r="R2157" s="22" t="str">
        <x:f>"MG14426992 SSP MG"</x:f>
        <x:v>MG14426992 SSP MG</x:v>
      </x:c>
      <x:c r="S2157" s="23" t="str">
        <x:v>masculino</x:v>
      </x:c>
      <x:c r="T2157" s="22" t="str">
        <x:f>"PVF2G46"</x:f>
        <x:v>PVF2G46</x:v>
      </x:c>
      <x:c r="U2157" s="23" t="str">
        <x:v>LEANDRO JOSE DOS SANTOS</x:v>
      </x:c>
      <x:c r="V2157" s="22" t="str">
        <x:f>"015.848.606-42"</x:f>
        <x:v>015.848.606-42</x:v>
      </x:c>
      <x:c r="W2157" s="22" t="str">
        <x:f>"01584860642"</x:f>
        <x:v>01584860642</x:v>
      </x:c>
      <x:c r="X2157" s="23" t="str">
        <x:v>leandrojs122@gmail.com</x:v>
      </x:c>
      <x:c r="Y2157" s="22" t="str">
        <x:f>"(35) 99950-4171"</x:f>
        <x:v>(35) 99950-4171</x:v>
      </x:c>
      <x:c r="Z2157" s="30" t="n">
        <x:v>46429</x:v>
      </x:c>
    </x:row>
    <x:row r="2158" ht="18" customHeight="1">
      <x:c r="A2158" s="22" t="str">
        <x:f>"0127a202-0905-4c11-a79a-c09d07846852"</x:f>
        <x:v>0127a202-0905-4c11-a79a-c09d07846852</x:v>
      </x:c>
      <x:c r="B2158" s="23" t="str">
        <x:v>LEANDRO JUNIOR SOUZA DA SILVA</x:v>
      </x:c>
      <x:c r="C2158" s="23" t="str">
        <x:v>leandro junior souza da silva</x:v>
      </x:c>
      <x:c r="D2158" s="22" t="str">
        <x:f>"58.450.945/0001-95"</x:f>
        <x:v>58.450.945/0001-95</x:v>
      </x:c>
      <x:c r="E2158" s="22" t="str">
        <x:f>"58450945000195"</x:f>
        <x:v>58450945000195</x:v>
      </x:c>
      <x:c r="F2158" s="22" t="str">
        <x:f>"026.959.001-39"</x:f>
        <x:v>026.959.001-39</x:v>
      </x:c>
      <x:c r="G2158" s="22" t="str">
        <x:f>"02695900139"</x:f>
        <x:v>02695900139</x:v>
      </x:c>
      <x:c r="H2158" s="23" t="str">
        <x:v>ramezfc10@gmail.com</x:v>
      </x:c>
      <x:c r="I2158" s="22" t="str">
        <x:f>"67 9923-4528"</x:f>
        <x:v>67 9923-4528</x:v>
      </x:c>
      <x:c r="J2158" s="23" t="str">
        <x:v>SPOT</x:v>
      </x:c>
      <x:c r="K2158" s="23" t="str">
        <x:v>favored_only</x:v>
      </x:c>
      <x:c r="L2158" s="24" t="b">
        <x:v>1</x:v>
      </x:c>
      <x:c r="M2158" s="23" t="n">
        <x:v>1</x:v>
      </x:c>
      <x:c r="N2158" s="28" t="n">
        <x:v>46203.92183332176</x:v>
      </x:c>
      <x:c r="O2158" s="28" t="n">
        <x:v>46220.50398969907</x:v>
      </x:c>
      <x:c r="P2158" s="23" t="str">
        <x:v>CHAPADÃO DO SUL</x:v>
      </x:c>
      <x:c r="Q2158" s="30" t="str"/>
      <x:c r="R2158" s="22" t="str"/>
      <x:c r="S2158" s="23" t="str"/>
      <x:c r="T2158" s="22" t="str"/>
      <x:c r="U2158" s="23" t="str">
        <x:v>LEANDRO JUNIOR SOUZA DA SILVA</x:v>
      </x:c>
      <x:c r="V2158" s="22" t="str">
        <x:f>"026.959.001-39"</x:f>
        <x:v>026.959.001-39</x:v>
      </x:c>
      <x:c r="W2158" s="22" t="str">
        <x:f>"02695900139"</x:f>
        <x:v>02695900139</x:v>
      </x:c>
      <x:c r="X2158" s="23" t="str">
        <x:v>ramezfc10@gmail.com</x:v>
      </x:c>
      <x:c r="Y2158" s="22" t="str">
        <x:f>"67 9923-4528"</x:f>
        <x:v>67 9923-4528</x:v>
      </x:c>
      <x:c r="Z2158" s="30" t="str"/>
    </x:row>
    <x:row r="2159" ht="18" customHeight="1">
      <x:c r="A2159" s="22" t="str">
        <x:f>"2fb7807b-96d3-4551-a27e-3e8ceaa4b402"</x:f>
        <x:v>2fb7807b-96d3-4551-a27e-3e8ceaa4b402</x:v>
      </x:c>
      <x:c r="B2159" s="23" t="str">
        <x:v>LEANDRO JUNIOR SOUZA DA SILVA</x:v>
      </x:c>
      <x:c r="C2159" s="23" t="str">
        <x:v>leandro junior souza da silva</x:v>
      </x:c>
      <x:c r="D2159" s="22" t="str">
        <x:f>"63.320.023/0001-01"</x:f>
        <x:v>63.320.023/0001-01</x:v>
      </x:c>
      <x:c r="E2159" s="22" t="str">
        <x:f>"63320023000101"</x:f>
        <x:v>63320023000101</x:v>
      </x:c>
      <x:c r="F2159" s="22" t="str">
        <x:f>"026.959.001-39"</x:f>
        <x:v>026.959.001-39</x:v>
      </x:c>
      <x:c r="G2159" s="22" t="str">
        <x:f>"02695900139"</x:f>
        <x:v>02695900139</x:v>
      </x:c>
      <x:c r="H2159" s="23" t="str">
        <x:v>ramezfc10@gmail.com</x:v>
      </x:c>
      <x:c r="I2159" s="22" t="str">
        <x:f>"6799234528"</x:f>
        <x:v>6799234528</x:v>
      </x:c>
      <x:c r="J2159" s="23" t="str">
        <x:v>SPOT</x:v>
      </x:c>
      <x:c r="K2159" s="23" t="str">
        <x:v>favored_only</x:v>
      </x:c>
      <x:c r="L2159" s="24" t="b">
        <x:v>1</x:v>
      </x:c>
      <x:c r="M2159" s="23" t="n">
        <x:v>1</x:v>
      </x:c>
      <x:c r="N2159" s="28" t="n">
        <x:v>46205.606199421294</x:v>
      </x:c>
      <x:c r="O2159" s="28" t="n">
        <x:v>46219.812988715275</x:v>
      </x:c>
      <x:c r="P2159" s="23" t="str">
        <x:v>CHAPADÃO DO SUL</x:v>
      </x:c>
      <x:c r="Q2159" s="30" t="n">
        <x:v>32673</x:v>
      </x:c>
      <x:c r="R2159" s="22" t="str">
        <x:f>"16412881"</x:f>
        <x:v>16412881</x:v>
      </x:c>
      <x:c r="S2159" s="23" t="str">
        <x:v>masculino</x:v>
      </x:c>
      <x:c r="T2159" s="22" t="str">
        <x:f>"FSK5D25"</x:f>
        <x:v>FSK5D25</x:v>
      </x:c>
      <x:c r="U2159" s="23" t="str">
        <x:v>IRENE RODRIGUES FERREIRA</x:v>
      </x:c>
      <x:c r="V2159" s="22" t="str">
        <x:f>"054.258.231-77"</x:f>
        <x:v>054.258.231-77</x:v>
      </x:c>
      <x:c r="W2159" s="22" t="str">
        <x:f>"05425823177"</x:f>
        <x:v>05425823177</x:v>
      </x:c>
      <x:c r="X2159" s="23" t="str">
        <x:v>irenerodriguesferreiraa@gmail.com</x:v>
      </x:c>
      <x:c r="Y2159" s="22" t="str">
        <x:f>"67996801441"</x:f>
        <x:v>67996801441</x:v>
      </x:c>
      <x:c r="Z2159" s="30" t="n">
        <x:v>46348</x:v>
      </x:c>
    </x:row>
    <x:row r="2160" ht="18" customHeight="1">
      <x:c r="A2160" s="22" t="str">
        <x:f>"c19afc06-6255-4562-9133-62624506d6fe"</x:f>
        <x:v>c19afc06-6255-4562-9133-62624506d6fe</x:v>
      </x:c>
      <x:c r="B2160" s="23" t="str">
        <x:v>LEANDRO MARTINS SILVEIRA</x:v>
      </x:c>
      <x:c r="C2160" s="23" t="str">
        <x:v>leandro martins silveira</x:v>
      </x:c>
      <x:c r="D2160" s="22" t="str">
        <x:f>"64.701.748/0001-02"</x:f>
        <x:v>64.701.748/0001-02</x:v>
      </x:c>
      <x:c r="E2160" s="22" t="str">
        <x:f>"64701748000102"</x:f>
        <x:v>64701748000102</x:v>
      </x:c>
      <x:c r="F2160" s="22" t="str">
        <x:f>"702.871.626-05"</x:f>
        <x:v>702.871.626-05</x:v>
      </x:c>
      <x:c r="G2160" s="22" t="str">
        <x:f>"70287162605"</x:f>
        <x:v>70287162605</x:v>
      </x:c>
      <x:c r="H2160" s="23" t="str">
        <x:v>leandromartins1310@gmail.com</x:v>
      </x:c>
      <x:c r="I2160" s="22" t="str">
        <x:f>"34 9936-3705"</x:f>
        <x:v>34 9936-3705</x:v>
      </x:c>
      <x:c r="J2160" s="23" t="str">
        <x:v>SPOT</x:v>
      </x:c>
      <x:c r="K2160" s="23" t="str">
        <x:v>favored_only</x:v>
      </x:c>
      <x:c r="L2160" s="24" t="b">
        <x:v>1</x:v>
      </x:c>
      <x:c r="M2160" s="23" t="n">
        <x:v>1</x:v>
      </x:c>
      <x:c r="N2160" s="28" t="n">
        <x:v>46219.812988715275</x:v>
      </x:c>
      <x:c r="O2160" s="28" t="n">
        <x:v>46219.812988715275</x:v>
      </x:c>
      <x:c r="P2160" s="23" t="str">
        <x:v>PATOS DE MINAS</x:v>
      </x:c>
      <x:c r="Q2160" s="30" t="n">
        <x:v>37907</x:v>
      </x:c>
      <x:c r="R2160" s="22" t="str">
        <x:f>"MG 21956337"</x:f>
        <x:v>MG 21956337</x:v>
      </x:c>
      <x:c r="S2160" s="23" t="str">
        <x:v>masculino</x:v>
      </x:c>
      <x:c r="T2160" s="22" t="str">
        <x:f>"PBS4A21"</x:f>
        <x:v>PBS4A21</x:v>
      </x:c>
      <x:c r="U2160" s="23" t="str">
        <x:v>LEANDRO MARTINS SILVEIRA</x:v>
      </x:c>
      <x:c r="V2160" s="22" t="str">
        <x:f>"702.871.626-05"</x:f>
        <x:v>702.871.626-05</x:v>
      </x:c>
      <x:c r="W2160" s="22" t="str">
        <x:f>"70287162605"</x:f>
        <x:v>70287162605</x:v>
      </x:c>
      <x:c r="X2160" s="23" t="str">
        <x:v>leandromartins1310@gmail.com</x:v>
      </x:c>
      <x:c r="Y2160" s="22" t="str">
        <x:f>"34 9936-3705"</x:f>
        <x:v>34 9936-3705</x:v>
      </x:c>
      <x:c r="Z2160" s="30" t="n">
        <x:v>46441</x:v>
      </x:c>
    </x:row>
    <x:row r="2161" ht="18" customHeight="1">
      <x:c r="A2161" s="22" t="str">
        <x:f>"5518b713-537c-4e15-97c2-2b34ab8818de"</x:f>
        <x:v>5518b713-537c-4e15-97c2-2b34ab8818de</x:v>
      </x:c>
      <x:c r="B2161" s="23" t="str">
        <x:v>LEANDRO MELO GESUINO</x:v>
      </x:c>
      <x:c r="C2161" s="23" t="str">
        <x:v>leandro melo gesuino</x:v>
      </x:c>
      <x:c r="D2161" s="22" t="str">
        <x:f>"57.505.631/0001-80"</x:f>
        <x:v>57.505.631/0001-80</x:v>
      </x:c>
      <x:c r="E2161" s="22" t="str">
        <x:f>"57505631000180"</x:f>
        <x:v>57505631000180</x:v>
      </x:c>
      <x:c r="F2161" s="22" t="str">
        <x:f>"453.995.468-76"</x:f>
        <x:v>453.995.468-76</x:v>
      </x:c>
      <x:c r="G2161" s="22" t="str">
        <x:f>"45399546876"</x:f>
        <x:v>45399546876</x:v>
      </x:c>
      <x:c r="H2161" s="23" t="str">
        <x:v>gesuinoleandro639@gmail.com</x:v>
      </x:c>
      <x:c r="I2161" s="22" t="str">
        <x:f>"18996907858"</x:f>
        <x:v>18996907858</x:v>
      </x:c>
      <x:c r="J2161" s="23" t="str">
        <x:v>RENTAL</x:v>
      </x:c>
      <x:c r="K2161" s="23" t="str">
        <x:v>rental_company</x:v>
      </x:c>
      <x:c r="L2161" s="24" t="b">
        <x:v>1</x:v>
      </x:c>
      <x:c r="M2161" s="23" t="n">
        <x:v>1</x:v>
      </x:c>
      <x:c r="N2161" s="28" t="n">
        <x:v>46219.812988715275</x:v>
      </x:c>
      <x:c r="O2161" s="28" t="n">
        <x:v>46219.812988715275</x:v>
      </x:c>
      <x:c r="P2161" s="23" t="str">
        <x:v>PRESIDENTE PRUDENTE</x:v>
      </x:c>
      <x:c r="Q2161" s="30" t="n">
        <x:v>35334</x:v>
      </x:c>
      <x:c r="R2161" s="22" t="str">
        <x:f>"452944107"</x:f>
        <x:v>452944107</x:v>
      </x:c>
      <x:c r="S2161" s="23" t="str">
        <x:v>masculino</x:v>
      </x:c>
      <x:c r="T2161" s="22" t="str"/>
      <x:c r="U2161" s="23" t="str">
        <x:v>LEANDRO MELO GESUINO</x:v>
      </x:c>
      <x:c r="V2161" s="22" t="str">
        <x:f>"453.995.468-76"</x:f>
        <x:v>453.995.468-76</x:v>
      </x:c>
      <x:c r="W2161" s="22" t="str">
        <x:f>"45399546876"</x:f>
        <x:v>45399546876</x:v>
      </x:c>
      <x:c r="X2161" s="23" t="str">
        <x:v>gesuinoleandro639@gmail.com</x:v>
      </x:c>
      <x:c r="Y2161" s="22" t="str">
        <x:f>"18996907858"</x:f>
        <x:v>18996907858</x:v>
      </x:c>
      <x:c r="Z2161" s="30" t="n">
        <x:v>46568</x:v>
      </x:c>
    </x:row>
    <x:row r="2162" ht="18" customHeight="1">
      <x:c r="A2162" s="22" t="str">
        <x:f>"1a89038d-9dad-4acf-a46c-6792fed01391"</x:f>
        <x:v>1a89038d-9dad-4acf-a46c-6792fed01391</x:v>
      </x:c>
      <x:c r="B2162" s="23" t="str">
        <x:v>LEANDRO PEREIRA BRANDÃO</x:v>
      </x:c>
      <x:c r="C2162" s="23" t="str">
        <x:v>leandro pereira brandao</x:v>
      </x:c>
      <x:c r="D2162" s="22" t="str">
        <x:f>"40.278.224/0001-84"</x:f>
        <x:v>40.278.224/0001-84</x:v>
      </x:c>
      <x:c r="E2162" s="22" t="str">
        <x:f>"40278224000184"</x:f>
        <x:v>40278224000184</x:v>
      </x:c>
      <x:c r="F2162" s="22" t="str">
        <x:f>"448.740.518-12"</x:f>
        <x:v>448.740.518-12</x:v>
      </x:c>
      <x:c r="G2162" s="22" t="str">
        <x:f>"44874051812"</x:f>
        <x:v>44874051812</x:v>
      </x:c>
      <x:c r="H2162" s="23" t="str">
        <x:v>leobrandao197@gmail.com</x:v>
      </x:c>
      <x:c r="I2162" s="22" t="str">
        <x:f>"11 94898-7708"</x:f>
        <x:v>11 94898-7708</x:v>
      </x:c>
      <x:c r="J2162" s="23" t="str">
        <x:v>RENTAL</x:v>
      </x:c>
      <x:c r="K2162" s="23" t="str">
        <x:v>rental_company</x:v>
      </x:c>
      <x:c r="L2162" s="24" t="b">
        <x:v>1</x:v>
      </x:c>
      <x:c r="M2162" s="23" t="n">
        <x:v>1</x:v>
      </x:c>
      <x:c r="N2162" s="28" t="n">
        <x:v>46203.921840393516</x:v>
      </x:c>
      <x:c r="O2162" s="28" t="n">
        <x:v>46205.60480269676</x:v>
      </x:c>
      <x:c r="P2162" s="23" t="str">
        <x:v>BARUERI</x:v>
      </x:c>
      <x:c r="Q2162" s="30" t="n">
        <x:v>35440</x:v>
      </x:c>
      <x:c r="R2162" s="22" t="str">
        <x:f>"50108859"</x:f>
        <x:v>50108859</x:v>
      </x:c>
      <x:c r="S2162" s="23" t="str">
        <x:v>Masculino</x:v>
      </x:c>
      <x:c r="T2162" s="22" t="str"/>
      <x:c r="U2162" s="23" t="str">
        <x:v>LEANDRO PEREIRA BRANDÃO</x:v>
      </x:c>
      <x:c r="V2162" s="22" t="str">
        <x:f>"448.740.518-12"</x:f>
        <x:v>448.740.518-12</x:v>
      </x:c>
      <x:c r="W2162" s="22" t="str">
        <x:f>"44874051812"</x:f>
        <x:v>44874051812</x:v>
      </x:c>
      <x:c r="X2162" s="23" t="str">
        <x:v>leobrandao197@gmail.com</x:v>
      </x:c>
      <x:c r="Y2162" s="22" t="str">
        <x:f>"11 94898-7708"</x:f>
        <x:v>11 94898-7708</x:v>
      </x:c>
      <x:c r="Z2162" s="30" t="n">
        <x:v>46213</x:v>
      </x:c>
    </x:row>
    <x:row r="2163" ht="18" customHeight="1">
      <x:c r="A2163" s="22" t="str">
        <x:f>"9e9cda99-cb3b-4246-b215-7745364a2211"</x:f>
        <x:v>9e9cda99-cb3b-4246-b215-7745364a2211</x:v>
      </x:c>
      <x:c r="B2163" s="23" t="str">
        <x:v>Leandro Ramos Pessanha Salim</x:v>
      </x:c>
      <x:c r="C2163" s="23" t="str">
        <x:v>leandro ramos pessanha salim</x:v>
      </x:c>
      <x:c r="D2163" s="22" t="str">
        <x:f>"54.380.939/0001-58"</x:f>
        <x:v>54.380.939/0001-58</x:v>
      </x:c>
      <x:c r="E2163" s="22" t="str">
        <x:f>"54380939000158"</x:f>
        <x:v>54380939000158</x:v>
      </x:c>
      <x:c r="F2163" s="22" t="str">
        <x:f>"092.160.007-08"</x:f>
        <x:v>092.160.007-08</x:v>
      </x:c>
      <x:c r="G2163" s="22" t="str">
        <x:f>"09216000708"</x:f>
        <x:v>09216000708</x:v>
      </x:c>
      <x:c r="H2163" s="23" t="str">
        <x:v>lrpsalim@gmail.com</x:v>
      </x:c>
      <x:c r="I2163" s="22" t="str">
        <x:f>"22 99706-7573"</x:f>
        <x:v>22 99706-7573</x:v>
      </x:c>
      <x:c r="J2163" s="23" t="str">
        <x:v>SPOT</x:v>
      </x:c>
      <x:c r="K2163" s="23" t="str">
        <x:v>favored_only</x:v>
      </x:c>
      <x:c r="L2163" s="24" t="b">
        <x:v>1</x:v>
      </x:c>
      <x:c r="M2163" s="23" t="n">
        <x:v>1</x:v>
      </x:c>
      <x:c r="N2163" s="28" t="n">
        <x:v>46203.92189349537</x:v>
      </x:c>
      <x:c r="O2163" s="28" t="n">
        <x:v>46203.92189349537</x:v>
      </x:c>
      <x:c r="P2163" s="23" t="str"/>
      <x:c r="Q2163" s="30" t="str"/>
      <x:c r="R2163" s="22" t="str"/>
      <x:c r="S2163" s="23" t="str"/>
      <x:c r="T2163" s="22" t="str"/>
      <x:c r="U2163" s="23" t="str">
        <x:v>Leandro Ramos Pessanha Salim</x:v>
      </x:c>
      <x:c r="V2163" s="22" t="str">
        <x:f>"092.160.007-08"</x:f>
        <x:v>092.160.007-08</x:v>
      </x:c>
      <x:c r="W2163" s="22" t="str">
        <x:f>"09216000708"</x:f>
        <x:v>09216000708</x:v>
      </x:c>
      <x:c r="X2163" s="23" t="str">
        <x:v>lrpsalim@gmail.com</x:v>
      </x:c>
      <x:c r="Y2163" s="22" t="str">
        <x:f>"22 99706-7573"</x:f>
        <x:v>22 99706-7573</x:v>
      </x:c>
      <x:c r="Z2163" s="30" t="str"/>
    </x:row>
    <x:row r="2164" ht="18" customHeight="1">
      <x:c r="A2164" s="22" t="str">
        <x:f>"4925e4a9-5c35-444b-9e49-50b79bcc71cf"</x:f>
        <x:v>4925e4a9-5c35-444b-9e49-50b79bcc71cf</x:v>
      </x:c>
      <x:c r="B2164" s="23" t="str">
        <x:v>LEANDRO ROBERTO MORAIS DE LIMA</x:v>
      </x:c>
      <x:c r="C2164" s="23" t="str">
        <x:v>leandro roberto morais de lima</x:v>
      </x:c>
      <x:c r="D2164" s="22" t="str">
        <x:f>"42.011.625/0001-07"</x:f>
        <x:v>42.011.625/0001-07</x:v>
      </x:c>
      <x:c r="E2164" s="22" t="str">
        <x:f>"42011625000107"</x:f>
        <x:v>42011625000107</x:v>
      </x:c>
      <x:c r="F2164" s="22" t="str">
        <x:f>"395.113.048-28"</x:f>
        <x:v>395.113.048-28</x:v>
      </x:c>
      <x:c r="G2164" s="22" t="str">
        <x:f>"39511304828"</x:f>
        <x:v>39511304828</x:v>
      </x:c>
      <x:c r="H2164" s="23" t="str">
        <x:v>criptonita408@gmail.com</x:v>
      </x:c>
      <x:c r="I2164" s="22" t="str">
        <x:f>"11978150370"</x:f>
        <x:v>11978150370</x:v>
      </x:c>
      <x:c r="J2164" s="23" t="str">
        <x:v>RENTAL</x:v>
      </x:c>
      <x:c r="K2164" s="23" t="str">
        <x:v>rental_company</x:v>
      </x:c>
      <x:c r="L2164" s="24" t="b">
        <x:v>1</x:v>
      </x:c>
      <x:c r="M2164" s="23" t="n">
        <x:v>1</x:v>
      </x:c>
      <x:c r="N2164" s="28" t="n">
        <x:v>46203.92186462963</x:v>
      </x:c>
      <x:c r="O2164" s="28" t="n">
        <x:v>46219.812988715275</x:v>
      </x:c>
      <x:c r="P2164" s="23" t="str">
        <x:v>MADEIRA MADEIRA</x:v>
      </x:c>
      <x:c r="Q2164" s="30" t="n">
        <x:v>33134</x:v>
      </x:c>
      <x:c r="R2164" s="22" t="str">
        <x:f>"4729480800"</x:f>
        <x:v>4729480800</x:v>
      </x:c>
      <x:c r="S2164" s="23" t="str">
        <x:v>masculino</x:v>
      </x:c>
      <x:c r="T2164" s="22" t="str"/>
      <x:c r="U2164" s="23" t="str">
        <x:v>LEANDRO ROBERTO MORAIS DE LIMA</x:v>
      </x:c>
      <x:c r="V2164" s="22" t="str">
        <x:f>"395.113.048-28"</x:f>
        <x:v>395.113.048-28</x:v>
      </x:c>
      <x:c r="W2164" s="22" t="str">
        <x:f>"39511304828"</x:f>
        <x:v>39511304828</x:v>
      </x:c>
      <x:c r="X2164" s="23" t="str">
        <x:v>criptonita408@gmail.com</x:v>
      </x:c>
      <x:c r="Y2164" s="22" t="str">
        <x:f>"11978150370"</x:f>
        <x:v>11978150370</x:v>
      </x:c>
      <x:c r="Z2164" s="30" t="n">
        <x:v>46282</x:v>
      </x:c>
    </x:row>
    <x:row r="2165" ht="18" customHeight="1">
      <x:c r="A2165" s="22" t="str">
        <x:f>"ec15c931-53b7-4f82-a8be-eb26e1609f5e"</x:f>
        <x:v>ec15c931-53b7-4f82-a8be-eb26e1609f5e</x:v>
      </x:c>
      <x:c r="B2165" s="23" t="str">
        <x:v>LEANDRO ROZA CORREA</x:v>
      </x:c>
      <x:c r="C2165" s="23" t="str">
        <x:v>leandro roza correa</x:v>
      </x:c>
      <x:c r="D2165" s="22" t="str">
        <x:f>"42.697.799/0001-67"</x:f>
        <x:v>42.697.799/0001-67</x:v>
      </x:c>
      <x:c r="E2165" s="22" t="str">
        <x:f>"42697799000167"</x:f>
        <x:v>42697799000167</x:v>
      </x:c>
      <x:c r="F2165" s="22" t="str">
        <x:f>"104.064.947-54"</x:f>
        <x:v>104.064.947-54</x:v>
      </x:c>
      <x:c r="G2165" s="22" t="str">
        <x:f>"10406494754"</x:f>
        <x:v>10406494754</x:v>
      </x:c>
      <x:c r="H2165" s="23" t="str">
        <x:v>leandroroza96@gmail.com</x:v>
      </x:c>
      <x:c r="I2165" s="22" t="str">
        <x:f>"21964874303"</x:f>
        <x:v>21964874303</x:v>
      </x:c>
      <x:c r="J2165" s="23" t="str">
        <x:v>SPOT</x:v>
      </x:c>
      <x:c r="K2165" s="23" t="str">
        <x:v>favored_only</x:v>
      </x:c>
      <x:c r="L2165" s="24" t="b">
        <x:v>1</x:v>
      </x:c>
      <x:c r="M2165" s="23" t="n">
        <x:v>1</x:v>
      </x:c>
      <x:c r="N2165" s="28" t="n">
        <x:v>46203.92189349537</x:v>
      </x:c>
      <x:c r="O2165" s="28" t="n">
        <x:v>46219.812988715275</x:v>
      </x:c>
      <x:c r="P2165" s="23" t="str">
        <x:v>CAMPO GRANDE</x:v>
      </x:c>
      <x:c r="Q2165" s="30" t="n">
        <x:v>30644</x:v>
      </x:c>
      <x:c r="R2165" s="22" t="str">
        <x:f>"206860157"</x:f>
        <x:v>206860157</x:v>
      </x:c>
      <x:c r="S2165" s="23" t="str">
        <x:v>masculino</x:v>
      </x:c>
      <x:c r="T2165" s="22" t="str">
        <x:f>"LRX4F13"</x:f>
        <x:v>LRX4F13</x:v>
      </x:c>
      <x:c r="U2165" s="23" t="str">
        <x:v>LEANDRO ROZA CORREA</x:v>
      </x:c>
      <x:c r="V2165" s="22" t="str">
        <x:f>"104.064.947-54"</x:f>
        <x:v>104.064.947-54</x:v>
      </x:c>
      <x:c r="W2165" s="22" t="str">
        <x:f>"10406494754"</x:f>
        <x:v>10406494754</x:v>
      </x:c>
      <x:c r="X2165" s="23" t="str">
        <x:v>leandroroza96@gmail.com</x:v>
      </x:c>
      <x:c r="Y2165" s="22" t="str">
        <x:f>"21964874303"</x:f>
        <x:v>21964874303</x:v>
      </x:c>
      <x:c r="Z2165" s="30" t="n">
        <x:v>46338</x:v>
      </x:c>
    </x:row>
    <x:row r="2166" ht="18" customHeight="1">
      <x:c r="A2166" s="22" t="str">
        <x:f>"e8ee22da-0de8-4e52-be5d-49b35c3ab20c"</x:f>
        <x:v>e8ee22da-0de8-4e52-be5d-49b35c3ab20c</x:v>
      </x:c>
      <x:c r="B2166" s="23" t="str">
        <x:v>LEANDRO SPINOLA ASSIS</x:v>
      </x:c>
      <x:c r="C2166" s="23" t="str">
        <x:v>leandro spinola assis</x:v>
      </x:c>
      <x:c r="D2166" s="22" t="str">
        <x:f>"33.970.924/0001-70"</x:f>
        <x:v>33.970.924/0001-70</x:v>
      </x:c>
      <x:c r="E2166" s="22" t="str">
        <x:f>"33970924000170"</x:f>
        <x:v>33970924000170</x:v>
      </x:c>
      <x:c r="F2166" s="22" t="str">
        <x:f>"063.353.271-12"</x:f>
        <x:v>063.353.271-12</x:v>
      </x:c>
      <x:c r="G2166" s="22" t="str">
        <x:f>"06335327112"</x:f>
        <x:v>06335327112</x:v>
      </x:c>
      <x:c r="H2166" s="23" t="str">
        <x:v>leandroassisspinola@gmail.com</x:v>
      </x:c>
      <x:c r="I2166" s="22" t="str">
        <x:f>"65 99308-2356"</x:f>
        <x:v>65 99308-2356</x:v>
      </x:c>
      <x:c r="J2166" s="23" t="str">
        <x:v>RENTAL</x:v>
      </x:c>
      <x:c r="K2166" s="23" t="str">
        <x:v>rental_company</x:v>
      </x:c>
      <x:c r="L2166" s="24" t="b">
        <x:v>1</x:v>
      </x:c>
      <x:c r="M2166" s="23" t="n">
        <x:v>1</x:v>
      </x:c>
      <x:c r="N2166" s="28" t="n">
        <x:v>46203.92191240741</x:v>
      </x:c>
      <x:c r="O2166" s="28" t="n">
        <x:v>46219.812988715275</x:v>
      </x:c>
      <x:c r="P2166" s="23" t="str">
        <x:v>PONTES E LACERDA</x:v>
      </x:c>
      <x:c r="Q2166" s="30" t="n">
        <x:v>36469</x:v>
      </x:c>
      <x:c r="R2166" s="22" t="str">
        <x:f>"29763894"</x:f>
        <x:v>29763894</x:v>
      </x:c>
      <x:c r="S2166" s="23" t="str">
        <x:v>masculino</x:v>
      </x:c>
      <x:c r="T2166" s="22" t="str"/>
      <x:c r="U2166" s="23" t="str">
        <x:v>LEANDRO SPINOLA ASSIS</x:v>
      </x:c>
      <x:c r="V2166" s="22" t="str">
        <x:f>"063.353.271-12"</x:f>
        <x:v>063.353.271-12</x:v>
      </x:c>
      <x:c r="W2166" s="22" t="str">
        <x:f>"06335327112"</x:f>
        <x:v>06335327112</x:v>
      </x:c>
      <x:c r="X2166" s="23" t="str">
        <x:v>leandroassisspinola@gmail.com</x:v>
      </x:c>
      <x:c r="Y2166" s="22" t="str">
        <x:f>"65 99308-2356"</x:f>
        <x:v>65 99308-2356</x:v>
      </x:c>
      <x:c r="Z2166" s="30" t="n">
        <x:v>46842</x:v>
      </x:c>
    </x:row>
    <x:row r="2167" ht="18" customHeight="1">
      <x:c r="A2167" s="22" t="str">
        <x:f>"2d5ca0ac-ea44-4a29-88e5-10cd5b3a1039"</x:f>
        <x:v>2d5ca0ac-ea44-4a29-88e5-10cd5b3a1039</x:v>
      </x:c>
      <x:c r="B2167" s="23" t="str">
        <x:v>Leandro teodorio Ferreira</x:v>
      </x:c>
      <x:c r="C2167" s="23" t="str">
        <x:v>leandro teodorio ferreira</x:v>
      </x:c>
      <x:c r="D2167" s="22" t="str">
        <x:f>"60.641.114/0001-42"</x:f>
        <x:v>60.641.114/0001-42</x:v>
      </x:c>
      <x:c r="E2167" s="22" t="str">
        <x:f>"60641114000142"</x:f>
        <x:v>60641114000142</x:v>
      </x:c>
      <x:c r="F2167" s="22" t="str">
        <x:f>"394.046.978-50"</x:f>
        <x:v>394.046.978-50</x:v>
      </x:c>
      <x:c r="G2167" s="22" t="str">
        <x:f>"39404697850"</x:f>
        <x:v>39404697850</x:v>
      </x:c>
      <x:c r="H2167" s="23" t="str">
        <x:v>Lezinhooriental21@gmail.com</x:v>
      </x:c>
      <x:c r="I2167" s="22" t="str">
        <x:f>"(11)954078111"</x:f>
        <x:v>(11)954078111</x:v>
      </x:c>
      <x:c r="J2167" s="23" t="str">
        <x:v>RENTAL</x:v>
      </x:c>
      <x:c r="K2167" s="23" t="str">
        <x:v>rental_company</x:v>
      </x:c>
      <x:c r="L2167" s="24" t="b">
        <x:v>1</x:v>
      </x:c>
      <x:c r="M2167" s="23" t="n">
        <x:v>1</x:v>
      </x:c>
      <x:c r="N2167" s="28" t="n">
        <x:v>46203.921840393516</x:v>
      </x:c>
      <x:c r="O2167" s="28" t="n">
        <x:v>46205.604901238425</x:v>
      </x:c>
      <x:c r="P2167" s="23" t="str">
        <x:v>BARUERI</x:v>
      </x:c>
      <x:c r="Q2167" s="30" t="n">
        <x:v>33198</x:v>
      </x:c>
      <x:c r="R2167" s="22" t="str">
        <x:f>"44006731"</x:f>
        <x:v>44006731</x:v>
      </x:c>
      <x:c r="S2167" s="23" t="str">
        <x:v>Masculino</x:v>
      </x:c>
      <x:c r="T2167" s="22" t="str"/>
      <x:c r="U2167" s="23" t="str">
        <x:v>Leandro teodorio Ferreira</x:v>
      </x:c>
      <x:c r="V2167" s="22" t="str">
        <x:f>"394.046.978-50"</x:f>
        <x:v>394.046.978-50</x:v>
      </x:c>
      <x:c r="W2167" s="22" t="str">
        <x:f>"39404697850"</x:f>
        <x:v>39404697850</x:v>
      </x:c>
      <x:c r="X2167" s="23" t="str">
        <x:v>Lezinhooriental21@gmail.com</x:v>
      </x:c>
      <x:c r="Y2167" s="22" t="str">
        <x:f>"(11)954078111"</x:f>
        <x:v>(11)954078111</x:v>
      </x:c>
      <x:c r="Z2167" s="30" t="n">
        <x:v>46217</x:v>
      </x:c>
    </x:row>
    <x:row r="2168" ht="18" customHeight="1">
      <x:c r="A2168" s="22" t="str">
        <x:f>"c804ac6b-c495-4cdb-b506-d01bef55f5b4"</x:f>
        <x:v>c804ac6b-c495-4cdb-b506-d01bef55f5b4</x:v>
      </x:c>
      <x:c r="B2168" s="23" t="str">
        <x:v>LEDA NUNES DA SILVA</x:v>
      </x:c>
      <x:c r="C2168" s="23" t="str">
        <x:v>leda nunes da silva</x:v>
      </x:c>
      <x:c r="D2168" s="22" t="str">
        <x:f>"17.817.444/0001-17"</x:f>
        <x:v>17.817.444/0001-17</x:v>
      </x:c>
      <x:c r="E2168" s="22" t="str">
        <x:f>"17817444000117"</x:f>
        <x:v>17817444000117</x:v>
      </x:c>
      <x:c r="F2168" s="22" t="str">
        <x:f>"019.479.577-24"</x:f>
        <x:v>019.479.577-24</x:v>
      </x:c>
      <x:c r="G2168" s="22" t="str">
        <x:f>"01947957724"</x:f>
        <x:v>01947957724</x:v>
      </x:c>
      <x:c r="H2168" s="23" t="str">
        <x:v>ledanunesvivi@gmail.com</x:v>
      </x:c>
      <x:c r="I2168" s="22" t="str">
        <x:f>"21999658069"</x:f>
        <x:v>21999658069</x:v>
      </x:c>
      <x:c r="J2168" s="23" t="str">
        <x:v>SPOT</x:v>
      </x:c>
      <x:c r="K2168" s="23" t="str">
        <x:v>favored_only</x:v>
      </x:c>
      <x:c r="L2168" s="24" t="b">
        <x:v>1</x:v>
      </x:c>
      <x:c r="M2168" s="23" t="n">
        <x:v>1</x:v>
      </x:c>
      <x:c r="N2168" s="28" t="n">
        <x:v>46219.812988715275</x:v>
      </x:c>
      <x:c r="O2168" s="28" t="n">
        <x:v>46219.812988715275</x:v>
      </x:c>
      <x:c r="P2168" s="23" t="str">
        <x:v>SÃO JOAO DE MERITI</x:v>
      </x:c>
      <x:c r="Q2168" s="30" t="n">
        <x:v>26491</x:v>
      </x:c>
      <x:c r="R2168" s="22" t="str">
        <x:f>"116578691"</x:f>
        <x:v>116578691</x:v>
      </x:c>
      <x:c r="S2168" s="23" t="str">
        <x:v>feminino</x:v>
      </x:c>
      <x:c r="T2168" s="22" t="str">
        <x:f>"RVJ4D76"</x:f>
        <x:v>RVJ4D76</x:v>
      </x:c>
      <x:c r="U2168" s="23" t="str">
        <x:v>LEDA NUNES DA SILVA</x:v>
      </x:c>
      <x:c r="V2168" s="22" t="str">
        <x:f>"019.479.577-24"</x:f>
        <x:v>019.479.577-24</x:v>
      </x:c>
      <x:c r="W2168" s="22" t="str">
        <x:f>"01947957724"</x:f>
        <x:v>01947957724</x:v>
      </x:c>
      <x:c r="X2168" s="23" t="str">
        <x:v>ledanunesvivi@gmail.com</x:v>
      </x:c>
      <x:c r="Y2168" s="22" t="str">
        <x:f>"21999658069"</x:f>
        <x:v>21999658069</x:v>
      </x:c>
      <x:c r="Z2168" s="30" t="n">
        <x:v>46485</x:v>
      </x:c>
    </x:row>
    <x:row r="2169" ht="18" customHeight="1">
      <x:c r="A2169" s="22" t="str">
        <x:f>"12669566-6419-4fe6-8f65-7077f416c122"</x:f>
        <x:v>12669566-6419-4fe6-8f65-7077f416c122</x:v>
      </x:c>
      <x:c r="B2169" s="23" t="str">
        <x:v>LEDIVALDO DE ALMEIDA CORREIA</x:v>
      </x:c>
      <x:c r="C2169" s="23" t="str">
        <x:v>ledivaldo de almeida correia</x:v>
      </x:c>
      <x:c r="D2169" s="22" t="str">
        <x:f>"34.356.003/0001-84"</x:f>
        <x:v>34.356.003/0001-84</x:v>
      </x:c>
      <x:c r="E2169" s="22" t="str">
        <x:f>"34356003000184"</x:f>
        <x:v>34356003000184</x:v>
      </x:c>
      <x:c r="F2169" s="22" t="str">
        <x:f>"339.999.368-43"</x:f>
        <x:v>339.999.368-43</x:v>
      </x:c>
      <x:c r="G2169" s="22" t="str">
        <x:f>"33999936843"</x:f>
        <x:v>33999936843</x:v>
      </x:c>
      <x:c r="H2169" s="23" t="str">
        <x:v>almeidacorreialedivaldo6@gmail.com</x:v>
      </x:c>
      <x:c r="I2169" s="22" t="str">
        <x:f>"11975545675"</x:f>
        <x:v>11975545675</x:v>
      </x:c>
      <x:c r="J2169" s="23" t="str">
        <x:v>RENTAL</x:v>
      </x:c>
      <x:c r="K2169" s="23" t="str">
        <x:v>rental_company</x:v>
      </x:c>
      <x:c r="L2169" s="24" t="b">
        <x:v>1</x:v>
      </x:c>
      <x:c r="M2169" s="23" t="n">
        <x:v>1</x:v>
      </x:c>
      <x:c r="N2169" s="28" t="n">
        <x:v>46203.9218771875</x:v>
      </x:c>
      <x:c r="O2169" s="28" t="n">
        <x:v>46219.812988715275</x:v>
      </x:c>
      <x:c r="P2169" s="23" t="str">
        <x:v>MADEIRA MADEIRA</x:v>
      </x:c>
      <x:c r="Q2169" s="30" t="n">
        <x:v>31346</x:v>
      </x:c>
      <x:c r="R2169" s="22" t="str">
        <x:f>"541392682"</x:f>
        <x:v>541392682</x:v>
      </x:c>
      <x:c r="S2169" s="23" t="str">
        <x:v>masculino</x:v>
      </x:c>
      <x:c r="T2169" s="22" t="str"/>
      <x:c r="U2169" s="23" t="str">
        <x:v>LEDIVALDO DE ALMEIDA CORREIA</x:v>
      </x:c>
      <x:c r="V2169" s="22" t="str">
        <x:f>"339.999.368-43"</x:f>
        <x:v>339.999.368-43</x:v>
      </x:c>
      <x:c r="W2169" s="22" t="str">
        <x:f>"33999936843"</x:f>
        <x:v>33999936843</x:v>
      </x:c>
      <x:c r="X2169" s="23" t="str">
        <x:v>almeidacorreialedivaldo6@gmail.com</x:v>
      </x:c>
      <x:c r="Y2169" s="22" t="str">
        <x:f>"11975545675"</x:f>
        <x:v>11975545675</x:v>
      </x:c>
      <x:c r="Z2169" s="30" t="n">
        <x:v>46379</x:v>
      </x:c>
    </x:row>
    <x:row r="2170" ht="18" customHeight="1">
      <x:c r="A2170" s="22" t="str">
        <x:f>"0d9e1d33-fcf6-40fd-acea-16b4c9ecd6f6"</x:f>
        <x:v>0d9e1d33-fcf6-40fd-acea-16b4c9ecd6f6</x:v>
      </x:c>
      <x:c r="B2170" s="23" t="str">
        <x:v>LEIA BONIFACIO OHATA</x:v>
      </x:c>
      <x:c r="C2170" s="23" t="str">
        <x:v>leia bonifacio ohata</x:v>
      </x:c>
      <x:c r="D2170" s="22" t="str">
        <x:f>"49.314.238/0001-80"</x:f>
        <x:v>49.314.238/0001-80</x:v>
      </x:c>
      <x:c r="E2170" s="22" t="str">
        <x:f>"49314238000180"</x:f>
        <x:v>49314238000180</x:v>
      </x:c>
      <x:c r="F2170" s="22" t="str">
        <x:f>"119.911.588-66"</x:f>
        <x:v>119.911.588-66</x:v>
      </x:c>
      <x:c r="G2170" s="22" t="str">
        <x:f>"11991158866"</x:f>
        <x:v>11991158866</x:v>
      </x:c>
      <x:c r="H2170" s="23" t="str">
        <x:v>leia_boni@hotmail.com</x:v>
      </x:c>
      <x:c r="I2170" s="22" t="str">
        <x:f>"18997676411"</x:f>
        <x:v>18997676411</x:v>
      </x:c>
      <x:c r="J2170" s="23" t="str">
        <x:v>RENTAL</x:v>
      </x:c>
      <x:c r="K2170" s="23" t="str">
        <x:v>rental_company</x:v>
      </x:c>
      <x:c r="L2170" s="24" t="b">
        <x:v>1</x:v>
      </x:c>
      <x:c r="M2170" s="23" t="n">
        <x:v>1</x:v>
      </x:c>
      <x:c r="N2170" s="28" t="n">
        <x:v>46203.92183017361</x:v>
      </x:c>
      <x:c r="O2170" s="28" t="n">
        <x:v>46219.812988715275</x:v>
      </x:c>
      <x:c r="P2170" s="23" t="str">
        <x:v>ARAÇATUBA</x:v>
      </x:c>
      <x:c r="Q2170" s="30" t="n">
        <x:v>28165</x:v>
      </x:c>
      <x:c r="R2170" s="22" t="str">
        <x:f>"27342993"</x:f>
        <x:v>27342993</x:v>
      </x:c>
      <x:c r="S2170" s="23" t="str">
        <x:v>feminino</x:v>
      </x:c>
      <x:c r="T2170" s="22" t="str"/>
      <x:c r="U2170" s="23" t="str">
        <x:v>LEIA BONIFACIO OHATA</x:v>
      </x:c>
      <x:c r="V2170" s="22" t="str">
        <x:f>"119.911.588-66"</x:f>
        <x:v>119.911.588-66</x:v>
      </x:c>
      <x:c r="W2170" s="22" t="str">
        <x:f>"11991158866"</x:f>
        <x:v>11991158866</x:v>
      </x:c>
      <x:c r="X2170" s="23" t="str">
        <x:v>leia_boni@hotmail.com</x:v>
      </x:c>
      <x:c r="Y2170" s="22" t="str">
        <x:f>"18997676411"</x:f>
        <x:v>18997676411</x:v>
      </x:c>
      <x:c r="Z2170" s="30" t="n">
        <x:v>46527</x:v>
      </x:c>
    </x:row>
    <x:row r="2171" ht="18" customHeight="1">
      <x:c r="A2171" s="22" t="str">
        <x:f>"20e4dc56-9a85-43a5-b696-d4e5a7a39e11"</x:f>
        <x:v>20e4dc56-9a85-43a5-b696-d4e5a7a39e11</x:v>
      </x:c>
      <x:c r="B2171" s="23" t="str">
        <x:v>LEIVERSON BARROSO FLOR</x:v>
      </x:c>
      <x:c r="C2171" s="23" t="str">
        <x:v>leiverson barroso flor</x:v>
      </x:c>
      <x:c r="D2171" s="22" t="str">
        <x:f>"15.804.121/0001-63"</x:f>
        <x:v>15.804.121/0001-63</x:v>
      </x:c>
      <x:c r="E2171" s="22" t="str">
        <x:f>"15804121000163"</x:f>
        <x:v>15804121000163</x:v>
      </x:c>
      <x:c r="F2171" s="22" t="str">
        <x:f>"098.519.516-92"</x:f>
        <x:v>098.519.516-92</x:v>
      </x:c>
      <x:c r="G2171" s="22" t="str">
        <x:f>"09851951692"</x:f>
        <x:v>09851951692</x:v>
      </x:c>
      <x:c r="H2171" s="23" t="str">
        <x:v>leiversonerafa51@gmail.com</x:v>
      </x:c>
      <x:c r="I2171" s="22" t="str">
        <x:f>"33999958415"</x:f>
        <x:v>33999958415</x:v>
      </x:c>
      <x:c r="J2171" s="23" t="str">
        <x:v>SPOT</x:v>
      </x:c>
      <x:c r="K2171" s="23" t="str">
        <x:v>favored_only</x:v>
      </x:c>
      <x:c r="L2171" s="24" t="b">
        <x:v>1</x:v>
      </x:c>
      <x:c r="M2171" s="23" t="n">
        <x:v>2</x:v>
      </x:c>
      <x:c r="N2171" s="28" t="n">
        <x:v>46205.605945972224</x:v>
      </x:c>
      <x:c r="O2171" s="28" t="n">
        <x:v>46219.812988715275</x:v>
      </x:c>
      <x:c r="P2171" s="23" t="str">
        <x:v>GUANHAES</x:v>
      </x:c>
      <x:c r="Q2171" s="30" t="n">
        <x:v>32446</x:v>
      </x:c>
      <x:c r="R2171" s="22" t="str">
        <x:f>"14051128"</x:f>
        <x:v>14051128</x:v>
      </x:c>
      <x:c r="S2171" s="23" t="str">
        <x:v>masculino</x:v>
      </x:c>
      <x:c r="T2171" s="22" t="str">
        <x:f>"TCJ1A65"</x:f>
        <x:v>TCJ1A65</x:v>
      </x:c>
      <x:c r="U2171" s="23" t="str">
        <x:v>ALISON FERREIRA DA SILVA</x:v>
      </x:c>
      <x:c r="V2171" s="22" t="str">
        <x:f>"060.479.376-67"</x:f>
        <x:v>060.479.376-67</x:v>
      </x:c>
      <x:c r="W2171" s="22" t="str">
        <x:f>"06047937667"</x:f>
        <x:v>06047937667</x:v>
      </x:c>
      <x:c r="X2171" s="23" t="str">
        <x:v>alison.galo@gmail.com</x:v>
      </x:c>
      <x:c r="Y2171" s="22" t="str">
        <x:f>"33988164077"</x:f>
        <x:v>33988164077</x:v>
      </x:c>
      <x:c r="Z2171" s="30" t="n">
        <x:v>46338</x:v>
      </x:c>
    </x:row>
    <x:row r="2172" ht="18" customHeight="1">
      <x:c r="A2172" s="22" t="str">
        <x:f>"c5dcaeeb-c39a-457a-ba82-0f090597e36c"</x:f>
        <x:v>c5dcaeeb-c39a-457a-ba82-0f090597e36c</x:v>
      </x:c>
      <x:c r="B2172" s="23" t="str">
        <x:v>LEMUEL BENTO DA SILVA</x:v>
      </x:c>
      <x:c r="C2172" s="23" t="str">
        <x:v>lemuel bento da silva</x:v>
      </x:c>
      <x:c r="D2172" s="22" t="str">
        <x:f>"65.976.073/0001-69"</x:f>
        <x:v>65.976.073/0001-69</x:v>
      </x:c>
      <x:c r="E2172" s="22" t="str">
        <x:f>"65976073000169"</x:f>
        <x:v>65976073000169</x:v>
      </x:c>
      <x:c r="F2172" s="22" t="str">
        <x:f>"105.934.766-03"</x:f>
        <x:v>105.934.766-03</x:v>
      </x:c>
      <x:c r="G2172" s="22" t="str">
        <x:f>"10593476603"</x:f>
        <x:v>10593476603</x:v>
      </x:c>
      <x:c r="H2172" s="23" t="str">
        <x:v>lemuelbento95@gmail.com</x:v>
      </x:c>
      <x:c r="I2172" s="22" t="str">
        <x:f>"34991171980"</x:f>
        <x:v>34991171980</x:v>
      </x:c>
      <x:c r="J2172" s="23" t="str">
        <x:v>RENTAL</x:v>
      </x:c>
      <x:c r="K2172" s="23" t="str">
        <x:v>rental_company</x:v>
      </x:c>
      <x:c r="L2172" s="24" t="b">
        <x:v>1</x:v>
      </x:c>
      <x:c r="M2172" s="23" t="n">
        <x:v>1</x:v>
      </x:c>
      <x:c r="N2172" s="28" t="n">
        <x:v>46219.812988715275</x:v>
      </x:c>
      <x:c r="O2172" s="28" t="n">
        <x:v>46219.812988715275</x:v>
      </x:c>
      <x:c r="P2172" s="23" t="str">
        <x:v>UBERLANDIA</x:v>
      </x:c>
      <x:c r="Q2172" s="30" t="n">
        <x:v>34765</x:v>
      </x:c>
      <x:c r="R2172" s="22" t="str">
        <x:f>"17137295"</x:f>
        <x:v>17137295</x:v>
      </x:c>
      <x:c r="S2172" s="23" t="str">
        <x:v>masculino</x:v>
      </x:c>
      <x:c r="T2172" s="22" t="str"/>
      <x:c r="U2172" s="23" t="str">
        <x:v>LEMUEL BENTO DA SILVA</x:v>
      </x:c>
      <x:c r="V2172" s="22" t="str">
        <x:f>"105.934.766-03"</x:f>
        <x:v>105.934.766-03</x:v>
      </x:c>
      <x:c r="W2172" s="22" t="str">
        <x:f>"10593476603"</x:f>
        <x:v>10593476603</x:v>
      </x:c>
      <x:c r="X2172" s="23" t="str">
        <x:v>lemuelbento95@gmail.com</x:v>
      </x:c>
      <x:c r="Y2172" s="22" t="str">
        <x:f>"34991171980"</x:f>
        <x:v>34991171980</x:v>
      </x:c>
      <x:c r="Z2172" s="30" t="n">
        <x:v>46483</x:v>
      </x:c>
    </x:row>
    <x:row r="2173" ht="18" customHeight="1">
      <x:c r="A2173" s="22" t="str">
        <x:f>"4053ca31-95a2-44dd-85a1-072e3cec932b"</x:f>
        <x:v>4053ca31-95a2-44dd-85a1-072e3cec932b</x:v>
      </x:c>
      <x:c r="B2173" s="23" t="str">
        <x:v>LEO BRENDON FERREIRA RODRIGUES</x:v>
      </x:c>
      <x:c r="C2173" s="23" t="str">
        <x:v>leo brendon ferreira rodrigues</x:v>
      </x:c>
      <x:c r="D2173" s="22" t="str">
        <x:f>"61.265.788/0001-52"</x:f>
        <x:v>61.265.788/0001-52</x:v>
      </x:c>
      <x:c r="E2173" s="22" t="str">
        <x:f>"61265788000152"</x:f>
        <x:v>61265788000152</x:v>
      </x:c>
      <x:c r="F2173" s="22" t="str">
        <x:f>"098.117.211-30"</x:f>
        <x:v>098.117.211-30</x:v>
      </x:c>
      <x:c r="G2173" s="22" t="str">
        <x:f>"09811721130"</x:f>
        <x:v>09811721130</x:v>
      </x:c>
      <x:c r="H2173" s="23" t="str">
        <x:v>leobren.com.br@gmail.com</x:v>
      </x:c>
      <x:c r="I2173" s="22" t="str">
        <x:f>"65 9991-1944"</x:f>
        <x:v>65 9991-1944</x:v>
      </x:c>
      <x:c r="J2173" s="23" t="str">
        <x:v>SPOT</x:v>
      </x:c>
      <x:c r="K2173" s="23" t="str">
        <x:v>favored_only</x:v>
      </x:c>
      <x:c r="L2173" s="24" t="b">
        <x:v>1</x:v>
      </x:c>
      <x:c r="M2173" s="23" t="n">
        <x:v>1</x:v>
      </x:c>
      <x:c r="N2173" s="28" t="n">
        <x:v>46205.60669172453</x:v>
      </x:c>
      <x:c r="O2173" s="28" t="n">
        <x:v>46219.812988715275</x:v>
      </x:c>
      <x:c r="P2173" s="23" t="str">
        <x:v>ARAPUTANGA</x:v>
      </x:c>
      <x:c r="Q2173" s="30" t="n">
        <x:v>38423</x:v>
      </x:c>
      <x:c r="R2173" s="22" t="str">
        <x:f>"32900155   SESP MT"</x:f>
        <x:v>32900155   SESP MT</x:v>
      </x:c>
      <x:c r="S2173" s="23" t="str">
        <x:v>masculino</x:v>
      </x:c>
      <x:c r="T2173" s="22" t="str">
        <x:f>"NEH8669"</x:f>
        <x:v>NEH8669</x:v>
      </x:c>
      <x:c r="U2173" s="23" t="str">
        <x:v>IVANILDO RODRIGUES</x:v>
      </x:c>
      <x:c r="V2173" s="22" t="str">
        <x:f>"621.482.491-34"</x:f>
        <x:v>621.482.491-34</x:v>
      </x:c>
      <x:c r="W2173" s="22" t="str">
        <x:f>"62148249134"</x:f>
        <x:v>62148249134</x:v>
      </x:c>
      <x:c r="X2173" s="23" t="str">
        <x:v>celsoeivanildo@hotmail.com</x:v>
      </x:c>
      <x:c r="Y2173" s="22" t="str">
        <x:f>"65 9991-1944"</x:f>
        <x:v>65 9991-1944</x:v>
      </x:c>
      <x:c r="Z2173" s="30" t="n">
        <x:v>46371</x:v>
      </x:c>
    </x:row>
    <x:row r="2174" ht="18" customHeight="1">
      <x:c r="A2174" s="22" t="str">
        <x:f>"7ebaf2fd-818e-4890-9975-951546624af4"</x:f>
        <x:v>7ebaf2fd-818e-4890-9975-951546624af4</x:v>
      </x:c>
      <x:c r="B2174" s="23" t="str">
        <x:v>LEONALDO APARECIDO PEREIRA DE OLIVEIRA</x:v>
      </x:c>
      <x:c r="C2174" s="23" t="str">
        <x:v>leonaldo aparecido pereira de oliveira</x:v>
      </x:c>
      <x:c r="D2174" s="22" t="str">
        <x:f>"56.386.549/0001-10"</x:f>
        <x:v>56.386.549/0001-10</x:v>
      </x:c>
      <x:c r="E2174" s="22" t="str">
        <x:f>"56386549000110"</x:f>
        <x:v>56386549000110</x:v>
      </x:c>
      <x:c r="F2174" s="22" t="str">
        <x:f>"087.651.376-39"</x:f>
        <x:v>087.651.376-39</x:v>
      </x:c>
      <x:c r="G2174" s="22" t="str">
        <x:f>"08765137639"</x:f>
        <x:v>08765137639</x:v>
      </x:c>
      <x:c r="H2174" s="23" t="str">
        <x:v>leonaldoaparecido1234@gmail.com</x:v>
      </x:c>
      <x:c r="I2174" s="22" t="str">
        <x:f>"11957699007"</x:f>
        <x:v>11957699007</x:v>
      </x:c>
      <x:c r="J2174" s="23" t="str">
        <x:v>SPOT</x:v>
      </x:c>
      <x:c r="K2174" s="23" t="str">
        <x:v>favored_only</x:v>
      </x:c>
      <x:c r="L2174" s="24" t="b">
        <x:v>1</x:v>
      </x:c>
      <x:c r="M2174" s="23" t="n">
        <x:v>1</x:v>
      </x:c>
      <x:c r="N2174" s="28" t="n">
        <x:v>46203.921852962965</x:v>
      </x:c>
      <x:c r="O2174" s="28" t="n">
        <x:v>46219.812988715275</x:v>
      </x:c>
      <x:c r="P2174" s="23" t="str">
        <x:v>CONCEIÇÃO DO MATO DENTRO</x:v>
      </x:c>
      <x:c r="Q2174" s="30" t="n">
        <x:v>32025</x:v>
      </x:c>
      <x:c r="R2174" s="22" t="str">
        <x:f>"50634974"</x:f>
        <x:v>50634974</x:v>
      </x:c>
      <x:c r="S2174" s="23" t="str">
        <x:v>masculino</x:v>
      </x:c>
      <x:c r="T2174" s="22" t="str">
        <x:f>"QQT7I99"</x:f>
        <x:v>QQT7I99</x:v>
      </x:c>
      <x:c r="U2174" s="23" t="str">
        <x:v>LEONALDO APARECIDO PEREIRA DE OLIVEIRA</x:v>
      </x:c>
      <x:c r="V2174" s="22" t="str">
        <x:f>"087.651.376-39"</x:f>
        <x:v>087.651.376-39</x:v>
      </x:c>
      <x:c r="W2174" s="22" t="str">
        <x:f>"08765137639"</x:f>
        <x:v>08765137639</x:v>
      </x:c>
      <x:c r="X2174" s="23" t="str">
        <x:v>leonaldoaparecido1234@gmail.com</x:v>
      </x:c>
      <x:c r="Y2174" s="22" t="str">
        <x:f>"11957699007"</x:f>
        <x:v>11957699007</x:v>
      </x:c>
      <x:c r="Z2174" s="30" t="n">
        <x:v>46241</x:v>
      </x:c>
    </x:row>
    <x:row r="2175" ht="18" customHeight="1">
      <x:c r="A2175" s="22" t="str">
        <x:f>"8730e890-e783-4506-b024-f818fdf22125"</x:f>
        <x:v>8730e890-e783-4506-b024-f818fdf22125</x:v>
      </x:c>
      <x:c r="B2175" s="23" t="str">
        <x:v>LEONARDO ALVES DA SILVA</x:v>
      </x:c>
      <x:c r="C2175" s="23" t="str">
        <x:v>leonardo alves da silva</x:v>
      </x:c>
      <x:c r="D2175" s="22" t="str">
        <x:f>"61.204.425/0001-07"</x:f>
        <x:v>61.204.425/0001-07</x:v>
      </x:c>
      <x:c r="E2175" s="22" t="str">
        <x:f>"61204425000107"</x:f>
        <x:v>61204425000107</x:v>
      </x:c>
      <x:c r="F2175" s="22" t="str">
        <x:f>"461.695.268-07"</x:f>
        <x:v>461.695.268-07</x:v>
      </x:c>
      <x:c r="G2175" s="22" t="str">
        <x:f>"46169526807"</x:f>
        <x:v>46169526807</x:v>
      </x:c>
      <x:c r="H2175" s="23" t="str">
        <x:v>aleo48084@gmail.com</x:v>
      </x:c>
      <x:c r="I2175" s="22" t="str">
        <x:f>"(16)99340-0033"</x:f>
        <x:v>(16)99340-0033</x:v>
      </x:c>
      <x:c r="J2175" s="23" t="str">
        <x:v>RENTAL</x:v>
      </x:c>
      <x:c r="K2175" s="23" t="str">
        <x:v>rental_company</x:v>
      </x:c>
      <x:c r="L2175" s="24" t="b">
        <x:v>1</x:v>
      </x:c>
      <x:c r="M2175" s="23" t="n">
        <x:v>1</x:v>
      </x:c>
      <x:c r="N2175" s="28" t="n">
        <x:v>46219.812988715275</x:v>
      </x:c>
      <x:c r="O2175" s="28" t="n">
        <x:v>46219.812988715275</x:v>
      </x:c>
      <x:c r="P2175" s="23" t="str">
        <x:v>MADEIRA MADEIRA</x:v>
      </x:c>
      <x:c r="Q2175" s="30" t="n">
        <x:v>37008</x:v>
      </x:c>
      <x:c r="R2175" s="22" t="str">
        <x:f>"559843720ale"</x:f>
        <x:v>559843720ale</x:v>
      </x:c>
      <x:c r="S2175" s="23" t="str">
        <x:v>masculino</x:v>
      </x:c>
      <x:c r="T2175" s="22" t="str"/>
      <x:c r="U2175" s="23" t="str">
        <x:v>LEONARDO ALVES DA SILVA</x:v>
      </x:c>
      <x:c r="V2175" s="22" t="str">
        <x:f>"461.695.268-07"</x:f>
        <x:v>461.695.268-07</x:v>
      </x:c>
      <x:c r="W2175" s="22" t="str">
        <x:f>"46169526807"</x:f>
        <x:v>46169526807</x:v>
      </x:c>
      <x:c r="X2175" s="23" t="str">
        <x:v>aleo48084@gmail.com</x:v>
      </x:c>
      <x:c r="Y2175" s="22" t="str">
        <x:f>"(16)99340-0033"</x:f>
        <x:v>(16)99340-0033</x:v>
      </x:c>
      <x:c r="Z2175" s="30" t="n">
        <x:v>46560</x:v>
      </x:c>
    </x:row>
    <x:row r="2176" ht="18" customHeight="1">
      <x:c r="A2176" s="22" t="str">
        <x:f>"081306b4-68b3-46e3-bfb0-6bceb69397d6"</x:f>
        <x:v>081306b4-68b3-46e3-bfb0-6bceb69397d6</x:v>
      </x:c>
      <x:c r="B2176" s="23" t="str">
        <x:v>LEONARDO ALVES RIBEIRO DE MELO</x:v>
      </x:c>
      <x:c r="C2176" s="23" t="str">
        <x:v>leonardo alves ribeiro de melo</x:v>
      </x:c>
      <x:c r="D2176" s="22" t="str">
        <x:f>"29.680.275/0001-03"</x:f>
        <x:v>29.680.275/0001-03</x:v>
      </x:c>
      <x:c r="E2176" s="22" t="str">
        <x:f>"29680275000103"</x:f>
        <x:v>29680275000103</x:v>
      </x:c>
      <x:c r="F2176" s="22" t="str">
        <x:f>"137.353.357-99"</x:f>
        <x:v>137.353.357-99</x:v>
      </x:c>
      <x:c r="G2176" s="22" t="str">
        <x:f>"13735335799"</x:f>
        <x:v>13735335799</x:v>
      </x:c>
      <x:c r="H2176" s="23" t="str">
        <x:v>leonardo.telecom@outlook.com</x:v>
      </x:c>
      <x:c r="I2176" s="22" t="str">
        <x:f>"21985780968"</x:f>
        <x:v>21985780968</x:v>
      </x:c>
      <x:c r="J2176" s="23" t="str">
        <x:v>SPOT</x:v>
      </x:c>
      <x:c r="K2176" s="23" t="str">
        <x:v>favored_only</x:v>
      </x:c>
      <x:c r="L2176" s="24" t="b">
        <x:v>1</x:v>
      </x:c>
      <x:c r="M2176" s="23" t="n">
        <x:v>1</x:v>
      </x:c>
      <x:c r="N2176" s="28" t="n">
        <x:v>46203.921887453704</x:v>
      </x:c>
      <x:c r="O2176" s="28" t="n">
        <x:v>46219.812988715275</x:v>
      </x:c>
      <x:c r="P2176" s="23" t="str">
        <x:v>CAMPO GRANDE</x:v>
      </x:c>
      <x:c r="Q2176" s="30" t="n">
        <x:v>33761</x:v>
      </x:c>
      <x:c r="R2176" s="22" t="str">
        <x:f>"248610545"</x:f>
        <x:v>248610545</x:v>
      </x:c>
      <x:c r="S2176" s="23" t="str">
        <x:v>masculino</x:v>
      </x:c>
      <x:c r="T2176" s="22" t="str">
        <x:f>"KRG7335"</x:f>
        <x:v>KRG7335</x:v>
      </x:c>
      <x:c r="U2176" s="23" t="str">
        <x:v>LEONARDO ALVES RIBEIRO DE MELO</x:v>
      </x:c>
      <x:c r="V2176" s="22" t="str">
        <x:f>"137.353.357-99"</x:f>
        <x:v>137.353.357-99</x:v>
      </x:c>
      <x:c r="W2176" s="22" t="str">
        <x:f>"13735335799"</x:f>
        <x:v>13735335799</x:v>
      </x:c>
      <x:c r="X2176" s="23" t="str">
        <x:v>leonardo.telecom@outlook.com</x:v>
      </x:c>
      <x:c r="Y2176" s="22" t="str">
        <x:f>"21985780968"</x:f>
        <x:v>21985780968</x:v>
      </x:c>
      <x:c r="Z2176" s="30" t="n">
        <x:v>46331</x:v>
      </x:c>
    </x:row>
    <x:row r="2177" ht="18" customHeight="1">
      <x:c r="A2177" s="22" t="str">
        <x:f>"a9fa32fc-748c-4e89-b7e7-b966e3eb6a3c"</x:f>
        <x:v>a9fa32fc-748c-4e89-b7e7-b966e3eb6a3c</x:v>
      </x:c>
      <x:c r="B2177" s="23" t="str">
        <x:v>LEONARDO APARECIDO JACULI</x:v>
      </x:c>
      <x:c r="C2177" s="23" t="str">
        <x:v>leonardo aparecido jaculi</x:v>
      </x:c>
      <x:c r="D2177" s="22" t="str">
        <x:f>"61.602.040/0001-06"</x:f>
        <x:v>61.602.040/0001-06</x:v>
      </x:c>
      <x:c r="E2177" s="22" t="str">
        <x:f>"61602040000106"</x:f>
        <x:v>61602040000106</x:v>
      </x:c>
      <x:c r="F2177" s="22" t="str">
        <x:f>"429.432.708-14"</x:f>
        <x:v>429.432.708-14</x:v>
      </x:c>
      <x:c r="G2177" s="22" t="str">
        <x:f>"42943270814"</x:f>
        <x:v>42943270814</x:v>
      </x:c>
      <x:c r="H2177" s="23" t="str">
        <x:v>L.jaculi@outlook.com</x:v>
      </x:c>
      <x:c r="I2177" s="22" t="str">
        <x:f>"17992160592"</x:f>
        <x:v>17992160592</x:v>
      </x:c>
      <x:c r="J2177" s="23" t="str">
        <x:v>SPOT</x:v>
      </x:c>
      <x:c r="K2177" s="23" t="str">
        <x:v>favored_only</x:v>
      </x:c>
      <x:c r="L2177" s="24" t="b">
        <x:v>1</x:v>
      </x:c>
      <x:c r="M2177" s="23" t="n">
        <x:v>1</x:v>
      </x:c>
      <x:c r="N2177" s="28" t="n">
        <x:v>46205.60695150463</x:v>
      </x:c>
      <x:c r="O2177" s="28" t="n">
        <x:v>46219.812988715275</x:v>
      </x:c>
      <x:c r="P2177" s="23" t="str">
        <x:v>BARRETOS</x:v>
      </x:c>
      <x:c r="Q2177" s="30" t="n">
        <x:v>34871</x:v>
      </x:c>
      <x:c r="R2177" s="22" t="str">
        <x:f>"44525620"</x:f>
        <x:v>44525620</x:v>
      </x:c>
      <x:c r="S2177" s="23" t="str">
        <x:v>masculino</x:v>
      </x:c>
      <x:c r="T2177" s="22" t="str">
        <x:f>"GHY9F35"</x:f>
        <x:v>GHY9F35</x:v>
      </x:c>
      <x:c r="U2177" s="23" t="str">
        <x:v>JAQUELINE ROSA BONFIM</x:v>
      </x:c>
      <x:c r="V2177" s="22" t="str">
        <x:f>"360.475.658-83"</x:f>
        <x:v>360.475.658-83</x:v>
      </x:c>
      <x:c r="W2177" s="22" t="str">
        <x:f>"36047565883"</x:f>
        <x:v>36047565883</x:v>
      </x:c>
      <x:c r="X2177" s="23" t="str">
        <x:v>Jaqueline.rosa1011@gmail.com</x:v>
      </x:c>
      <x:c r="Y2177" s="22" t="str">
        <x:f>"17991355595"</x:f>
        <x:v>17991355595</x:v>
      </x:c>
      <x:c r="Z2177" s="30" t="n">
        <x:v>46392</x:v>
      </x:c>
    </x:row>
    <x:row r="2178" ht="18" customHeight="1">
      <x:c r="A2178" s="22" t="str">
        <x:f>"3b43c5cb-7b0e-4542-9817-a0eeaec63d51"</x:f>
        <x:v>3b43c5cb-7b0e-4542-9817-a0eeaec63d51</x:v>
      </x:c>
      <x:c r="B2178" s="23" t="str">
        <x:v>LEONARDO BASTOS DE SOUSA</x:v>
      </x:c>
      <x:c r="C2178" s="23" t="str">
        <x:v>leonardo bastos de sousa</x:v>
      </x:c>
      <x:c r="D2178" s="22" t="str">
        <x:f>"62.440.382/0001-21"</x:f>
        <x:v>62.440.382/0001-21</x:v>
      </x:c>
      <x:c r="E2178" s="22" t="str">
        <x:f>"62440382000121"</x:f>
        <x:v>62440382000121</x:v>
      </x:c>
      <x:c r="F2178" s="22" t="str">
        <x:f>"307.700.788-69"</x:f>
        <x:v>307.700.788-69</x:v>
      </x:c>
      <x:c r="G2178" s="22" t="str">
        <x:f>"30770078869"</x:f>
        <x:v>30770078869</x:v>
      </x:c>
      <x:c r="H2178" s="23" t="str">
        <x:v>leonardocaju557@yahoo.com</x:v>
      </x:c>
      <x:c r="I2178" s="22" t="str">
        <x:f>"16982505545"</x:f>
        <x:v>16982505545</x:v>
      </x:c>
      <x:c r="J2178" s="23" t="str">
        <x:v>SPOT</x:v>
      </x:c>
      <x:c r="K2178" s="23" t="str">
        <x:v>favored_only</x:v>
      </x:c>
      <x:c r="L2178" s="24" t="b">
        <x:v>1</x:v>
      </x:c>
      <x:c r="M2178" s="23" t="n">
        <x:v>1</x:v>
      </x:c>
      <x:c r="N2178" s="28" t="n">
        <x:v>46219.812988715275</x:v>
      </x:c>
      <x:c r="O2178" s="28" t="n">
        <x:v>46219.812988715275</x:v>
      </x:c>
      <x:c r="P2178" s="23" t="str">
        <x:v>RIBEIRAO PRETO</x:v>
      </x:c>
      <x:c r="Q2178" s="30" t="n">
        <x:v>30436</x:v>
      </x:c>
      <x:c r="R2178" s="22" t="str">
        <x:f>"254048316"</x:f>
        <x:v>254048316</x:v>
      </x:c>
      <x:c r="S2178" s="23" t="str">
        <x:v>masculino</x:v>
      </x:c>
      <x:c r="T2178" s="22" t="str">
        <x:f>"EWP4624"</x:f>
        <x:v>EWP4624</x:v>
      </x:c>
      <x:c r="U2178" s="23" t="str">
        <x:v>LEONARDO BASTOS DE SOUSA</x:v>
      </x:c>
      <x:c r="V2178" s="22" t="str">
        <x:f>"307.700.788-69"</x:f>
        <x:v>307.700.788-69</x:v>
      </x:c>
      <x:c r="W2178" s="22" t="str">
        <x:f>"30770078869"</x:f>
        <x:v>30770078869</x:v>
      </x:c>
      <x:c r="X2178" s="23" t="str">
        <x:v>leonardocaju557@yahoo.com</x:v>
      </x:c>
      <x:c r="Y2178" s="22" t="str">
        <x:f>"16982505545"</x:f>
        <x:v>16982505545</x:v>
      </x:c>
      <x:c r="Z2178" s="30" t="n">
        <x:v>46478</x:v>
      </x:c>
    </x:row>
    <x:row r="2179" ht="18" customHeight="1">
      <x:c r="A2179" s="22" t="str">
        <x:f>"838fadd3-3ee3-4a7b-9fb7-5173d0967e1b"</x:f>
        <x:v>838fadd3-3ee3-4a7b-9fb7-5173d0967e1b</x:v>
      </x:c>
      <x:c r="B2179" s="23" t="str">
        <x:v>LEONARDO BERNARDINO DE ANDRADE</x:v>
      </x:c>
      <x:c r="C2179" s="23" t="str">
        <x:v>leonardo bernardino de andrade</x:v>
      </x:c>
      <x:c r="D2179" s="22" t="str">
        <x:f>"57.560.087/0001-79"</x:f>
        <x:v>57.560.087/0001-79</x:v>
      </x:c>
      <x:c r="E2179" s="22" t="str">
        <x:f>"57560087000179"</x:f>
        <x:v>57560087000179</x:v>
      </x:c>
      <x:c r="F2179" s="22" t="str">
        <x:f>"322.040.928-86"</x:f>
        <x:v>322.040.928-86</x:v>
      </x:c>
      <x:c r="G2179" s="22" t="str">
        <x:f>"32204092886"</x:f>
        <x:v>32204092886</x:v>
      </x:c>
      <x:c r="H2179" s="23" t="str">
        <x:v>Leonardo.bernardino95@gmail.com</x:v>
      </x:c>
      <x:c r="I2179" s="22" t="str">
        <x:f>"11996143215"</x:f>
        <x:v>11996143215</x:v>
      </x:c>
      <x:c r="J2179" s="23" t="str">
        <x:v>SPOT</x:v>
      </x:c>
      <x:c r="K2179" s="23" t="str">
        <x:v>favored_only</x:v>
      </x:c>
      <x:c r="L2179" s="24" t="b">
        <x:v>1</x:v>
      </x:c>
      <x:c r="M2179" s="23" t="n">
        <x:v>1</x:v>
      </x:c>
      <x:c r="N2179" s="28" t="n">
        <x:v>46219.812988715275</x:v>
      </x:c>
      <x:c r="O2179" s="28" t="n">
        <x:v>46219.812988715275</x:v>
      </x:c>
      <x:c r="P2179" s="23" t="str">
        <x:v>BAURU</x:v>
      </x:c>
      <x:c r="Q2179" s="30" t="n">
        <x:v>34815</x:v>
      </x:c>
      <x:c r="R2179" s="22" t="str">
        <x:f>"485924766"</x:f>
        <x:v>485924766</x:v>
      </x:c>
      <x:c r="S2179" s="23" t="str">
        <x:v>masculino</x:v>
      </x:c>
      <x:c r="T2179" s="22" t="str">
        <x:f>"TCY3F47"</x:f>
        <x:v>TCY3F47</x:v>
      </x:c>
      <x:c r="U2179" s="23" t="str">
        <x:v>LEONARDO BERNARDINO DE ANDRADE</x:v>
      </x:c>
      <x:c r="V2179" s="22" t="str">
        <x:f>"322.040.928-86"</x:f>
        <x:v>322.040.928-86</x:v>
      </x:c>
      <x:c r="W2179" s="22" t="str">
        <x:f>"32204092886"</x:f>
        <x:v>32204092886</x:v>
      </x:c>
      <x:c r="X2179" s="23" t="str">
        <x:v>Leonardo.bernardino95@gmail.com</x:v>
      </x:c>
      <x:c r="Y2179" s="22" t="str">
        <x:f>"11996143215"</x:f>
        <x:v>11996143215</x:v>
      </x:c>
      <x:c r="Z2179" s="30" t="n">
        <x:v>46343</x:v>
      </x:c>
    </x:row>
    <x:row r="2180" ht="18" customHeight="1">
      <x:c r="A2180" s="22" t="str">
        <x:f>"b4c91435-6bf7-4473-9b72-a42849ec9751"</x:f>
        <x:v>b4c91435-6bf7-4473-9b72-a42849ec9751</x:v>
      </x:c>
      <x:c r="B2180" s="23" t="str">
        <x:v>LEONARDO BERNARDINO DOS SANTOS JUNIOR</x:v>
      </x:c>
      <x:c r="C2180" s="23" t="str">
        <x:v>leonardo bernardino dos santos junior</x:v>
      </x:c>
      <x:c r="D2180" s="22" t="str">
        <x:f>"50.195.863/0001-30"</x:f>
        <x:v>50.195.863/0001-30</x:v>
      </x:c>
      <x:c r="E2180" s="22" t="str">
        <x:f>"50195863000130"</x:f>
        <x:v>50195863000130</x:v>
      </x:c>
      <x:c r="F2180" s="22" t="str">
        <x:f>"14296700618"</x:f>
        <x:v>14296700618</x:v>
      </x:c>
      <x:c r="G2180" s="22" t="str">
        <x:f>"14296700618"</x:f>
        <x:v>14296700618</x:v>
      </x:c>
      <x:c r="H2180" s="23" t="str">
        <x:v>leozinhobernadinokz@gmail.com</x:v>
      </x:c>
      <x:c r="I2180" s="22" t="str">
        <x:f>"37 9778-6884"</x:f>
        <x:v>37 9778-6884</x:v>
      </x:c>
      <x:c r="J2180" s="23" t="str">
        <x:v>SPOT</x:v>
      </x:c>
      <x:c r="K2180" s="23" t="str">
        <x:v>favored_only</x:v>
      </x:c>
      <x:c r="L2180" s="24" t="b">
        <x:v>1</x:v>
      </x:c>
      <x:c r="M2180" s="23" t="n">
        <x:v>2</x:v>
      </x:c>
      <x:c r="N2180" s="28" t="n">
        <x:v>46203.921852962965</x:v>
      </x:c>
      <x:c r="O2180" s="28" t="n">
        <x:v>46220.50399197917</x:v>
      </x:c>
      <x:c r="P2180" s="23" t="str">
        <x:v>ARAXÁ</x:v>
      </x:c>
      <x:c r="Q2180" s="30" t="str"/>
      <x:c r="R2180" s="22" t="str"/>
      <x:c r="S2180" s="23" t="str"/>
      <x:c r="T2180" s="22" t="str"/>
      <x:c r="U2180" s="23" t="str">
        <x:v>LEONARDO BERNARDINO DOS SANTOS JUNIOR</x:v>
      </x:c>
      <x:c r="V2180" s="22" t="str">
        <x:f>"14296700618"</x:f>
        <x:v>14296700618</x:v>
      </x:c>
      <x:c r="W2180" s="22" t="str">
        <x:f>"14296700618"</x:f>
        <x:v>14296700618</x:v>
      </x:c>
      <x:c r="X2180" s="23" t="str">
        <x:v>leozinhobernadinokz@gmail.com</x:v>
      </x:c>
      <x:c r="Y2180" s="22" t="str">
        <x:f>"37 9778-6884"</x:f>
        <x:v>37 9778-6884</x:v>
      </x:c>
      <x:c r="Z2180" s="30" t="str"/>
    </x:row>
    <x:row r="2181" ht="18" customHeight="1">
      <x:c r="A2181" s="22" t="str">
        <x:f>"95515bc6-7fdd-4639-a4d3-31525c83f38f"</x:f>
        <x:v>95515bc6-7fdd-4639-a4d3-31525c83f38f</x:v>
      </x:c>
      <x:c r="B2181" s="23" t="str">
        <x:v>LEONARDO CAMILO PEREIRA DO NASCIMENTO</x:v>
      </x:c>
      <x:c r="C2181" s="23" t="str">
        <x:v>leonardo camilo pereira do nascimento</x:v>
      </x:c>
      <x:c r="D2181" s="22" t="str">
        <x:f>"58.655.902/0001-46"</x:f>
        <x:v>58.655.902/0001-46</x:v>
      </x:c>
      <x:c r="E2181" s="22" t="str">
        <x:f>"58655902000146"</x:f>
        <x:v>58655902000146</x:v>
      </x:c>
      <x:c r="F2181" s="22" t="str">
        <x:f>"130.196.547-26"</x:f>
        <x:v>130.196.547-26</x:v>
      </x:c>
      <x:c r="G2181" s="22" t="str">
        <x:f>"13019654726"</x:f>
        <x:v>13019654726</x:v>
      </x:c>
      <x:c r="H2181" s="23" t="str">
        <x:v>Mariajosepereiradasilva403@gmail.com</x:v>
      </x:c>
      <x:c r="I2181" s="22" t="str">
        <x:f>"21973388010"</x:f>
        <x:v>21973388010</x:v>
      </x:c>
      <x:c r="J2181" s="23" t="str">
        <x:v>SPOT</x:v>
      </x:c>
      <x:c r="K2181" s="23" t="str">
        <x:v>favored_only</x:v>
      </x:c>
      <x:c r="L2181" s="24" t="b">
        <x:v>1</x:v>
      </x:c>
      <x:c r="M2181" s="23" t="n">
        <x:v>1</x:v>
      </x:c>
      <x:c r="N2181" s="28" t="n">
        <x:v>46219.812988715275</x:v>
      </x:c>
      <x:c r="O2181" s="28" t="n">
        <x:v>46219.812988715275</x:v>
      </x:c>
      <x:c r="P2181" s="23" t="str">
        <x:v>SÃO JOAO DE MERITI</x:v>
      </x:c>
      <x:c r="Q2181" s="30" t="n">
        <x:v>34394</x:v>
      </x:c>
      <x:c r="R2181" s="22" t="str">
        <x:f>"256697681"</x:f>
        <x:v>256697681</x:v>
      </x:c>
      <x:c r="S2181" s="23" t="str">
        <x:v>masculino</x:v>
      </x:c>
      <x:c r="T2181" s="22" t="str">
        <x:f>"kqj6b02"</x:f>
        <x:v>kqj6b02</x:v>
      </x:c>
      <x:c r="U2181" s="23" t="str">
        <x:v>CESAR RAFAEL SILVA BASTOS</x:v>
      </x:c>
      <x:c r="V2181" s="22" t="str">
        <x:f>"113.897.147-21"</x:f>
        <x:v>113.897.147-21</x:v>
      </x:c>
      <x:c r="W2181" s="22" t="str">
        <x:f>"11389714721"</x:f>
        <x:v>11389714721</x:v>
      </x:c>
      <x:c r="X2181" s="23" t="str">
        <x:v>jn2685309@gmail.com</x:v>
      </x:c>
      <x:c r="Y2181" s="22" t="str">
        <x:f>"21969965830"</x:f>
        <x:v>21969965830</x:v>
      </x:c>
      <x:c r="Z2181" s="30" t="n">
        <x:v>46499</x:v>
      </x:c>
    </x:row>
    <x:row r="2182" ht="18" customHeight="1">
      <x:c r="A2182" s="22" t="str">
        <x:f>"4899d8ca-3542-4885-a213-a590c45a681d"</x:f>
        <x:v>4899d8ca-3542-4885-a213-a590c45a681d</x:v>
      </x:c>
      <x:c r="B2182" s="23" t="str">
        <x:v>LEONARDO CLEYTON DA SILVA CAMPOS</x:v>
      </x:c>
      <x:c r="C2182" s="23" t="str">
        <x:v>leonardo cleyton da silva campos</x:v>
      </x:c>
      <x:c r="D2182" s="22" t="str">
        <x:f>"57.684.950/0001-08"</x:f>
        <x:v>57.684.950/0001-08</x:v>
      </x:c>
      <x:c r="E2182" s="22" t="str">
        <x:f>"57684950000108"</x:f>
        <x:v>57684950000108</x:v>
      </x:c>
      <x:c r="F2182" s="22" t="str">
        <x:f>"070.990.131-30"</x:f>
        <x:v>070.990.131-30</x:v>
      </x:c>
      <x:c r="G2182" s="22" t="str">
        <x:f>"07099013130"</x:f>
        <x:v>07099013130</x:v>
      </x:c>
      <x:c r="H2182" s="23" t="str">
        <x:v>leo_cleyton102@hotmail.com</x:v>
      </x:c>
      <x:c r="I2182" s="22" t="str">
        <x:f>"6599265-3236"</x:f>
        <x:v>6599265-3236</x:v>
      </x:c>
      <x:c r="J2182" s="23" t="str">
        <x:v>SPOT</x:v>
      </x:c>
      <x:c r="K2182" s="23" t="str">
        <x:v>favored_only</x:v>
      </x:c>
      <x:c r="L2182" s="24" t="b">
        <x:v>1</x:v>
      </x:c>
      <x:c r="M2182" s="23" t="n">
        <x:v>1</x:v>
      </x:c>
      <x:c r="N2182" s="28" t="n">
        <x:v>46219.812988715275</x:v>
      </x:c>
      <x:c r="O2182" s="28" t="n">
        <x:v>46219.812988715275</x:v>
      </x:c>
      <x:c r="P2182" s="23" t="str">
        <x:v>CUIABA</x:v>
      </x:c>
      <x:c r="Q2182" s="30" t="n">
        <x:v>37186</x:v>
      </x:c>
      <x:c r="R2182" s="22" t="str">
        <x:f>"29009219"</x:f>
        <x:v>29009219</x:v>
      </x:c>
      <x:c r="S2182" s="23" t="str">
        <x:v>masculino</x:v>
      </x:c>
      <x:c r="T2182" s="22" t="str">
        <x:f>"QXN7G34"</x:f>
        <x:v>QXN7G34</x:v>
      </x:c>
      <x:c r="U2182" s="23" t="str">
        <x:v>THIAGO JUNIOR MEDEIROS RIBEIRO</x:v>
      </x:c>
      <x:c r="V2182" s="22" t="str">
        <x:f>"081.891.721-07"</x:f>
        <x:v>081.891.721-07</x:v>
      </x:c>
      <x:c r="W2182" s="22" t="str">
        <x:f>"08189172107"</x:f>
        <x:v>08189172107</x:v>
      </x:c>
      <x:c r="X2182" s="23" t="str">
        <x:v>thiagocba1000@gmail.com</x:v>
      </x:c>
      <x:c r="Y2182" s="22" t="str">
        <x:f>"65993005648"</x:f>
        <x:v>65993005648</x:v>
      </x:c>
      <x:c r="Z2182" s="30" t="n">
        <x:v>46484</x:v>
      </x:c>
    </x:row>
    <x:row r="2183" ht="18" customHeight="1">
      <x:c r="A2183" s="22" t="str">
        <x:f>"30abe569-ef3e-4375-a240-029db1df394a"</x:f>
        <x:v>30abe569-ef3e-4375-a240-029db1df394a</x:v>
      </x:c>
      <x:c r="B2183" s="23" t="str">
        <x:v>LEONARDO DA CAMARA MAGALHAES</x:v>
      </x:c>
      <x:c r="C2183" s="23" t="str">
        <x:v>leonardo da camara magalhaes</x:v>
      </x:c>
      <x:c r="D2183" s="22" t="str">
        <x:f>"59.242.505/0001-05"</x:f>
        <x:v>59.242.505/0001-05</x:v>
      </x:c>
      <x:c r="E2183" s="22" t="str">
        <x:f>"59242505000105"</x:f>
        <x:v>59242505000105</x:v>
      </x:c>
      <x:c r="F2183" s="22" t="str">
        <x:f>"134.658.047-24"</x:f>
        <x:v>134.658.047-24</x:v>
      </x:c>
      <x:c r="G2183" s="22" t="str">
        <x:f>"13465804724"</x:f>
        <x:v>13465804724</x:v>
      </x:c>
      <x:c r="H2183" s="23" t="str">
        <x:v>magalhaesleo02@gmail.com</x:v>
      </x:c>
      <x:c r="I2183" s="22" t="str">
        <x:f>"21992892524"</x:f>
        <x:v>21992892524</x:v>
      </x:c>
      <x:c r="J2183" s="23" t="str">
        <x:v>SPOT</x:v>
      </x:c>
      <x:c r="K2183" s="23" t="str">
        <x:v>favored_only</x:v>
      </x:c>
      <x:c r="L2183" s="24" t="b">
        <x:v>1</x:v>
      </x:c>
      <x:c r="M2183" s="23" t="n">
        <x:v>1</x:v>
      </x:c>
      <x:c r="N2183" s="28" t="n">
        <x:v>46203.921840393516</x:v>
      </x:c>
      <x:c r="O2183" s="28" t="n">
        <x:v>46219.812988715275</x:v>
      </x:c>
      <x:c r="P2183" s="23" t="str">
        <x:v>QUEIMADOS</x:v>
      </x:c>
      <x:c r="Q2183" s="30" t="n">
        <x:v>32453</x:v>
      </x:c>
      <x:c r="R2183" s="22" t="str">
        <x:f>"216416271"</x:f>
        <x:v>216416271</x:v>
      </x:c>
      <x:c r="S2183" s="23" t="str">
        <x:v>masculino</x:v>
      </x:c>
      <x:c r="T2183" s="22" t="str">
        <x:f>"KOP2H53"</x:f>
        <x:v>KOP2H53</x:v>
      </x:c>
      <x:c r="U2183" s="23" t="str">
        <x:v>LEONARDO DA CAMARA MAGALHAES</x:v>
      </x:c>
      <x:c r="V2183" s="22" t="str">
        <x:f>"134.658.047-24"</x:f>
        <x:v>134.658.047-24</x:v>
      </x:c>
      <x:c r="W2183" s="22" t="str">
        <x:f>"13465804724"</x:f>
        <x:v>13465804724</x:v>
      </x:c>
      <x:c r="X2183" s="23" t="str">
        <x:v>magalhaesleo02@gmail.com</x:v>
      </x:c>
      <x:c r="Y2183" s="22" t="str">
        <x:f>"21992892524"</x:f>
        <x:v>21992892524</x:v>
      </x:c>
      <x:c r="Z2183" s="30" t="n">
        <x:v>46445</x:v>
      </x:c>
    </x:row>
    <x:row r="2184" ht="18" customHeight="1">
      <x:c r="A2184" s="22" t="str">
        <x:f>"3b0effeb-dd16-466e-9e10-051fc871f01e"</x:f>
        <x:v>3b0effeb-dd16-466e-9e10-051fc871f01e</x:v>
      </x:c>
      <x:c r="B2184" s="23" t="str">
        <x:v>LEONARDO DA SILVA TRIBOSSE</x:v>
      </x:c>
      <x:c r="C2184" s="23" t="str">
        <x:v>leonardo da silva tribosse</x:v>
      </x:c>
      <x:c r="D2184" s="22" t="str">
        <x:f>"51.914.028/0001-75"</x:f>
        <x:v>51.914.028/0001-75</x:v>
      </x:c>
      <x:c r="E2184" s="22" t="str">
        <x:f>"51914028000175"</x:f>
        <x:v>51914028000175</x:v>
      </x:c>
      <x:c r="F2184" s="22" t="str">
        <x:f>"421.157.758-13"</x:f>
        <x:v>421.157.758-13</x:v>
      </x:c>
      <x:c r="G2184" s="22" t="str">
        <x:f>"42115775813"</x:f>
        <x:v>42115775813</x:v>
      </x:c>
      <x:c r="H2184" s="23" t="str">
        <x:v>leonardo_dasilvabr@hotmail.com</x:v>
      </x:c>
      <x:c r="I2184" s="22" t="str">
        <x:f>"17992252402"</x:f>
        <x:v>17992252402</x:v>
      </x:c>
      <x:c r="J2184" s="23" t="str">
        <x:v>SEPOT</x:v>
      </x:c>
      <x:c r="K2184" s="23" t="str">
        <x:v>favored_only</x:v>
      </x:c>
      <x:c r="L2184" s="24" t="b">
        <x:v>1</x:v>
      </x:c>
      <x:c r="M2184" s="23" t="n">
        <x:v>1</x:v>
      </x:c>
      <x:c r="N2184" s="28" t="n">
        <x:v>46219.812988715275</x:v>
      </x:c>
      <x:c r="O2184" s="28" t="n">
        <x:v>46219.812988715275</x:v>
      </x:c>
      <x:c r="P2184" s="23" t="str">
        <x:v>BARRETOS</x:v>
      </x:c>
      <x:c r="Q2184" s="30" t="n">
        <x:v>35106</x:v>
      </x:c>
      <x:c r="R2184" s="22" t="str">
        <x:f>"53707437"</x:f>
        <x:v>53707437</x:v>
      </x:c>
      <x:c r="S2184" s="23" t="str">
        <x:v>masculino</x:v>
      </x:c>
      <x:c r="T2184" s="22" t="str">
        <x:f>"EWN6F81"</x:f>
        <x:v>EWN6F81</x:v>
      </x:c>
      <x:c r="U2184" s="23" t="str">
        <x:v>GABRIEL HENRIQUE PENHA FELIPE</x:v>
      </x:c>
      <x:c r="V2184" s="22" t="str">
        <x:f>"591.604.868-80"</x:f>
        <x:v>591.604.868-80</x:v>
      </x:c>
      <x:c r="W2184" s="22" t="str">
        <x:f>"59160486880"</x:f>
        <x:v>59160486880</x:v>
      </x:c>
      <x:c r="X2184" s="23" t="str">
        <x:v>gh5582556@gmail.com</x:v>
      </x:c>
      <x:c r="Y2184" s="22" t="str">
        <x:f>"17 981277634"</x:f>
        <x:v>17 981277634</x:v>
      </x:c>
      <x:c r="Z2184" s="30" t="n">
        <x:v>46463</x:v>
      </x:c>
    </x:row>
    <x:row r="2185" ht="18" customHeight="1">
      <x:c r="A2185" s="22" t="str">
        <x:f>"3c043e00-9006-456a-ad81-e2b85c2b32a7"</x:f>
        <x:v>3c043e00-9006-456a-ad81-e2b85c2b32a7</x:v>
      </x:c>
      <x:c r="B2185" s="23" t="str">
        <x:v>LEONARDO DE ALMEIDA CAMARGO</x:v>
      </x:c>
      <x:c r="C2185" s="23" t="str">
        <x:v>leonardo de almeida camargo</x:v>
      </x:c>
      <x:c r="D2185" s="22" t="str">
        <x:f>"58.344.202/0001-30"</x:f>
        <x:v>58.344.202/0001-30</x:v>
      </x:c>
      <x:c r="E2185" s="22" t="str">
        <x:f>"58344202000130"</x:f>
        <x:v>58344202000130</x:v>
      </x:c>
      <x:c r="F2185" s="22" t="str">
        <x:f>"444.817.948-60"</x:f>
        <x:v>444.817.948-60</x:v>
      </x:c>
      <x:c r="G2185" s="22" t="str">
        <x:f>"44481794860"</x:f>
        <x:v>44481794860</x:v>
      </x:c>
      <x:c r="H2185" s="23" t="str">
        <x:v>lacmusicoficial@gmail.com</x:v>
      </x:c>
      <x:c r="I2185" s="22" t="str">
        <x:f>"14976046544"</x:f>
        <x:v>14976046544</x:v>
      </x:c>
      <x:c r="J2185" s="23" t="str">
        <x:v>RENTAL</x:v>
      </x:c>
      <x:c r="K2185" s="23" t="str">
        <x:v>rental_company</x:v>
      </x:c>
      <x:c r="L2185" s="24" t="b">
        <x:v>1</x:v>
      </x:c>
      <x:c r="M2185" s="23" t="n">
        <x:v>1</x:v>
      </x:c>
      <x:c r="N2185" s="28" t="n">
        <x:v>46219.812988715275</x:v>
      </x:c>
      <x:c r="O2185" s="28" t="n">
        <x:v>46219.812988715275</x:v>
      </x:c>
      <x:c r="P2185" s="23" t="str">
        <x:v>BAURU</x:v>
      </x:c>
      <x:c r="Q2185" s="30" t="n">
        <x:v>35011</x:v>
      </x:c>
      <x:c r="R2185" s="22" t="str">
        <x:f>"466011325"</x:f>
        <x:v>466011325</x:v>
      </x:c>
      <x:c r="S2185" s="23" t="str">
        <x:v>masculino</x:v>
      </x:c>
      <x:c r="T2185" s="22" t="str"/>
      <x:c r="U2185" s="23" t="str">
        <x:v>LEONARDO DE ALMEIDA CAMARGO</x:v>
      </x:c>
      <x:c r="V2185" s="22" t="str">
        <x:f>"444.817.948-60"</x:f>
        <x:v>444.817.948-60</x:v>
      </x:c>
      <x:c r="W2185" s="22" t="str">
        <x:f>"44481794860"</x:f>
        <x:v>44481794860</x:v>
      </x:c>
      <x:c r="X2185" s="23" t="str">
        <x:v>lacmusicoficial@gmail.com</x:v>
      </x:c>
      <x:c r="Y2185" s="22" t="str">
        <x:f>"14976046544"</x:f>
        <x:v>14976046544</x:v>
      </x:c>
      <x:c r="Z2185" s="30" t="n">
        <x:v>46483</x:v>
      </x:c>
    </x:row>
    <x:row r="2186" ht="18" customHeight="1">
      <x:c r="A2186" s="22" t="str">
        <x:f>"d1da5ce3-019f-4599-ace7-7aaadb009295"</x:f>
        <x:v>d1da5ce3-019f-4599-ace7-7aaadb009295</x:v>
      </x:c>
      <x:c r="B2186" s="23" t="str">
        <x:v>LEONARDO DE OLIVEIRA BARBOSA</x:v>
      </x:c>
      <x:c r="C2186" s="23" t="str">
        <x:v>leonardo de oliveira barbosa</x:v>
      </x:c>
      <x:c r="D2186" s="22" t="str">
        <x:f>"49.999.285/0001-05"</x:f>
        <x:v>49.999.285/0001-05</x:v>
      </x:c>
      <x:c r="E2186" s="22" t="str">
        <x:f>"49999285000105"</x:f>
        <x:v>49999285000105</x:v>
      </x:c>
      <x:c r="F2186" s="22" t="str">
        <x:f>"485.924.728-06"</x:f>
        <x:v>485.924.728-06</x:v>
      </x:c>
      <x:c r="G2186" s="22" t="str">
        <x:f>"48592472806"</x:f>
        <x:v>48592472806</x:v>
      </x:c>
      <x:c r="H2186" s="23" t="str">
        <x:v>leooliveirabarbosa.1407@gmail.com</x:v>
      </x:c>
      <x:c r="I2186" s="22" t="str">
        <x:f>"+55 14 98830-3994"</x:f>
        <x:v>+55 14 98830-3994</x:v>
      </x:c>
      <x:c r="J2186" s="23" t="str">
        <x:v>RENTAL</x:v>
      </x:c>
      <x:c r="K2186" s="23" t="str">
        <x:v>rental_company</x:v>
      </x:c>
      <x:c r="L2186" s="24" t="b">
        <x:v>1</x:v>
      </x:c>
      <x:c r="M2186" s="23" t="n">
        <x:v>1</x:v>
      </x:c>
      <x:c r="N2186" s="28" t="n">
        <x:v>46219.812988715275</x:v>
      </x:c>
      <x:c r="O2186" s="28" t="n">
        <x:v>46219.812988715275</x:v>
      </x:c>
      <x:c r="P2186" s="23" t="str">
        <x:v>MARILIA</x:v>
      </x:c>
      <x:c r="Q2186" s="30" t="n">
        <x:v>36452</x:v>
      </x:c>
      <x:c r="R2186" s="22" t="str">
        <x:f>"49839285"</x:f>
        <x:v>49839285</x:v>
      </x:c>
      <x:c r="S2186" s="23" t="str">
        <x:v>masculino</x:v>
      </x:c>
      <x:c r="T2186" s="22" t="str"/>
      <x:c r="U2186" s="23" t="str">
        <x:v>LEONARDO DE OLIVEIRA BARBOSA</x:v>
      </x:c>
      <x:c r="V2186" s="22" t="str">
        <x:f>"485.924.728-06"</x:f>
        <x:v>485.924.728-06</x:v>
      </x:c>
      <x:c r="W2186" s="22" t="str">
        <x:f>"48592472806"</x:f>
        <x:v>48592472806</x:v>
      </x:c>
      <x:c r="X2186" s="23" t="str">
        <x:v>leooliveirabarbosa.1407@gmail.com</x:v>
      </x:c>
      <x:c r="Y2186" s="22" t="str">
        <x:f>"+55 14 98830-3994"</x:f>
        <x:v>+55 14 98830-3994</x:v>
      </x:c>
      <x:c r="Z2186" s="30" t="n">
        <x:v>46557</x:v>
      </x:c>
    </x:row>
    <x:row r="2187" ht="18" customHeight="1">
      <x:c r="A2187" s="22" t="str">
        <x:f>"dc141933-86b3-42e4-a09f-ef2c5a87e294"</x:f>
        <x:v>dc141933-86b3-42e4-a09f-ef2c5a87e294</x:v>
      </x:c>
      <x:c r="B2187" s="23" t="str">
        <x:v>LEONARDO DE SOUZA MENDES</x:v>
      </x:c>
      <x:c r="C2187" s="23" t="str">
        <x:v>leonardo de souza mendes</x:v>
      </x:c>
      <x:c r="D2187" s="22" t="str">
        <x:f>"53.434.828/0001-14"</x:f>
        <x:v>53.434.828/0001-14</x:v>
      </x:c>
      <x:c r="E2187" s="22" t="str">
        <x:f>"53434828000114"</x:f>
        <x:v>53434828000114</x:v>
      </x:c>
      <x:c r="F2187" s="22" t="str">
        <x:f>"124.039.527-29"</x:f>
        <x:v>124.039.527-29</x:v>
      </x:c>
      <x:c r="G2187" s="22" t="str">
        <x:f>"12403952729"</x:f>
        <x:v>12403952729</x:v>
      </x:c>
      <x:c r="H2187" s="23" t="str">
        <x:v>leomendes_182@hotmail.com</x:v>
      </x:c>
      <x:c r="I2187" s="22" t="str">
        <x:f>"21979739107"</x:f>
        <x:v>21979739107</x:v>
      </x:c>
      <x:c r="J2187" s="23" t="str">
        <x:v>SPOT</x:v>
      </x:c>
      <x:c r="K2187" s="23" t="str">
        <x:v>favored_only</x:v>
      </x:c>
      <x:c r="L2187" s="24" t="b">
        <x:v>1</x:v>
      </x:c>
      <x:c r="M2187" s="23" t="n">
        <x:v>1</x:v>
      </x:c>
      <x:c r="N2187" s="28" t="n">
        <x:v>46203.92189349537</x:v>
      </x:c>
      <x:c r="O2187" s="28" t="n">
        <x:v>46219.812988715275</x:v>
      </x:c>
      <x:c r="P2187" s="23" t="str">
        <x:v>QUEIMADOS</x:v>
      </x:c>
      <x:c r="Q2187" s="30" t="n">
        <x:v>32537</x:v>
      </x:c>
      <x:c r="R2187" s="22" t="str">
        <x:f>"245921168"</x:f>
        <x:v>245921168</x:v>
      </x:c>
      <x:c r="S2187" s="23" t="str">
        <x:v>masculino</x:v>
      </x:c>
      <x:c r="T2187" s="22" t="str">
        <x:f>"KOW1D11"</x:f>
        <x:v>KOW1D11</x:v>
      </x:c>
      <x:c r="U2187" s="23" t="str">
        <x:v>LEONARDO DE SOUZA MENDES</x:v>
      </x:c>
      <x:c r="V2187" s="22" t="str">
        <x:f>"124.039.527-29"</x:f>
        <x:v>124.039.527-29</x:v>
      </x:c>
      <x:c r="W2187" s="22" t="str">
        <x:f>"12403952729"</x:f>
        <x:v>12403952729</x:v>
      </x:c>
      <x:c r="X2187" s="23" t="str">
        <x:v>leomendes_182@hotmail.com</x:v>
      </x:c>
      <x:c r="Y2187" s="22" t="str">
        <x:f>"21979739107"</x:f>
        <x:v>21979739107</x:v>
      </x:c>
      <x:c r="Z2187" s="30" t="n">
        <x:v>46340</x:v>
      </x:c>
    </x:row>
    <x:row r="2188" ht="18" customHeight="1">
      <x:c r="A2188" s="22" t="str">
        <x:f>"b7459c34-7fe0-4003-a983-f18abde63e42"</x:f>
        <x:v>b7459c34-7fe0-4003-a983-f18abde63e42</x:v>
      </x:c>
      <x:c r="B2188" s="23" t="str">
        <x:v>LEONARDO DO NASCIMENTO PAIVA</x:v>
      </x:c>
      <x:c r="C2188" s="23" t="str">
        <x:v>leonardo do nascimento paiva</x:v>
      </x:c>
      <x:c r="D2188" s="22" t="str">
        <x:f>"65.336.726/0001-45"</x:f>
        <x:v>65.336.726/0001-45</x:v>
      </x:c>
      <x:c r="E2188" s="22" t="str">
        <x:f>"65336726000145"</x:f>
        <x:v>65336726000145</x:v>
      </x:c>
      <x:c r="F2188" s="22" t="str">
        <x:f>"152.718.797-71"</x:f>
        <x:v>152.718.797-71</x:v>
      </x:c>
      <x:c r="G2188" s="22" t="str">
        <x:f>"15271879771"</x:f>
        <x:v>15271879771</x:v>
      </x:c>
      <x:c r="H2188" s="23" t="str">
        <x:v>lnpaiva95@gmail.com</x:v>
      </x:c>
      <x:c r="I2188" s="22" t="str">
        <x:f>"21994925197"</x:f>
        <x:v>21994925197</x:v>
      </x:c>
      <x:c r="J2188" s="23" t="str">
        <x:v>SPOT</x:v>
      </x:c>
      <x:c r="K2188" s="23" t="str">
        <x:v>favored_only</x:v>
      </x:c>
      <x:c r="L2188" s="24" t="b">
        <x:v>1</x:v>
      </x:c>
      <x:c r="M2188" s="23" t="n">
        <x:v>1</x:v>
      </x:c>
      <x:c r="N2188" s="28" t="n">
        <x:v>46219.812988715275</x:v>
      </x:c>
      <x:c r="O2188" s="28" t="n">
        <x:v>46219.812988715275</x:v>
      </x:c>
      <x:c r="P2188" s="23" t="str">
        <x:v>CAMPO GRANDE</x:v>
      </x:c>
      <x:c r="Q2188" s="30" t="n">
        <x:v>34834</x:v>
      </x:c>
      <x:c r="R2188" s="22" t="str">
        <x:f>"7374474748"</x:f>
        <x:v>7374474748</x:v>
      </x:c>
      <x:c r="S2188" s="23" t="str">
        <x:v>masculino</x:v>
      </x:c>
      <x:c r="T2188" s="22" t="str">
        <x:f>"PZY4B16"</x:f>
        <x:v>PZY4B16</x:v>
      </x:c>
      <x:c r="U2188" s="23" t="str">
        <x:v>LEONARDO PAIVA</x:v>
      </x:c>
      <x:c r="V2188" s="22" t="str">
        <x:f>"152.718.797-71"</x:f>
        <x:v>152.718.797-71</x:v>
      </x:c>
      <x:c r="W2188" s="22" t="str">
        <x:f>"15271879771"</x:f>
        <x:v>15271879771</x:v>
      </x:c>
      <x:c r="X2188" s="23" t="str">
        <x:v>lnpaiva95@gmail.com</x:v>
      </x:c>
      <x:c r="Y2188" s="22" t="str">
        <x:f>"21994925197"</x:f>
        <x:v>21994925197</x:v>
      </x:c>
      <x:c r="Z2188" s="30" t="n">
        <x:v>46535</x:v>
      </x:c>
    </x:row>
    <x:row r="2189" ht="18" customHeight="1">
      <x:c r="A2189" s="22" t="str">
        <x:f>"6be8db23-7f6b-4da3-af31-9e6efe35d458"</x:f>
        <x:v>6be8db23-7f6b-4da3-af31-9e6efe35d458</x:v>
      </x:c>
      <x:c r="B2189" s="23" t="str">
        <x:v>LEONARDO DO ROSARIO PEREIRA</x:v>
      </x:c>
      <x:c r="C2189" s="23" t="str">
        <x:v>leonardo do rosario pereira</x:v>
      </x:c>
      <x:c r="D2189" s="22" t="str">
        <x:f>"55.677.445/0001-00"</x:f>
        <x:v>55.677.445/0001-00</x:v>
      </x:c>
      <x:c r="E2189" s="22" t="str">
        <x:f>"55677445000100"</x:f>
        <x:v>55677445000100</x:v>
      </x:c>
      <x:c r="F2189" s="22" t="str">
        <x:f>"096.520.387-50"</x:f>
        <x:v>096.520.387-50</x:v>
      </x:c>
      <x:c r="G2189" s="22" t="str">
        <x:f>"09652038750"</x:f>
        <x:v>09652038750</x:v>
      </x:c>
      <x:c r="H2189" s="23" t="str">
        <x:v>leonardotec.tx@gmail.com</x:v>
      </x:c>
      <x:c r="I2189" s="22" t="str">
        <x:f>"2198460-2005"</x:f>
        <x:v>2198460-2005</x:v>
      </x:c>
      <x:c r="J2189" s="23" t="str">
        <x:v>SPOT</x:v>
      </x:c>
      <x:c r="K2189" s="23" t="str">
        <x:v>favored_only</x:v>
      </x:c>
      <x:c r="L2189" s="24" t="b">
        <x:v>1</x:v>
      </x:c>
      <x:c r="M2189" s="23" t="n">
        <x:v>1</x:v>
      </x:c>
      <x:c r="N2189" s="28" t="n">
        <x:v>46219.812988715275</x:v>
      </x:c>
      <x:c r="O2189" s="28" t="n">
        <x:v>46219.812988715275</x:v>
      </x:c>
      <x:c r="P2189" s="23" t="str">
        <x:v>CAMPO GRANDE</x:v>
      </x:c>
      <x:c r="Q2189" s="30" t="n">
        <x:v>30207</x:v>
      </x:c>
      <x:c r="R2189" s="22" t="str">
        <x:f>"131638140"</x:f>
        <x:v>131638140</x:v>
      </x:c>
      <x:c r="S2189" s="23" t="str">
        <x:v>masculino</x:v>
      </x:c>
      <x:c r="T2189" s="22" t="str">
        <x:f>"LSC4480"</x:f>
        <x:v>LSC4480</x:v>
      </x:c>
      <x:c r="U2189" s="23" t="str">
        <x:v>LEONARDO DO ROSARIO PEREIRA</x:v>
      </x:c>
      <x:c r="V2189" s="22" t="str">
        <x:f>"096.520.387-50"</x:f>
        <x:v>096.520.387-50</x:v>
      </x:c>
      <x:c r="W2189" s="22" t="str">
        <x:f>"09652038750"</x:f>
        <x:v>09652038750</x:v>
      </x:c>
      <x:c r="X2189" s="23" t="str">
        <x:v>leonardotec.tx@gmail.com</x:v>
      </x:c>
      <x:c r="Y2189" s="22" t="str">
        <x:f>"2198460-2005"</x:f>
        <x:v>2198460-2005</x:v>
      </x:c>
      <x:c r="Z2189" s="30" t="n">
        <x:v>46581</x:v>
      </x:c>
    </x:row>
    <x:row r="2190" ht="18" customHeight="1">
      <x:c r="A2190" s="22" t="str">
        <x:f>"9fb9482b-cedb-4e5e-b2f0-39c76d5155da"</x:f>
        <x:v>9fb9482b-cedb-4e5e-b2f0-39c76d5155da</x:v>
      </x:c>
      <x:c r="B2190" s="23" t="str">
        <x:v>LEONARDO DOS REIS OLIVEIRA</x:v>
      </x:c>
      <x:c r="C2190" s="23" t="str">
        <x:v>leonardo dos reis oliveira</x:v>
      </x:c>
      <x:c r="D2190" s="22" t="str">
        <x:f>"63.499.380/0001-70"</x:f>
        <x:v>63.499.380/0001-70</x:v>
      </x:c>
      <x:c r="E2190" s="22" t="str">
        <x:f>"63499380000170"</x:f>
        <x:v>63499380000170</x:v>
      </x:c>
      <x:c r="F2190" s="22" t="str">
        <x:f>"099.883.746-66"</x:f>
        <x:v>099.883.746-66</x:v>
      </x:c>
      <x:c r="G2190" s="22" t="str">
        <x:f>"09988374666"</x:f>
        <x:v>09988374666</x:v>
      </x:c>
      <x:c r="H2190" s="23" t="str">
        <x:v>lro.leo1988@gmail.com</x:v>
      </x:c>
      <x:c r="I2190" s="22" t="str">
        <x:f>"31 971401988"</x:f>
        <x:v>31 971401988</x:v>
      </x:c>
      <x:c r="J2190" s="23" t="str">
        <x:v>SPOT</x:v>
      </x:c>
      <x:c r="K2190" s="23" t="str">
        <x:v>favored_only</x:v>
      </x:c>
      <x:c r="L2190" s="24" t="b">
        <x:v>1</x:v>
      </x:c>
      <x:c r="M2190" s="23" t="n">
        <x:v>1</x:v>
      </x:c>
      <x:c r="N2190" s="28" t="n">
        <x:v>46203.92189349537</x:v>
      </x:c>
      <x:c r="O2190" s="28" t="n">
        <x:v>46219.812988715275</x:v>
      </x:c>
      <x:c r="P2190" s="23" t="str">
        <x:v>VESPASIANO</x:v>
      </x:c>
      <x:c r="Q2190" s="30" t="n">
        <x:v>32269</x:v>
      </x:c>
      <x:c r="R2190" s="22" t="str">
        <x:f>"MG 15 172  285"</x:f>
        <x:v>MG 15 172  285</x:v>
      </x:c>
      <x:c r="S2190" s="23" t="str">
        <x:v>masculino</x:v>
      </x:c>
      <x:c r="T2190" s="22" t="str">
        <x:f>"QNE0H20"</x:f>
        <x:v>QNE0H20</x:v>
      </x:c>
      <x:c r="U2190" s="23" t="str">
        <x:v>LEONARDO DOS REIS OLIVEIRA</x:v>
      </x:c>
      <x:c r="V2190" s="22" t="str">
        <x:f>"099.883.746-66"</x:f>
        <x:v>099.883.746-66</x:v>
      </x:c>
      <x:c r="W2190" s="22" t="str">
        <x:f>"09988374666"</x:f>
        <x:v>09988374666</x:v>
      </x:c>
      <x:c r="X2190" s="23" t="str">
        <x:v>lro.leo1988@gmail.com</x:v>
      </x:c>
      <x:c r="Y2190" s="22" t="str">
        <x:f>"31 971401988"</x:f>
        <x:v>31 971401988</x:v>
      </x:c>
      <x:c r="Z2190" s="30" t="n">
        <x:v>46337</x:v>
      </x:c>
    </x:row>
    <x:row r="2191" ht="18" customHeight="1">
      <x:c r="A2191" s="22" t="str">
        <x:f>"59bd59a3-2a92-4ecb-9a23-d7ba3e0fed88"</x:f>
        <x:v>59bd59a3-2a92-4ecb-9a23-d7ba3e0fed88</x:v>
      </x:c>
      <x:c r="B2191" s="23" t="str">
        <x:v>LEONARDO DOS SANTOS MONTES</x:v>
      </x:c>
      <x:c r="C2191" s="23" t="str">
        <x:v>leonardo dos santos montes</x:v>
      </x:c>
      <x:c r="D2191" s="22" t="str">
        <x:f>"55.777.966/0001-21"</x:f>
        <x:v>55.777.966/0001-21</x:v>
      </x:c>
      <x:c r="E2191" s="22" t="str">
        <x:f>"55777966000121"</x:f>
        <x:v>55777966000121</x:v>
      </x:c>
      <x:c r="F2191" s="22" t="str">
        <x:f>"15303619745"</x:f>
        <x:v>15303619745</x:v>
      </x:c>
      <x:c r="G2191" s="22" t="str">
        <x:f>"15303619745"</x:f>
        <x:v>15303619745</x:v>
      </x:c>
      <x:c r="H2191" s="23" t="str">
        <x:v>leoejesus78@gmail.com</x:v>
      </x:c>
      <x:c r="I2191" s="22" t="str">
        <x:f>"21 998042391"</x:f>
        <x:v>21 998042391</x:v>
      </x:c>
      <x:c r="J2191" s="23" t="str">
        <x:v>SPOT</x:v>
      </x:c>
      <x:c r="K2191" s="23" t="str">
        <x:v>favored_only</x:v>
      </x:c>
      <x:c r="L2191" s="24" t="b">
        <x:v>1</x:v>
      </x:c>
      <x:c r="M2191" s="23" t="n">
        <x:v>1</x:v>
      </x:c>
      <x:c r="N2191" s="28" t="n">
        <x:v>46203.9219084375</x:v>
      </x:c>
      <x:c r="O2191" s="28" t="n">
        <x:v>46203.9219084375</x:v>
      </x:c>
      <x:c r="P2191" s="23" t="str"/>
      <x:c r="Q2191" s="30" t="str"/>
      <x:c r="R2191" s="22" t="str"/>
      <x:c r="S2191" s="23" t="str"/>
      <x:c r="T2191" s="22" t="str"/>
      <x:c r="U2191" s="23" t="str">
        <x:v>LEONARDO DOS SANTOS MONTES</x:v>
      </x:c>
      <x:c r="V2191" s="22" t="str">
        <x:f>"15303619745"</x:f>
        <x:v>15303619745</x:v>
      </x:c>
      <x:c r="W2191" s="22" t="str">
        <x:f>"15303619745"</x:f>
        <x:v>15303619745</x:v>
      </x:c>
      <x:c r="X2191" s="23" t="str">
        <x:v>leoejesus78@gmail.com</x:v>
      </x:c>
      <x:c r="Y2191" s="22" t="str">
        <x:f>"21 998042391"</x:f>
        <x:v>21 998042391</x:v>
      </x:c>
      <x:c r="Z2191" s="30" t="str"/>
    </x:row>
    <x:row r="2192" ht="18" customHeight="1">
      <x:c r="A2192" s="22" t="str">
        <x:f>"003b2027-050b-4e62-98cf-ee22f385930b"</x:f>
        <x:v>003b2027-050b-4e62-98cf-ee22f385930b</x:v>
      </x:c>
      <x:c r="B2192" s="23" t="str">
        <x:v>LEONARDO FABRIZZIO DA SILVA</x:v>
      </x:c>
      <x:c r="C2192" s="23" t="str">
        <x:v>leonardo fabrizzio da silva</x:v>
      </x:c>
      <x:c r="D2192" s="22" t="str">
        <x:f>"37.823.997/0001-90"</x:f>
        <x:v>37.823.997/0001-90</x:v>
      </x:c>
      <x:c r="E2192" s="22" t="str">
        <x:f>"37823997000190"</x:f>
        <x:v>37823997000190</x:v>
      </x:c>
      <x:c r="F2192" s="22" t="str">
        <x:f>"871.144.531-91"</x:f>
        <x:v>871.144.531-91</x:v>
      </x:c>
      <x:c r="G2192" s="22" t="str">
        <x:f>"87114453191"</x:f>
        <x:v>87114453191</x:v>
      </x:c>
      <x:c r="H2192" s="23" t="str">
        <x:v>enzoguilherme09@gmail.com</x:v>
      </x:c>
      <x:c r="I2192" s="22" t="str">
        <x:f>"62984743954"</x:f>
        <x:v>62984743954</x:v>
      </x:c>
      <x:c r="J2192" s="23" t="str">
        <x:v>SPOT</x:v>
      </x:c>
      <x:c r="K2192" s="23" t="str">
        <x:v>favored_only</x:v>
      </x:c>
      <x:c r="L2192" s="24" t="b">
        <x:v>1</x:v>
      </x:c>
      <x:c r="M2192" s="23" t="n">
        <x:v>1</x:v>
      </x:c>
      <x:c r="N2192" s="28" t="n">
        <x:v>46205.60330372685</x:v>
      </x:c>
      <x:c r="O2192" s="28" t="n">
        <x:v>46205.604848483796</x:v>
      </x:c>
      <x:c r="P2192" s="23" t="str">
        <x:v>GOIANIA</x:v>
      </x:c>
      <x:c r="Q2192" s="30" t="n">
        <x:v>28431</x:v>
      </x:c>
      <x:c r="R2192" s="22" t="str">
        <x:f>"3540123"</x:f>
        <x:v>3540123</x:v>
      </x:c>
      <x:c r="S2192" s="23" t="str">
        <x:v>Masculino</x:v>
      </x:c>
      <x:c r="T2192" s="22" t="str">
        <x:f>"TFY1H43"</x:f>
        <x:v>TFY1H43</x:v>
      </x:c>
      <x:c r="U2192" s="23" t="str">
        <x:v>Danillo Baciel Almeida</x:v>
      </x:c>
      <x:c r="V2192" s="22" t="str">
        <x:f>"37.823.997/0001-90"</x:f>
        <x:v>37.823.997/0001-90</x:v>
      </x:c>
      <x:c r="W2192" s="22" t="str">
        <x:f>"37823997000190"</x:f>
        <x:v>37823997000190</x:v>
      </x:c>
      <x:c r="X2192" s="23" t="str">
        <x:v>rpt.cargas@gmail.com</x:v>
      </x:c>
      <x:c r="Y2192" s="22" t="str">
        <x:f>"62 996610607"</x:f>
        <x:v>62 996610607</x:v>
      </x:c>
      <x:c r="Z2192" s="30" t="n">
        <x:v>46214</x:v>
      </x:c>
    </x:row>
    <x:row r="2193" ht="18" customHeight="1">
      <x:c r="A2193" s="22" t="str">
        <x:f>"a4097729-32ef-4546-98f7-b0f4f3809b3c"</x:f>
        <x:v>a4097729-32ef-4546-98f7-b0f4f3809b3c</x:v>
      </x:c>
      <x:c r="B2193" s="23" t="str">
        <x:v>LEONARDO FELIPE DA COSTA GARCIA RODRIGUES</x:v>
      </x:c>
      <x:c r="C2193" s="23" t="str">
        <x:v>leonardo felipe da costa garcia rodrigues</x:v>
      </x:c>
      <x:c r="D2193" s="22" t="str">
        <x:f>"56.979.445/0001-10"</x:f>
        <x:v>56.979.445/0001-10</x:v>
      </x:c>
      <x:c r="E2193" s="22" t="str">
        <x:f>"56979445000110"</x:f>
        <x:v>56979445000110</x:v>
      </x:c>
      <x:c r="F2193" s="22" t="str">
        <x:f>"460.245.758-40"</x:f>
        <x:v>460.245.758-40</x:v>
      </x:c>
      <x:c r="G2193" s="22" t="str">
        <x:f>"46024575840"</x:f>
        <x:v>46024575840</x:v>
      </x:c>
      <x:c r="H2193" s="23" t="str">
        <x:v>leonardogarciafelipe123@gmail.com</x:v>
      </x:c>
      <x:c r="I2193" s="22" t="str">
        <x:f>"17996702429"</x:f>
        <x:v>17996702429</x:v>
      </x:c>
      <x:c r="J2193" s="23" t="str">
        <x:v>RENTAL</x:v>
      </x:c>
      <x:c r="K2193" s="23" t="str">
        <x:v>rental_company</x:v>
      </x:c>
      <x:c r="L2193" s="24" t="b">
        <x:v>1</x:v>
      </x:c>
      <x:c r="M2193" s="23" t="n">
        <x:v>1</x:v>
      </x:c>
      <x:c r="N2193" s="28" t="n">
        <x:v>46219.812988715275</x:v>
      </x:c>
      <x:c r="O2193" s="28" t="n">
        <x:v>46219.812988715275</x:v>
      </x:c>
      <x:c r="P2193" s="23" t="str">
        <x:v>BARRETOS</x:v>
      </x:c>
      <x:c r="Q2193" s="30" t="n">
        <x:v>35739</x:v>
      </x:c>
      <x:c r="R2193" s="22" t="str">
        <x:f>"520438346"</x:f>
        <x:v>520438346</x:v>
      </x:c>
      <x:c r="S2193" s="23" t="str">
        <x:v>masculino</x:v>
      </x:c>
      <x:c r="T2193" s="22" t="str"/>
      <x:c r="U2193" s="23" t="str">
        <x:v>LEONARDO FELIPE DA COSTA GARCIA RODRIGUES</x:v>
      </x:c>
      <x:c r="V2193" s="22" t="str">
        <x:f>"460.245.758-40"</x:f>
        <x:v>460.245.758-40</x:v>
      </x:c>
      <x:c r="W2193" s="22" t="str">
        <x:f>"46024575840"</x:f>
        <x:v>46024575840</x:v>
      </x:c>
      <x:c r="X2193" s="23" t="str">
        <x:v>leonardogarciafelipe123@gmail.com</x:v>
      </x:c>
      <x:c r="Y2193" s="22" t="str">
        <x:f>"17996702429"</x:f>
        <x:v>17996702429</x:v>
      </x:c>
      <x:c r="Z2193" s="30" t="n">
        <x:v>46410</x:v>
      </x:c>
    </x:row>
    <x:row r="2194" ht="18" customHeight="1">
      <x:c r="A2194" s="22" t="str">
        <x:f>"71e38c3a-970a-4c8f-9aab-9dbac422d09e"</x:f>
        <x:v>71e38c3a-970a-4c8f-9aab-9dbac422d09e</x:v>
      </x:c>
      <x:c r="B2194" s="23" t="str">
        <x:v>LEONARDO FELIPE OLIVEIRA SILVA</x:v>
      </x:c>
      <x:c r="C2194" s="23" t="str">
        <x:v>leonardo felipe oliveira silva</x:v>
      </x:c>
      <x:c r="D2194" s="22" t="str">
        <x:f>"45.637.506/0001-44"</x:f>
        <x:v>45.637.506/0001-44</x:v>
      </x:c>
      <x:c r="E2194" s="22" t="str">
        <x:f>"45637506000144"</x:f>
        <x:v>45637506000144</x:v>
      </x:c>
      <x:c r="F2194" s="22" t="str">
        <x:f>"431.972.898-03"</x:f>
        <x:v>431.972.898-03</x:v>
      </x:c>
      <x:c r="G2194" s="22" t="str">
        <x:f>"43197289803"</x:f>
        <x:v>43197289803</x:v>
      </x:c>
      <x:c r="H2194" s="23" t="str">
        <x:v>felipeleonardo698@gmail.com</x:v>
      </x:c>
      <x:c r="I2194" s="22" t="str">
        <x:f>"11980907072"</x:f>
        <x:v>11980907072</x:v>
      </x:c>
      <x:c r="J2194" s="23" t="str">
        <x:v>spot</x:v>
      </x:c>
      <x:c r="K2194" s="23" t="str">
        <x:v>rental_company</x:v>
      </x:c>
      <x:c r="L2194" s="24" t="b">
        <x:v>1</x:v>
      </x:c>
      <x:c r="M2194" s="23" t="n">
        <x:v>3</x:v>
      </x:c>
      <x:c r="N2194" s="28" t="n">
        <x:v>46203.92183332176</x:v>
      </x:c>
      <x:c r="O2194" s="28" t="n">
        <x:v>46219.812988715275</x:v>
      </x:c>
      <x:c r="P2194" s="23" t="str">
        <x:v>BARUERI</x:v>
      </x:c>
      <x:c r="Q2194" s="30" t="n">
        <x:v>34678</x:v>
      </x:c>
      <x:c r="R2194" s="22" t="str">
        <x:f>"358892193"</x:f>
        <x:v>358892193</x:v>
      </x:c>
      <x:c r="S2194" s="23" t="str">
        <x:v>masculino</x:v>
      </x:c>
      <x:c r="T2194" s="22" t="str">
        <x:f>"BDO5A80"</x:f>
        <x:v>BDO5A80</x:v>
      </x:c>
      <x:c r="U2194" s="23" t="str">
        <x:v>LEONARDO FELIPE OLIVEIRA SILVA</x:v>
      </x:c>
      <x:c r="V2194" s="22" t="str">
        <x:f>"431.972.898-03"</x:f>
        <x:v>431.972.898-03</x:v>
      </x:c>
      <x:c r="W2194" s="22" t="str">
        <x:f>"43197289803"</x:f>
        <x:v>43197289803</x:v>
      </x:c>
      <x:c r="X2194" s="23" t="str">
        <x:v>felipeleonardo698@gmail.com</x:v>
      </x:c>
      <x:c r="Y2194" s="22" t="str">
        <x:f>"11980907072"</x:f>
        <x:v>11980907072</x:v>
      </x:c>
      <x:c r="Z2194" s="30" t="n">
        <x:v>46570</x:v>
      </x:c>
    </x:row>
    <x:row r="2195" ht="18" customHeight="1">
      <x:c r="A2195" s="22" t="str">
        <x:f>"f994ae87-1559-48e2-86c9-25c36a68bc43"</x:f>
        <x:v>f994ae87-1559-48e2-86c9-25c36a68bc43</x:v>
      </x:c>
      <x:c r="B2195" s="23" t="str">
        <x:v>LEONARDO FIGUEREDO MARTINS JUNIOR</x:v>
      </x:c>
      <x:c r="C2195" s="23" t="str">
        <x:v>leonardo figueredo martins junior</x:v>
      </x:c>
      <x:c r="D2195" s="22" t="str">
        <x:f>"64.045.069/0001-14"</x:f>
        <x:v>64.045.069/0001-14</x:v>
      </x:c>
      <x:c r="E2195" s="22" t="str">
        <x:f>"64045069000114"</x:f>
        <x:v>64045069000114</x:v>
      </x:c>
      <x:c r="F2195" s="22" t="str">
        <x:f>"131.152.246-80"</x:f>
        <x:v>131.152.246-80</x:v>
      </x:c>
      <x:c r="G2195" s="22" t="str">
        <x:f>"13115224680"</x:f>
        <x:v>13115224680</x:v>
      </x:c>
      <x:c r="H2195" s="23" t="str">
        <x:v>Leonardo.figueredo1402@gmail.com</x:v>
      </x:c>
      <x:c r="I2195" s="22" t="str">
        <x:f>"(31)99115-3117"</x:f>
        <x:v>(31)99115-3117</x:v>
      </x:c>
      <x:c r="J2195" s="23" t="str">
        <x:v>SPOT</x:v>
      </x:c>
      <x:c r="K2195" s="23" t="str">
        <x:v>favored_only</x:v>
      </x:c>
      <x:c r="L2195" s="24" t="b">
        <x:v>1</x:v>
      </x:c>
      <x:c r="M2195" s="23" t="n">
        <x:v>1</x:v>
      </x:c>
      <x:c r="N2195" s="28" t="n">
        <x:v>46203.92191240741</x:v>
      </x:c>
      <x:c r="O2195" s="28" t="n">
        <x:v>46219.812988715275</x:v>
      </x:c>
      <x:c r="P2195" s="23" t="str">
        <x:v>VESPASIANO</x:v>
      </x:c>
      <x:c r="Q2195" s="30" t="n">
        <x:v>35476</x:v>
      </x:c>
      <x:c r="R2195" s="22" t="str">
        <x:f>"RG:19.032.818"</x:f>
        <x:v>RG:19.032.818</x:v>
      </x:c>
      <x:c r="S2195" s="23" t="str">
        <x:v>masculino</x:v>
      </x:c>
      <x:c r="T2195" s="22" t="str">
        <x:f>"RFV0B06"</x:f>
        <x:v>RFV0B06</x:v>
      </x:c>
      <x:c r="U2195" s="23" t="str">
        <x:v>LEONARDO FIGUEREDO MARTINS JUNIOR</x:v>
      </x:c>
      <x:c r="V2195" s="22" t="str">
        <x:f>"131.152.246-80"</x:f>
        <x:v>131.152.246-80</x:v>
      </x:c>
      <x:c r="W2195" s="22" t="str">
        <x:f>"13115224680"</x:f>
        <x:v>13115224680</x:v>
      </x:c>
      <x:c r="X2195" s="23" t="str">
        <x:v>Leonardo.figueredo1402@gmail.com</x:v>
      </x:c>
      <x:c r="Y2195" s="22" t="str">
        <x:f>"RG: 19.032.818"</x:f>
        <x:v>RG: 19.032.818</x:v>
      </x:c>
      <x:c r="Z2195" s="30" t="n">
        <x:v>46402</x:v>
      </x:c>
    </x:row>
    <x:row r="2196" ht="18" customHeight="1">
      <x:c r="A2196" s="22" t="str">
        <x:f>"a7d9e8ba-f358-4f85-8f38-cef1379cf3ac"</x:f>
        <x:v>a7d9e8ba-f358-4f85-8f38-cef1379cf3ac</x:v>
      </x:c>
      <x:c r="B2196" s="23" t="str">
        <x:v>LEONARDO FRAZAO FONSECA</x:v>
      </x:c>
      <x:c r="C2196" s="23" t="str">
        <x:v>leonardo frazao fonseca</x:v>
      </x:c>
      <x:c r="D2196" s="22" t="str">
        <x:f>"66.697.405/0001-39"</x:f>
        <x:v>66.697.405/0001-39</x:v>
      </x:c>
      <x:c r="E2196" s="22" t="str">
        <x:f>"66697405000139"</x:f>
        <x:v>66697405000139</x:v>
      </x:c>
      <x:c r="F2196" s="22" t="str">
        <x:f>"045.074.137-02"</x:f>
        <x:v>045.074.137-02</x:v>
      </x:c>
      <x:c r="G2196" s="22" t="str">
        <x:f>"04507413702"</x:f>
        <x:v>04507413702</x:v>
      </x:c>
      <x:c r="H2196" s="23" t="str">
        <x:v>leofrazaofonseca@gmail.com</x:v>
      </x:c>
      <x:c r="I2196" s="22" t="str">
        <x:f>"21992905826"</x:f>
        <x:v>21992905826</x:v>
      </x:c>
      <x:c r="J2196" s="23" t="str">
        <x:v>RENTAL</x:v>
      </x:c>
      <x:c r="K2196" s="23" t="str">
        <x:v>rental_company</x:v>
      </x:c>
      <x:c r="L2196" s="24" t="b">
        <x:v>1</x:v>
      </x:c>
      <x:c r="M2196" s="23" t="n">
        <x:v>1</x:v>
      </x:c>
      <x:c r="N2196" s="28" t="n">
        <x:v>46219.812988715275</x:v>
      </x:c>
      <x:c r="O2196" s="28" t="n">
        <x:v>46219.812988715275</x:v>
      </x:c>
      <x:c r="P2196" s="23" t="str">
        <x:v>CAMPOS DOS GOYTACAZES</x:v>
      </x:c>
      <x:c r="Q2196" s="30" t="n">
        <x:v>27402</x:v>
      </x:c>
      <x:c r="R2196" s="22" t="str">
        <x:f>"102151800"</x:f>
        <x:v>102151800</x:v>
      </x:c>
      <x:c r="S2196" s="23" t="str">
        <x:v>masculino</x:v>
      </x:c>
      <x:c r="T2196" s="22" t="str"/>
      <x:c r="U2196" s="23" t="str">
        <x:v>LEONARDO FRAZAO FONSECA</x:v>
      </x:c>
      <x:c r="V2196" s="22" t="str">
        <x:f>"045.074.137-02"</x:f>
        <x:v>045.074.137-02</x:v>
      </x:c>
      <x:c r="W2196" s="22" t="str">
        <x:f>"04507413702"</x:f>
        <x:v>04507413702</x:v>
      </x:c>
      <x:c r="X2196" s="23" t="str">
        <x:v>leofrazaofonseca@gmail.com</x:v>
      </x:c>
      <x:c r="Y2196" s="22" t="str">
        <x:f>"21992905826"</x:f>
        <x:v>21992905826</x:v>
      </x:c>
      <x:c r="Z2196" s="30" t="n">
        <x:v>46518</x:v>
      </x:c>
    </x:row>
    <x:row r="2197" ht="18" customHeight="1">
      <x:c r="A2197" s="22" t="str">
        <x:f>"bb2f5087-cdbf-4f7f-8d38-82639dd9f8ed"</x:f>
        <x:v>bb2f5087-cdbf-4f7f-8d38-82639dd9f8ed</x:v>
      </x:c>
      <x:c r="B2197" s="23" t="str">
        <x:v>LEONARDO FREITAS DE MELLO PASSOS</x:v>
      </x:c>
      <x:c r="C2197" s="23" t="str">
        <x:v>leonardo freitas de mello passos</x:v>
      </x:c>
      <x:c r="D2197" s="22" t="str">
        <x:f>"65.139.055/0001-22"</x:f>
        <x:v>65.139.055/0001-22</x:v>
      </x:c>
      <x:c r="E2197" s="22" t="str">
        <x:f>"65139055000122"</x:f>
        <x:v>65139055000122</x:v>
      </x:c>
      <x:c r="F2197" s="22" t="str">
        <x:f>"151.560.657-08"</x:f>
        <x:v>151.560.657-08</x:v>
      </x:c>
      <x:c r="G2197" s="22" t="str">
        <x:f>"15156065708"</x:f>
        <x:v>15156065708</x:v>
      </x:c>
      <x:c r="H2197" s="23" t="str">
        <x:v>Cobusprates@gmail.com</x:v>
      </x:c>
      <x:c r="I2197" s="22" t="str">
        <x:f>"21979003828"</x:f>
        <x:v>21979003828</x:v>
      </x:c>
      <x:c r="J2197" s="23" t="str">
        <x:v>SPOT</x:v>
      </x:c>
      <x:c r="K2197" s="23" t="str">
        <x:v>favored_only</x:v>
      </x:c>
      <x:c r="L2197" s="24" t="b">
        <x:v>1</x:v>
      </x:c>
      <x:c r="M2197" s="23" t="n">
        <x:v>1</x:v>
      </x:c>
      <x:c r="N2197" s="28" t="n">
        <x:v>46219.812988715275</x:v>
      </x:c>
      <x:c r="O2197" s="28" t="n">
        <x:v>46219.812988715275</x:v>
      </x:c>
      <x:c r="P2197" s="23" t="str">
        <x:v>SÃO JOAO DE MERITI</x:v>
      </x:c>
      <x:c r="Q2197" s="30" t="n">
        <x:v>34612</x:v>
      </x:c>
      <x:c r="R2197" s="22" t="str">
        <x:f>"131841199"</x:f>
        <x:v>131841199</x:v>
      </x:c>
      <x:c r="S2197" s="23" t="str">
        <x:v>masculino</x:v>
      </x:c>
      <x:c r="T2197" s="22" t="str">
        <x:f>"EGF0A71"</x:f>
        <x:v>EGF0A71</x:v>
      </x:c>
      <x:c r="U2197" s="23" t="str">
        <x:v>65.139.055 LEONARDO FREITAS DE MELLO PASSOS</x:v>
      </x:c>
      <x:c r="V2197" s="22" t="str">
        <x:f>"151.560.657-08"</x:f>
        <x:v>151.560.657-08</x:v>
      </x:c>
      <x:c r="W2197" s="22" t="str">
        <x:f>"15156065708"</x:f>
        <x:v>15156065708</x:v>
      </x:c>
      <x:c r="X2197" s="23" t="str">
        <x:v>Cobusprates@gmail.com</x:v>
      </x:c>
      <x:c r="Y2197" s="22" t="str">
        <x:f>"21979003828"</x:f>
        <x:v>21979003828</x:v>
      </x:c>
      <x:c r="Z2197" s="30" t="n">
        <x:v>46432</x:v>
      </x:c>
    </x:row>
    <x:row r="2198" ht="18" customHeight="1">
      <x:c r="A2198" s="22" t="str">
        <x:f>"4c75ee8b-08e5-4c3b-a3ef-9c01992e1b62"</x:f>
        <x:v>4c75ee8b-08e5-4c3b-a3ef-9c01992e1b62</x:v>
      </x:c>
      <x:c r="B2198" s="23" t="str">
        <x:v>LEONARDO GOMES SIMAO</x:v>
      </x:c>
      <x:c r="C2198" s="23" t="str">
        <x:v>leonardo gomes simao</x:v>
      </x:c>
      <x:c r="D2198" s="22" t="str">
        <x:f>"36.826.903/0001-73"</x:f>
        <x:v>36.826.903/0001-73</x:v>
      </x:c>
      <x:c r="E2198" s="22" t="str">
        <x:f>"36826903000173"</x:f>
        <x:v>36826903000173</x:v>
      </x:c>
      <x:c r="F2198" s="22" t="str">
        <x:f>"308.932.478-47"</x:f>
        <x:v>308.932.478-47</x:v>
      </x:c>
      <x:c r="G2198" s="22" t="str">
        <x:f>"30893247847"</x:f>
        <x:v>30893247847</x:v>
      </x:c>
      <x:c r="H2198" s="23" t="str">
        <x:v>leogomesmengo@gmail.com</x:v>
      </x:c>
      <x:c r="I2198" s="22" t="str">
        <x:f>"11959086477"</x:f>
        <x:v>11959086477</x:v>
      </x:c>
      <x:c r="J2198" s="23" t="str">
        <x:v>RENTAL</x:v>
      </x:c>
      <x:c r="K2198" s="23" t="str">
        <x:v>rental_company</x:v>
      </x:c>
      <x:c r="L2198" s="24" t="b">
        <x:v>1</x:v>
      </x:c>
      <x:c r="M2198" s="23" t="n">
        <x:v>1</x:v>
      </x:c>
      <x:c r="N2198" s="28" t="n">
        <x:v>46219.812988715275</x:v>
      </x:c>
      <x:c r="O2198" s="28" t="n">
        <x:v>46219.812988715275</x:v>
      </x:c>
      <x:c r="P2198" s="23" t="str">
        <x:v>BARUERI</x:v>
      </x:c>
      <x:c r="Q2198" s="30" t="n">
        <x:v>30301</x:v>
      </x:c>
      <x:c r="R2198" s="22" t="str">
        <x:f>"35305889"</x:f>
        <x:v>35305889</x:v>
      </x:c>
      <x:c r="S2198" s="23" t="str">
        <x:v>masculino</x:v>
      </x:c>
      <x:c r="T2198" s="22" t="str"/>
      <x:c r="U2198" s="23" t="str">
        <x:v>LEONARDO GOMES SIMAO</x:v>
      </x:c>
      <x:c r="V2198" s="22" t="str">
        <x:f>"308.932.478-47"</x:f>
        <x:v>308.932.478-47</x:v>
      </x:c>
      <x:c r="W2198" s="22" t="str">
        <x:f>"30893247847"</x:f>
        <x:v>30893247847</x:v>
      </x:c>
      <x:c r="X2198" s="23" t="str">
        <x:v>leogomesmengo@gmail.com</x:v>
      </x:c>
      <x:c r="Y2198" s="22" t="str">
        <x:f>"11959086477"</x:f>
        <x:v>11959086477</x:v>
      </x:c>
      <x:c r="Z2198" s="30" t="n">
        <x:v>46560</x:v>
      </x:c>
    </x:row>
    <x:row r="2199" ht="18" customHeight="1">
      <x:c r="A2199" s="22" t="str">
        <x:f>"6e689040-4fd5-477d-9673-2f26bb249bad"</x:f>
        <x:v>6e689040-4fd5-477d-9673-2f26bb249bad</x:v>
      </x:c>
      <x:c r="B2199" s="23" t="str">
        <x:v>LEONARDO GONCALVES RUIZ DO NASCIMENTO</x:v>
      </x:c>
      <x:c r="C2199" s="23" t="str">
        <x:v>leonardo goncalves ruiz do nascimento</x:v>
      </x:c>
      <x:c r="D2199" s="22" t="str">
        <x:f>"65.607.184/0001-06"</x:f>
        <x:v>65.607.184/0001-06</x:v>
      </x:c>
      <x:c r="E2199" s="22" t="str">
        <x:f>"65607184000106"</x:f>
        <x:v>65607184000106</x:v>
      </x:c>
      <x:c r="F2199" s="22" t="str">
        <x:f>"181.529.437-03"</x:f>
        <x:v>181.529.437-03</x:v>
      </x:c>
      <x:c r="G2199" s="22" t="str">
        <x:f>"18152943703"</x:f>
        <x:v>18152943703</x:v>
      </x:c>
      <x:c r="H2199" s="23" t="str">
        <x:v>nascimentoleonardo679@gmail.com</x:v>
      </x:c>
      <x:c r="I2199" s="22" t="str">
        <x:f>"21995512348"</x:f>
        <x:v>21995512348</x:v>
      </x:c>
      <x:c r="J2199" s="23" t="str">
        <x:v>SPOT</x:v>
      </x:c>
      <x:c r="K2199" s="23" t="str">
        <x:v>favored_only</x:v>
      </x:c>
      <x:c r="L2199" s="24" t="b">
        <x:v>1</x:v>
      </x:c>
      <x:c r="M2199" s="23" t="n">
        <x:v>1</x:v>
      </x:c>
      <x:c r="N2199" s="28" t="n">
        <x:v>46219.812988715275</x:v>
      </x:c>
      <x:c r="O2199" s="28" t="n">
        <x:v>46219.812988715275</x:v>
      </x:c>
      <x:c r="P2199" s="23" t="str">
        <x:v>QUEIMADOS</x:v>
      </x:c>
      <x:c r="Q2199" s="30" t="n">
        <x:v>36505</x:v>
      </x:c>
      <x:c r="R2199" s="22" t="str">
        <x:f>"309699213"</x:f>
        <x:v>309699213</x:v>
      </x:c>
      <x:c r="S2199" s="23" t="str">
        <x:v>masculino</x:v>
      </x:c>
      <x:c r="T2199" s="22" t="str">
        <x:f>"LRU6B99"</x:f>
        <x:v>LRU6B99</x:v>
      </x:c>
      <x:c r="U2199" s="23" t="str">
        <x:v>LEONARDO GONCALVES RUIZ DO NASCIMENTO</x:v>
      </x:c>
      <x:c r="V2199" s="22" t="str">
        <x:f>"181.529.437-03"</x:f>
        <x:v>181.529.437-03</x:v>
      </x:c>
      <x:c r="W2199" s="22" t="str">
        <x:f>"18152943703"</x:f>
        <x:v>18152943703</x:v>
      </x:c>
      <x:c r="X2199" s="23" t="str">
        <x:v>nascimentoleonardo679@gmail.com</x:v>
      </x:c>
      <x:c r="Y2199" s="22" t="str">
        <x:f>"21995512348"</x:f>
        <x:v>21995512348</x:v>
      </x:c>
      <x:c r="Z2199" s="30" t="n">
        <x:v>46457</x:v>
      </x:c>
    </x:row>
    <x:row r="2200" ht="18" customHeight="1">
      <x:c r="A2200" s="22" t="str">
        <x:f>"9abf646f-8dd3-4288-a7d7-ad67df13d15c"</x:f>
        <x:v>9abf646f-8dd3-4288-a7d7-ad67df13d15c</x:v>
      </x:c>
      <x:c r="B2200" s="23" t="str">
        <x:v>LEONARDO HENRIQUE DE FRANCA TEODORO</x:v>
      </x:c>
      <x:c r="C2200" s="23" t="str">
        <x:v>leonardo henrique de franca teodoro</x:v>
      </x:c>
      <x:c r="D2200" s="22" t="str">
        <x:f>"65.011.829/0001-35"</x:f>
        <x:v>65.011.829/0001-35</x:v>
      </x:c>
      <x:c r="E2200" s="22" t="str">
        <x:f>"65011829000135"</x:f>
        <x:v>65011829000135</x:v>
      </x:c>
      <x:c r="F2200" s="22" t="str">
        <x:f>"453.965.138-29"</x:f>
        <x:v>453.965.138-29</x:v>
      </x:c>
      <x:c r="G2200" s="22" t="str">
        <x:f>"45396513829"</x:f>
        <x:v>45396513829</x:v>
      </x:c>
      <x:c r="H2200" s="23" t="str">
        <x:v>lh8048533@gmail.com</x:v>
      </x:c>
      <x:c r="I2200" s="22" t="str">
        <x:f>"18996970944"</x:f>
        <x:v>18996970944</x:v>
      </x:c>
      <x:c r="J2200" s="23" t="str">
        <x:v>RENTAL</x:v>
      </x:c>
      <x:c r="K2200" s="23" t="str">
        <x:v>rental_company</x:v>
      </x:c>
      <x:c r="L2200" s="24" t="b">
        <x:v>1</x:v>
      </x:c>
      <x:c r="M2200" s="23" t="n">
        <x:v>1</x:v>
      </x:c>
      <x:c r="N2200" s="28" t="n">
        <x:v>46219.812988715275</x:v>
      </x:c>
      <x:c r="O2200" s="28" t="n">
        <x:v>46219.812988715275</x:v>
      </x:c>
      <x:c r="P2200" s="23" t="str">
        <x:v>PRESIDENTE PRUDENTE</x:v>
      </x:c>
      <x:c r="Q2200" s="30" t="n">
        <x:v>34534</x:v>
      </x:c>
      <x:c r="R2200" s="22" t="str">
        <x:f>"408815383"</x:f>
        <x:v>408815383</x:v>
      </x:c>
      <x:c r="S2200" s="23" t="str">
        <x:v>masculino</x:v>
      </x:c>
      <x:c r="T2200" s="22" t="str"/>
      <x:c r="U2200" s="23" t="str">
        <x:v>LEONARDO HENRIQUE DE FRANCA TEODORO</x:v>
      </x:c>
      <x:c r="V2200" s="22" t="str">
        <x:f>"453.965.138-29"</x:f>
        <x:v>453.965.138-29</x:v>
      </x:c>
      <x:c r="W2200" s="22" t="str">
        <x:f>"45396513829"</x:f>
        <x:v>45396513829</x:v>
      </x:c>
      <x:c r="X2200" s="23" t="str">
        <x:v>lh8048533@gmail.com</x:v>
      </x:c>
      <x:c r="Y2200" s="22" t="str">
        <x:f>"18996970944"</x:f>
        <x:v>18996970944</x:v>
      </x:c>
      <x:c r="Z2200" s="30" t="n">
        <x:v>46429</x:v>
      </x:c>
    </x:row>
    <x:row r="2201" ht="18" customHeight="1">
      <x:c r="A2201" s="22" t="str">
        <x:f>"7680a01e-9b8a-4690-9821-ff4f05cca026"</x:f>
        <x:v>7680a01e-9b8a-4690-9821-ff4f05cca026</x:v>
      </x:c>
      <x:c r="B2201" s="23" t="str">
        <x:v>Leonardo Henrique dos Santos</x:v>
      </x:c>
      <x:c r="C2201" s="23" t="str">
        <x:v>leonardo henrique dos santos</x:v>
      </x:c>
      <x:c r="D2201" s="22" t="str">
        <x:f>"60.648.997/0001-12"</x:f>
        <x:v>60.648.997/0001-12</x:v>
      </x:c>
      <x:c r="E2201" s="22" t="str">
        <x:f>"60648997000112"</x:f>
        <x:v>60648997000112</x:v>
      </x:c>
      <x:c r="F2201" s="22" t="str">
        <x:f>"092.311.466-10"</x:f>
        <x:v>092.311.466-10</x:v>
      </x:c>
      <x:c r="G2201" s="22" t="str">
        <x:f>"09231146610"</x:f>
        <x:v>09231146610</x:v>
      </x:c>
      <x:c r="H2201" s="23" t="str">
        <x:v>leonardosisk1988@gmail.com</x:v>
      </x:c>
      <x:c r="I2201" s="22" t="str">
        <x:f>"31993657065"</x:f>
        <x:v>31993657065</x:v>
      </x:c>
      <x:c r="J2201" s="23" t="str">
        <x:v>SPOT</x:v>
      </x:c>
      <x:c r="K2201" s="23" t="str">
        <x:v>favored_only</x:v>
      </x:c>
      <x:c r="L2201" s="24" t="b">
        <x:v>1</x:v>
      </x:c>
      <x:c r="M2201" s="23" t="n">
        <x:v>1</x:v>
      </x:c>
      <x:c r="N2201" s="28" t="n">
        <x:v>46203.921840393516</x:v>
      </x:c>
      <x:c r="O2201" s="28" t="n">
        <x:v>46205.604843900466</x:v>
      </x:c>
      <x:c r="P2201" s="23" t="str">
        <x:v>CONTAGEM</x:v>
      </x:c>
      <x:c r="Q2201" s="30" t="n">
        <x:v>32459</x:v>
      </x:c>
      <x:c r="R2201" s="22" t="str">
        <x:f>"14915440"</x:f>
        <x:v>14915440</x:v>
      </x:c>
      <x:c r="S2201" s="23" t="str">
        <x:v>Masculino</x:v>
      </x:c>
      <x:c r="T2201" s="22" t="str">
        <x:f>"MSJ8D12"</x:f>
        <x:v>MSJ8D12</x:v>
      </x:c>
      <x:c r="U2201" s="23" t="str">
        <x:v>Leonardo Henrique dos Santos</x:v>
      </x:c>
      <x:c r="V2201" s="22" t="str">
        <x:f>"09231146610"</x:f>
        <x:v>09231146610</x:v>
      </x:c>
      <x:c r="W2201" s="22" t="str">
        <x:f>"09231146610"</x:f>
        <x:v>09231146610</x:v>
      </x:c>
      <x:c r="X2201" s="23" t="str">
        <x:v>leonardosisk1988@gmail.com</x:v>
      </x:c>
      <x:c r="Y2201" s="22" t="str">
        <x:f>"31993657065"</x:f>
        <x:v>31993657065</x:v>
      </x:c>
      <x:c r="Z2201" s="30" t="n">
        <x:v>46214</x:v>
      </x:c>
    </x:row>
    <x:row r="2202" ht="18" customHeight="1">
      <x:c r="A2202" s="22" t="str">
        <x:f>"5ade8fef-554c-4fb1-b8b4-0d3a4af3f406"</x:f>
        <x:v>5ade8fef-554c-4fb1-b8b4-0d3a4af3f406</x:v>
      </x:c>
      <x:c r="B2202" s="23" t="str">
        <x:v>LEONARDO JORDAN PEREIRA</x:v>
      </x:c>
      <x:c r="C2202" s="23" t="str">
        <x:v>leonardo jordan pereira</x:v>
      </x:c>
      <x:c r="D2202" s="22" t="str">
        <x:f>"55.106.459/0001-66"</x:f>
        <x:v>55.106.459/0001-66</x:v>
      </x:c>
      <x:c r="E2202" s="22" t="str">
        <x:f>"55106459000166"</x:f>
        <x:v>55106459000166</x:v>
      </x:c>
      <x:c r="F2202" s="22" t="str">
        <x:f>"470.131.128-60"</x:f>
        <x:v>470.131.128-60</x:v>
      </x:c>
      <x:c r="G2202" s="22" t="str">
        <x:f>"47013112860"</x:f>
        <x:v>47013112860</x:v>
      </x:c>
      <x:c r="H2202" s="23" t="str">
        <x:v>leonardojordanpereira@gmail.com</x:v>
      </x:c>
      <x:c r="I2202" s="22" t="str">
        <x:f>"(16) 99341-6059"</x:f>
        <x:v>(16) 99341-6059</x:v>
      </x:c>
      <x:c r="J2202" s="23" t="str">
        <x:v>SPOT</x:v>
      </x:c>
      <x:c r="K2202" s="23" t="str">
        <x:v>favored_only</x:v>
      </x:c>
      <x:c r="L2202" s="24" t="b">
        <x:v>1</x:v>
      </x:c>
      <x:c r="M2202" s="23" t="n">
        <x:v>1</x:v>
      </x:c>
      <x:c r="N2202" s="28" t="n">
        <x:v>46219.812988715275</x:v>
      </x:c>
      <x:c r="O2202" s="28" t="n">
        <x:v>46219.812988715275</x:v>
      </x:c>
      <x:c r="P2202" s="23" t="str">
        <x:v>RIBEIRAO PRETO</x:v>
      </x:c>
      <x:c r="Q2202" s="30" t="n">
        <x:v>35063</x:v>
      </x:c>
      <x:c r="R2202" s="22" t="str">
        <x:f>"44.455.646-1"</x:f>
        <x:v>44.455.646-1</x:v>
      </x:c>
      <x:c r="S2202" s="23" t="str">
        <x:v>masculino</x:v>
      </x:c>
      <x:c r="T2202" s="22" t="str">
        <x:f>"SVJ6E73"</x:f>
        <x:v>SVJ6E73</x:v>
      </x:c>
      <x:c r="U2202" s="23" t="str">
        <x:v>LEONARDO JORDAN PEREIRA</x:v>
      </x:c>
      <x:c r="V2202" s="22" t="str">
        <x:f>"470.131.128-60"</x:f>
        <x:v>470.131.128-60</x:v>
      </x:c>
      <x:c r="W2202" s="22" t="str">
        <x:f>"47013112860"</x:f>
        <x:v>47013112860</x:v>
      </x:c>
      <x:c r="X2202" s="23" t="str">
        <x:v>leonardojordanpereira@gmail.com</x:v>
      </x:c>
      <x:c r="Y2202" s="22" t="str">
        <x:f>"(16) 99341-6059"</x:f>
        <x:v>(16) 99341-6059</x:v>
      </x:c>
      <x:c r="Z2202" s="30" t="n">
        <x:v>46572</x:v>
      </x:c>
    </x:row>
    <x:row r="2203" ht="18" customHeight="1">
      <x:c r="A2203" s="22" t="str">
        <x:f>"04136981-786b-4266-96a1-f186190e7229"</x:f>
        <x:v>04136981-786b-4266-96a1-f186190e7229</x:v>
      </x:c>
      <x:c r="B2203" s="23" t="str">
        <x:v>LEONARDO MANFRINATO BLANCO</x:v>
      </x:c>
      <x:c r="C2203" s="23" t="str">
        <x:v>leonardo manfrinato blanco</x:v>
      </x:c>
      <x:c r="D2203" s="22" t="str">
        <x:f>"60.569.045/0001-03"</x:f>
        <x:v>60.569.045/0001-03</x:v>
      </x:c>
      <x:c r="E2203" s="22" t="str">
        <x:f>"60569045000103"</x:f>
        <x:v>60569045000103</x:v>
      </x:c>
      <x:c r="F2203" s="22" t="str">
        <x:f>"396.932.688-57"</x:f>
        <x:v>396.932.688-57</x:v>
      </x:c>
      <x:c r="G2203" s="22" t="str">
        <x:f>"39693268857"</x:f>
        <x:v>39693268857</x:v>
      </x:c>
      <x:c r="H2203" s="23" t="str">
        <x:v>leonardomanfri83@hotmail.com</x:v>
      </x:c>
      <x:c r="I2203" s="22" t="str">
        <x:f>"17996692590"</x:f>
        <x:v>17996692590</x:v>
      </x:c>
      <x:c r="J2203" s="23" t="str">
        <x:v>RENTAL</x:v>
      </x:c>
      <x:c r="K2203" s="23" t="str">
        <x:v>rental_company</x:v>
      </x:c>
      <x:c r="L2203" s="24" t="b">
        <x:v>1</x:v>
      </x:c>
      <x:c r="M2203" s="23" t="n">
        <x:v>1</x:v>
      </x:c>
      <x:c r="N2203" s="28" t="n">
        <x:v>46203.921904421295</x:v>
      </x:c>
      <x:c r="O2203" s="28" t="n">
        <x:v>46219.812988715275</x:v>
      </x:c>
      <x:c r="P2203" s="23" t="str">
        <x:v>JALES</x:v>
      </x:c>
      <x:c r="Q2203" s="30" t="n">
        <x:v>37907</x:v>
      </x:c>
      <x:c r="R2203" s="22" t="str">
        <x:f>"626462800"</x:f>
        <x:v>626462800</x:v>
      </x:c>
      <x:c r="S2203" s="23" t="str">
        <x:v>masculino</x:v>
      </x:c>
      <x:c r="T2203" s="22" t="str"/>
      <x:c r="U2203" s="23" t="str">
        <x:v>LEONARDO MANFRINATO BLANCO</x:v>
      </x:c>
      <x:c r="V2203" s="22" t="str">
        <x:f>"396.932.688-57"</x:f>
        <x:v>396.932.688-57</x:v>
      </x:c>
      <x:c r="W2203" s="22" t="str">
        <x:f>"39693268857"</x:f>
        <x:v>39693268857</x:v>
      </x:c>
      <x:c r="X2203" s="23" t="str">
        <x:v>leonardomanfri83@hotmail.com</x:v>
      </x:c>
      <x:c r="Y2203" s="22" t="str">
        <x:f>"17996692590"</x:f>
        <x:v>17996692590</x:v>
      </x:c>
      <x:c r="Z2203" s="30" t="n">
        <x:v>46367</x:v>
      </x:c>
    </x:row>
    <x:row r="2204" ht="18" customHeight="1">
      <x:c r="A2204" s="22" t="str">
        <x:f>"126142c6-8059-4c7c-8760-ada39969173d"</x:f>
        <x:v>126142c6-8059-4c7c-8760-ada39969173d</x:v>
      </x:c>
      <x:c r="B2204" s="23" t="str">
        <x:v>LEONARDO NASCIMENTO DA SILVA</x:v>
      </x:c>
      <x:c r="C2204" s="23" t="str">
        <x:v>leonardo nascimento da silva</x:v>
      </x:c>
      <x:c r="D2204" s="22" t="str">
        <x:f>"51.365.738/0001-93"</x:f>
        <x:v>51.365.738/0001-93</x:v>
      </x:c>
      <x:c r="E2204" s="22" t="str">
        <x:f>"51365738000193"</x:f>
        <x:v>51365738000193</x:v>
      </x:c>
      <x:c r="F2204" s="22" t="str">
        <x:f>"136.876.027-96"</x:f>
        <x:v>136.876.027-96</x:v>
      </x:c>
      <x:c r="G2204" s="22" t="str">
        <x:f>"13687602796"</x:f>
        <x:v>13687602796</x:v>
      </x:c>
      <x:c r="H2204" s="23" t="str">
        <x:v>vd860361@gmail.com</x:v>
      </x:c>
      <x:c r="I2204" s="22" t="str">
        <x:f>"21970381918"</x:f>
        <x:v>21970381918</x:v>
      </x:c>
      <x:c r="J2204" s="23" t="str">
        <x:v>SPOT</x:v>
      </x:c>
      <x:c r="K2204" s="23" t="str">
        <x:v>favored_only</x:v>
      </x:c>
      <x:c r="L2204" s="24" t="b">
        <x:v>1</x:v>
      </x:c>
      <x:c r="M2204" s="23" t="n">
        <x:v>1</x:v>
      </x:c>
      <x:c r="N2204" s="28" t="n">
        <x:v>46219.812988715275</x:v>
      </x:c>
      <x:c r="O2204" s="28" t="n">
        <x:v>46219.812988715275</x:v>
      </x:c>
      <x:c r="P2204" s="23" t="str">
        <x:v>QUEIMADOS</x:v>
      </x:c>
      <x:c r="Q2204" s="30" t="n">
        <x:v>33241</x:v>
      </x:c>
      <x:c r="R2204" s="22" t="str">
        <x:f>"25.758.280-9"</x:f>
        <x:v>25.758.280-9</x:v>
      </x:c>
      <x:c r="S2204" s="23" t="str">
        <x:v>masculino</x:v>
      </x:c>
      <x:c r="T2204" s="22" t="str">
        <x:f>"GBP0F98"</x:f>
        <x:v>GBP0F98</x:v>
      </x:c>
      <x:c r="U2204" s="23" t="str">
        <x:v>LEONARDO NASCIMENTO DA SILVA</x:v>
      </x:c>
      <x:c r="V2204" s="22" t="str">
        <x:f>"136.876.027-96"</x:f>
        <x:v>136.876.027-96</x:v>
      </x:c>
      <x:c r="W2204" s="22" t="str">
        <x:f>"13687602796"</x:f>
        <x:v>13687602796</x:v>
      </x:c>
      <x:c r="X2204" s="23" t="str">
        <x:v>vd860361@gmail.com</x:v>
      </x:c>
      <x:c r="Y2204" s="22" t="str">
        <x:f>"21970381918"</x:f>
        <x:v>21970381918</x:v>
      </x:c>
      <x:c r="Z2204" s="30" t="n">
        <x:v>46472</x:v>
      </x:c>
    </x:row>
    <x:row r="2205" ht="18" customHeight="1">
      <x:c r="A2205" s="22" t="str">
        <x:f>"03858eca-9c13-4bd3-b944-1b3aa9db2ff0"</x:f>
        <x:v>03858eca-9c13-4bd3-b944-1b3aa9db2ff0</x:v>
      </x:c>
      <x:c r="B2205" s="23" t="str">
        <x:v>LEONARDO NASCIMENTO DOS SANTOS</x:v>
      </x:c>
      <x:c r="C2205" s="23" t="str">
        <x:v>leonardo nascimento dos santos</x:v>
      </x:c>
      <x:c r="D2205" s="22" t="str">
        <x:f>"62.255.431/0001-56"</x:f>
        <x:v>62.255.431/0001-56</x:v>
      </x:c>
      <x:c r="E2205" s="22" t="str">
        <x:f>"62255431000156"</x:f>
        <x:v>62255431000156</x:v>
      </x:c>
      <x:c r="F2205" s="22" t="str">
        <x:f>"478.060.518-05"</x:f>
        <x:v>478.060.518-05</x:v>
      </x:c>
      <x:c r="G2205" s="22" t="str">
        <x:f>"47806051805"</x:f>
        <x:v>47806051805</x:v>
      </x:c>
      <x:c r="H2205" s="23" t="str">
        <x:v>leonardo800.nascimento@gmail.com</x:v>
      </x:c>
      <x:c r="I2205" s="22" t="str">
        <x:f>"18991401389"</x:f>
        <x:v>18991401389</x:v>
      </x:c>
      <x:c r="J2205" s="23" t="str">
        <x:v>RENTAL</x:v>
      </x:c>
      <x:c r="K2205" s="23" t="str">
        <x:v>rental_company</x:v>
      </x:c>
      <x:c r="L2205" s="24" t="b">
        <x:v>1</x:v>
      </x:c>
      <x:c r="M2205" s="23" t="n">
        <x:v>1</x:v>
      </x:c>
      <x:c r="N2205" s="28" t="n">
        <x:v>46219.812988715275</x:v>
      </x:c>
      <x:c r="O2205" s="28" t="n">
        <x:v>46219.812988715275</x:v>
      </x:c>
      <x:c r="P2205" s="23" t="str">
        <x:v>PRESIDENTE PRUDENTE</x:v>
      </x:c>
      <x:c r="Q2205" s="30" t="n">
        <x:v>37635</x:v>
      </x:c>
      <x:c r="R2205" s="22" t="str">
        <x:f>"581913371"</x:f>
        <x:v>581913371</x:v>
      </x:c>
      <x:c r="S2205" s="23" t="str">
        <x:v>masculino</x:v>
      </x:c>
      <x:c r="T2205" s="22" t="str"/>
      <x:c r="U2205" s="23" t="str">
        <x:v>LEONARDO NASCIMENTO DOS SANTOS</x:v>
      </x:c>
      <x:c r="V2205" s="22" t="str">
        <x:f>"478.060.518-05"</x:f>
        <x:v>478.060.518-05</x:v>
      </x:c>
      <x:c r="W2205" s="22" t="str">
        <x:f>"47806051805"</x:f>
        <x:v>47806051805</x:v>
      </x:c>
      <x:c r="X2205" s="23" t="str">
        <x:v>leonardo800.nascimento@gmail.com</x:v>
      </x:c>
      <x:c r="Y2205" s="22" t="str">
        <x:f>"18991401389"</x:f>
        <x:v>18991401389</x:v>
      </x:c>
      <x:c r="Z2205" s="30" t="n">
        <x:v>46463</x:v>
      </x:c>
    </x:row>
    <x:row r="2206" ht="18" customHeight="1">
      <x:c r="A2206" s="22" t="str">
        <x:f>"9f835274-26d0-4e12-bf93-cc352da5bae3"</x:f>
        <x:v>9f835274-26d0-4e12-bf93-cc352da5bae3</x:v>
      </x:c>
      <x:c r="B2206" s="23" t="str">
        <x:v>LEONARDO OLIVEIRA DE ALBUQUERQUE</x:v>
      </x:c>
      <x:c r="C2206" s="23" t="str">
        <x:v>leonardo oliveira de albuquerque</x:v>
      </x:c>
      <x:c r="D2206" s="22" t="str">
        <x:f>"58.764.601/0001-50"</x:f>
        <x:v>58.764.601/0001-50</x:v>
      </x:c>
      <x:c r="E2206" s="22" t="str">
        <x:f>"58764601000150"</x:f>
        <x:v>58764601000150</x:v>
      </x:c>
      <x:c r="F2206" s="22" t="str">
        <x:f>"434.965.318-00"</x:f>
        <x:v>434.965.318-00</x:v>
      </x:c>
      <x:c r="G2206" s="22" t="str">
        <x:f>"43496531800"</x:f>
        <x:v>43496531800</x:v>
      </x:c>
      <x:c r="H2206" s="23" t="str">
        <x:v>Leonardoolivei@hotmail.com</x:v>
      </x:c>
      <x:c r="I2206" s="22" t="str">
        <x:f>"17 99626-0632"</x:f>
        <x:v>17 99626-0632</x:v>
      </x:c>
      <x:c r="J2206" s="23" t="str">
        <x:v>SPOT</x:v>
      </x:c>
      <x:c r="K2206" s="23" t="str">
        <x:v>favored_only</x:v>
      </x:c>
      <x:c r="L2206" s="24" t="b">
        <x:v>1</x:v>
      </x:c>
      <x:c r="M2206" s="23" t="n">
        <x:v>1</x:v>
      </x:c>
      <x:c r="N2206" s="28" t="n">
        <x:v>46203.92183332176</x:v>
      </x:c>
      <x:c r="O2206" s="28" t="n">
        <x:v>46205.60464376157</x:v>
      </x:c>
      <x:c r="P2206" s="23" t="str">
        <x:v>BARRETOS</x:v>
      </x:c>
      <x:c r="Q2206" s="30" t="n">
        <x:v>36722</x:v>
      </x:c>
      <x:c r="R2206" s="22" t="str">
        <x:f>"54686529"</x:f>
        <x:v>54686529</x:v>
      </x:c>
      <x:c r="S2206" s="23" t="str">
        <x:v>Masculino</x:v>
      </x:c>
      <x:c r="T2206" s="22" t="str">
        <x:f>"FIK5H13"</x:f>
        <x:v>FIK5H13</x:v>
      </x:c>
      <x:c r="U2206" s="23" t="str">
        <x:v>LEONARDO OLIVEIRA DE ALBUQUERQUE</x:v>
      </x:c>
      <x:c r="V2206" s="22" t="str">
        <x:f>"43496531800"</x:f>
        <x:v>43496531800</x:v>
      </x:c>
      <x:c r="W2206" s="22" t="str">
        <x:f>"43496531800"</x:f>
        <x:v>43496531800</x:v>
      </x:c>
      <x:c r="X2206" s="23" t="str">
        <x:v>Leonardoolivei@hotmail.com</x:v>
      </x:c>
      <x:c r="Y2206" s="22" t="str">
        <x:f>"17 99626-0632"</x:f>
        <x:v>17 99626-0632</x:v>
      </x:c>
      <x:c r="Z2206" s="30" t="n">
        <x:v>46205</x:v>
      </x:c>
    </x:row>
    <x:row r="2207" ht="18" customHeight="1">
      <x:c r="A2207" s="22" t="str">
        <x:f>"c2fc9a62-fc62-4458-8c2e-58f85ee10977"</x:f>
        <x:v>c2fc9a62-fc62-4458-8c2e-58f85ee10977</x:v>
      </x:c>
      <x:c r="B2207" s="23" t="str">
        <x:v>LEONARDO OLIVEIRA LIMA</x:v>
      </x:c>
      <x:c r="C2207" s="23" t="str">
        <x:v>leonardo oliveira lima</x:v>
      </x:c>
      <x:c r="D2207" s="22" t="str">
        <x:f>"62.388.223/0001-25"</x:f>
        <x:v>62.388.223/0001-25</x:v>
      </x:c>
      <x:c r="E2207" s="22" t="str">
        <x:f>"62388223000125"</x:f>
        <x:v>62388223000125</x:v>
      </x:c>
      <x:c r="F2207" s="22" t="str">
        <x:f>"472.883.818-89"</x:f>
        <x:v>472.883.818-89</x:v>
      </x:c>
      <x:c r="G2207" s="22" t="str">
        <x:f>"47288381889"</x:f>
        <x:v>47288381889</x:v>
      </x:c>
      <x:c r="H2207" s="23" t="str">
        <x:v>Leonardo10.04@hotmail.com</x:v>
      </x:c>
      <x:c r="I2207" s="22" t="str">
        <x:f>"11913510000"</x:f>
        <x:v>11913510000</x:v>
      </x:c>
      <x:c r="J2207" s="23" t="str">
        <x:v>SPOT</x:v>
      </x:c>
      <x:c r="K2207" s="23" t="str">
        <x:v>favored_only</x:v>
      </x:c>
      <x:c r="L2207" s="24" t="b">
        <x:v>1</x:v>
      </x:c>
      <x:c r="M2207" s="23" t="n">
        <x:v>1</x:v>
      </x:c>
      <x:c r="N2207" s="28" t="n">
        <x:v>46203.921858726855</x:v>
      </x:c>
      <x:c r="O2207" s="28" t="n">
        <x:v>46219.812988715275</x:v>
      </x:c>
      <x:c r="P2207" s="23" t="str">
        <x:v>BARUERI</x:v>
      </x:c>
      <x:c r="Q2207" s="30" t="n">
        <x:v>35902</x:v>
      </x:c>
      <x:c r="R2207" s="22" t="str">
        <x:f>"39876656"</x:f>
        <x:v>39876656</x:v>
      </x:c>
      <x:c r="S2207" s="23" t="str">
        <x:v>masculino</x:v>
      </x:c>
      <x:c r="T2207" s="22" t="str">
        <x:f>"ECT6D53"</x:f>
        <x:v>ECT6D53</x:v>
      </x:c>
      <x:c r="U2207" s="23" t="str">
        <x:v>LEONARDO OLIVEIRA LIMA</x:v>
      </x:c>
      <x:c r="V2207" s="22" t="str">
        <x:f>"472.883.818-89"</x:f>
        <x:v>472.883.818-89</x:v>
      </x:c>
      <x:c r="W2207" s="22" t="str">
        <x:f>"47288381889"</x:f>
        <x:v>47288381889</x:v>
      </x:c>
      <x:c r="X2207" s="23" t="str">
        <x:v>Leonardo10.04@hotmail.com</x:v>
      </x:c>
      <x:c r="Y2207" s="22" t="str">
        <x:f>"11913510000"</x:f>
        <x:v>11913510000</x:v>
      </x:c>
      <x:c r="Z2207" s="30" t="n">
        <x:v>46259</x:v>
      </x:c>
    </x:row>
    <x:row r="2208" ht="18" customHeight="1">
      <x:c r="A2208" s="22" t="str">
        <x:f>"a879f231-ed68-4310-bd62-2b2113cb5d16"</x:f>
        <x:v>a879f231-ed68-4310-bd62-2b2113cb5d16</x:v>
      </x:c>
      <x:c r="B2208" s="23" t="str">
        <x:v>LEONARDO PEDRO DA SILVA</x:v>
      </x:c>
      <x:c r="C2208" s="23" t="str">
        <x:v>leonardo pedro da silva</x:v>
      </x:c>
      <x:c r="D2208" s="22" t="str">
        <x:f>"62.480.672/0001-07"</x:f>
        <x:v>62.480.672/0001-07</x:v>
      </x:c>
      <x:c r="E2208" s="22" t="str">
        <x:f>"62480672000107"</x:f>
        <x:v>62480672000107</x:v>
      </x:c>
      <x:c r="F2208" s="22" t="str">
        <x:f>"417.516.588-64"</x:f>
        <x:v>417.516.588-64</x:v>
      </x:c>
      <x:c r="G2208" s="22" t="str">
        <x:f>"41751658864"</x:f>
        <x:v>41751658864</x:v>
      </x:c>
      <x:c r="H2208" s="23" t="str">
        <x:v>Leonardopedrodasilva86@gmail.com</x:v>
      </x:c>
      <x:c r="I2208" s="22" t="str">
        <x:f>"16992157430"</x:f>
        <x:v>16992157430</x:v>
      </x:c>
      <x:c r="J2208" s="23" t="str">
        <x:v>RENTAL</x:v>
      </x:c>
      <x:c r="K2208" s="23" t="str">
        <x:v>rental_company</x:v>
      </x:c>
      <x:c r="L2208" s="24" t="b">
        <x:v>1</x:v>
      </x:c>
      <x:c r="M2208" s="23" t="n">
        <x:v>2</x:v>
      </x:c>
      <x:c r="N2208" s="28" t="n">
        <x:v>46205.60653788195</x:v>
      </x:c>
      <x:c r="O2208" s="28" t="n">
        <x:v>46219.812988715275</x:v>
      </x:c>
      <x:c r="P2208" s="23" t="str">
        <x:v>MADEIRA MADEIRA</x:v>
      </x:c>
      <x:c r="Q2208" s="30" t="n">
        <x:v>37132</x:v>
      </x:c>
      <x:c r="R2208" s="22" t="str">
        <x:f>"604422830"</x:f>
        <x:v>604422830</x:v>
      </x:c>
      <x:c r="S2208" s="23" t="str">
        <x:v>masculino</x:v>
      </x:c>
      <x:c r="T2208" s="22" t="str"/>
      <x:c r="U2208" s="23" t="str">
        <x:v>LEONARDO PEDRO DA SILVA</x:v>
      </x:c>
      <x:c r="V2208" s="22" t="str">
        <x:f>"417.516.588-64"</x:f>
        <x:v>417.516.588-64</x:v>
      </x:c>
      <x:c r="W2208" s="22" t="str">
        <x:f>"41751658864"</x:f>
        <x:v>41751658864</x:v>
      </x:c>
      <x:c r="X2208" s="23" t="str">
        <x:v>Leonardopedrodasilva86@gmail.com</x:v>
      </x:c>
      <x:c r="Y2208" s="22" t="str">
        <x:f>"16992157430"</x:f>
        <x:v>16992157430</x:v>
      </x:c>
      <x:c r="Z2208" s="30" t="n">
        <x:v>46497</x:v>
      </x:c>
    </x:row>
    <x:row r="2209" ht="18" customHeight="1">
      <x:c r="A2209" s="22" t="str">
        <x:f>"2fb8337e-018b-41b7-8fdc-aab3f6f304a5"</x:f>
        <x:v>2fb8337e-018b-41b7-8fdc-aab3f6f304a5</x:v>
      </x:c>
      <x:c r="B2209" s="23" t="str">
        <x:v>LEONARDO PEREIRA DE MORAES</x:v>
      </x:c>
      <x:c r="C2209" s="23" t="str">
        <x:v>leonardo pereira de moraes</x:v>
      </x:c>
      <x:c r="D2209" s="22" t="str">
        <x:f>"65.017.417/0001-02"</x:f>
        <x:v>65.017.417/0001-02</x:v>
      </x:c>
      <x:c r="E2209" s="22" t="str">
        <x:f>"65017417000102"</x:f>
        <x:v>65017417000102</x:v>
      </x:c>
      <x:c r="F2209" s="22" t="str">
        <x:f>"124.605.147-86"</x:f>
        <x:v>124.605.147-86</x:v>
      </x:c>
      <x:c r="G2209" s="22" t="str">
        <x:f>"12460514786"</x:f>
        <x:v>12460514786</x:v>
      </x:c>
      <x:c r="H2209" s="23" t="str">
        <x:v>jhonylucasgm@gmail.com</x:v>
      </x:c>
      <x:c r="I2209" s="22" t="str">
        <x:f>"21990865127"</x:f>
        <x:v>21990865127</x:v>
      </x:c>
      <x:c r="J2209" s="23" t="str">
        <x:v>SPOT</x:v>
      </x:c>
      <x:c r="K2209" s="23" t="str">
        <x:v>favored_only</x:v>
      </x:c>
      <x:c r="L2209" s="24" t="b">
        <x:v>1</x:v>
      </x:c>
      <x:c r="M2209" s="23" t="n">
        <x:v>1</x:v>
      </x:c>
      <x:c r="N2209" s="28" t="n">
        <x:v>46219.812988715275</x:v>
      </x:c>
      <x:c r="O2209" s="28" t="n">
        <x:v>46219.812988715275</x:v>
      </x:c>
      <x:c r="P2209" s="23" t="str">
        <x:v>CORDOVIL</x:v>
      </x:c>
      <x:c r="Q2209" s="30" t="n">
        <x:v>32716</x:v>
      </x:c>
      <x:c r="R2209" s="22" t="str">
        <x:f>"219809035"</x:f>
        <x:v>219809035</x:v>
      </x:c>
      <x:c r="S2209" s="23" t="str">
        <x:v>masculino</x:v>
      </x:c>
      <x:c r="T2209" s="22" t="str">
        <x:f>"SIP0A45"</x:f>
        <x:v>SIP0A45</x:v>
      </x:c>
      <x:c r="U2209" s="23" t="str">
        <x:v>LEONARDO PEREIRA DE MORAES</x:v>
      </x:c>
      <x:c r="V2209" s="22" t="str">
        <x:f>"124.605.147-86"</x:f>
        <x:v>124.605.147-86</x:v>
      </x:c>
      <x:c r="W2209" s="22" t="str">
        <x:f>"12460514786"</x:f>
        <x:v>12460514786</x:v>
      </x:c>
      <x:c r="X2209" s="23" t="str">
        <x:v>jhonylucasgm@gmail.com</x:v>
      </x:c>
      <x:c r="Y2209" s="22" t="str">
        <x:f>"21990865127"</x:f>
        <x:v>21990865127</x:v>
      </x:c>
      <x:c r="Z2209" s="30" t="n">
        <x:v>46522</x:v>
      </x:c>
    </x:row>
    <x:row r="2210" ht="18" customHeight="1">
      <x:c r="A2210" s="22" t="str">
        <x:f>"13e6fccc-251b-4ddf-a42d-5a2bf100c2c3"</x:f>
        <x:v>13e6fccc-251b-4ddf-a42d-5a2bf100c2c3</x:v>
      </x:c>
      <x:c r="B2210" s="23" t="str">
        <x:v>Leonardo Pereira Saldanha</x:v>
      </x:c>
      <x:c r="C2210" s="23" t="str">
        <x:v>leonardo pereira saldanha</x:v>
      </x:c>
      <x:c r="D2210" s="22" t="str">
        <x:f>"46.936.178/0001-40"</x:f>
        <x:v>46.936.178/0001-40</x:v>
      </x:c>
      <x:c r="E2210" s="22" t="str">
        <x:f>"46936178000140"</x:f>
        <x:v>46936178000140</x:v>
      </x:c>
      <x:c r="F2210" s="22" t="str">
        <x:f>"501.235.108-80"</x:f>
        <x:v>501.235.108-80</x:v>
      </x:c>
      <x:c r="G2210" s="22" t="str">
        <x:f>"50123510880"</x:f>
        <x:v>50123510880</x:v>
      </x:c>
      <x:c r="H2210" s="23" t="str">
        <x:v>leonardo.lps2001@gmail.com</x:v>
      </x:c>
      <x:c r="I2210" s="22" t="str">
        <x:f>"31984460359"</x:f>
        <x:v>31984460359</x:v>
      </x:c>
      <x:c r="J2210" s="23" t="str">
        <x:v>SPOT</x:v>
      </x:c>
      <x:c r="K2210" s="23" t="str">
        <x:v>favored_only</x:v>
      </x:c>
      <x:c r="L2210" s="24" t="b">
        <x:v>1</x:v>
      </x:c>
      <x:c r="M2210" s="23" t="n">
        <x:v>1</x:v>
      </x:c>
      <x:c r="N2210" s="28" t="n">
        <x:v>46203.92186888889</x:v>
      </x:c>
      <x:c r="O2210" s="28" t="n">
        <x:v>46220.503994293984</x:v>
      </x:c>
      <x:c r="P2210" s="23" t="str">
        <x:v>CONCEIÇÃO DO MATO DENTRO</x:v>
      </x:c>
      <x:c r="Q2210" s="30" t="str"/>
      <x:c r="R2210" s="22" t="str"/>
      <x:c r="S2210" s="23" t="str"/>
      <x:c r="T2210" s="22" t="str"/>
      <x:c r="U2210" s="23" t="str">
        <x:v>Leonardo Pereira Saldanha</x:v>
      </x:c>
      <x:c r="V2210" s="22" t="str">
        <x:f>"501.235.108-80"</x:f>
        <x:v>501.235.108-80</x:v>
      </x:c>
      <x:c r="W2210" s="22" t="str">
        <x:f>"50123510880"</x:f>
        <x:v>50123510880</x:v>
      </x:c>
      <x:c r="X2210" s="23" t="str">
        <x:v>leonardo.lps2001@gmail.com</x:v>
      </x:c>
      <x:c r="Y2210" s="22" t="str">
        <x:f>"31984460359"</x:f>
        <x:v>31984460359</x:v>
      </x:c>
      <x:c r="Z2210" s="30" t="str"/>
    </x:row>
    <x:row r="2211" ht="18" customHeight="1">
      <x:c r="A2211" s="22" t="str">
        <x:f>"be5b6c03-b1a7-4351-a81e-7c6dfe71acf8"</x:f>
        <x:v>be5b6c03-b1a7-4351-a81e-7c6dfe71acf8</x:v>
      </x:c>
      <x:c r="B2211" s="23" t="str">
        <x:v>LEONARDO RIBEIRO MACIEL</x:v>
      </x:c>
      <x:c r="C2211" s="23" t="str">
        <x:v>leonardo ribeiro maciel</x:v>
      </x:c>
      <x:c r="D2211" s="22" t="str">
        <x:f>"62.669.781/0001-69"</x:f>
        <x:v>62.669.781/0001-69</x:v>
      </x:c>
      <x:c r="E2211" s="22" t="str">
        <x:f>"62669781000169"</x:f>
        <x:v>62669781000169</x:v>
      </x:c>
      <x:c r="F2211" s="22" t="str">
        <x:f>"420.683.498-92"</x:f>
        <x:v>420.683.498-92</x:v>
      </x:c>
      <x:c r="G2211" s="22" t="str">
        <x:f>"42068349892"</x:f>
        <x:v>42068349892</x:v>
      </x:c>
      <x:c r="H2211" s="23" t="str">
        <x:v>leoribeiro1935@gmail.com</x:v>
      </x:c>
      <x:c r="I2211" s="22" t="str">
        <x:f>"18 99813-9827"</x:f>
        <x:v>18 99813-9827</x:v>
      </x:c>
      <x:c r="J2211" s="23" t="str">
        <x:v>RENTAL</x:v>
      </x:c>
      <x:c r="K2211" s="23" t="str">
        <x:v>rental_company</x:v>
      </x:c>
      <x:c r="L2211" s="24" t="b">
        <x:v>1</x:v>
      </x:c>
      <x:c r="M2211" s="23" t="n">
        <x:v>1</x:v>
      </x:c>
      <x:c r="N2211" s="28" t="n">
        <x:v>46203.92186462963</x:v>
      </x:c>
      <x:c r="O2211" s="28" t="n">
        <x:v>46219.812988715275</x:v>
      </x:c>
      <x:c r="P2211" s="23" t="str">
        <x:v>ARAÇATUBA</x:v>
      </x:c>
      <x:c r="Q2211" s="30" t="n">
        <x:v>37591</x:v>
      </x:c>
      <x:c r="R2211" s="22" t="str">
        <x:f>"52123007x"</x:f>
        <x:v>52123007x</x:v>
      </x:c>
      <x:c r="S2211" s="23" t="str">
        <x:v>masculino</x:v>
      </x:c>
      <x:c r="T2211" s="22" t="str"/>
      <x:c r="U2211" s="23" t="str">
        <x:v>LEONARDO RIBEIRO MACIEL</x:v>
      </x:c>
      <x:c r="V2211" s="22" t="str">
        <x:f>"420.683.498-92"</x:f>
        <x:v>420.683.498-92</x:v>
      </x:c>
      <x:c r="W2211" s="22" t="str">
        <x:f>"42068349892"</x:f>
        <x:v>42068349892</x:v>
      </x:c>
      <x:c r="X2211" s="23" t="str">
        <x:v>leoribeiro1935@gmail.com</x:v>
      </x:c>
      <x:c r="Y2211" s="22" t="str">
        <x:f>"18 99813-9827"</x:f>
        <x:v>18 99813-9827</x:v>
      </x:c>
      <x:c r="Z2211" s="30" t="n">
        <x:v>46284</x:v>
      </x:c>
    </x:row>
    <x:row r="2212" ht="18" customHeight="1">
      <x:c r="A2212" s="22" t="str">
        <x:f>"7afbfa73-3b72-4e81-9c54-95a2b84a5b0f"</x:f>
        <x:v>7afbfa73-3b72-4e81-9c54-95a2b84a5b0f</x:v>
      </x:c>
      <x:c r="B2212" s="23" t="str">
        <x:v>LEONARDO RODRIGUES CIRILLO</x:v>
      </x:c>
      <x:c r="C2212" s="23" t="str">
        <x:v>leonardo rodrigues cirillo</x:v>
      </x:c>
      <x:c r="D2212" s="22" t="str">
        <x:f>"49.921.049/0001-76"</x:f>
        <x:v>49.921.049/0001-76</x:v>
      </x:c>
      <x:c r="E2212" s="22" t="str">
        <x:f>"49921049000176"</x:f>
        <x:v>49921049000176</x:v>
      </x:c>
      <x:c r="F2212" s="22" t="str">
        <x:f>"393.833.918-71"</x:f>
        <x:v>393.833.918-71</x:v>
      </x:c>
      <x:c r="G2212" s="22" t="str">
        <x:f>"39383391871"</x:f>
        <x:v>39383391871</x:v>
      </x:c>
      <x:c r="H2212" s="23" t="str">
        <x:v>leonardorc1708@gmail.com</x:v>
      </x:c>
      <x:c r="I2212" s="22" t="str">
        <x:f>"18 98822-6200"</x:f>
        <x:v>18 98822-6200</x:v>
      </x:c>
      <x:c r="J2212" s="23" t="str">
        <x:v>RENTAL</x:v>
      </x:c>
      <x:c r="K2212" s="23" t="str">
        <x:v>rental_company</x:v>
      </x:c>
      <x:c r="L2212" s="24" t="b">
        <x:v>1</x:v>
      </x:c>
      <x:c r="M2212" s="23" t="n">
        <x:v>1</x:v>
      </x:c>
      <x:c r="N2212" s="28" t="n">
        <x:v>46219.812988715275</x:v>
      </x:c>
      <x:c r="O2212" s="28" t="n">
        <x:v>46219.812988715275</x:v>
      </x:c>
      <x:c r="P2212" s="23" t="str">
        <x:v>ARAÇATUBA</x:v>
      </x:c>
      <x:c r="Q2212" s="30" t="n">
        <x:v>35659</x:v>
      </x:c>
      <x:c r="R2212" s="22" t="str">
        <x:f>"50471527"</x:f>
        <x:v>50471527</x:v>
      </x:c>
      <x:c r="S2212" s="23" t="str">
        <x:v>masculino</x:v>
      </x:c>
      <x:c r="T2212" s="22" t="str"/>
      <x:c r="U2212" s="23" t="str">
        <x:v>LEONARDO RODRIGUES CIRILLO</x:v>
      </x:c>
      <x:c r="V2212" s="22" t="str">
        <x:f>"393.833.918-71"</x:f>
        <x:v>393.833.918-71</x:v>
      </x:c>
      <x:c r="W2212" s="22" t="str">
        <x:f>"39383391871"</x:f>
        <x:v>39383391871</x:v>
      </x:c>
      <x:c r="X2212" s="23" t="str">
        <x:v>leonardorc1708@gmail.com</x:v>
      </x:c>
      <x:c r="Y2212" s="22" t="str">
        <x:f>"18 98822-6200"</x:f>
        <x:v>18 98822-6200</x:v>
      </x:c>
      <x:c r="Z2212" s="30" t="n">
        <x:v>46455</x:v>
      </x:c>
    </x:row>
    <x:row r="2213" ht="18" customHeight="1">
      <x:c r="A2213" s="22" t="str">
        <x:f>"1ff2a706-ba9d-461c-abac-c100bf92ed34"</x:f>
        <x:v>1ff2a706-ba9d-461c-abac-c100bf92ed34</x:v>
      </x:c>
      <x:c r="B2213" s="23" t="str">
        <x:v>LEONARDO RODRIGUES DA SILVA</x:v>
      </x:c>
      <x:c r="C2213" s="23" t="str">
        <x:v>leonardo rodrigues da silva</x:v>
      </x:c>
      <x:c r="D2213" s="22" t="str">
        <x:f>"66.937.989/0001-72"</x:f>
        <x:v>66.937.989/0001-72</x:v>
      </x:c>
      <x:c r="E2213" s="22" t="str">
        <x:f>"66937989000172"</x:f>
        <x:v>66937989000172</x:v>
      </x:c>
      <x:c r="F2213" s="22" t="str">
        <x:f>"097.001.306-06"</x:f>
        <x:v>097.001.306-06</x:v>
      </x:c>
      <x:c r="G2213" s="22" t="str">
        <x:f>"09700130606"</x:f>
        <x:v>09700130606</x:v>
      </x:c>
      <x:c r="H2213" s="23" t="str">
        <x:v>leonardorodriguessilvar148@gmail.com</x:v>
      </x:c>
      <x:c r="I2213" s="22" t="str">
        <x:f>"33997016084"</x:f>
        <x:v>33997016084</x:v>
      </x:c>
      <x:c r="J2213" s="23" t="str">
        <x:v>RENTAL</x:v>
      </x:c>
      <x:c r="K2213" s="23" t="str">
        <x:v>rental_company</x:v>
      </x:c>
      <x:c r="L2213" s="24" t="b">
        <x:v>1</x:v>
      </x:c>
      <x:c r="M2213" s="23" t="n">
        <x:v>1</x:v>
      </x:c>
      <x:c r="N2213" s="28" t="n">
        <x:v>46219.812988715275</x:v>
      </x:c>
      <x:c r="O2213" s="28" t="n">
        <x:v>46219.812988715275</x:v>
      </x:c>
      <x:c r="P2213" s="23" t="str">
        <x:v>TEOFILO OTONI</x:v>
      </x:c>
      <x:c r="Q2213" s="30" t="n">
        <x:v>32484</x:v>
      </x:c>
      <x:c r="R2213" s="22" t="str">
        <x:f>"16003778"</x:f>
        <x:v>16003778</x:v>
      </x:c>
      <x:c r="S2213" s="23" t="str">
        <x:v>masculino</x:v>
      </x:c>
      <x:c r="T2213" s="22" t="str"/>
      <x:c r="U2213" s="23" t="str">
        <x:v>LEONARDO RODRIGUES DA SILVA</x:v>
      </x:c>
      <x:c r="V2213" s="22" t="str">
        <x:f>"097.001.306-06"</x:f>
        <x:v>097.001.306-06</x:v>
      </x:c>
      <x:c r="W2213" s="22" t="str">
        <x:f>"09700130606"</x:f>
        <x:v>09700130606</x:v>
      </x:c>
      <x:c r="X2213" s="23" t="str">
        <x:v>leonardorodriguessilvar148@gmail.com</x:v>
      </x:c>
      <x:c r="Y2213" s="22" t="str">
        <x:f>"33997016084"</x:f>
        <x:v>33997016084</x:v>
      </x:c>
      <x:c r="Z2213" s="30" t="n">
        <x:v>46542</x:v>
      </x:c>
    </x:row>
    <x:row r="2214" ht="18" customHeight="1">
      <x:c r="A2214" s="22" t="str">
        <x:f>"1d27deac-3292-4285-9f1c-957545e88304"</x:f>
        <x:v>1d27deac-3292-4285-9f1c-957545e88304</x:v>
      </x:c>
      <x:c r="B2214" s="23" t="str">
        <x:v>LEONARDO RODRIGUES DE SOUZA</x:v>
      </x:c>
      <x:c r="C2214" s="23" t="str">
        <x:v>leonardo rodrigues de souza</x:v>
      </x:c>
      <x:c r="D2214" s="22" t="str">
        <x:f>"58.523.634/0001-09"</x:f>
        <x:v>58.523.634/0001-09</x:v>
      </x:c>
      <x:c r="E2214" s="22" t="str">
        <x:f>"58523634000109"</x:f>
        <x:v>58523634000109</x:v>
      </x:c>
      <x:c r="F2214" s="22" t="str">
        <x:f>"021.538.676-06"</x:f>
        <x:v>021.538.676-06</x:v>
      </x:c>
      <x:c r="G2214" s="22" t="str">
        <x:f>"02153867606"</x:f>
        <x:v>02153867606</x:v>
      </x:c>
      <x:c r="H2214" s="23" t="str">
        <x:v>leonardosouza0272@gmail.com</x:v>
      </x:c>
      <x:c r="I2214" s="22" t="str">
        <x:f>"31987024603"</x:f>
        <x:v>31987024603</x:v>
      </x:c>
      <x:c r="J2214" s="23" t="str">
        <x:v>SPOT</x:v>
      </x:c>
      <x:c r="K2214" s="23" t="str">
        <x:v>favored_only</x:v>
      </x:c>
      <x:c r="L2214" s="24" t="b">
        <x:v>1</x:v>
      </x:c>
      <x:c r="M2214" s="23" t="n">
        <x:v>1</x:v>
      </x:c>
      <x:c r="N2214" s="28" t="n">
        <x:v>46219.812988715275</x:v>
      </x:c>
      <x:c r="O2214" s="28" t="n">
        <x:v>46219.812988715275</x:v>
      </x:c>
      <x:c r="P2214" s="23" t="str">
        <x:v>CONTAGEM</x:v>
      </x:c>
      <x:c r="Q2214" s="30" t="n">
        <x:v>36552</x:v>
      </x:c>
      <x:c r="R2214" s="22" t="str">
        <x:f>"MG20398922"</x:f>
        <x:v>MG20398922</x:v>
      </x:c>
      <x:c r="S2214" s="23" t="str">
        <x:v>masculino</x:v>
      </x:c>
      <x:c r="T2214" s="22" t="str">
        <x:f>"RTM1F51"</x:f>
        <x:v>RTM1F51</x:v>
      </x:c>
      <x:c r="U2214" s="23" t="str">
        <x:v>LEONARDO RODRIGUES DE SOUZA</x:v>
      </x:c>
      <x:c r="V2214" s="22" t="str">
        <x:f>"021.538.676-06"</x:f>
        <x:v>021.538.676-06</x:v>
      </x:c>
      <x:c r="W2214" s="22" t="str">
        <x:f>"02153867606"</x:f>
        <x:v>02153867606</x:v>
      </x:c>
      <x:c r="X2214" s="23" t="str">
        <x:v>leonardosouza0272@gmail.com</x:v>
      </x:c>
      <x:c r="Y2214" s="22" t="str">
        <x:f>"31987024603"</x:f>
        <x:v>31987024603</x:v>
      </x:c>
      <x:c r="Z2214" s="30" t="n">
        <x:v>46476</x:v>
      </x:c>
    </x:row>
    <x:row r="2215" ht="18" customHeight="1">
      <x:c r="A2215" s="22" t="str">
        <x:f>"d9ecd499-d09a-41ec-87e3-27e2a69c0c32"</x:f>
        <x:v>d9ecd499-d09a-41ec-87e3-27e2a69c0c32</x:v>
      </x:c>
      <x:c r="B2215" s="23" t="str">
        <x:v>LEONARDO ROQUE MENDONCA</x:v>
      </x:c>
      <x:c r="C2215" s="23" t="str">
        <x:v>leonardo roque mendonca</x:v>
      </x:c>
      <x:c r="D2215" s="22" t="str">
        <x:f>"62.779.688/0001-07"</x:f>
        <x:v>62.779.688/0001-07</x:v>
      </x:c>
      <x:c r="E2215" s="22" t="str">
        <x:f>"62779688000107"</x:f>
        <x:v>62779688000107</x:v>
      </x:c>
      <x:c r="F2215" s="22" t="str">
        <x:f>"375.552.308-60"</x:f>
        <x:v>375.552.308-60</x:v>
      </x:c>
      <x:c r="G2215" s="22" t="str">
        <x:f>"37555230860"</x:f>
        <x:v>37555230860</x:v>
      </x:c>
      <x:c r="H2215" s="23" t="str">
        <x:v>leonardomendonca375@gmail.com</x:v>
      </x:c>
      <x:c r="I2215" s="22" t="str">
        <x:f>"31 9 82700846"</x:f>
        <x:v>31 9 82700846</x:v>
      </x:c>
      <x:c r="J2215" s="23" t="str">
        <x:v>SPOT</x:v>
      </x:c>
      <x:c r="K2215" s="23" t="str">
        <x:v>favored_only</x:v>
      </x:c>
      <x:c r="L2215" s="24" t="b">
        <x:v>1</x:v>
      </x:c>
      <x:c r="M2215" s="23" t="n">
        <x:v>1</x:v>
      </x:c>
      <x:c r="N2215" s="28" t="n">
        <x:v>46219.812988715275</x:v>
      </x:c>
      <x:c r="O2215" s="28" t="n">
        <x:v>46219.812988715275</x:v>
      </x:c>
      <x:c r="P2215" s="23" t="str">
        <x:v>CONTAGEM</x:v>
      </x:c>
      <x:c r="Q2215" s="30" t="n">
        <x:v>32773</x:v>
      </x:c>
      <x:c r="R2215" s="22" t="str">
        <x:f>"46669027"</x:f>
        <x:v>46669027</x:v>
      </x:c>
      <x:c r="S2215" s="23" t="str">
        <x:v>masculino</x:v>
      </x:c>
      <x:c r="T2215" s="22" t="str"/>
      <x:c r="U2215" s="23" t="str">
        <x:v>LEONARDO ROQUE MENDONCA</x:v>
      </x:c>
      <x:c r="V2215" s="22" t="str">
        <x:f>"375.552.308-60"</x:f>
        <x:v>375.552.308-60</x:v>
      </x:c>
      <x:c r="W2215" s="22" t="str">
        <x:f>"37555230860"</x:f>
        <x:v>37555230860</x:v>
      </x:c>
      <x:c r="X2215" s="23" t="str">
        <x:v>leonardomendonca375@gmail.com</x:v>
      </x:c>
      <x:c r="Y2215" s="22" t="str">
        <x:f>"31 9 82700846"</x:f>
        <x:v>31 9 82700846</x:v>
      </x:c>
      <x:c r="Z2215" s="30" t="n">
        <x:v>46582</x:v>
      </x:c>
    </x:row>
    <x:row r="2216" ht="18" customHeight="1">
      <x:c r="A2216" s="22" t="str">
        <x:f>"feaf6666-ec6b-452e-80a2-1cbe9442e9db"</x:f>
        <x:v>feaf6666-ec6b-452e-80a2-1cbe9442e9db</x:v>
      </x:c>
      <x:c r="B2216" s="23" t="str">
        <x:v>LEONARDO SOUSA DA SILVA</x:v>
      </x:c>
      <x:c r="C2216" s="23" t="str">
        <x:v>leonardo sousa da silva</x:v>
      </x:c>
      <x:c r="D2216" s="22" t="str">
        <x:f>"61.151.821/0001-13"</x:f>
        <x:v>61.151.821/0001-13</x:v>
      </x:c>
      <x:c r="E2216" s="22" t="str">
        <x:f>"61151821000113"</x:f>
        <x:v>61151821000113</x:v>
      </x:c>
      <x:c r="F2216" s="22" t="str">
        <x:f>"158.512.527-07"</x:f>
        <x:v>158.512.527-07</x:v>
      </x:c>
      <x:c r="G2216" s="22" t="str">
        <x:f>"15851252707"</x:f>
        <x:v>15851252707</x:v>
      </x:c>
      <x:c r="H2216" s="23" t="str">
        <x:v>leonardo.sousa.7@hotmail.com</x:v>
      </x:c>
      <x:c r="I2216" s="22" t="str">
        <x:f>"21980690845"</x:f>
        <x:v>21980690845</x:v>
      </x:c>
      <x:c r="J2216" s="23" t="str">
        <x:v>SPOT</x:v>
      </x:c>
      <x:c r="K2216" s="23" t="str">
        <x:v>favored_only</x:v>
      </x:c>
      <x:c r="L2216" s="24" t="b">
        <x:v>1</x:v>
      </x:c>
      <x:c r="M2216" s="23" t="n">
        <x:v>1</x:v>
      </x:c>
      <x:c r="N2216" s="28" t="n">
        <x:v>46219.812988715275</x:v>
      </x:c>
      <x:c r="O2216" s="28" t="n">
        <x:v>46219.812988715275</x:v>
      </x:c>
      <x:c r="P2216" s="23" t="str">
        <x:v>SÃO JOAO DE MERITI</x:v>
      </x:c>
      <x:c r="Q2216" s="30" t="n">
        <x:v>34633</x:v>
      </x:c>
      <x:c r="R2216" s="22" t="str">
        <x:f>"284725546"</x:f>
        <x:v>284725546</x:v>
      </x:c>
      <x:c r="S2216" s="23" t="str">
        <x:v>masculino</x:v>
      </x:c>
      <x:c r="T2216" s="22" t="str">
        <x:f>"PXT3D64"</x:f>
        <x:v>PXT3D64</x:v>
      </x:c>
      <x:c r="U2216" s="23" t="str">
        <x:v>LEONARDO SOUSA DA SILVA</x:v>
      </x:c>
      <x:c r="V2216" s="22" t="str">
        <x:f>"158.512.527-07"</x:f>
        <x:v>158.512.527-07</x:v>
      </x:c>
      <x:c r="W2216" s="22" t="str">
        <x:f>"15851252707"</x:f>
        <x:v>15851252707</x:v>
      </x:c>
      <x:c r="X2216" s="23" t="str">
        <x:v>leonardo.sousa.7@hotmail.com</x:v>
      </x:c>
      <x:c r="Y2216" s="22" t="str">
        <x:f>"21980690845"</x:f>
        <x:v>21980690845</x:v>
      </x:c>
      <x:c r="Z2216" s="30" t="n">
        <x:v>46525</x:v>
      </x:c>
    </x:row>
    <x:row r="2217" ht="18" customHeight="1">
      <x:c r="A2217" s="22" t="str">
        <x:f>"ef495760-efa3-41bc-b8a9-029d3edcf0ca"</x:f>
        <x:v>ef495760-efa3-41bc-b8a9-029d3edcf0ca</x:v>
      </x:c>
      <x:c r="B2217" s="23" t="str">
        <x:v>LEONARDO STRAMBECK MAXIMO</x:v>
      </x:c>
      <x:c r="C2217" s="23" t="str">
        <x:v>leonardo strambeck maximo</x:v>
      </x:c>
      <x:c r="D2217" s="22" t="str">
        <x:f>"63.537.440/0001-00"</x:f>
        <x:v>63.537.440/0001-00</x:v>
      </x:c>
      <x:c r="E2217" s="22" t="str">
        <x:f>"63537440000100"</x:f>
        <x:v>63537440000100</x:v>
      </x:c>
      <x:c r="F2217" s="22" t="str">
        <x:f>"066.648.701-42"</x:f>
        <x:v>066.648.701-42</x:v>
      </x:c>
      <x:c r="G2217" s="22" t="str">
        <x:f>"06664870142"</x:f>
        <x:v>06664870142</x:v>
      </x:c>
      <x:c r="H2217" s="23" t="str">
        <x:v>lstrambeck.1@gmail.com</x:v>
      </x:c>
      <x:c r="I2217" s="22" t="str">
        <x:f>"65 9284-7576"</x:f>
        <x:v>65 9284-7576</x:v>
      </x:c>
      <x:c r="J2217" s="23" t="str">
        <x:v>RENTAL</x:v>
      </x:c>
      <x:c r="K2217" s="23" t="str">
        <x:v>rental_company</x:v>
      </x:c>
      <x:c r="L2217" s="24" t="b">
        <x:v>1</x:v>
      </x:c>
      <x:c r="M2217" s="23" t="n">
        <x:v>1</x:v>
      </x:c>
      <x:c r="N2217" s="28" t="n">
        <x:v>46203.921887453704</x:v>
      </x:c>
      <x:c r="O2217" s="28" t="n">
        <x:v>46219.812988715275</x:v>
      </x:c>
      <x:c r="P2217" s="23" t="str">
        <x:v>CUIABA</x:v>
      </x:c>
      <x:c r="Q2217" s="30" t="n">
        <x:v>37832</x:v>
      </x:c>
      <x:c r="R2217" s="22" t="str">
        <x:f>"230130823"</x:f>
        <x:v>230130823</x:v>
      </x:c>
      <x:c r="S2217" s="23" t="str">
        <x:v>masculino</x:v>
      </x:c>
      <x:c r="T2217" s="22" t="str"/>
      <x:c r="U2217" s="23" t="str">
        <x:v>LEONARDO STRAMBECK MAXIMO</x:v>
      </x:c>
      <x:c r="V2217" s="22" t="str">
        <x:f>"066.648.701-42"</x:f>
        <x:v>066.648.701-42</x:v>
      </x:c>
      <x:c r="W2217" s="22" t="str">
        <x:f>"06664870142"</x:f>
        <x:v>06664870142</x:v>
      </x:c>
      <x:c r="X2217" s="23" t="str">
        <x:v>lstrambeck.1@gmail.com</x:v>
      </x:c>
      <x:c r="Y2217" s="22" t="str">
        <x:f>"65 9284-7576"</x:f>
        <x:v>65 9284-7576</x:v>
      </x:c>
      <x:c r="Z2217" s="30" t="n">
        <x:v>46332</x:v>
      </x:c>
    </x:row>
    <x:row r="2218" ht="18" customHeight="1">
      <x:c r="A2218" s="22" t="str">
        <x:f>"c961ad97-8526-42ba-983d-387252e0e048"</x:f>
        <x:v>c961ad97-8526-42ba-983d-387252e0e048</x:v>
      </x:c>
      <x:c r="B2218" s="23" t="str">
        <x:v>LEONARDO TIRADENTES PIRES FILHO</x:v>
      </x:c>
      <x:c r="C2218" s="23" t="str">
        <x:v>leonardo tiradentes pires filho</x:v>
      </x:c>
      <x:c r="D2218" s="22" t="str">
        <x:f>"60.854.899/0001-31"</x:f>
        <x:v>60.854.899/0001-31</x:v>
      </x:c>
      <x:c r="E2218" s="22" t="str">
        <x:f>"60854899000131"</x:f>
        <x:v>60854899000131</x:v>
      </x:c>
      <x:c r="F2218" s="22" t="str">
        <x:f>"083.888.376-13"</x:f>
        <x:v>083.888.376-13</x:v>
      </x:c>
      <x:c r="G2218" s="22" t="str">
        <x:f>"08388837613"</x:f>
        <x:v>08388837613</x:v>
      </x:c>
      <x:c r="H2218" s="23" t="str">
        <x:v>leonardotiradentespires@hotmail.com</x:v>
      </x:c>
      <x:c r="I2218" s="22" t="str">
        <x:f>"(31) 986119774"</x:f>
        <x:v>(31) 986119774</x:v>
      </x:c>
      <x:c r="J2218" s="23" t="str">
        <x:v>SPOT</x:v>
      </x:c>
      <x:c r="K2218" s="23" t="str">
        <x:v>favored_only</x:v>
      </x:c>
      <x:c r="L2218" s="24" t="b">
        <x:v>1</x:v>
      </x:c>
      <x:c r="M2218" s="23" t="n">
        <x:v>1</x:v>
      </x:c>
      <x:c r="N2218" s="28" t="n">
        <x:v>46203.92183332176</x:v>
      </x:c>
      <x:c r="O2218" s="28" t="n">
        <x:v>46219.812988715275</x:v>
      </x:c>
      <x:c r="P2218" s="23" t="str">
        <x:v>GUANHAES</x:v>
      </x:c>
      <x:c r="Q2218" s="30" t="n">
        <x:v>35834</x:v>
      </x:c>
      <x:c r="R2218" s="22" t="str">
        <x:f>"MG20069598"</x:f>
        <x:v>MG20069598</x:v>
      </x:c>
      <x:c r="S2218" s="23" t="str">
        <x:v>masculino</x:v>
      </x:c>
      <x:c r="T2218" s="22" t="str">
        <x:f>"TCJ1A65"</x:f>
        <x:v>TCJ1A65</x:v>
      </x:c>
      <x:c r="U2218" s="23" t="str">
        <x:v>LEONARDO TIRADENTES PIRES FILHO</x:v>
      </x:c>
      <x:c r="V2218" s="22" t="str">
        <x:f>"083.888.376-13"</x:f>
        <x:v>083.888.376-13</x:v>
      </x:c>
      <x:c r="W2218" s="22" t="str">
        <x:f>"08388837613"</x:f>
        <x:v>08388837613</x:v>
      </x:c>
      <x:c r="X2218" s="23" t="str">
        <x:v>leonardotiradentespires@hotmail.com</x:v>
      </x:c>
      <x:c r="Y2218" s="22" t="str">
        <x:f>"(31) 986119774"</x:f>
        <x:v>(31) 986119774</x:v>
      </x:c>
      <x:c r="Z2218" s="30" t="n">
        <x:v>46521</x:v>
      </x:c>
    </x:row>
    <x:row r="2219" ht="18" customHeight="1">
      <x:c r="A2219" s="22" t="str">
        <x:f>"447ce604-d5d0-4f61-ac12-4d7b05bce63b"</x:f>
        <x:v>447ce604-d5d0-4f61-ac12-4d7b05bce63b</x:v>
      </x:c>
      <x:c r="B2219" s="23" t="str">
        <x:v>LEONARDO ZANATTA DA SILVA</x:v>
      </x:c>
      <x:c r="C2219" s="23" t="str">
        <x:v>leonardo zanatta da silva</x:v>
      </x:c>
      <x:c r="D2219" s="22" t="str">
        <x:f>"63.214.739/0001-16"</x:f>
        <x:v>63.214.739/0001-16</x:v>
      </x:c>
      <x:c r="E2219" s="22" t="str">
        <x:f>"63214739000116"</x:f>
        <x:v>63214739000116</x:v>
      </x:c>
      <x:c r="F2219" s="22" t="str">
        <x:f>"473.931.218-24"</x:f>
        <x:v>473.931.218-24</x:v>
      </x:c>
      <x:c r="G2219" s="22" t="str">
        <x:f>"47393121824"</x:f>
        <x:v>47393121824</x:v>
      </x:c>
      <x:c r="H2219" s="23" t="str">
        <x:v>leonardozanatta2015@gmail.com</x:v>
      </x:c>
      <x:c r="I2219" s="22" t="str">
        <x:f>"11963301374"</x:f>
        <x:v>11963301374</x:v>
      </x:c>
      <x:c r="J2219" s="23" t="str">
        <x:v>SPOT</x:v>
      </x:c>
      <x:c r="K2219" s="23" t="str">
        <x:v>favored_only</x:v>
      </x:c>
      <x:c r="L2219" s="24" t="b">
        <x:v>1</x:v>
      </x:c>
      <x:c r="M2219" s="23" t="n">
        <x:v>1</x:v>
      </x:c>
      <x:c r="N2219" s="28" t="n">
        <x:v>46203.9218771875</x:v>
      </x:c>
      <x:c r="O2219" s="28" t="n">
        <x:v>46219.812988715275</x:v>
      </x:c>
      <x:c r="P2219" s="23" t="str">
        <x:v>BARUERI</x:v>
      </x:c>
      <x:c r="Q2219" s="30" t="n">
        <x:v>35738</x:v>
      </x:c>
      <x:c r="R2219" s="22" t="str">
        <x:f>"50109286"</x:f>
        <x:v>50109286</x:v>
      </x:c>
      <x:c r="S2219" s="23" t="str">
        <x:v>masculino</x:v>
      </x:c>
      <x:c r="T2219" s="22" t="str">
        <x:f>"FAA9E07"</x:f>
        <x:v>FAA9E07</x:v>
      </x:c>
      <x:c r="U2219" s="23" t="str">
        <x:v>LEONARDO ZANATTA DA SILVA</x:v>
      </x:c>
      <x:c r="V2219" s="22" t="str">
        <x:f>"473.931.218-24"</x:f>
        <x:v>473.931.218-24</x:v>
      </x:c>
      <x:c r="W2219" s="22" t="str">
        <x:f>"47393121824"</x:f>
        <x:v>47393121824</x:v>
      </x:c>
      <x:c r="X2219" s="23" t="str">
        <x:v>leonardozanatta2015@gmail.com</x:v>
      </x:c>
      <x:c r="Y2219" s="22" t="str">
        <x:f>"11963301374"</x:f>
        <x:v>11963301374</x:v>
      </x:c>
      <x:c r="Z2219" s="30" t="n">
        <x:v>46389</x:v>
      </x:c>
    </x:row>
    <x:row r="2220" ht="18" customHeight="1">
      <x:c r="A2220" s="22" t="str">
        <x:f>"bf5a16a8-a511-4486-980f-3064245449dc"</x:f>
        <x:v>bf5a16a8-a511-4486-980f-3064245449dc</x:v>
      </x:c>
      <x:c r="B2220" s="23" t="str">
        <x:v>Leonidas de Pinho E Silva</x:v>
      </x:c>
      <x:c r="C2220" s="23" t="str">
        <x:v>leonidas de pinho e silva</x:v>
      </x:c>
      <x:c r="D2220" s="22" t="str">
        <x:f>"53.264.533/0001-47"</x:f>
        <x:v>53.264.533/0001-47</x:v>
      </x:c>
      <x:c r="E2220" s="22" t="str">
        <x:f>"53264533000147"</x:f>
        <x:v>53264533000147</x:v>
      </x:c>
      <x:c r="F2220" s="22" t="str">
        <x:f>"692.451.851-68"</x:f>
        <x:v>692.451.851-68</x:v>
      </x:c>
      <x:c r="G2220" s="22" t="str">
        <x:f>"69245185168"</x:f>
        <x:v>69245185168</x:v>
      </x:c>
      <x:c r="H2220" s="23" t="str">
        <x:v>veloxlogisticamt@gmail.com</x:v>
      </x:c>
      <x:c r="I2220" s="22" t="str">
        <x:f>"(65) 99632-1030"</x:f>
        <x:v>(65) 99632-1030</x:v>
      </x:c>
      <x:c r="J2220" s="23" t="str">
        <x:v>SPOT</x:v>
      </x:c>
      <x:c r="K2220" s="23" t="str">
        <x:v>favored_only</x:v>
      </x:c>
      <x:c r="L2220" s="24" t="b">
        <x:v>1</x:v>
      </x:c>
      <x:c r="M2220" s="23" t="n">
        <x:v>11</x:v>
      </x:c>
      <x:c r="N2220" s="28" t="n">
        <x:v>46203.92183332176</x:v>
      </x:c>
      <x:c r="O2220" s="28" t="n">
        <x:v>46203.92183332176</x:v>
      </x:c>
      <x:c r="P2220" s="23" t="str"/>
      <x:c r="Q2220" s="30" t="str"/>
      <x:c r="R2220" s="22" t="str"/>
      <x:c r="S2220" s="23" t="str"/>
      <x:c r="T2220" s="22" t="str"/>
      <x:c r="U2220" s="23" t="str">
        <x:v>Leônidas de Pinho e Silva</x:v>
      </x:c>
      <x:c r="V2220" s="22" t="str">
        <x:f>"(65) 99679-0317"</x:f>
        <x:v>(65) 99679-0317</x:v>
      </x:c>
      <x:c r="W2220" s="22" t="str">
        <x:f>"65996790317"</x:f>
        <x:v>65996790317</x:v>
      </x:c>
      <x:c r="X2220" s="23" t="str">
        <x:v>veloxlogisticamt@gmail.com</x:v>
      </x:c>
      <x:c r="Y2220" s="22" t="str">
        <x:f>"692.451.851-68"</x:f>
        <x:v>692.451.851-68</x:v>
      </x:c>
      <x:c r="Z2220" s="30" t="str"/>
    </x:row>
    <x:row r="2221" ht="18" customHeight="1">
      <x:c r="A2221" s="22" t="str">
        <x:f>"e1feb99a-479f-4b55-bf52-ddc133f47f84"</x:f>
        <x:v>e1feb99a-479f-4b55-bf52-ddc133f47f84</x:v>
      </x:c>
      <x:c r="B2221" s="23" t="str">
        <x:v>LEONIDAS LUIZ DE LIMA JUNIOR</x:v>
      </x:c>
      <x:c r="C2221" s="23" t="str">
        <x:v>leonidas luiz de lima junior</x:v>
      </x:c>
      <x:c r="D2221" s="22" t="str">
        <x:f>"40.195.800/0001-20"</x:f>
        <x:v>40.195.800/0001-20</x:v>
      </x:c>
      <x:c r="E2221" s="22" t="str">
        <x:f>"40195800000120"</x:f>
        <x:v>40195800000120</x:v>
      </x:c>
      <x:c r="F2221" s="22" t="str">
        <x:f>"106.650.446-66"</x:f>
        <x:v>106.650.446-66</x:v>
      </x:c>
      <x:c r="G2221" s="22" t="str">
        <x:f>"10665044666"</x:f>
        <x:v>10665044666</x:v>
      </x:c>
      <x:c r="H2221" s="23" t="str">
        <x:v>leojunior06@gmail.com</x:v>
      </x:c>
      <x:c r="I2221" s="22" t="str">
        <x:f>"34997261175 / 34998228339"</x:f>
        <x:v>34997261175 / 34998228339</x:v>
      </x:c>
      <x:c r="J2221" s="23" t="str">
        <x:v>RENTAL</x:v>
      </x:c>
      <x:c r="K2221" s="23" t="str">
        <x:v>rental_company</x:v>
      </x:c>
      <x:c r="L2221" s="24" t="b">
        <x:v>1</x:v>
      </x:c>
      <x:c r="M2221" s="23" t="n">
        <x:v>1</x:v>
      </x:c>
      <x:c r="N2221" s="28" t="n">
        <x:v>46203.921824756944</x:v>
      </x:c>
      <x:c r="O2221" s="28" t="n">
        <x:v>46219.812988715275</x:v>
      </x:c>
      <x:c r="P2221" s="23" t="str">
        <x:v>UBERLANDIA</x:v>
      </x:c>
      <x:c r="Q2221" s="30" t="n">
        <x:v>34914</x:v>
      </x:c>
      <x:c r="R2221" s="22" t="str">
        <x:f>"MG16500660"</x:f>
        <x:v>MG16500660</x:v>
      </x:c>
      <x:c r="S2221" s="23" t="str">
        <x:v>masculino</x:v>
      </x:c>
      <x:c r="T2221" s="22" t="str"/>
      <x:c r="U2221" s="23" t="str">
        <x:v>LEONIDAS LUIZ DE LIMA JUNIOR</x:v>
      </x:c>
      <x:c r="V2221" s="22" t="str">
        <x:f>"106.650.446-66"</x:f>
        <x:v>106.650.446-66</x:v>
      </x:c>
      <x:c r="W2221" s="22" t="str">
        <x:f>"10665044666"</x:f>
        <x:v>10665044666</x:v>
      </x:c>
      <x:c r="X2221" s="23" t="str">
        <x:v>leojunior06@gmail.com</x:v>
      </x:c>
      <x:c r="Y2221" s="22" t="str">
        <x:f>"34997261175 / 34998228339"</x:f>
        <x:v>34997261175 / 34998228339</x:v>
      </x:c>
      <x:c r="Z2221" s="30" t="n">
        <x:v>46319</x:v>
      </x:c>
    </x:row>
    <x:row r="2222" ht="18" customHeight="1">
      <x:c r="A2222" s="22" t="str">
        <x:f>"5c5c82f1-9bf7-47f2-adbf-0b8679a55677"</x:f>
        <x:v>5c5c82f1-9bf7-47f2-adbf-0b8679a55677</x:v>
      </x:c>
      <x:c r="B2222" s="23" t="str">
        <x:v>LEONIDIS MARCOS DA SILVA</x:v>
      </x:c>
      <x:c r="C2222" s="23" t="str">
        <x:v>leonidis marcos da silva</x:v>
      </x:c>
      <x:c r="D2222" s="22" t="str">
        <x:f>"61.826.226/0001-30"</x:f>
        <x:v>61.826.226/0001-30</x:v>
      </x:c>
      <x:c r="E2222" s="22" t="str">
        <x:f>"61826226000130"</x:f>
        <x:v>61826226000130</x:v>
      </x:c>
      <x:c r="F2222" s="22" t="str">
        <x:f>"372.345.648-02"</x:f>
        <x:v>372.345.648-02</x:v>
      </x:c>
      <x:c r="G2222" s="22" t="str">
        <x:f>"37234564802"</x:f>
        <x:v>37234564802</x:v>
      </x:c>
      <x:c r="H2222" s="23" t="str">
        <x:v>leonidismarcosdasilva1@gmail.com</x:v>
      </x:c>
      <x:c r="I2222" s="22" t="str">
        <x:f>"14 997934257"</x:f>
        <x:v>14 997934257</x:v>
      </x:c>
      <x:c r="J2222" s="23" t="str">
        <x:v>RENTAL</x:v>
      </x:c>
      <x:c r="K2222" s="23" t="str">
        <x:v>rental_company</x:v>
      </x:c>
      <x:c r="L2222" s="24" t="b">
        <x:v>1</x:v>
      </x:c>
      <x:c r="M2222" s="23" t="n">
        <x:v>1</x:v>
      </x:c>
      <x:c r="N2222" s="28" t="n">
        <x:v>46203.92189349537</x:v>
      </x:c>
      <x:c r="O2222" s="28" t="n">
        <x:v>46219.812988715275</x:v>
      </x:c>
      <x:c r="P2222" s="23" t="str">
        <x:v>BAURU</x:v>
      </x:c>
      <x:c r="Q2222" s="30" t="n">
        <x:v>32252</x:v>
      </x:c>
      <x:c r="R2222" s="22" t="str">
        <x:f>"401264105"</x:f>
        <x:v>401264105</x:v>
      </x:c>
      <x:c r="S2222" s="23" t="str">
        <x:v>masculino</x:v>
      </x:c>
      <x:c r="T2222" s="22" t="str"/>
      <x:c r="U2222" s="23" t="str">
        <x:v>LEONIDIS MARCOS DA SILVA</x:v>
      </x:c>
      <x:c r="V2222" s="22" t="str">
        <x:f>"372.345.648-02"</x:f>
        <x:v>372.345.648-02</x:v>
      </x:c>
      <x:c r="W2222" s="22" t="str">
        <x:f>"37234564802"</x:f>
        <x:v>37234564802</x:v>
      </x:c>
      <x:c r="X2222" s="23" t="str">
        <x:v>leonidismarcosdasilva1@gmail.com</x:v>
      </x:c>
      <x:c r="Y2222" s="22" t="str">
        <x:f>"14 997934257"</x:f>
        <x:v>14 997934257</x:v>
      </x:c>
      <x:c r="Z2222" s="30" t="n">
        <x:v>46340</x:v>
      </x:c>
    </x:row>
    <x:row r="2223" ht="18" customHeight="1">
      <x:c r="A2223" s="22" t="str">
        <x:f>"4b982033-75ba-4723-abb0-01bd66d1621a"</x:f>
        <x:v>4b982033-75ba-4723-abb0-01bd66d1621a</x:v>
      </x:c>
      <x:c r="B2223" s="23" t="str">
        <x:v>LEONILDO SALVATERRA DE ASSUNCAO</x:v>
      </x:c>
      <x:c r="C2223" s="23" t="str">
        <x:v>leonildo salvaterra de assuncao</x:v>
      </x:c>
      <x:c r="D2223" s="22" t="str">
        <x:f>"63.588.797/0001-00"</x:f>
        <x:v>63.588.797/0001-00</x:v>
      </x:c>
      <x:c r="E2223" s="22" t="str">
        <x:f>"63588797000100"</x:f>
        <x:v>63588797000100</x:v>
      </x:c>
      <x:c r="F2223" s="22" t="str">
        <x:f>"006.828.301-60"</x:f>
        <x:v>006.828.301-60</x:v>
      </x:c>
      <x:c r="G2223" s="22" t="str">
        <x:f>"00682830160"</x:f>
        <x:v>00682830160</x:v>
      </x:c>
      <x:c r="H2223" s="23" t="str">
        <x:v>Assuncaoleonildo188@gmail.com</x:v>
      </x:c>
      <x:c r="I2223" s="22" t="str">
        <x:f>"+55 65 9973-9615"</x:f>
        <x:v>+55 65 9973-9615</x:v>
      </x:c>
      <x:c r="J2223" s="23" t="str">
        <x:v>SPOT</x:v>
      </x:c>
      <x:c r="K2223" s="23" t="str">
        <x:v>favored_only</x:v>
      </x:c>
      <x:c r="L2223" s="24" t="b">
        <x:v>1</x:v>
      </x:c>
      <x:c r="M2223" s="23" t="n">
        <x:v>1</x:v>
      </x:c>
      <x:c r="N2223" s="28" t="n">
        <x:v>46205.60613034722</x:v>
      </x:c>
      <x:c r="O2223" s="28" t="n">
        <x:v>46219.812988715275</x:v>
      </x:c>
      <x:c r="P2223" s="23" t="str">
        <x:v>ARAPUTANGA</x:v>
      </x:c>
      <x:c r="Q2223" s="30" t="n">
        <x:v>30634</x:v>
      </x:c>
      <x:c r="R2223" s="22" t="str">
        <x:f>"14863197 SSP MT"</x:f>
        <x:v>14863197 SSP MT</x:v>
      </x:c>
      <x:c r="S2223" s="23" t="str">
        <x:v>masculino</x:v>
      </x:c>
      <x:c r="T2223" s="22" t="str">
        <x:f>"SPF8I33"</x:f>
        <x:v>SPF8I33</x:v>
      </x:c>
      <x:c r="U2223" s="23" t="str">
        <x:v>ADEGILSON MOREIRA RIOS</x:v>
      </x:c>
      <x:c r="V2223" s="22" t="str">
        <x:f>"058.389.761-44"</x:f>
        <x:v>058.389.761-44</x:v>
      </x:c>
      <x:c r="W2223" s="22" t="str">
        <x:f>"05838976144"</x:f>
        <x:v>05838976144</x:v>
      </x:c>
      <x:c r="X2223" s="23" t="str">
        <x:v>Adegilsonjunior@hotmail.com</x:v>
      </x:c>
      <x:c r="Y2223" s="22" t="str">
        <x:f>"+55 65 9973-9615"</x:f>
        <x:v>+55 65 9973-9615</x:v>
      </x:c>
      <x:c r="Z2223" s="30" t="n">
        <x:v>46344</x:v>
      </x:c>
    </x:row>
    <x:row r="2224" ht="18" customHeight="1">
      <x:c r="A2224" s="22" t="str">
        <x:f>"f2933c6d-34ba-4244-8ac4-b675461fef07"</x:f>
        <x:v>f2933c6d-34ba-4244-8ac4-b675461fef07</x:v>
      </x:c>
      <x:c r="B2224" s="23" t="str">
        <x:v>LEONOR DA SILVA CAMELO</x:v>
      </x:c>
      <x:c r="C2224" s="23" t="str">
        <x:v>leonor da silva camelo</x:v>
      </x:c>
      <x:c r="D2224" s="22" t="str">
        <x:f>"64.111.463/0001-03"</x:f>
        <x:v>64.111.463/0001-03</x:v>
      </x:c>
      <x:c r="E2224" s="22" t="str">
        <x:f>"64111463000103"</x:f>
        <x:v>64111463000103</x:v>
      </x:c>
      <x:c r="F2224" s="22" t="str">
        <x:f>"083.443.077-08"</x:f>
        <x:v>083.443.077-08</x:v>
      </x:c>
      <x:c r="G2224" s="22" t="str">
        <x:f>"08344307708"</x:f>
        <x:v>08344307708</x:v>
      </x:c>
      <x:c r="H2224" s="23" t="str">
        <x:v>camelo0204@gmail.com</x:v>
      </x:c>
      <x:c r="I2224" s="22" t="str">
        <x:f>"21982904594"</x:f>
        <x:v>21982904594</x:v>
      </x:c>
      <x:c r="J2224" s="23" t="str">
        <x:v>SPOT</x:v>
      </x:c>
      <x:c r="K2224" s="23" t="str">
        <x:v>favored_only</x:v>
      </x:c>
      <x:c r="L2224" s="24" t="b">
        <x:v>1</x:v>
      </x:c>
      <x:c r="M2224" s="23" t="n">
        <x:v>1</x:v>
      </x:c>
      <x:c r="N2224" s="28" t="n">
        <x:v>46219.812988715275</x:v>
      </x:c>
      <x:c r="O2224" s="28" t="n">
        <x:v>46219.812988715275</x:v>
      </x:c>
      <x:c r="P2224" s="23" t="str">
        <x:v>CORDOVIL</x:v>
      </x:c>
      <x:c r="Q2224" s="30" t="n">
        <x:v>28868</x:v>
      </x:c>
      <x:c r="R2224" s="22" t="str">
        <x:f>"115025207"</x:f>
        <x:v>115025207</x:v>
      </x:c>
      <x:c r="S2224" s="23" t="str">
        <x:v>feminino</x:v>
      </x:c>
      <x:c r="T2224" s="22" t="str">
        <x:f>"kqy0193"</x:f>
        <x:v>kqy0193</x:v>
      </x:c>
      <x:c r="U2224" s="23" t="str">
        <x:v>LUCIANO NAZARENO DE JESUS</x:v>
      </x:c>
      <x:c r="V2224" s="22" t="str">
        <x:f>"037.505.247-00"</x:f>
        <x:v>037.505.247-00</x:v>
      </x:c>
      <x:c r="W2224" s="22" t="str">
        <x:f>"03750524700"</x:f>
        <x:v>03750524700</x:v>
      </x:c>
      <x:c r="X2224" s="23" t="str">
        <x:v>luciano.canita@gmail.com</x:v>
      </x:c>
      <x:c r="Y2224" s="22" t="str">
        <x:f>"21986968385"</x:f>
        <x:v>21986968385</x:v>
      </x:c>
      <x:c r="Z2224" s="30" t="n">
        <x:v>46535</x:v>
      </x:c>
    </x:row>
    <x:row r="2225" ht="18" customHeight="1">
      <x:c r="A2225" s="22" t="str">
        <x:f>"6dff5f27-0f8b-4c18-b615-04cc46f7b241"</x:f>
        <x:v>6dff5f27-0f8b-4c18-b615-04cc46f7b241</x:v>
      </x:c>
      <x:c r="B2225" s="23" t="str">
        <x:v>LEORNARDO MORAIS DA SILVA</x:v>
      </x:c>
      <x:c r="C2225" s="23" t="str">
        <x:v>leornardo morais da silva</x:v>
      </x:c>
      <x:c r="D2225" s="22" t="str">
        <x:f>"46.591.573/0001-38"</x:f>
        <x:v>46.591.573/0001-38</x:v>
      </x:c>
      <x:c r="E2225" s="22" t="str">
        <x:f>"46591573000138"</x:f>
        <x:v>46591573000138</x:v>
      </x:c>
      <x:c r="F2225" s="22" t="str">
        <x:f>"014.062.651-44"</x:f>
        <x:v>014.062.651-44</x:v>
      </x:c>
      <x:c r="G2225" s="22" t="str">
        <x:f>"01406265144"</x:f>
        <x:v>01406265144</x:v>
      </x:c>
      <x:c r="H2225" s="23" t="str">
        <x:v>nadinho1078@gmail.com</x:v>
      </x:c>
      <x:c r="I2225" s="22" t="str">
        <x:f>"65999818043"</x:f>
        <x:v>65999818043</x:v>
      </x:c>
      <x:c r="J2225" s="23" t="str">
        <x:v>SPOT</x:v>
      </x:c>
      <x:c r="K2225" s="23" t="str">
        <x:v>favored_only</x:v>
      </x:c>
      <x:c r="L2225" s="24" t="b">
        <x:v>1</x:v>
      </x:c>
      <x:c r="M2225" s="23" t="n">
        <x:v>1</x:v>
      </x:c>
      <x:c r="N2225" s="28" t="n">
        <x:v>46205.607106828706</x:v>
      </x:c>
      <x:c r="O2225" s="28" t="n">
        <x:v>46219.812988715275</x:v>
      </x:c>
      <x:c r="P2225" s="23" t="str">
        <x:v>CÁCERES</x:v>
      </x:c>
      <x:c r="Q2225" s="30" t="n">
        <x:v>32971</x:v>
      </x:c>
      <x:c r="R2225" s="22" t="str">
        <x:f>"1541"</x:f>
        <x:v>1541</x:v>
      </x:c>
      <x:c r="S2225" s="23" t="str">
        <x:v>masculino</x:v>
      </x:c>
      <x:c r="T2225" s="22" t="str">
        <x:f>"RAL3G42"</x:f>
        <x:v>RAL3G42</x:v>
      </x:c>
      <x:c r="U2225" s="23" t="str">
        <x:v>LUIZ AGUILEIRA DE MORAES</x:v>
      </x:c>
      <x:c r="V2225" s="22" t="str">
        <x:f>"039.289.171-96"</x:f>
        <x:v>039.289.171-96</x:v>
      </x:c>
      <x:c r="W2225" s="22" t="str">
        <x:f>"03928917196"</x:f>
        <x:v>03928917196</x:v>
      </x:c>
      <x:c r="X2225" s="23" t="str">
        <x:v>luizdemoraes25@gmail.com</x:v>
      </x:c>
      <x:c r="Y2225" s="22" t="str">
        <x:f>"65992188094"</x:f>
        <x:v>65992188094</x:v>
      </x:c>
      <x:c r="Z2225" s="30" t="n">
        <x:v>46399</x:v>
      </x:c>
    </x:row>
    <x:row r="2226" ht="18" customHeight="1">
      <x:c r="A2226" s="22" t="str">
        <x:f>"8e489fc6-a42f-4d5f-9ac0-91680909b3ec"</x:f>
        <x:v>8e489fc6-a42f-4d5f-9ac0-91680909b3ec</x:v>
      </x:c>
      <x:c r="B2226" s="23" t="str">
        <x:v>LETICIA CAROLINE TROIANO NASCIMENTO</x:v>
      </x:c>
      <x:c r="C2226" s="23" t="str">
        <x:v>leticia caroline troiano nascimento</x:v>
      </x:c>
      <x:c r="D2226" s="22" t="str">
        <x:f>"57.869.667/0001-42"</x:f>
        <x:v>57.869.667/0001-42</x:v>
      </x:c>
      <x:c r="E2226" s="22" t="str">
        <x:f>"57869667000142"</x:f>
        <x:v>57869667000142</x:v>
      </x:c>
      <x:c r="F2226" s="22" t="str">
        <x:f>"028.294.981-00"</x:f>
        <x:v>028.294.981-00</x:v>
      </x:c>
      <x:c r="G2226" s="22" t="str">
        <x:f>"02829498100"</x:f>
        <x:v>02829498100</x:v>
      </x:c>
      <x:c r="H2226" s="23" t="str">
        <x:v>caroline40troiano@gmail.com</x:v>
      </x:c>
      <x:c r="I2226" s="22" t="str">
        <x:f>"65999321540"</x:f>
        <x:v>65999321540</x:v>
      </x:c>
      <x:c r="J2226" s="23" t="str">
        <x:v>SPOT</x:v>
      </x:c>
      <x:c r="K2226" s="23" t="str">
        <x:v>favored_only</x:v>
      </x:c>
      <x:c r="L2226" s="24" t="b">
        <x:v>1</x:v>
      </x:c>
      <x:c r="M2226" s="23" t="n">
        <x:v>1</x:v>
      </x:c>
      <x:c r="N2226" s="28" t="n">
        <x:v>46219.812988715275</x:v>
      </x:c>
      <x:c r="O2226" s="28" t="n">
        <x:v>46219.812988715275</x:v>
      </x:c>
      <x:c r="P2226" s="23" t="str">
        <x:v>PONTES E LACERDA</x:v>
      </x:c>
      <x:c r="Q2226" s="30" t="n">
        <x:v>37887</x:v>
      </x:c>
      <x:c r="R2226" s="22" t="str">
        <x:f>"32316976"</x:f>
        <x:v>32316976</x:v>
      </x:c>
      <x:c r="S2226" s="23" t="str">
        <x:v>feminino</x:v>
      </x:c>
      <x:c r="T2226" s="22" t="str">
        <x:f>"kao5c63"</x:f>
        <x:v>kao5c63</x:v>
      </x:c>
      <x:c r="U2226" s="23" t="str">
        <x:v>LETICIA CAROLINE TROIANO NASCIMENTO</x:v>
      </x:c>
      <x:c r="V2226" s="22" t="str">
        <x:f>"028.294.981-00"</x:f>
        <x:v>028.294.981-00</x:v>
      </x:c>
      <x:c r="W2226" s="22" t="str">
        <x:f>"02829498100"</x:f>
        <x:v>02829498100</x:v>
      </x:c>
      <x:c r="X2226" s="23" t="str">
        <x:v>caroline40troiano@gmail.com</x:v>
      </x:c>
      <x:c r="Y2226" s="22" t="str">
        <x:f>"65999321540"</x:f>
        <x:v>65999321540</x:v>
      </x:c>
      <x:c r="Z2226" s="30" t="n">
        <x:v>46584</x:v>
      </x:c>
    </x:row>
    <x:row r="2227" ht="18" customHeight="1">
      <x:c r="A2227" s="22" t="str">
        <x:f>"b1eb2d90-c945-4fac-adcb-2f3cac48bd89"</x:f>
        <x:v>b1eb2d90-c945-4fac-adcb-2f3cac48bd89</x:v>
      </x:c>
      <x:c r="B2227" s="23" t="str">
        <x:v>LETICIA CARVALHO PAVAN</x:v>
      </x:c>
      <x:c r="C2227" s="23" t="str">
        <x:v>leticia carvalho pavan</x:v>
      </x:c>
      <x:c r="D2227" s="22" t="str">
        <x:f>"54.176.629/0001-16"</x:f>
        <x:v>54.176.629/0001-16</x:v>
      </x:c>
      <x:c r="E2227" s="22" t="str">
        <x:f>"54176629000116"</x:f>
        <x:v>54176629000116</x:v>
      </x:c>
      <x:c r="F2227" s="22" t="str">
        <x:f>"380.725.628-86"</x:f>
        <x:v>380.725.628-86</x:v>
      </x:c>
      <x:c r="G2227" s="22" t="str">
        <x:f>"38072562886"</x:f>
        <x:v>38072562886</x:v>
      </x:c>
      <x:c r="H2227" s="23" t="str">
        <x:v>leticia.carvalho4970@icloud.com</x:v>
      </x:c>
      <x:c r="I2227" s="22" t="str">
        <x:f>"17 997810938"</x:f>
        <x:v>17 997810938</x:v>
      </x:c>
      <x:c r="J2227" s="23" t="str">
        <x:v>SPOT</x:v>
      </x:c>
      <x:c r="K2227" s="23" t="str">
        <x:v>favored_only</x:v>
      </x:c>
      <x:c r="L2227" s="24" t="b">
        <x:v>1</x:v>
      </x:c>
      <x:c r="M2227" s="23" t="n">
        <x:v>1</x:v>
      </x:c>
      <x:c r="N2227" s="28" t="n">
        <x:v>46219.812988715275</x:v>
      </x:c>
      <x:c r="O2227" s="28" t="n">
        <x:v>46219.812988715275</x:v>
      </x:c>
      <x:c r="P2227" s="23" t="str">
        <x:v>JALES</x:v>
      </x:c>
      <x:c r="Q2227" s="30" t="n">
        <x:v>37071</x:v>
      </x:c>
      <x:c r="R2227" s="22" t="str">
        <x:f>"39607672"</x:f>
        <x:v>39607672</x:v>
      </x:c>
      <x:c r="S2227" s="23" t="str">
        <x:v>feminino</x:v>
      </x:c>
      <x:c r="T2227" s="22" t="str">
        <x:f>"JAQ1J21"</x:f>
        <x:v>JAQ1J21</x:v>
      </x:c>
      <x:c r="U2227" s="23" t="str">
        <x:v>LETICIA CARVALHO PAVAN</x:v>
      </x:c>
      <x:c r="V2227" s="22" t="str">
        <x:f>"380.725.628-86"</x:f>
        <x:v>380.725.628-86</x:v>
      </x:c>
      <x:c r="W2227" s="22" t="str">
        <x:f>"38072562886"</x:f>
        <x:v>38072562886</x:v>
      </x:c>
      <x:c r="X2227" s="23" t="str">
        <x:v>leticia.carvalho4970@icloud.com</x:v>
      </x:c>
      <x:c r="Y2227" s="22" t="str">
        <x:f>"17 997810938"</x:f>
        <x:v>17 997810938</x:v>
      </x:c>
      <x:c r="Z2227" s="30" t="n">
        <x:v>46501</x:v>
      </x:c>
    </x:row>
    <x:row r="2228" ht="18" customHeight="1">
      <x:c r="A2228" s="22" t="str">
        <x:f>"7d117ee1-fffe-42da-938a-5d5ff54da3ba"</x:f>
        <x:v>7d117ee1-fffe-42da-938a-5d5ff54da3ba</x:v>
      </x:c>
      <x:c r="B2228" s="23" t="str">
        <x:v>LETICIA COSTA DE PAIVA</x:v>
      </x:c>
      <x:c r="C2228" s="23" t="str">
        <x:v>leticia costa de paiva</x:v>
      </x:c>
      <x:c r="D2228" s="22" t="str">
        <x:f>"56.993.186/0001-81"</x:f>
        <x:v>56.993.186/0001-81</x:v>
      </x:c>
      <x:c r="E2228" s="22" t="str">
        <x:f>"56993186000181"</x:f>
        <x:v>56993186000181</x:v>
      </x:c>
      <x:c r="F2228" s="22" t="str">
        <x:f>"138.647.947-06"</x:f>
        <x:v>138.647.947-06</x:v>
      </x:c>
      <x:c r="G2228" s="22" t="str">
        <x:f>"13864794706"</x:f>
        <x:v>13864794706</x:v>
      </x:c>
      <x:c r="H2228" s="23" t="str">
        <x:v>leticia.mendesprom@gmail.com</x:v>
      </x:c>
      <x:c r="I2228" s="22" t="str">
        <x:f>"21977007445"</x:f>
        <x:v>21977007445</x:v>
      </x:c>
      <x:c r="J2228" s="23" t="str">
        <x:v>SPOT</x:v>
      </x:c>
      <x:c r="K2228" s="23" t="str">
        <x:v>favored_only</x:v>
      </x:c>
      <x:c r="L2228" s="24" t="b">
        <x:v>1</x:v>
      </x:c>
      <x:c r="M2228" s="23" t="n">
        <x:v>2</x:v>
      </x:c>
      <x:c r="N2228" s="28" t="n">
        <x:v>46205.605872395834</x:v>
      </x:c>
      <x:c r="O2228" s="28" t="n">
        <x:v>46219.812988715275</x:v>
      </x:c>
      <x:c r="P2228" s="23" t="str">
        <x:v>CAMPO GRANDE</x:v>
      </x:c>
      <x:c r="Q2228" s="30" t="n">
        <x:v>34701</x:v>
      </x:c>
      <x:c r="R2228" s="22" t="str">
        <x:f>"257113159"</x:f>
        <x:v>257113159</x:v>
      </x:c>
      <x:c r="S2228" s="23" t="str">
        <x:v>feminino</x:v>
      </x:c>
      <x:c r="T2228" s="22" t="str">
        <x:f>"SID5D53"</x:f>
        <x:v>SID5D53</x:v>
      </x:c>
      <x:c r="U2228" s="23" t="str">
        <x:v>FELIPE PAIVA DOS QUADROS</x:v>
      </x:c>
      <x:c r="V2228" s="22" t="str">
        <x:f>"104.541.867-62"</x:f>
        <x:v>104.541.867-62</x:v>
      </x:c>
      <x:c r="W2228" s="22" t="str">
        <x:f>"10454186762"</x:f>
        <x:v>10454186762</x:v>
      </x:c>
      <x:c r="X2228" s="23" t="str">
        <x:v>leticia.mendesprom@gmail.com</x:v>
      </x:c>
      <x:c r="Y2228" s="22" t="str">
        <x:f>"21977007445"</x:f>
        <x:v>21977007445</x:v>
      </x:c>
      <x:c r="Z2228" s="30" t="n">
        <x:v>46336</x:v>
      </x:c>
    </x:row>
    <x:row r="2229" ht="18" customHeight="1">
      <x:c r="A2229" s="22" t="str">
        <x:f>"ac5c5122-18ef-4a06-bffd-f4fb21d92550"</x:f>
        <x:v>ac5c5122-18ef-4a06-bffd-f4fb21d92550</x:v>
      </x:c>
      <x:c r="B2229" s="23" t="str">
        <x:v>LETICIA CRISTINA ROSA ALVES</x:v>
      </x:c>
      <x:c r="C2229" s="23" t="str">
        <x:v>leticia cristina rosa alves</x:v>
      </x:c>
      <x:c r="D2229" s="22" t="str">
        <x:f>"60.815.654/0001-03"</x:f>
        <x:v>60.815.654/0001-03</x:v>
      </x:c>
      <x:c r="E2229" s="22" t="str">
        <x:f>"60815654000103"</x:f>
        <x:v>60815654000103</x:v>
      </x:c>
      <x:c r="F2229" s="22" t="str">
        <x:f>"062.070.726-77"</x:f>
        <x:v>062.070.726-77</x:v>
      </x:c>
      <x:c r="G2229" s="22" t="str">
        <x:f>"06207072677"</x:f>
        <x:v>06207072677</x:v>
      </x:c>
      <x:c r="H2229" s="23" t="str">
        <x:v>letrosalves@gmail.com</x:v>
      </x:c>
      <x:c r="I2229" s="22" t="str">
        <x:f>"34992431549"</x:f>
        <x:v>34992431549</x:v>
      </x:c>
      <x:c r="J2229" s="23" t="str">
        <x:v>SPOT</x:v>
      </x:c>
      <x:c r="K2229" s="23" t="str">
        <x:v>favored_only</x:v>
      </x:c>
      <x:c r="L2229" s="24" t="b">
        <x:v>1</x:v>
      </x:c>
      <x:c r="M2229" s="23" t="n">
        <x:v>1</x:v>
      </x:c>
      <x:c r="N2229" s="28" t="n">
        <x:v>46203.921904421295</x:v>
      </x:c>
      <x:c r="O2229" s="28" t="n">
        <x:v>46219.812988715275</x:v>
      </x:c>
      <x:c r="P2229" s="23" t="str">
        <x:v>ARAXÁ</x:v>
      </x:c>
      <x:c r="Q2229" s="30" t="n">
        <x:v>29490</x:v>
      </x:c>
      <x:c r="R2229" s="22" t="str">
        <x:f>"10317851"</x:f>
        <x:v>10317851</x:v>
      </x:c>
      <x:c r="S2229" s="23" t="str">
        <x:v>feminino</x:v>
      </x:c>
      <x:c r="T2229" s="22" t="str">
        <x:f>"OXK6I64"</x:f>
        <x:v>OXK6I64</x:v>
      </x:c>
      <x:c r="U2229" s="23" t="str">
        <x:v>LETICIA CRISTINA ROSA ALVES</x:v>
      </x:c>
      <x:c r="V2229" s="22" t="str">
        <x:f>"062.070.726-77"</x:f>
        <x:v>062.070.726-77</x:v>
      </x:c>
      <x:c r="W2229" s="22" t="str">
        <x:f>"06207072677"</x:f>
        <x:v>06207072677</x:v>
      </x:c>
      <x:c r="X2229" s="23" t="str">
        <x:v>letrosalves@gmail.com</x:v>
      </x:c>
      <x:c r="Y2229" s="22" t="str">
        <x:f>"34992431549"</x:f>
        <x:v>34992431549</x:v>
      </x:c>
      <x:c r="Z2229" s="30" t="n">
        <x:v>46374</x:v>
      </x:c>
    </x:row>
    <x:row r="2230" ht="18" customHeight="1">
      <x:c r="A2230" s="22" t="str">
        <x:f>"64bfadc9-9fd1-4a43-9cbd-b846b5d5b0ad"</x:f>
        <x:v>64bfadc9-9fd1-4a43-9cbd-b846b5d5b0ad</x:v>
      </x:c>
      <x:c r="B2230" s="23" t="str">
        <x:v>LETICIA DA SILVA MEDEIROS</x:v>
      </x:c>
      <x:c r="C2230" s="23" t="str">
        <x:v>leticia da silva medeiros</x:v>
      </x:c>
      <x:c r="D2230" s="22" t="str">
        <x:f>"67.636.119/0001-26"</x:f>
        <x:v>67.636.119/0001-26</x:v>
      </x:c>
      <x:c r="E2230" s="22" t="str">
        <x:f>"67636119000126"</x:f>
        <x:v>67636119000126</x:v>
      </x:c>
      <x:c r="F2230" s="22" t="str">
        <x:f>"171.724.717-25"</x:f>
        <x:v>171.724.717-25</x:v>
      </x:c>
      <x:c r="G2230" s="22" t="str">
        <x:f>"17172471725"</x:f>
        <x:v>17172471725</x:v>
      </x:c>
      <x:c r="H2230" s="23" t="str">
        <x:v>leticiamedeiros2418@gmail.com</x:v>
      </x:c>
      <x:c r="I2230" s="22" t="str">
        <x:f>"21 991272400"</x:f>
        <x:v>21 991272400</x:v>
      </x:c>
      <x:c r="J2230" s="23" t="str">
        <x:v>SPOT</x:v>
      </x:c>
      <x:c r="K2230" s="23" t="str">
        <x:v>favored_only</x:v>
      </x:c>
      <x:c r="L2230" s="24" t="b">
        <x:v>1</x:v>
      </x:c>
      <x:c r="M2230" s="23" t="n">
        <x:v>1</x:v>
      </x:c>
      <x:c r="N2230" s="28" t="n">
        <x:v>46219.812988715275</x:v>
      </x:c>
      <x:c r="O2230" s="28" t="n">
        <x:v>46219.812988715275</x:v>
      </x:c>
      <x:c r="P2230" s="23" t="str">
        <x:v>ITABORAI</x:v>
      </x:c>
      <x:c r="Q2230" s="30" t="n">
        <x:v>38922</x:v>
      </x:c>
      <x:c r="R2230" s="22" t="str">
        <x:f>"17172471725"</x:f>
        <x:v>17172471725</x:v>
      </x:c>
      <x:c r="S2230" s="23" t="str">
        <x:v>feminino</x:v>
      </x:c>
      <x:c r="T2230" s="22" t="str">
        <x:f>"LLU2F60"</x:f>
        <x:v>LLU2F60</x:v>
      </x:c>
      <x:c r="U2230" s="23" t="str">
        <x:v>LETICIA DA SILVA MEDEIROS</x:v>
      </x:c>
      <x:c r="V2230" s="22" t="str">
        <x:f>"171.724.717-25"</x:f>
        <x:v>171.724.717-25</x:v>
      </x:c>
      <x:c r="W2230" s="22" t="str">
        <x:f>"17172471725"</x:f>
        <x:v>17172471725</x:v>
      </x:c>
      <x:c r="X2230" s="23" t="str">
        <x:v>leticiamedeiros2418@gmail.com</x:v>
      </x:c>
      <x:c r="Y2230" s="22" t="str">
        <x:f>"21 991272400"</x:f>
        <x:v>21 991272400</x:v>
      </x:c>
      <x:c r="Z2230" s="30" t="n">
        <x:v>46574</x:v>
      </x:c>
    </x:row>
    <x:row r="2231" ht="18" customHeight="1">
      <x:c r="A2231" s="22" t="str">
        <x:f>"fa895a99-1868-4f1c-9729-f21c2ecb0647"</x:f>
        <x:v>fa895a99-1868-4f1c-9729-f21c2ecb0647</x:v>
      </x:c>
      <x:c r="B2231" s="23" t="str">
        <x:v>LETICIA MANUELA RODOLFO PEREIRA</x:v>
      </x:c>
      <x:c r="C2231" s="23" t="str">
        <x:v>leticia manuela rodolfo pereira</x:v>
      </x:c>
      <x:c r="D2231" s="22" t="str">
        <x:f>"37.991.073/0001-00"</x:f>
        <x:v>37.991.073/0001-00</x:v>
      </x:c>
      <x:c r="E2231" s="22" t="str">
        <x:f>"37991073000100"</x:f>
        <x:v>37991073000100</x:v>
      </x:c>
      <x:c r="F2231" s="22" t="str">
        <x:f>"108.527.227-37"</x:f>
        <x:v>108.527.227-37</x:v>
      </x:c>
      <x:c r="G2231" s="22" t="str">
        <x:f>"10852722737"</x:f>
        <x:v>10852722737</x:v>
      </x:c>
      <x:c r="H2231" s="23" t="str">
        <x:v>lekas2ninguem@gmail.com</x:v>
      </x:c>
      <x:c r="I2231" s="22" t="str">
        <x:f>"21973484255"</x:f>
        <x:v>21973484255</x:v>
      </x:c>
      <x:c r="J2231" s="23" t="str">
        <x:v>SPOT</x:v>
      </x:c>
      <x:c r="K2231" s="23" t="str">
        <x:v>favored_only</x:v>
      </x:c>
      <x:c r="L2231" s="24" t="b">
        <x:v>1</x:v>
      </x:c>
      <x:c r="M2231" s="23" t="n">
        <x:v>1</x:v>
      </x:c>
      <x:c r="N2231" s="28" t="n">
        <x:v>46219.812988715275</x:v>
      </x:c>
      <x:c r="O2231" s="28" t="n">
        <x:v>46219.812988715275</x:v>
      </x:c>
      <x:c r="P2231" s="23" t="str">
        <x:v>QUEIMADOS</x:v>
      </x:c>
      <x:c r="Q2231" s="30" t="n">
        <x:v>32958</x:v>
      </x:c>
      <x:c r="R2231" s="22" t="str">
        <x:f>"212187157"</x:f>
        <x:v>212187157</x:v>
      </x:c>
      <x:c r="S2231" s="23" t="str">
        <x:v>feminino</x:v>
      </x:c>
      <x:c r="T2231" s="22" t="str">
        <x:f>"QQU7E92"</x:f>
        <x:v>QQU7E92</x:v>
      </x:c>
      <x:c r="U2231" s="23" t="str">
        <x:v>LETICIA MANUELA RODOLFO PEREIRA</x:v>
      </x:c>
      <x:c r="V2231" s="22" t="str">
        <x:f>"108.527.227-37"</x:f>
        <x:v>108.527.227-37</x:v>
      </x:c>
      <x:c r="W2231" s="22" t="str">
        <x:f>"10852722737"</x:f>
        <x:v>10852722737</x:v>
      </x:c>
      <x:c r="X2231" s="23" t="str">
        <x:v>lekas2ninguem@gmail.com</x:v>
      </x:c>
      <x:c r="Y2231" s="22" t="str">
        <x:f>"21973484255"</x:f>
        <x:v>21973484255</x:v>
      </x:c>
      <x:c r="Z2231" s="30" t="n">
        <x:v>46452</x:v>
      </x:c>
    </x:row>
    <x:row r="2232" ht="18" customHeight="1">
      <x:c r="A2232" s="22" t="str">
        <x:f>"bda5a202-2337-4c45-a024-d96231f4098c"</x:f>
        <x:v>bda5a202-2337-4c45-a024-d96231f4098c</x:v>
      </x:c>
      <x:c r="B2232" s="23" t="str">
        <x:v>LETICIA ROCHA DA SILVA</x:v>
      </x:c>
      <x:c r="C2232" s="23" t="str">
        <x:v>leticia rocha da silva</x:v>
      </x:c>
      <x:c r="D2232" s="22" t="str">
        <x:f>"60.860.917/0001-98"</x:f>
        <x:v>60.860.917/0001-98</x:v>
      </x:c>
      <x:c r="E2232" s="22" t="str">
        <x:f>"60860917000198"</x:f>
        <x:v>60860917000198</x:v>
      </x:c>
      <x:c r="F2232" s="22" t="str">
        <x:f>"131.330.496-40"</x:f>
        <x:v>131.330.496-40</x:v>
      </x:c>
      <x:c r="G2232" s="22" t="str">
        <x:f>"13133049640"</x:f>
        <x:v>13133049640</x:v>
      </x:c>
      <x:c r="H2232" s="23" t="str">
        <x:v>195lettyricha@gmail.com</x:v>
      </x:c>
      <x:c r="I2232" s="22" t="str">
        <x:f>"(31) 98628-4747"</x:f>
        <x:v>(31) 98628-4747</x:v>
      </x:c>
      <x:c r="J2232" s="23" t="str">
        <x:v>RENTAL</x:v>
      </x:c>
      <x:c r="K2232" s="23" t="str">
        <x:v>rental_company</x:v>
      </x:c>
      <x:c r="L2232" s="24" t="b">
        <x:v>1</x:v>
      </x:c>
      <x:c r="M2232" s="23" t="n">
        <x:v>1</x:v>
      </x:c>
      <x:c r="N2232" s="28" t="n">
        <x:v>46203.92191240741</x:v>
      </x:c>
      <x:c r="O2232" s="28" t="n">
        <x:v>46219.812988715275</x:v>
      </x:c>
      <x:c r="P2232" s="23" t="str">
        <x:v>POUSO ALEGRE</x:v>
      </x:c>
      <x:c r="Q2232" s="30" t="n">
        <x:v>34993</x:v>
      </x:c>
      <x:c r="R2232" s="22" t="str">
        <x:f>"MG19427798 SSP MG"</x:f>
        <x:v>MG19427798 SSP MG</x:v>
      </x:c>
      <x:c r="S2232" s="23" t="str">
        <x:v>feminino</x:v>
      </x:c>
      <x:c r="T2232" s="22" t="str"/>
      <x:c r="U2232" s="23" t="str">
        <x:v>LETICIA ROCHA DA SILVA</x:v>
      </x:c>
      <x:c r="V2232" s="22" t="str">
        <x:f>"131.330.496-40"</x:f>
        <x:v>131.330.496-40</x:v>
      </x:c>
      <x:c r="W2232" s="22" t="str">
        <x:f>"13133049640"</x:f>
        <x:v>13133049640</x:v>
      </x:c>
      <x:c r="X2232" s="23" t="str">
        <x:v>195lettyricha@gmail.com</x:v>
      </x:c>
      <x:c r="Y2232" s="22" t="str">
        <x:f>"(31) 98628-4747"</x:f>
        <x:v>(31) 98628-4747</x:v>
      </x:c>
      <x:c r="Z2232" s="30" t="n">
        <x:v>46546</x:v>
      </x:c>
    </x:row>
    <x:row r="2233" ht="18" customHeight="1">
      <x:c r="A2233" s="22" t="str">
        <x:f>"52bceaae-8dea-4b5e-9080-fdce8bbad902"</x:f>
        <x:v>52bceaae-8dea-4b5e-9080-fdce8bbad902</x:v>
      </x:c>
      <x:c r="B2233" s="23" t="str">
        <x:v>LETICIA TIAGO RODRIGUES DA SILVA</x:v>
      </x:c>
      <x:c r="C2233" s="23" t="str">
        <x:v>leticia tiago rodrigues da silva</x:v>
      </x:c>
      <x:c r="D2233" s="22" t="str">
        <x:f>"63.366.004/0001-08"</x:f>
        <x:v>63.366.004/0001-08</x:v>
      </x:c>
      <x:c r="E2233" s="22" t="str">
        <x:f>"63366004000108"</x:f>
        <x:v>63366004000108</x:v>
      </x:c>
      <x:c r="F2233" s="22" t="str">
        <x:f>"015.497.646-67"</x:f>
        <x:v>015.497.646-67</x:v>
      </x:c>
      <x:c r="G2233" s="22" t="str">
        <x:f>"01549764667"</x:f>
        <x:v>01549764667</x:v>
      </x:c>
      <x:c r="H2233" s="23" t="str">
        <x:v>rhleticiatiago@gmail.com</x:v>
      </x:c>
      <x:c r="I2233" s="22" t="str">
        <x:f>"(34) 9 9221 5388"</x:f>
        <x:v>(34) 9 9221 5388</x:v>
      </x:c>
      <x:c r="J2233" s="23" t="str">
        <x:v>SPOT</x:v>
      </x:c>
      <x:c r="K2233" s="23" t="str">
        <x:v>favored_only</x:v>
      </x:c>
      <x:c r="L2233" s="24" t="b">
        <x:v>1</x:v>
      </x:c>
      <x:c r="M2233" s="23" t="n">
        <x:v>1</x:v>
      </x:c>
      <x:c r="N2233" s="28" t="n">
        <x:v>46203.921887453704</x:v>
      </x:c>
      <x:c r="O2233" s="28" t="n">
        <x:v>46203.921887453704</x:v>
      </x:c>
      <x:c r="P2233" s="23" t="str"/>
      <x:c r="Q2233" s="30" t="str"/>
      <x:c r="R2233" s="22" t="str"/>
      <x:c r="S2233" s="23" t="str"/>
      <x:c r="T2233" s="22" t="str"/>
      <x:c r="U2233" s="23" t="str">
        <x:v>LETICIA TIAGO RODRIGUES DA SILVA</x:v>
      </x:c>
      <x:c r="V2233" s="22" t="str">
        <x:f>"015.497.646-67"</x:f>
        <x:v>015.497.646-67</x:v>
      </x:c>
      <x:c r="W2233" s="22" t="str">
        <x:f>"01549764667"</x:f>
        <x:v>01549764667</x:v>
      </x:c>
      <x:c r="X2233" s="23" t="str">
        <x:v>rhleticiatiago@gmail.com</x:v>
      </x:c>
      <x:c r="Y2233" s="22" t="str">
        <x:f>"(34) 9 9221 5388"</x:f>
        <x:v>(34) 9 9221 5388</x:v>
      </x:c>
      <x:c r="Z2233" s="30" t="str"/>
    </x:row>
    <x:row r="2234" ht="18" customHeight="1">
      <x:c r="A2234" s="22" t="str">
        <x:f>"8822fde8-18b7-4bae-8de3-10eb2a3c1f75"</x:f>
        <x:v>8822fde8-18b7-4bae-8de3-10eb2a3c1f75</x:v>
      </x:c>
      <x:c r="B2234" s="23" t="str">
        <x:v>LHUA RAFAEL RIBEIRO</x:v>
      </x:c>
      <x:c r="C2234" s="23" t="str">
        <x:v>lhua rafael ribeiro</x:v>
      </x:c>
      <x:c r="D2234" s="22" t="str">
        <x:f>"50.882.057/0001-30"</x:f>
        <x:v>50.882.057/0001-30</x:v>
      </x:c>
      <x:c r="E2234" s="22" t="str">
        <x:f>"50882057000130"</x:f>
        <x:v>50882057000130</x:v>
      </x:c>
      <x:c r="F2234" s="22" t="str">
        <x:f>"061.282.809-35"</x:f>
        <x:v>061.282.809-35</x:v>
      </x:c>
      <x:c r="G2234" s="22" t="str">
        <x:f>"06128280935"</x:f>
        <x:v>06128280935</x:v>
      </x:c>
      <x:c r="H2234" s="23" t="str">
        <x:v>lhua.ribeiro@gmail.com</x:v>
      </x:c>
      <x:c r="I2234" s="22" t="str">
        <x:f>"11931529047"</x:f>
        <x:v>11931529047</x:v>
      </x:c>
      <x:c r="J2234" s="23" t="str">
        <x:v>RENTAL</x:v>
      </x:c>
      <x:c r="K2234" s="23" t="str">
        <x:v>rental_company</x:v>
      </x:c>
      <x:c r="L2234" s="24" t="b">
        <x:v>1</x:v>
      </x:c>
      <x:c r="M2234" s="23" t="n">
        <x:v>1</x:v>
      </x:c>
      <x:c r="N2234" s="28" t="n">
        <x:v>46203.92183017361</x:v>
      </x:c>
      <x:c r="O2234" s="28" t="n">
        <x:v>46219.812988715275</x:v>
      </x:c>
      <x:c r="P2234" s="23" t="str">
        <x:v>MADEIRA MADEIRA</x:v>
      </x:c>
      <x:c r="Q2234" s="30" t="n">
        <x:v>32128</x:v>
      </x:c>
      <x:c r="R2234" s="22" t="str">
        <x:f>"41555787"</x:f>
        <x:v>41555787</x:v>
      </x:c>
      <x:c r="S2234" s="23" t="str">
        <x:v>masculino</x:v>
      </x:c>
      <x:c r="T2234" s="22" t="str"/>
      <x:c r="U2234" s="23" t="str">
        <x:v>LHUA RAFAEL RIBEIRO</x:v>
      </x:c>
      <x:c r="V2234" s="22" t="str">
        <x:f>"061.282.809-35"</x:f>
        <x:v>061.282.809-35</x:v>
      </x:c>
      <x:c r="W2234" s="22" t="str">
        <x:f>"06128280935"</x:f>
        <x:v>06128280935</x:v>
      </x:c>
      <x:c r="X2234" s="23" t="str">
        <x:v>lhua.ribeiro@gmail.com</x:v>
      </x:c>
      <x:c r="Y2234" s="22" t="str">
        <x:f>"11931529047"</x:f>
        <x:v>11931529047</x:v>
      </x:c>
      <x:c r="Z2234" s="30" t="n">
        <x:v>46402</x:v>
      </x:c>
    </x:row>
    <x:row r="2235" ht="18" customHeight="1">
      <x:c r="A2235" s="22" t="str">
        <x:f>"4ed84b44-4c57-4101-bef9-25f2db60a132"</x:f>
        <x:v>4ed84b44-4c57-4101-bef9-25f2db60a132</x:v>
      </x:c>
      <x:c r="B2235" s="23" t="str">
        <x:v>LICIO LUCIANO NONATO JUNIOR</x:v>
      </x:c>
      <x:c r="C2235" s="23" t="str">
        <x:v>licio luciano nonato junior</x:v>
      </x:c>
      <x:c r="D2235" s="22" t="str">
        <x:f>"66.669.503/0001-62"</x:f>
        <x:v>66.669.503/0001-62</x:v>
      </x:c>
      <x:c r="E2235" s="22" t="str">
        <x:f>"66669503000162"</x:f>
        <x:v>66669503000162</x:v>
      </x:c>
      <x:c r="F2235" s="22" t="str">
        <x:f>"143.064.356-01"</x:f>
        <x:v>143.064.356-01</x:v>
      </x:c>
      <x:c r="G2235" s="22" t="str">
        <x:f>"14306435601"</x:f>
        <x:v>14306435601</x:v>
      </x:c>
      <x:c r="H2235" s="23" t="str">
        <x:v>licio.junior98@gmail.com</x:v>
      </x:c>
      <x:c r="I2235" s="22" t="str">
        <x:f>"31982128004"</x:f>
        <x:v>31982128004</x:v>
      </x:c>
      <x:c r="J2235" s="23" t="str">
        <x:v>SPOT</x:v>
      </x:c>
      <x:c r="K2235" s="23" t="str">
        <x:v>favored_only</x:v>
      </x:c>
      <x:c r="L2235" s="24" t="b">
        <x:v>1</x:v>
      </x:c>
      <x:c r="M2235" s="23" t="n">
        <x:v>1</x:v>
      </x:c>
      <x:c r="N2235" s="28" t="n">
        <x:v>46219.812988715275</x:v>
      </x:c>
      <x:c r="O2235" s="28" t="n">
        <x:v>46219.812988715275</x:v>
      </x:c>
      <x:c r="P2235" s="23" t="str">
        <x:v>GUANHAES</x:v>
      </x:c>
      <x:c r="Q2235" s="30" t="n">
        <x:v>35925</x:v>
      </x:c>
      <x:c r="R2235" s="22" t="str">
        <x:f>"93724840040"</x:f>
        <x:v>93724840040</x:v>
      </x:c>
      <x:c r="S2235" s="23" t="str">
        <x:v>masculino</x:v>
      </x:c>
      <x:c r="T2235" s="22" t="str">
        <x:f>"HBQ7895"</x:f>
        <x:v>HBQ7895</x:v>
      </x:c>
      <x:c r="U2235" s="23" t="str">
        <x:v>BRUNO DRUMMOND PIRES</x:v>
      </x:c>
      <x:c r="V2235" s="22" t="str">
        <x:f>"168.970.016-51"</x:f>
        <x:v>168.970.016-51</x:v>
      </x:c>
      <x:c r="W2235" s="22" t="str">
        <x:f>"16897001651"</x:f>
        <x:v>16897001651</x:v>
      </x:c>
      <x:c r="X2235" s="23" t="str">
        <x:v>drummondb76@gmail.com</x:v>
      </x:c>
      <x:c r="Y2235" s="22" t="str">
        <x:f>"33 9 99215194"</x:f>
        <x:v>33 9 99215194</x:v>
      </x:c>
      <x:c r="Z2235" s="30" t="n">
        <x:v>46526</x:v>
      </x:c>
    </x:row>
    <x:row r="2236" ht="18" customHeight="1">
      <x:c r="A2236" s="22" t="str">
        <x:f>"5d3e68db-56a5-479a-9df5-8af780cda77a"</x:f>
        <x:v>5d3e68db-56a5-479a-9df5-8af780cda77a</x:v>
      </x:c>
      <x:c r="B2236" s="23" t="str">
        <x:v>LIDIANE AIRES MARTINS</x:v>
      </x:c>
      <x:c r="C2236" s="23" t="str">
        <x:v>lidiane aires martins</x:v>
      </x:c>
      <x:c r="D2236" s="22" t="str">
        <x:f>"57.765.587/0001-47"</x:f>
        <x:v>57.765.587/0001-47</x:v>
      </x:c>
      <x:c r="E2236" s="22" t="str">
        <x:f>"57765587000147"</x:f>
        <x:v>57765587000147</x:v>
      </x:c>
      <x:c r="F2236" s="22" t="str">
        <x:f>"384.695.308-36"</x:f>
        <x:v>384.695.308-36</x:v>
      </x:c>
      <x:c r="G2236" s="22" t="str">
        <x:f>"38469530836"</x:f>
        <x:v>38469530836</x:v>
      </x:c>
      <x:c r="H2236" s="23" t="str">
        <x:v>lidi.aires@hotmail.com</x:v>
      </x:c>
      <x:c r="I2236" s="22" t="str">
        <x:f>"(17)981057532"</x:f>
        <x:v>(17)981057532</x:v>
      </x:c>
      <x:c r="J2236" s="23" t="str">
        <x:v>RENTAL</x:v>
      </x:c>
      <x:c r="K2236" s="23" t="str">
        <x:v>rental_company</x:v>
      </x:c>
      <x:c r="L2236" s="24" t="b">
        <x:v>1</x:v>
      </x:c>
      <x:c r="M2236" s="23" t="n">
        <x:v>1</x:v>
      </x:c>
      <x:c r="N2236" s="28" t="n">
        <x:v>46203.92183017361</x:v>
      </x:c>
      <x:c r="O2236" s="28" t="n">
        <x:v>46219.812988715275</x:v>
      </x:c>
      <x:c r="P2236" s="23" t="str">
        <x:v>BARRETOS</x:v>
      </x:c>
      <x:c r="Q2236" s="30" t="n">
        <x:v>32160</x:v>
      </x:c>
      <x:c r="R2236" s="22" t="str">
        <x:f>"43153740"</x:f>
        <x:v>43153740</x:v>
      </x:c>
      <x:c r="S2236" s="23" t="str">
        <x:v>feminino</x:v>
      </x:c>
      <x:c r="T2236" s="22" t="str"/>
      <x:c r="U2236" s="23" t="str">
        <x:v>LIDIANE AIRES MARTINS</x:v>
      </x:c>
      <x:c r="V2236" s="22" t="str">
        <x:f>"384.695.308-36"</x:f>
        <x:v>384.695.308-36</x:v>
      </x:c>
      <x:c r="W2236" s="22" t="str">
        <x:f>"38469530836"</x:f>
        <x:v>38469530836</x:v>
      </x:c>
      <x:c r="X2236" s="23" t="str">
        <x:v>lidi.aires@hotmail.com</x:v>
      </x:c>
      <x:c r="Y2236" s="22" t="str">
        <x:f>"(17)981057532"</x:f>
        <x:v>(17)981057532</x:v>
      </x:c>
      <x:c r="Z2236" s="30" t="n">
        <x:v>46294</x:v>
      </x:c>
    </x:row>
    <x:row r="2237" ht="18" customHeight="1">
      <x:c r="A2237" s="22" t="str">
        <x:f>"7e950f4b-bfea-4149-9acc-db569ef9d0e3"</x:f>
        <x:v>7e950f4b-bfea-4149-9acc-db569ef9d0e3</x:v>
      </x:c>
      <x:c r="B2237" s="23" t="str">
        <x:v>LIDIANE VASCONCELLOS MOREIRA</x:v>
      </x:c>
      <x:c r="C2237" s="23" t="str">
        <x:v>lidiane vasconcellos moreira</x:v>
      </x:c>
      <x:c r="D2237" s="22" t="str">
        <x:f>"34.825.954/0001-55"</x:f>
        <x:v>34.825.954/0001-55</x:v>
      </x:c>
      <x:c r="E2237" s="22" t="str">
        <x:f>"34825954000155"</x:f>
        <x:v>34825954000155</x:v>
      </x:c>
      <x:c r="F2237" s="22" t="str">
        <x:f>"090.824.597-10"</x:f>
        <x:v>090.824.597-10</x:v>
      </x:c>
      <x:c r="G2237" s="22" t="str">
        <x:f>"09082459710"</x:f>
        <x:v>09082459710</x:v>
      </x:c>
      <x:c r="H2237" s="23" t="str">
        <x:v>lidiane_filhos@hotmail.com</x:v>
      </x:c>
      <x:c r="I2237" s="22" t="str">
        <x:f>"21998716521"</x:f>
        <x:v>21998716521</x:v>
      </x:c>
      <x:c r="J2237" s="23" t="str">
        <x:v>SPOT</x:v>
      </x:c>
      <x:c r="K2237" s="23" t="str">
        <x:v>favored_only</x:v>
      </x:c>
      <x:c r="L2237" s="24" t="b">
        <x:v>1</x:v>
      </x:c>
      <x:c r="M2237" s="23" t="n">
        <x:v>1</x:v>
      </x:c>
      <x:c r="N2237" s="28" t="n">
        <x:v>46219.812988715275</x:v>
      </x:c>
      <x:c r="O2237" s="28" t="n">
        <x:v>46219.812988715275</x:v>
      </x:c>
      <x:c r="P2237" s="23" t="str">
        <x:v>ITABORAI</x:v>
      </x:c>
      <x:c r="Q2237" s="30" t="n">
        <x:v>30070</x:v>
      </x:c>
      <x:c r="R2237" s="22" t="str">
        <x:f>"132825118"</x:f>
        <x:v>132825118</x:v>
      </x:c>
      <x:c r="S2237" s="23" t="str">
        <x:v>feminino</x:v>
      </x:c>
      <x:c r="T2237" s="22" t="str">
        <x:f>"LQG9H88"</x:f>
        <x:v>LQG9H88</x:v>
      </x:c>
      <x:c r="U2237" s="23" t="str">
        <x:v>LIDIANE VASCONCELLOS MOREIRA</x:v>
      </x:c>
      <x:c r="V2237" s="22" t="str">
        <x:f>"090.824.597-10"</x:f>
        <x:v>090.824.597-10</x:v>
      </x:c>
      <x:c r="W2237" s="22" t="str">
        <x:f>"09082459710"</x:f>
        <x:v>09082459710</x:v>
      </x:c>
      <x:c r="X2237" s="23" t="str">
        <x:v>lidiane_filhos@hotmail.com</x:v>
      </x:c>
      <x:c r="Y2237" s="22" t="str">
        <x:f>"21998716521"</x:f>
        <x:v>21998716521</x:v>
      </x:c>
      <x:c r="Z2237" s="30" t="n">
        <x:v>46491</x:v>
      </x:c>
    </x:row>
    <x:row r="2238" ht="18" customHeight="1">
      <x:c r="A2238" s="22" t="str">
        <x:f>"24dec472-e986-4bad-87fa-e0cb060a2e9c"</x:f>
        <x:v>24dec472-e986-4bad-87fa-e0cb060a2e9c</x:v>
      </x:c>
      <x:c r="B2238" s="23" t="str">
        <x:v>LIDINEI ALVES MOREIRA</x:v>
      </x:c>
      <x:c r="C2238" s="23" t="str">
        <x:v>lidinei alves moreira</x:v>
      </x:c>
      <x:c r="D2238" s="22" t="str">
        <x:f>"66.067.467/0001-67"</x:f>
        <x:v>66.067.467/0001-67</x:v>
      </x:c>
      <x:c r="E2238" s="22" t="str">
        <x:f>"66067467000167"</x:f>
        <x:v>66067467000167</x:v>
      </x:c>
      <x:c r="F2238" s="22" t="str">
        <x:f>"125.429.156-36"</x:f>
        <x:v>125.429.156-36</x:v>
      </x:c>
      <x:c r="G2238" s="22" t="str">
        <x:f>"12542915636"</x:f>
        <x:v>12542915636</x:v>
      </x:c>
      <x:c r="H2238" s="23" t="str">
        <x:v>lidineialves1@gmail.com</x:v>
      </x:c>
      <x:c r="I2238" s="22" t="str">
        <x:f>"31 982914701"</x:f>
        <x:v>31 982914701</x:v>
      </x:c>
      <x:c r="J2238" s="23" t="str">
        <x:v>SPOT</x:v>
      </x:c>
      <x:c r="K2238" s="23" t="str">
        <x:v>favored_only</x:v>
      </x:c>
      <x:c r="L2238" s="24" t="b">
        <x:v>1</x:v>
      </x:c>
      <x:c r="M2238" s="23" t="n">
        <x:v>1</x:v>
      </x:c>
      <x:c r="N2238" s="28" t="n">
        <x:v>46219.812988715275</x:v>
      </x:c>
      <x:c r="O2238" s="28" t="n">
        <x:v>46219.812988715275</x:v>
      </x:c>
      <x:c r="P2238" s="23" t="str">
        <x:v>CONCEIÇÃO DO MATO DENTRO</x:v>
      </x:c>
      <x:c r="Q2238" s="30" t="n">
        <x:v>34400</x:v>
      </x:c>
      <x:c r="R2238" s="22" t="str">
        <x:f>"18787677"</x:f>
        <x:v>18787677</x:v>
      </x:c>
      <x:c r="S2238" s="23" t="str">
        <x:v>masculino</x:v>
      </x:c>
      <x:c r="T2238" s="22" t="str">
        <x:f>"BAR5D44"</x:f>
        <x:v>BAR5D44</x:v>
      </x:c>
      <x:c r="U2238" s="23" t="str">
        <x:v>NOME LIDINEI ALVES MOREIRA</x:v>
      </x:c>
      <x:c r="V2238" s="22" t="str">
        <x:f>"125.429.156-36"</x:f>
        <x:v>125.429.156-36</x:v>
      </x:c>
      <x:c r="W2238" s="22" t="str">
        <x:f>"12542915636"</x:f>
        <x:v>12542915636</x:v>
      </x:c>
      <x:c r="X2238" s="23" t="str">
        <x:v>lidineialves1@gmail.com</x:v>
      </x:c>
      <x:c r="Y2238" s="22" t="str">
        <x:f>"31 982914701"</x:f>
        <x:v>31 982914701</x:v>
      </x:c>
      <x:c r="Z2238" s="30" t="n">
        <x:v>46513</x:v>
      </x:c>
    </x:row>
    <x:row r="2239" ht="18" customHeight="1">
      <x:c r="A2239" s="22" t="str">
        <x:f>"562f5af7-59e5-4e26-8812-9fb56a563e02"</x:f>
        <x:v>562f5af7-59e5-4e26-8812-9fb56a563e02</x:v>
      </x:c>
      <x:c r="B2239" s="23" t="str">
        <x:v>LIENDER QUILES MARGARIDO</x:v>
      </x:c>
      <x:c r="C2239" s="23" t="str">
        <x:v>liender quiles margarido</x:v>
      </x:c>
      <x:c r="D2239" s="22" t="str">
        <x:f>"45.756.694/0001-20"</x:f>
        <x:v>45.756.694/0001-20</x:v>
      </x:c>
      <x:c r="E2239" s="22" t="str">
        <x:f>"45756694000120"</x:f>
        <x:v>45756694000120</x:v>
      </x:c>
      <x:c r="F2239" s="22" t="str">
        <x:f>"234.307.608-10"</x:f>
        <x:v>234.307.608-10</x:v>
      </x:c>
      <x:c r="G2239" s="22" t="str">
        <x:f>"23430760810"</x:f>
        <x:v>23430760810</x:v>
      </x:c>
      <x:c r="H2239" s="23" t="str">
        <x:v>lienderdj225522@gmail.com</x:v>
      </x:c>
      <x:c r="I2239" s="22" t="str">
        <x:f>"16981542854"</x:f>
        <x:v>16981542854</x:v>
      </x:c>
      <x:c r="J2239" s="23" t="str">
        <x:v>RENTALL</x:v>
      </x:c>
      <x:c r="K2239" s="23" t="str">
        <x:v>rental_company</x:v>
      </x:c>
      <x:c r="L2239" s="24" t="b">
        <x:v>1</x:v>
      </x:c>
      <x:c r="M2239" s="23" t="n">
        <x:v>1</x:v>
      </x:c>
      <x:c r="N2239" s="28" t="n">
        <x:v>46203.92183017361</x:v>
      </x:c>
      <x:c r="O2239" s="28" t="n">
        <x:v>46219.812988715275</x:v>
      </x:c>
      <x:c r="P2239" s="23" t="str">
        <x:v>BARRETOS</x:v>
      </x:c>
      <x:c r="Q2239" s="30" t="n">
        <x:v>33774</x:v>
      </x:c>
      <x:c r="R2239" s="22" t="str">
        <x:f>"48188174"</x:f>
        <x:v>48188174</x:v>
      </x:c>
      <x:c r="S2239" s="23" t="str">
        <x:v>masculino</x:v>
      </x:c>
      <x:c r="T2239" s="22" t="str"/>
      <x:c r="U2239" s="23" t="str">
        <x:v>LIENDER QUILES MARGARIDO</x:v>
      </x:c>
      <x:c r="V2239" s="22" t="str">
        <x:f>"234.307.608-10"</x:f>
        <x:v>234.307.608-10</x:v>
      </x:c>
      <x:c r="W2239" s="22" t="str">
        <x:f>"23430760810"</x:f>
        <x:v>23430760810</x:v>
      </x:c>
      <x:c r="X2239" s="23" t="str">
        <x:v>lienderdj225522@gmail.com</x:v>
      </x:c>
      <x:c r="Y2239" s="22" t="str">
        <x:f>"16981542854"</x:f>
        <x:v>16981542854</x:v>
      </x:c>
      <x:c r="Z2239" s="30" t="n">
        <x:v>46294</x:v>
      </x:c>
    </x:row>
    <x:row r="2240" ht="18" customHeight="1">
      <x:c r="A2240" s="22" t="str">
        <x:f>"f2982a63-88e2-4066-8eaa-a1ce3b3bc417"</x:f>
        <x:v>f2982a63-88e2-4066-8eaa-a1ce3b3bc417</x:v>
      </x:c>
      <x:c r="B2240" s="23" t="str">
        <x:v>LILIAN CARVALHO SILVEIRA</x:v>
      </x:c>
      <x:c r="C2240" s="23" t="str">
        <x:v>lilian carvalho silveira</x:v>
      </x:c>
      <x:c r="D2240" s="22" t="str">
        <x:f>"61.909.997/0001-91"</x:f>
        <x:v>61.909.997/0001-91</x:v>
      </x:c>
      <x:c r="E2240" s="22" t="str">
        <x:f>"61909997000191"</x:f>
        <x:v>61909997000191</x:v>
      </x:c>
      <x:c r="F2240" s="22" t="str">
        <x:f>"037.667.696-50"</x:f>
        <x:v>037.667.696-50</x:v>
      </x:c>
      <x:c r="G2240" s="22" t="str">
        <x:f>"03766769650"</x:f>
        <x:v>03766769650</x:v>
      </x:c>
      <x:c r="H2240" s="23" t="str">
        <x:v>entregasrapidaslcs@gmail.com</x:v>
      </x:c>
      <x:c r="I2240" s="22" t="str">
        <x:f>"31998634473"</x:f>
        <x:v>31998634473</x:v>
      </x:c>
      <x:c r="J2240" s="23" t="str">
        <x:v>SPOT</x:v>
      </x:c>
      <x:c r="K2240" s="23" t="str">
        <x:v>favored_only</x:v>
      </x:c>
      <x:c r="L2240" s="24" t="b">
        <x:v>1</x:v>
      </x:c>
      <x:c r="M2240" s="23" t="n">
        <x:v>1</x:v>
      </x:c>
      <x:c r="N2240" s="28" t="n">
        <x:v>46203.921858726855</x:v>
      </x:c>
      <x:c r="O2240" s="28" t="n">
        <x:v>46219.812988715275</x:v>
      </x:c>
      <x:c r="P2240" s="23" t="str">
        <x:v>GUANHAES</x:v>
      </x:c>
      <x:c r="Q2240" s="30" t="n">
        <x:v>29423</x:v>
      </x:c>
      <x:c r="R2240" s="22" t="str">
        <x:f>"10808785"</x:f>
        <x:v>10808785</x:v>
      </x:c>
      <x:c r="S2240" s="23" t="str">
        <x:v>feminino</x:v>
      </x:c>
      <x:c r="T2240" s="22" t="str">
        <x:f>"HJK8J09"</x:f>
        <x:v>HJK8J09</x:v>
      </x:c>
      <x:c r="U2240" s="23" t="str">
        <x:v>LILIAN CARVALHO SILVEIRA</x:v>
      </x:c>
      <x:c r="V2240" s="22" t="str">
        <x:f>"037.667.696-50"</x:f>
        <x:v>037.667.696-50</x:v>
      </x:c>
      <x:c r="W2240" s="22" t="str">
        <x:f>"03766769650"</x:f>
        <x:v>03766769650</x:v>
      </x:c>
      <x:c r="X2240" s="23" t="str">
        <x:v>entregasrapidaslcs@gmail.com</x:v>
      </x:c>
      <x:c r="Y2240" s="22" t="str">
        <x:f>"31998634473"</x:f>
        <x:v>31998634473</x:v>
      </x:c>
      <x:c r="Z2240" s="30" t="n">
        <x:v>46261</x:v>
      </x:c>
    </x:row>
    <x:row r="2241" ht="18" customHeight="1">
      <x:c r="A2241" s="22" t="str">
        <x:f>"4f375030-f077-467c-9de4-1fdb57cfae9b"</x:f>
        <x:v>4f375030-f077-467c-9de4-1fdb57cfae9b</x:v>
      </x:c>
      <x:c r="B2241" s="23" t="str">
        <x:v>LILLIAN CARVALHO SILVEIRA</x:v>
      </x:c>
      <x:c r="C2241" s="23" t="str">
        <x:v>lillian carvalho silveira</x:v>
      </x:c>
      <x:c r="D2241" s="22" t="str">
        <x:f>"57.292.557/0001-60"</x:f>
        <x:v>57.292.557/0001-60</x:v>
      </x:c>
      <x:c r="E2241" s="22" t="str">
        <x:f>"57292557000160"</x:f>
        <x:v>57292557000160</x:v>
      </x:c>
      <x:c r="F2241" s="22" t="str">
        <x:f>"037.667.696-50"</x:f>
        <x:v>037.667.696-50</x:v>
      </x:c>
      <x:c r="G2241" s="22" t="str">
        <x:f>"03766769650"</x:f>
        <x:v>03766769650</x:v>
      </x:c>
      <x:c r="H2241" s="23" t="str">
        <x:v>entregasrapidaslcs@gmail.com</x:v>
      </x:c>
      <x:c r="I2241" s="22" t="str">
        <x:f>"31998634473"</x:f>
        <x:v>31998634473</x:v>
      </x:c>
      <x:c r="J2241" s="23" t="str">
        <x:v>SPOT</x:v>
      </x:c>
      <x:c r="K2241" s="23" t="str">
        <x:v>favored_only</x:v>
      </x:c>
      <x:c r="L2241" s="24" t="b">
        <x:v>1</x:v>
      </x:c>
      <x:c r="M2241" s="23" t="n">
        <x:v>1</x:v>
      </x:c>
      <x:c r="N2241" s="28" t="n">
        <x:v>46205.60556913194</x:v>
      </x:c>
      <x:c r="O2241" s="28" t="n">
        <x:v>46219.812988715275</x:v>
      </x:c>
      <x:c r="P2241" s="23" t="str">
        <x:v>GUANHAES</x:v>
      </x:c>
      <x:c r="Q2241" s="30" t="n">
        <x:v>29423</x:v>
      </x:c>
      <x:c r="R2241" s="22" t="str">
        <x:f>"10808785"</x:f>
        <x:v>10808785</x:v>
      </x:c>
      <x:c r="S2241" s="23" t="str">
        <x:v>feminino</x:v>
      </x:c>
      <x:c r="T2241" s="22" t="str">
        <x:f>"ERS9A03"</x:f>
        <x:v>ERS9A03</x:v>
      </x:c>
      <x:c r="U2241" s="23" t="str">
        <x:v>JOSEMARA PONTES PINTO BORGES</x:v>
      </x:c>
      <x:c r="V2241" s="22" t="str">
        <x:f>"122.203.287-24"</x:f>
        <x:v>122.203.287-24</x:v>
      </x:c>
      <x:c r="W2241" s="22" t="str">
        <x:f>"12220328724"</x:f>
        <x:v>12220328724</x:v>
      </x:c>
      <x:c r="X2241" s="23" t="str">
        <x:v>josemaraborges35@gmail.com</x:v>
      </x:c>
      <x:c r="Y2241" s="22" t="str">
        <x:f>"31983784745"</x:f>
        <x:v>31983784745</x:v>
      </x:c>
      <x:c r="Z2241" s="30" t="n">
        <x:v>46326</x:v>
      </x:c>
    </x:row>
    <x:row r="2242" ht="18" customHeight="1">
      <x:c r="A2242" s="22" t="str">
        <x:f>"a031ed2f-b572-483e-b38a-7edecd79016a"</x:f>
        <x:v>a031ed2f-b572-483e-b38a-7edecd79016a</x:v>
      </x:c>
      <x:c r="B2242" s="23" t="str">
        <x:v>LINCOLN ANTONIO MACHADO RIBEIRO</x:v>
      </x:c>
      <x:c r="C2242" s="23" t="str">
        <x:v>lincoln antonio machado ribeiro</x:v>
      </x:c>
      <x:c r="D2242" s="22" t="str">
        <x:f>"57.292.557/0001-60"</x:f>
        <x:v>57.292.557/0001-60</x:v>
      </x:c>
      <x:c r="E2242" s="22" t="str">
        <x:f>"57292557000160"</x:f>
        <x:v>57292557000160</x:v>
      </x:c>
      <x:c r="F2242" s="22" t="str">
        <x:f>"144.104.086-23"</x:f>
        <x:v>144.104.086-23</x:v>
      </x:c>
      <x:c r="G2242" s="22" t="str">
        <x:f>"14410408623"</x:f>
        <x:v>14410408623</x:v>
      </x:c>
      <x:c r="H2242" s="23" t="str">
        <x:v>Lincolnribeiro684@gmail.com</x:v>
      </x:c>
      <x:c r="I2242" s="22" t="str">
        <x:f>"31972042138"</x:f>
        <x:v>31972042138</x:v>
      </x:c>
      <x:c r="J2242" s="23" t="str">
        <x:v>SPOT</x:v>
      </x:c>
      <x:c r="K2242" s="23" t="str">
        <x:v>favored_only</x:v>
      </x:c>
      <x:c r="L2242" s="24" t="b">
        <x:v>1</x:v>
      </x:c>
      <x:c r="M2242" s="23" t="n">
        <x:v>1</x:v>
      </x:c>
      <x:c r="N2242" s="28" t="n">
        <x:v>46205.60589060185</x:v>
      </x:c>
      <x:c r="O2242" s="28" t="n">
        <x:v>46219.812988715275</x:v>
      </x:c>
      <x:c r="P2242" s="23" t="str">
        <x:v>GUANHAES</x:v>
      </x:c>
      <x:c r="Q2242" s="30" t="n">
        <x:v>36449</x:v>
      </x:c>
      <x:c r="R2242" s="22" t="str">
        <x:f>"21774179"</x:f>
        <x:v>21774179</x:v>
      </x:c>
      <x:c r="S2242" s="23" t="str">
        <x:v>masculino</x:v>
      </x:c>
      <x:c r="T2242" s="22" t="str">
        <x:f>"hij-5d17"</x:f>
        <x:v>hij-5d17</x:v>
      </x:c>
      <x:c r="U2242" s="23" t="str">
        <x:v>JOSEMARA PONTES PINTO BORGES</x:v>
      </x:c>
      <x:c r="V2242" s="22" t="str">
        <x:f>"122.203.287-24"</x:f>
        <x:v>122.203.287-24</x:v>
      </x:c>
      <x:c r="W2242" s="22" t="str">
        <x:f>"12220328724"</x:f>
        <x:v>12220328724</x:v>
      </x:c>
      <x:c r="X2242" s="23" t="str">
        <x:v>josemaraborges35@gmail.com</x:v>
      </x:c>
      <x:c r="Y2242" s="22" t="str">
        <x:f>"31972042138"</x:f>
        <x:v>31972042138</x:v>
      </x:c>
      <x:c r="Z2242" s="30" t="n">
        <x:v>46337</x:v>
      </x:c>
    </x:row>
    <x:row r="2243" ht="18" customHeight="1">
      <x:c r="A2243" s="22" t="str">
        <x:f>"eacd1fc7-3d01-47b3-893f-887740fc6acd"</x:f>
        <x:v>eacd1fc7-3d01-47b3-893f-887740fc6acd</x:v>
      </x:c>
      <x:c r="B2243" s="23" t="str">
        <x:v>LINCOLN DE ALMEIDA DA SILVA</x:v>
      </x:c>
      <x:c r="C2243" s="23" t="str">
        <x:v>lincoln de almeida da silva</x:v>
      </x:c>
      <x:c r="D2243" s="22" t="str">
        <x:f>"63.594.820/0001-79"</x:f>
        <x:v>63.594.820/0001-79</x:v>
      </x:c>
      <x:c r="E2243" s="22" t="str">
        <x:f>"63594820000179"</x:f>
        <x:v>63594820000179</x:v>
      </x:c>
      <x:c r="F2243" s="22" t="str">
        <x:f>"137.058.257-98"</x:f>
        <x:v>137.058.257-98</x:v>
      </x:c>
      <x:c r="G2243" s="22" t="str">
        <x:f>"13705825798"</x:f>
        <x:v>13705825798</x:v>
      </x:c>
      <x:c r="H2243" s="23" t="str">
        <x:v>LINCOLNALMEIDA5@GMAIL.COM</x:v>
      </x:c>
      <x:c r="I2243" s="22" t="str">
        <x:f>"22997828609"</x:f>
        <x:v>22997828609</x:v>
      </x:c>
      <x:c r="J2243" s="23" t="str">
        <x:v>SPOT</x:v>
      </x:c>
      <x:c r="K2243" s="23" t="str">
        <x:v>favored_only</x:v>
      </x:c>
      <x:c r="L2243" s="24" t="b">
        <x:v>1</x:v>
      </x:c>
      <x:c r="M2243" s="23" t="n">
        <x:v>1</x:v>
      </x:c>
      <x:c r="N2243" s="28" t="n">
        <x:v>46219.812988715275</x:v>
      </x:c>
      <x:c r="O2243" s="28" t="n">
        <x:v>46219.812988715275</x:v>
      </x:c>
      <x:c r="P2243" s="23" t="str">
        <x:v>CAMPOS DOS GOYTACAZES</x:v>
      </x:c>
      <x:c r="Q2243" s="30" t="n">
        <x:v>36689</x:v>
      </x:c>
      <x:c r="R2243" s="22" t="str">
        <x:f>"292620192"</x:f>
        <x:v>292620192</x:v>
      </x:c>
      <x:c r="S2243" s="23" t="str">
        <x:v>masculino</x:v>
      </x:c>
      <x:c r="T2243" s="22" t="str">
        <x:f>"TUB9H53"</x:f>
        <x:v>TUB9H53</x:v>
      </x:c>
      <x:c r="U2243" s="23" t="str">
        <x:v>LINCOLN DE ALMEIDA DA SILVA</x:v>
      </x:c>
      <x:c r="V2243" s="22" t="str">
        <x:f>"137.058.257-98"</x:f>
        <x:v>137.058.257-98</x:v>
      </x:c>
      <x:c r="W2243" s="22" t="str">
        <x:f>"13705825798"</x:f>
        <x:v>13705825798</x:v>
      </x:c>
      <x:c r="X2243" s="23" t="str">
        <x:v>LINCOLNALMEIDA5@GMAIL.COM</x:v>
      </x:c>
      <x:c r="Y2243" s="22" t="str">
        <x:f>"22997828609"</x:f>
        <x:v>22997828609</x:v>
      </x:c>
      <x:c r="Z2243" s="30" t="n">
        <x:v>46499</x:v>
      </x:c>
    </x:row>
    <x:row r="2244" ht="18" customHeight="1">
      <x:c r="A2244" s="22" t="str">
        <x:f>"2825b658-1ccd-423b-a0ca-a9c43f833f30"</x:f>
        <x:v>2825b658-1ccd-423b-a0ca-a9c43f833f30</x:v>
      </x:c>
      <x:c r="B2244" s="23" t="str">
        <x:v>LINCOLN OLIVEIRA DE ANDRADE</x:v>
      </x:c>
      <x:c r="C2244" s="23" t="str">
        <x:v>lincoln oliveira de andrade</x:v>
      </x:c>
      <x:c r="D2244" s="22" t="str">
        <x:f>"65.745.213/0001-98"</x:f>
        <x:v>65.745.213/0001-98</x:v>
      </x:c>
      <x:c r="E2244" s="22" t="str">
        <x:f>"65745213000198"</x:f>
        <x:v>65745213000198</x:v>
      </x:c>
      <x:c r="F2244" s="22" t="str">
        <x:f>"200.652.967-61"</x:f>
        <x:v>200.652.967-61</x:v>
      </x:c>
      <x:c r="G2244" s="22" t="str">
        <x:f>"20065296761"</x:f>
        <x:v>20065296761</x:v>
      </x:c>
      <x:c r="H2244" s="23" t="str">
        <x:v>olincolnandrade@gmail.com</x:v>
      </x:c>
      <x:c r="I2244" s="22" t="str">
        <x:f>"2197241-6522"</x:f>
        <x:v>2197241-6522</x:v>
      </x:c>
      <x:c r="J2244" s="23" t="str">
        <x:v>SPOT</x:v>
      </x:c>
      <x:c r="K2244" s="23" t="str">
        <x:v>favored_only</x:v>
      </x:c>
      <x:c r="L2244" s="24" t="b">
        <x:v>1</x:v>
      </x:c>
      <x:c r="M2244" s="23" t="n">
        <x:v>1</x:v>
      </x:c>
      <x:c r="N2244" s="28" t="n">
        <x:v>46219.812988715275</x:v>
      </x:c>
      <x:c r="O2244" s="28" t="n">
        <x:v>46219.812988715275</x:v>
      </x:c>
      <x:c r="P2244" s="23" t="str">
        <x:v>CAMPO GRANDE</x:v>
      </x:c>
      <x:c r="Q2244" s="30" t="n">
        <x:v>37634</x:v>
      </x:c>
      <x:c r="R2244" s="22" t="str">
        <x:f>"333062024"</x:f>
        <x:v>333062024</x:v>
      </x:c>
      <x:c r="S2244" s="23" t="str">
        <x:v>masculino</x:v>
      </x:c>
      <x:c r="T2244" s="22" t="str">
        <x:f>"LBW7089"</x:f>
        <x:v>LBW7089</x:v>
      </x:c>
      <x:c r="U2244" s="23" t="str">
        <x:v>LINCOLN OLIVEIRA DE ANDRADE</x:v>
      </x:c>
      <x:c r="V2244" s="22" t="str">
        <x:f>"200.652.967-61"</x:f>
        <x:v>200.652.967-61</x:v>
      </x:c>
      <x:c r="W2244" s="22" t="str">
        <x:f>"20065296761"</x:f>
        <x:v>20065296761</x:v>
      </x:c>
      <x:c r="X2244" s="23" t="str">
        <x:v>olincolnandrade@gmail.com</x:v>
      </x:c>
      <x:c r="Y2244" s="22" t="str">
        <x:f>"2197241-6522"</x:f>
        <x:v>2197241-6522</x:v>
      </x:c>
      <x:c r="Z2244" s="30" t="n">
        <x:v>46560</x:v>
      </x:c>
    </x:row>
    <x:row r="2245" ht="18" customHeight="1">
      <x:c r="A2245" s="22" t="str">
        <x:f>"b8243e0a-da1d-4dbf-a391-29c753168020"</x:f>
        <x:v>b8243e0a-da1d-4dbf-a391-29c753168020</x:v>
      </x:c>
      <x:c r="B2245" s="23" t="str">
        <x:v>LINDAIR VERISSIMO</x:v>
      </x:c>
      <x:c r="C2245" s="23" t="str">
        <x:v>lindair verissimo</x:v>
      </x:c>
      <x:c r="D2245" s="22" t="str">
        <x:f>"58.234.169/0001-96"</x:f>
        <x:v>58.234.169/0001-96</x:v>
      </x:c>
      <x:c r="E2245" s="22" t="str">
        <x:f>"58234169000196"</x:f>
        <x:v>58234169000196</x:v>
      </x:c>
      <x:c r="F2245" s="22" t="str">
        <x:f>"115.819.046-81"</x:f>
        <x:v>115.819.046-81</x:v>
      </x:c>
      <x:c r="G2245" s="22" t="str">
        <x:f>"11581904681"</x:f>
        <x:v>11581904681</x:v>
      </x:c>
      <x:c r="H2245" s="23" t="str">
        <x:v>lindairverissimo6@gmail.com</x:v>
      </x:c>
      <x:c r="I2245" s="22" t="str">
        <x:f>"31992924951"</x:f>
        <x:v>31992924951</x:v>
      </x:c>
      <x:c r="J2245" s="23" t="str">
        <x:v>RENTAL</x:v>
      </x:c>
      <x:c r="K2245" s="23" t="str">
        <x:v>rental_company</x:v>
      </x:c>
      <x:c r="L2245" s="24" t="b">
        <x:v>1</x:v>
      </x:c>
      <x:c r="M2245" s="23" t="n">
        <x:v>1</x:v>
      </x:c>
      <x:c r="N2245" s="28" t="n">
        <x:v>46219.812988715275</x:v>
      </x:c>
      <x:c r="O2245" s="28" t="n">
        <x:v>46219.812988715275</x:v>
      </x:c>
      <x:c r="P2245" s="23" t="str">
        <x:v>CONTAGEM</x:v>
      </x:c>
      <x:c r="Q2245" s="30" t="n">
        <x:v>34009</x:v>
      </x:c>
      <x:c r="R2245" s="22" t="str">
        <x:f>"MG17951656"</x:f>
        <x:v>MG17951656</x:v>
      </x:c>
      <x:c r="S2245" s="23" t="str">
        <x:v>masculino</x:v>
      </x:c>
      <x:c r="T2245" s="22" t="str"/>
      <x:c r="U2245" s="23" t="str">
        <x:v>LINDAIR VERISSIMO</x:v>
      </x:c>
      <x:c r="V2245" s="22" t="str">
        <x:f>"115.819.046-81"</x:f>
        <x:v>115.819.046-81</x:v>
      </x:c>
      <x:c r="W2245" s="22" t="str">
        <x:f>"11581904681"</x:f>
        <x:v>11581904681</x:v>
      </x:c>
      <x:c r="X2245" s="23" t="str">
        <x:v>lindairverissimo6@gmail.com</x:v>
      </x:c>
      <x:c r="Y2245" s="22" t="str">
        <x:f>"31992924951"</x:f>
        <x:v>31992924951</x:v>
      </x:c>
      <x:c r="Z2245" s="30" t="n">
        <x:v>46403</x:v>
      </x:c>
    </x:row>
    <x:row r="2246" ht="18" customHeight="1">
      <x:c r="A2246" s="22" t="str">
        <x:f>"6044bced-ab41-40b6-99c6-eacd4f61be1e"</x:f>
        <x:v>6044bced-ab41-40b6-99c6-eacd4f61be1e</x:v>
      </x:c>
      <x:c r="B2246" s="23" t="str">
        <x:v>LINDOMAR ALMEIDA MOREIRA</x:v>
      </x:c>
      <x:c r="C2246" s="23" t="str">
        <x:v>lindomar almeida moreira</x:v>
      </x:c>
      <x:c r="D2246" s="22" t="str">
        <x:f>"67.076.559/0001-76"</x:f>
        <x:v>67.076.559/0001-76</x:v>
      </x:c>
      <x:c r="E2246" s="22" t="str">
        <x:f>"67076559000176"</x:f>
        <x:v>67076559000176</x:v>
      </x:c>
      <x:c r="F2246" s="22" t="str">
        <x:f>"072.009.481-01"</x:f>
        <x:v>072.009.481-01</x:v>
      </x:c>
      <x:c r="G2246" s="22" t="str">
        <x:f>"07200948101"</x:f>
        <x:v>07200948101</x:v>
      </x:c>
      <x:c r="H2246" s="23" t="str">
        <x:v>lindomaralmeida320@gmail.com</x:v>
      </x:c>
      <x:c r="I2246" s="22" t="str">
        <x:f>"16994470274"</x:f>
        <x:v>16994470274</x:v>
      </x:c>
      <x:c r="J2246" s="23" t="str">
        <x:v>rental</x:v>
      </x:c>
      <x:c r="K2246" s="23" t="str">
        <x:v>rental_company</x:v>
      </x:c>
      <x:c r="L2246" s="24" t="b">
        <x:v>1</x:v>
      </x:c>
      <x:c r="M2246" s="23" t="n">
        <x:v>1</x:v>
      </x:c>
      <x:c r="N2246" s="28" t="n">
        <x:v>46219.812988715275</x:v>
      </x:c>
      <x:c r="O2246" s="28" t="n">
        <x:v>46219.812988715275</x:v>
      </x:c>
      <x:c r="P2246" s="23" t="str">
        <x:v>UBERABA</x:v>
      </x:c>
      <x:c r="Q2246" s="30" t="n">
        <x:v>37278</x:v>
      </x:c>
      <x:c r="R2246" s="22" t="str">
        <x:f>"23814880"</x:f>
        <x:v>23814880</x:v>
      </x:c>
      <x:c r="S2246" s="23" t="str">
        <x:v>masculino</x:v>
      </x:c>
      <x:c r="T2246" s="22" t="str"/>
      <x:c r="U2246" s="23" t="str">
        <x:v>LINDOMAR ALMEIDA MOREIRA</x:v>
      </x:c>
      <x:c r="V2246" s="22" t="str">
        <x:f>"072.009.481-01"</x:f>
        <x:v>072.009.481-01</x:v>
      </x:c>
      <x:c r="W2246" s="22" t="str">
        <x:f>"07200948101"</x:f>
        <x:v>07200948101</x:v>
      </x:c>
      <x:c r="X2246" s="23" t="str">
        <x:v>lindomaralmeida320@gmail.com</x:v>
      </x:c>
      <x:c r="Y2246" s="22" t="str">
        <x:f>"16994470274"</x:f>
        <x:v>16994470274</x:v>
      </x:c>
      <x:c r="Z2246" s="30" t="n">
        <x:v>46541</x:v>
      </x:c>
    </x:row>
    <x:row r="2247" ht="18" customHeight="1">
      <x:c r="A2247" s="22" t="str">
        <x:f>"924fbdfc-761d-4ad9-bd12-96addc51b5ae"</x:f>
        <x:v>924fbdfc-761d-4ad9-bd12-96addc51b5ae</x:v>
      </x:c>
      <x:c r="B2247" s="23" t="str">
        <x:v>LIVIA EDUARDA PIZA</x:v>
      </x:c>
      <x:c r="C2247" s="23" t="str">
        <x:v>livia eduarda piza</x:v>
      </x:c>
      <x:c r="D2247" s="22" t="str">
        <x:f>"53.931.395/0001-02"</x:f>
        <x:v>53.931.395/0001-02</x:v>
      </x:c>
      <x:c r="E2247" s="22" t="str">
        <x:f>"53931395000102"</x:f>
        <x:v>53931395000102</x:v>
      </x:c>
      <x:c r="F2247" s="22" t="str">
        <x:f>"145.686.376-27"</x:f>
        <x:v>145.686.376-27</x:v>
      </x:c>
      <x:c r="G2247" s="22" t="str">
        <x:f>"14568637627"</x:f>
        <x:v>14568637627</x:v>
      </x:c>
      <x:c r="H2247" s="23" t="str">
        <x:v>ASSESSORIALIVIAPIZA@GMAIL.COM</x:v>
      </x:c>
      <x:c r="I2247" s="22" t="str">
        <x:f>"35 998373077"</x:f>
        <x:v>35 998373077</x:v>
      </x:c>
      <x:c r="J2247" s="23" t="str">
        <x:v>SPOT</x:v>
      </x:c>
      <x:c r="K2247" s="23" t="str">
        <x:v>favored_only</x:v>
      </x:c>
      <x:c r="L2247" s="24" t="b">
        <x:v>1</x:v>
      </x:c>
      <x:c r="M2247" s="23" t="n">
        <x:v>1</x:v>
      </x:c>
      <x:c r="N2247" s="28" t="n">
        <x:v>46205.601079583335</x:v>
      </x:c>
      <x:c r="O2247" s="28" t="n">
        <x:v>46219.812988715275</x:v>
      </x:c>
      <x:c r="P2247" s="23" t="str">
        <x:v>GUAXUPE</x:v>
      </x:c>
      <x:c r="Q2247" s="30" t="n">
        <x:v>36767</x:v>
      </x:c>
      <x:c r="R2247" s="22" t="str">
        <x:f>"23114522"</x:f>
        <x:v>23114522</x:v>
      </x:c>
      <x:c r="S2247" s="23" t="str">
        <x:v>feminino</x:v>
      </x:c>
      <x:c r="T2247" s="22" t="str">
        <x:f>"HKV6G46"</x:f>
        <x:v>HKV6G46</x:v>
      </x:c>
      <x:c r="U2247" s="23" t="str">
        <x:v>RAFAEL LUIZ ALVES</x:v>
      </x:c>
      <x:c r="V2247" s="22" t="str">
        <x:f>"116.097.676-75"</x:f>
        <x:v>116.097.676-75</x:v>
      </x:c>
      <x:c r="W2247" s="22" t="str">
        <x:f>"11609767675"</x:f>
        <x:v>11609767675</x:v>
      </x:c>
      <x:c r="X2247" s="23" t="str">
        <x:v>RAFINHALUIZALVES2@GMAIL.COM</x:v>
      </x:c>
      <x:c r="Y2247" s="22" t="str">
        <x:f>"35 992471497"</x:f>
        <x:v>35 992471497</x:v>
      </x:c>
      <x:c r="Z2247" s="30" t="n">
        <x:v>46520</x:v>
      </x:c>
    </x:row>
    <x:row r="2248" ht="18" customHeight="1">
      <x:c r="A2248" s="22" t="str">
        <x:f>"ac18e76d-939b-4a22-803a-bb87b8246122"</x:f>
        <x:v>ac18e76d-939b-4a22-803a-bb87b8246122</x:v>
      </x:c>
      <x:c r="B2248" s="23" t="str">
        <x:v>LIVIA JULIANA CALDEIRA DE CARVALHO</x:v>
      </x:c>
      <x:c r="C2248" s="23" t="str">
        <x:v>livia juliana caldeira de carvalho</x:v>
      </x:c>
      <x:c r="D2248" s="22" t="str">
        <x:f>"59.500.308/0001-49"</x:f>
        <x:v>59.500.308/0001-49</x:v>
      </x:c>
      <x:c r="E2248" s="22" t="str">
        <x:f>"59500308000149"</x:f>
        <x:v>59500308000149</x:v>
      </x:c>
      <x:c r="F2248" s="22" t="str">
        <x:f>"092.111.036-73"</x:f>
        <x:v>092.111.036-73</x:v>
      </x:c>
      <x:c r="G2248" s="22" t="str">
        <x:f>"09211103673"</x:f>
        <x:v>09211103673</x:v>
      </x:c>
      <x:c r="H2248" s="23" t="str">
        <x:v>julianacalcar@gmail.com</x:v>
      </x:c>
      <x:c r="I2248" s="22" t="str">
        <x:f>"(16) 99459-9544"</x:f>
        <x:v>(16) 99459-9544</x:v>
      </x:c>
      <x:c r="J2248" s="23" t="str">
        <x:v>SPOT</x:v>
      </x:c>
      <x:c r="K2248" s="23" t="str">
        <x:v>favored_only</x:v>
      </x:c>
      <x:c r="L2248" s="24" t="b">
        <x:v>1</x:v>
      </x:c>
      <x:c r="M2248" s="23" t="n">
        <x:v>1</x:v>
      </x:c>
      <x:c r="N2248" s="28" t="n">
        <x:v>46203.921852962965</x:v>
      </x:c>
      <x:c r="O2248" s="28" t="n">
        <x:v>46203.921852962965</x:v>
      </x:c>
      <x:c r="P2248" s="23" t="str"/>
      <x:c r="Q2248" s="30" t="str"/>
      <x:c r="R2248" s="22" t="str"/>
      <x:c r="S2248" s="23" t="str"/>
      <x:c r="T2248" s="22" t="str"/>
      <x:c r="U2248" s="23" t="str">
        <x:v>LIVIA JULIANA CALDEIRA DE CARVALHO</x:v>
      </x:c>
      <x:c r="V2248" s="22" t="str">
        <x:f>"092.111.036-73"</x:f>
        <x:v>092.111.036-73</x:v>
      </x:c>
      <x:c r="W2248" s="22" t="str">
        <x:f>"09211103673"</x:f>
        <x:v>09211103673</x:v>
      </x:c>
      <x:c r="X2248" s="23" t="str">
        <x:v>julianacalcar@gmail.com</x:v>
      </x:c>
      <x:c r="Y2248" s="22" t="str">
        <x:f>"(16) 99459-9544"</x:f>
        <x:v>(16) 99459-9544</x:v>
      </x:c>
      <x:c r="Z2248" s="30" t="str"/>
    </x:row>
    <x:row r="2249" ht="18" customHeight="1">
      <x:c r="A2249" s="22" t="str">
        <x:f>"7deebe61-0097-4935-8b62-ab432df5c4cc"</x:f>
        <x:v>7deebe61-0097-4935-8b62-ab432df5c4cc</x:v>
      </x:c>
      <x:c r="B2249" s="23" t="str">
        <x:v>LIVIA NASCIMENTO DA ABADIA</x:v>
      </x:c>
      <x:c r="C2249" s="23" t="str">
        <x:v>livia nascimento da abadia</x:v>
      </x:c>
      <x:c r="D2249" s="22" t="str">
        <x:f>"58.013.375/0001-76"</x:f>
        <x:v>58.013.375/0001-76</x:v>
      </x:c>
      <x:c r="E2249" s="22" t="str">
        <x:f>"58013375000176"</x:f>
        <x:v>58013375000176</x:v>
      </x:c>
      <x:c r="F2249" s="22" t="str">
        <x:f>"065.255.111-43"</x:f>
        <x:v>065.255.111-43</x:v>
      </x:c>
      <x:c r="G2249" s="22" t="str">
        <x:f>"06525511143"</x:f>
        <x:v>06525511143</x:v>
      </x:c>
      <x:c r="H2249" s="23" t="str">
        <x:v>Pagameupix78@gmail.com</x:v>
      </x:c>
      <x:c r="I2249" s="22" t="str">
        <x:f>"994248892"</x:f>
        <x:v>994248892</x:v>
      </x:c>
      <x:c r="J2249" s="23" t="str">
        <x:v>RENTAL</x:v>
      </x:c>
      <x:c r="K2249" s="23" t="str">
        <x:v>rental_company</x:v>
      </x:c>
      <x:c r="L2249" s="24" t="b">
        <x:v>1</x:v>
      </x:c>
      <x:c r="M2249" s="23" t="n">
        <x:v>1</x:v>
      </x:c>
      <x:c r="N2249" s="28" t="n">
        <x:v>46203.9218771875</x:v>
      </x:c>
      <x:c r="O2249" s="28" t="n">
        <x:v>46219.812988715275</x:v>
      </x:c>
      <x:c r="P2249" s="23" t="str">
        <x:v>GOIANIA</x:v>
      </x:c>
      <x:c r="Q2249" s="30" t="n">
        <x:v>37053</x:v>
      </x:c>
      <x:c r="R2249" s="22" t="str">
        <x:f>"6409089"</x:f>
        <x:v>6409089</x:v>
      </x:c>
      <x:c r="S2249" s="23" t="str">
        <x:v>feminino</x:v>
      </x:c>
      <x:c r="T2249" s="22" t="str"/>
      <x:c r="U2249" s="23" t="str">
        <x:v>LIVIA NASCIMENTO DA ABADIA</x:v>
      </x:c>
      <x:c r="V2249" s="22" t="str">
        <x:f>"065.255.111-43"</x:f>
        <x:v>065.255.111-43</x:v>
      </x:c>
      <x:c r="W2249" s="22" t="str">
        <x:f>"06525511143"</x:f>
        <x:v>06525511143</x:v>
      </x:c>
      <x:c r="X2249" s="23" t="str">
        <x:v>Pagameupix78@gmail.com</x:v>
      </x:c>
      <x:c r="Y2249" s="22" t="str">
        <x:f>"994248892"</x:f>
        <x:v>994248892</x:v>
      </x:c>
      <x:c r="Z2249" s="30" t="n">
        <x:v>46311</x:v>
      </x:c>
    </x:row>
    <x:row r="2250" ht="18" customHeight="1">
      <x:c r="A2250" s="22" t="str">
        <x:f>"8b724d86-3fae-44f9-937d-cc604485275a"</x:f>
        <x:v>8b724d86-3fae-44f9-937d-cc604485275a</x:v>
      </x:c>
      <x:c r="B2250" s="23" t="str">
        <x:v>LORENE APARECIDA CANUTO</x:v>
      </x:c>
      <x:c r="C2250" s="23" t="str">
        <x:v>lorene aparecida canuto</x:v>
      </x:c>
      <x:c r="D2250" s="22" t="str">
        <x:f>"59.597.908/0001-77"</x:f>
        <x:v>59.597.908/0001-77</x:v>
      </x:c>
      <x:c r="E2250" s="22" t="str">
        <x:f>"59597908000177"</x:f>
        <x:v>59597908000177</x:v>
      </x:c>
      <x:c r="F2250" s="22" t="str">
        <x:f>"084.218.806-16"</x:f>
        <x:v>084.218.806-16</x:v>
      </x:c>
      <x:c r="G2250" s="22" t="str">
        <x:f>"08421880616"</x:f>
        <x:v>08421880616</x:v>
      </x:c>
      <x:c r="H2250" s="23" t="str">
        <x:v>matheusbrana12@gmail.com</x:v>
      </x:c>
      <x:c r="I2250" s="22" t="str">
        <x:f>"34 8864-7239"</x:f>
        <x:v>34 8864-7239</x:v>
      </x:c>
      <x:c r="J2250" s="23" t="str">
        <x:v>SPOT</x:v>
      </x:c>
      <x:c r="K2250" s="23" t="str">
        <x:v>favored_only</x:v>
      </x:c>
      <x:c r="L2250" s="24" t="b">
        <x:v>1</x:v>
      </x:c>
      <x:c r="M2250" s="23" t="n">
        <x:v>1</x:v>
      </x:c>
      <x:c r="N2250" s="28" t="n">
        <x:v>46219.812988715275</x:v>
      </x:c>
      <x:c r="O2250" s="28" t="n">
        <x:v>46219.812988715275</x:v>
      </x:c>
      <x:c r="P2250" s="23" t="str">
        <x:v>ARAXÁ</x:v>
      </x:c>
      <x:c r="Q2250" s="30" t="n">
        <x:v>31625</x:v>
      </x:c>
      <x:c r="R2250" s="22" t="str">
        <x:f>"MG11988119"</x:f>
        <x:v>MG11988119</x:v>
      </x:c>
      <x:c r="S2250" s="23" t="str">
        <x:v>feminino</x:v>
      </x:c>
      <x:c r="T2250" s="22" t="str">
        <x:f>"HAZ3105"</x:f>
        <x:v>HAZ3105</x:v>
      </x:c>
      <x:c r="U2250" s="23" t="str">
        <x:v>MATHEUS GOMES SBRANA</x:v>
      </x:c>
      <x:c r="V2250" s="22" t="str">
        <x:f>"115.663.836-41"</x:f>
        <x:v>115.663.836-41</x:v>
      </x:c>
      <x:c r="W2250" s="22" t="str">
        <x:f>"11566383641"</x:f>
        <x:v>11566383641</x:v>
      </x:c>
      <x:c r="X2250" s="23" t="str">
        <x:v>matheusbrana12@gmail.com</x:v>
      </x:c>
      <x:c r="Y2250" s="22" t="str">
        <x:f>"34 8864-7239"</x:f>
        <x:v>34 8864-7239</x:v>
      </x:c>
      <x:c r="Z2250" s="30" t="n">
        <x:v>46451</x:v>
      </x:c>
    </x:row>
    <x:row r="2251" ht="18" customHeight="1">
      <x:c r="A2251" s="22" t="str">
        <x:f>"3937e280-ab09-43b7-84cd-f200c3da31d2"</x:f>
        <x:v>3937e280-ab09-43b7-84cd-f200c3da31d2</x:v>
      </x:c>
      <x:c r="B2251" s="23" t="str">
        <x:v>LOURIVALDO ALVEZ FERREIRA</x:v>
      </x:c>
      <x:c r="C2251" s="23" t="str">
        <x:v>lourivaldo alvez ferreira</x:v>
      </x:c>
      <x:c r="D2251" s="22" t="str">
        <x:f>"59752047000154"</x:f>
        <x:v>59752047000154</x:v>
      </x:c>
      <x:c r="E2251" s="22" t="str">
        <x:f>"59752047000154"</x:f>
        <x:v>59752047000154</x:v>
      </x:c>
      <x:c r="F2251" s="22" t="str">
        <x:f>"95902970644"</x:f>
        <x:v>95902970644</x:v>
      </x:c>
      <x:c r="G2251" s="22" t="str">
        <x:f>"95902970644"</x:f>
        <x:v>95902970644</x:v>
      </x:c>
      <x:c r="H2251" s="23" t="str">
        <x:v>lourivaldoferreira1968@gmail.com</x:v>
      </x:c>
      <x:c r="I2251" s="22" t="str">
        <x:f>"38 99820-0771"</x:f>
        <x:v>38 99820-0771</x:v>
      </x:c>
      <x:c r="J2251" s="23" t="str">
        <x:v>SPOT</x:v>
      </x:c>
      <x:c r="K2251" s="23" t="str">
        <x:v>favored_only</x:v>
      </x:c>
      <x:c r="L2251" s="24" t="b">
        <x:v>1</x:v>
      </x:c>
      <x:c r="M2251" s="23" t="n">
        <x:v>1</x:v>
      </x:c>
      <x:c r="N2251" s="28" t="n">
        <x:v>46218.62115420139</x:v>
      </x:c>
      <x:c r="O2251" s="28" t="n">
        <x:v>46218.62115420139</x:v>
      </x:c>
      <x:c r="P2251" s="23" t="str"/>
      <x:c r="Q2251" s="30" t="n">
        <x:v>25136</x:v>
      </x:c>
      <x:c r="R2251" s="22" t="str">
        <x:f>"8948089"</x:f>
        <x:v>8948089</x:v>
      </x:c>
      <x:c r="S2251" s="23" t="str">
        <x:v>Masculino</x:v>
      </x:c>
      <x:c r="T2251" s="22" t="str">
        <x:f>"OQO2167"</x:f>
        <x:v>OQO2167</x:v>
      </x:c>
      <x:c r="U2251" s="23" t="str">
        <x:v>MATEUS AZEVEDO FERREIRA</x:v>
      </x:c>
      <x:c r="V2251" s="22" t="str">
        <x:f>"14668502616"</x:f>
        <x:v>14668502616</x:v>
      </x:c>
      <x:c r="W2251" s="22" t="str">
        <x:f>"14668502616"</x:f>
        <x:v>14668502616</x:v>
      </x:c>
      <x:c r="X2251" s="23" t="str">
        <x:v>teuazevedo006@gmail.com</x:v>
      </x:c>
      <x:c r="Y2251" s="22" t="str">
        <x:f>"38 998462911"</x:f>
        <x:v>38 998462911</x:v>
      </x:c>
      <x:c r="Z2251" s="30" t="n">
        <x:v>46242</x:v>
      </x:c>
    </x:row>
    <x:row r="2252" ht="18" customHeight="1">
      <x:c r="A2252" s="22" t="str">
        <x:f>"f59099b7-0c8a-4c17-8d99-92dd70308e61"</x:f>
        <x:v>f59099b7-0c8a-4c17-8d99-92dd70308e61</x:v>
      </x:c>
      <x:c r="B2252" s="23" t="str">
        <x:v>LOURIVAL ELIAS DA SILVA</x:v>
      </x:c>
      <x:c r="C2252" s="23" t="str">
        <x:v>lourival elias da silva</x:v>
      </x:c>
      <x:c r="D2252" s="22" t="str">
        <x:f>"05.691.284/0001-00"</x:f>
        <x:v>05.691.284/0001-00</x:v>
      </x:c>
      <x:c r="E2252" s="22" t="str">
        <x:f>"05691284000100"</x:f>
        <x:v>05691284000100</x:v>
      </x:c>
      <x:c r="F2252" s="22" t="str">
        <x:f>"495.531.351-53"</x:f>
        <x:v>495.531.351-53</x:v>
      </x:c>
      <x:c r="G2252" s="22" t="str">
        <x:f>"49553135153"</x:f>
        <x:v>49553135153</x:v>
      </x:c>
      <x:c r="H2252" s="23" t="str">
        <x:v>lourivalelias1010@gmail.com</x:v>
      </x:c>
      <x:c r="I2252" s="22" t="str">
        <x:f>"65 999628522"</x:f>
        <x:v>65 999628522</x:v>
      </x:c>
      <x:c r="J2252" s="23" t="str">
        <x:v>SPOT</x:v>
      </x:c>
      <x:c r="K2252" s="23" t="str">
        <x:v>favored_only</x:v>
      </x:c>
      <x:c r="L2252" s="24" t="b">
        <x:v>1</x:v>
      </x:c>
      <x:c r="M2252" s="23" t="n">
        <x:v>1</x:v>
      </x:c>
      <x:c r="N2252" s="28" t="n">
        <x:v>46219.812988715275</x:v>
      </x:c>
      <x:c r="O2252" s="28" t="n">
        <x:v>46219.812988715275</x:v>
      </x:c>
      <x:c r="P2252" s="23" t="str">
        <x:v>CUIABA</x:v>
      </x:c>
      <x:c r="Q2252" s="30" t="n">
        <x:v>25263</x:v>
      </x:c>
      <x:c r="R2252" s="22" t="str">
        <x:f>"747 877"</x:f>
        <x:v>747 877</x:v>
      </x:c>
      <x:c r="S2252" s="23" t="str">
        <x:v>masculino</x:v>
      </x:c>
      <x:c r="T2252" s="22" t="str">
        <x:f>"QBY8G44"</x:f>
        <x:v>QBY8G44</x:v>
      </x:c>
      <x:c r="U2252" s="23" t="str">
        <x:v>LOURIVAL ELIAS DA SILVA</x:v>
      </x:c>
      <x:c r="V2252" s="22" t="str">
        <x:f>"495.531.351-53"</x:f>
        <x:v>495.531.351-53</x:v>
      </x:c>
      <x:c r="W2252" s="22" t="str">
        <x:f>"49553135153"</x:f>
        <x:v>49553135153</x:v>
      </x:c>
      <x:c r="X2252" s="23" t="str">
        <x:v>lourivalelias1010@gmail.com</x:v>
      </x:c>
      <x:c r="Y2252" s="22" t="str">
        <x:f>"65 999628522"</x:f>
        <x:v>65 999628522</x:v>
      </x:c>
      <x:c r="Z2252" s="30" t="n">
        <x:v>46466</x:v>
      </x:c>
    </x:row>
    <x:row r="2253" ht="18" customHeight="1">
      <x:c r="A2253" s="22" t="str">
        <x:f>"9b112365-971f-49bd-9051-0c43e9e609b4"</x:f>
        <x:v>9b112365-971f-49bd-9051-0c43e9e609b4</x:v>
      </x:c>
      <x:c r="B2253" s="23" t="str">
        <x:v>LUANA BEATRIZ DE MELO MENDES</x:v>
      </x:c>
      <x:c r="C2253" s="23" t="str">
        <x:v>luana beatriz de melo mendes</x:v>
      </x:c>
      <x:c r="D2253" s="22" t="str">
        <x:f>"6458229800078"</x:f>
        <x:v>6458229800078</x:v>
      </x:c>
      <x:c r="E2253" s="22" t="str">
        <x:f>"6458229800078"</x:f>
        <x:v>6458229800078</x:v>
      </x:c>
      <x:c r="F2253" s="22" t="str">
        <x:f>"14001316692"</x:f>
        <x:v>14001316692</x:v>
      </x:c>
      <x:c r="G2253" s="22" t="str">
        <x:f>"14001316692"</x:f>
        <x:v>14001316692</x:v>
      </x:c>
      <x:c r="H2253" s="23" t="str">
        <x:v>luanabeatrizemelo@gmail.com</x:v>
      </x:c>
      <x:c r="I2253" s="22" t="str">
        <x:f>"3189586061"</x:f>
        <x:v>3189586061</x:v>
      </x:c>
      <x:c r="J2253" s="23" t="str">
        <x:v>SPOT</x:v>
      </x:c>
      <x:c r="K2253" s="23" t="str">
        <x:v>favored_only</x:v>
      </x:c>
      <x:c r="L2253" s="24" t="b">
        <x:v>1</x:v>
      </x:c>
      <x:c r="M2253" s="23" t="n">
        <x:v>1</x:v>
      </x:c>
      <x:c r="N2253" s="28" t="n">
        <x:v>46203.92191240741</x:v>
      </x:c>
      <x:c r="O2253" s="28" t="n">
        <x:v>46203.92191240741</x:v>
      </x:c>
      <x:c r="P2253" s="23" t="str"/>
      <x:c r="Q2253" s="30" t="str"/>
      <x:c r="R2253" s="22" t="str"/>
      <x:c r="S2253" s="23" t="str"/>
      <x:c r="T2253" s="22" t="str"/>
      <x:c r="U2253" s="23" t="str">
        <x:v>LUANA BEATRIZ DE MELO MENDES</x:v>
      </x:c>
      <x:c r="V2253" s="22" t="str">
        <x:f>"14001316692"</x:f>
        <x:v>14001316692</x:v>
      </x:c>
      <x:c r="W2253" s="22" t="str">
        <x:f>"14001316692"</x:f>
        <x:v>14001316692</x:v>
      </x:c>
      <x:c r="X2253" s="23" t="str">
        <x:v>luanabeatrizemelo@gmail.com</x:v>
      </x:c>
      <x:c r="Y2253" s="22" t="str">
        <x:f>"3189586061"</x:f>
        <x:v>3189586061</x:v>
      </x:c>
      <x:c r="Z2253" s="30" t="str"/>
    </x:row>
    <x:row r="2254" ht="18" customHeight="1">
      <x:c r="A2254" s="22" t="str">
        <x:f>"3fde4e80-908e-454a-aaa9-7e3521046f01"</x:f>
        <x:v>3fde4e80-908e-454a-aaa9-7e3521046f01</x:v>
      </x:c>
      <x:c r="B2254" s="23" t="str">
        <x:v>LUANA FLAVIA DE SOUZA PIRES AMORIM</x:v>
      </x:c>
      <x:c r="C2254" s="23" t="str">
        <x:v>luana flavia de souza pires amorim</x:v>
      </x:c>
      <x:c r="D2254" s="22" t="str">
        <x:f>"34440028000161"</x:f>
        <x:v>34440028000161</x:v>
      </x:c>
      <x:c r="E2254" s="22" t="str">
        <x:f>"34440028000161"</x:f>
        <x:v>34440028000161</x:v>
      </x:c>
      <x:c r="F2254" s="22" t="str">
        <x:f>"12119981698"</x:f>
        <x:v>12119981698</x:v>
      </x:c>
      <x:c r="G2254" s="22" t="str">
        <x:f>"12119981698"</x:f>
        <x:v>12119981698</x:v>
      </x:c>
      <x:c r="H2254" s="23" t="str">
        <x:v>luanafdsa@gmail.com</x:v>
      </x:c>
      <x:c r="I2254" s="22" t="str">
        <x:f>"31985066871"</x:f>
        <x:v>31985066871</x:v>
      </x:c>
      <x:c r="J2254" s="23" t="str">
        <x:v>SPOT</x:v>
      </x:c>
      <x:c r="K2254" s="23" t="str">
        <x:v>favored_only</x:v>
      </x:c>
      <x:c r="L2254" s="24" t="b">
        <x:v>1</x:v>
      </x:c>
      <x:c r="M2254" s="23" t="n">
        <x:v>2</x:v>
      </x:c>
      <x:c r="N2254" s="28" t="n">
        <x:v>46203.921840393516</x:v>
      </x:c>
      <x:c r="O2254" s="28" t="n">
        <x:v>46219.81489466435</x:v>
      </x:c>
      <x:c r="P2254" s="23" t="str"/>
      <x:c r="Q2254" s="30" t="str"/>
      <x:c r="R2254" s="22" t="str"/>
      <x:c r="S2254" s="23" t="str"/>
      <x:c r="T2254" s="22" t="str"/>
      <x:c r="U2254" s="23" t="str">
        <x:v>luana flavia de souza pires amorin</x:v>
      </x:c>
      <x:c r="V2254" s="22" t="str">
        <x:f>"12119981698"</x:f>
        <x:v>12119981698</x:v>
      </x:c>
      <x:c r="W2254" s="22" t="str">
        <x:f>"12119981698"</x:f>
        <x:v>12119981698</x:v>
      </x:c>
      <x:c r="X2254" s="23" t="str">
        <x:v>julianoopires92@gmail.com</x:v>
      </x:c>
      <x:c r="Y2254" s="22" t="str">
        <x:f>"31985066871"</x:f>
        <x:v>31985066871</x:v>
      </x:c>
      <x:c r="Z2254" s="30" t="str"/>
    </x:row>
    <x:row r="2255" ht="18" customHeight="1">
      <x:c r="A2255" s="22" t="str">
        <x:f>"bfd9450e-1776-436a-a55e-390ac6779186"</x:f>
        <x:v>bfd9450e-1776-436a-a55e-390ac6779186</x:v>
      </x:c>
      <x:c r="B2255" s="23" t="str">
        <x:v>LUANA GONZAGA CAROLA</x:v>
      </x:c>
      <x:c r="C2255" s="23" t="str">
        <x:v>luana gonzaga carola</x:v>
      </x:c>
      <x:c r="D2255" s="22" t="str">
        <x:f>"64.672.955/0001-78"</x:f>
        <x:v>64.672.955/0001-78</x:v>
      </x:c>
      <x:c r="E2255" s="22" t="str">
        <x:f>"64672955000178"</x:f>
        <x:v>64672955000178</x:v>
      </x:c>
      <x:c r="F2255" s="22" t="str">
        <x:f>"061.978.531-40"</x:f>
        <x:v>061.978.531-40</x:v>
      </x:c>
      <x:c r="G2255" s="22" t="str">
        <x:f>"06197853140"</x:f>
        <x:v>06197853140</x:v>
      </x:c>
      <x:c r="H2255" s="23" t="str">
        <x:v>Luana12354_@hotmail.com</x:v>
      </x:c>
      <x:c r="I2255" s="22" t="str">
        <x:f>"(65) 9615-9454"</x:f>
        <x:v>(65) 9615-9454</x:v>
      </x:c>
      <x:c r="J2255" s="23" t="str">
        <x:v>SPOT</x:v>
      </x:c>
      <x:c r="K2255" s="23" t="str">
        <x:v>favored_only</x:v>
      </x:c>
      <x:c r="L2255" s="24" t="b">
        <x:v>1</x:v>
      </x:c>
      <x:c r="M2255" s="23" t="n">
        <x:v>1</x:v>
      </x:c>
      <x:c r="N2255" s="28" t="n">
        <x:v>46219.812988715275</x:v>
      </x:c>
      <x:c r="O2255" s="28" t="n">
        <x:v>46219.812988715275</x:v>
      </x:c>
      <x:c r="P2255" s="23" t="str">
        <x:v>PONTES E LACERDA</x:v>
      </x:c>
      <x:c r="Q2255" s="30" t="n">
        <x:v>35585</x:v>
      </x:c>
      <x:c r="R2255" s="22" t="str">
        <x:f>"28899929"</x:f>
        <x:v>28899929</x:v>
      </x:c>
      <x:c r="S2255" s="23" t="str">
        <x:v>feminino</x:v>
      </x:c>
      <x:c r="T2255" s="22" t="str">
        <x:f>"KAQ4C24"</x:f>
        <x:v>KAQ4C24</x:v>
      </x:c>
      <x:c r="U2255" s="23" t="str">
        <x:v>LUANA GONZAGA CAROLA</x:v>
      </x:c>
      <x:c r="V2255" s="22" t="str">
        <x:f>"061.978.531-40"</x:f>
        <x:v>061.978.531-40</x:v>
      </x:c>
      <x:c r="W2255" s="22" t="str">
        <x:f>"06197853140"</x:f>
        <x:v>06197853140</x:v>
      </x:c>
      <x:c r="X2255" s="23" t="str">
        <x:v>Luana12354_@hotmail.com</x:v>
      </x:c>
      <x:c r="Y2255" s="22" t="str">
        <x:f>"(65) 9615-9454"</x:f>
        <x:v>(65) 9615-9454</x:v>
      </x:c>
      <x:c r="Z2255" s="30" t="n">
        <x:v>46410</x:v>
      </x:c>
    </x:row>
    <x:row r="2256" ht="18" customHeight="1">
      <x:c r="A2256" s="22" t="str">
        <x:f>"d8fb80bc-ee33-4367-a77e-df688b290786"</x:f>
        <x:v>d8fb80bc-ee33-4367-a77e-df688b290786</x:v>
      </x:c>
      <x:c r="B2256" s="23" t="str">
        <x:v>LUANA KETHULLY SILVA SOUZA</x:v>
      </x:c>
      <x:c r="C2256" s="23" t="str">
        <x:v>luana kethully silva souza</x:v>
      </x:c>
      <x:c r="D2256" s="22" t="str">
        <x:f>"54.818.008/0001-99"</x:f>
        <x:v>54.818.008/0001-99</x:v>
      </x:c>
      <x:c r="E2256" s="22" t="str">
        <x:f>"54818008000199"</x:f>
        <x:v>54818008000199</x:v>
      </x:c>
      <x:c r="F2256" s="22" t="str">
        <x:f>"067.335.215-39"</x:f>
        <x:v>067.335.215-39</x:v>
      </x:c>
      <x:c r="G2256" s="22" t="str">
        <x:f>"06733521539"</x:f>
        <x:v>06733521539</x:v>
      </x:c>
      <x:c r="H2256" s="23" t="str">
        <x:v>luanakethully.enfer@gmail.com</x:v>
      </x:c>
      <x:c r="I2256" s="22" t="str">
        <x:f>"62981011854"</x:f>
        <x:v>62981011854</x:v>
      </x:c>
      <x:c r="J2256" s="23" t="str">
        <x:v>SPOT</x:v>
      </x:c>
      <x:c r="K2256" s="23" t="str">
        <x:v>favored_only</x:v>
      </x:c>
      <x:c r="L2256" s="24" t="b">
        <x:v>1</x:v>
      </x:c>
      <x:c r="M2256" s="23" t="n">
        <x:v>1</x:v>
      </x:c>
      <x:c r="N2256" s="28" t="n">
        <x:v>46203.921858726855</x:v>
      </x:c>
      <x:c r="O2256" s="28" t="n">
        <x:v>46219.812988715275</x:v>
      </x:c>
      <x:c r="P2256" s="23" t="str">
        <x:v>GOIANIA</x:v>
      </x:c>
      <x:c r="Q2256" s="30" t="n">
        <x:v>35766</x:v>
      </x:c>
      <x:c r="R2256" s="22" t="str">
        <x:f>"8322453"</x:f>
        <x:v>8322453</x:v>
      </x:c>
      <x:c r="S2256" s="23" t="str">
        <x:v>feminino</x:v>
      </x:c>
      <x:c r="T2256" s="22" t="str">
        <x:f>"EUX1H90"</x:f>
        <x:v>EUX1H90</x:v>
      </x:c>
      <x:c r="U2256" s="23" t="str">
        <x:v>LUANA KETHULLY SILVA SOUZA</x:v>
      </x:c>
      <x:c r="V2256" s="22" t="str">
        <x:f>"067.335.215-39"</x:f>
        <x:v>067.335.215-39</x:v>
      </x:c>
      <x:c r="W2256" s="22" t="str">
        <x:f>"06733521539"</x:f>
        <x:v>06733521539</x:v>
      </x:c>
      <x:c r="X2256" s="23" t="str">
        <x:v>luanakethully.enfer@gmail.com</x:v>
      </x:c>
      <x:c r="Y2256" s="22" t="str">
        <x:f>"62981011854"</x:f>
        <x:v>62981011854</x:v>
      </x:c>
      <x:c r="Z2256" s="30" t="n">
        <x:v>46256</x:v>
      </x:c>
    </x:row>
    <x:row r="2257" ht="18" customHeight="1">
      <x:c r="A2257" s="22" t="str">
        <x:f>"a3463b59-5d37-4fa8-8d6c-d2dc1b8d184f"</x:f>
        <x:v>a3463b59-5d37-4fa8-8d6c-d2dc1b8d184f</x:v>
      </x:c>
      <x:c r="B2257" s="23" t="str">
        <x:v>LUAN AUGUSTO DE SOUSA</x:v>
      </x:c>
      <x:c r="C2257" s="23" t="str">
        <x:v>luan augusto de sousa</x:v>
      </x:c>
      <x:c r="D2257" s="22" t="str">
        <x:f>"65.530.209/0001-02"</x:f>
        <x:v>65.530.209/0001-02</x:v>
      </x:c>
      <x:c r="E2257" s="22" t="str">
        <x:f>"65530209000102"</x:f>
        <x:v>65530209000102</x:v>
      </x:c>
      <x:c r="F2257" s="22" t="str">
        <x:f>"153.863.796-07"</x:f>
        <x:v>153.863.796-07</x:v>
      </x:c>
      <x:c r="G2257" s="22" t="str">
        <x:f>"15386379607"</x:f>
        <x:v>15386379607</x:v>
      </x:c>
      <x:c r="H2257" s="23" t="str">
        <x:v>augustoluan797@gmail.com</x:v>
      </x:c>
      <x:c r="I2257" s="22" t="str">
        <x:f>"35998396815"</x:f>
        <x:v>35998396815</x:v>
      </x:c>
      <x:c r="J2257" s="23" t="str">
        <x:v>RENTAL</x:v>
      </x:c>
      <x:c r="K2257" s="23" t="str">
        <x:v>rental_company</x:v>
      </x:c>
      <x:c r="L2257" s="24" t="b">
        <x:v>1</x:v>
      </x:c>
      <x:c r="M2257" s="23" t="n">
        <x:v>1</x:v>
      </x:c>
      <x:c r="N2257" s="28" t="n">
        <x:v>46219.812988715275</x:v>
      </x:c>
      <x:c r="O2257" s="28" t="n">
        <x:v>46219.812988715275</x:v>
      </x:c>
      <x:c r="P2257" s="23" t="str">
        <x:v>POUSO ALEGRE</x:v>
      </x:c>
      <x:c r="Q2257" s="30" t="n">
        <x:v>37943</x:v>
      </x:c>
      <x:c r="R2257" s="22" t="str">
        <x:f>"21737800"</x:f>
        <x:v>21737800</x:v>
      </x:c>
      <x:c r="S2257" s="23" t="str">
        <x:v>masculino</x:v>
      </x:c>
      <x:c r="T2257" s="22" t="str"/>
      <x:c r="U2257" s="23" t="str">
        <x:v>LUAN AUGUSTO DE SOUSA</x:v>
      </x:c>
      <x:c r="V2257" s="22" t="str">
        <x:f>"153.863.796-07"</x:f>
        <x:v>153.863.796-07</x:v>
      </x:c>
      <x:c r="W2257" s="22" t="str">
        <x:f>"15386379607"</x:f>
        <x:v>15386379607</x:v>
      </x:c>
      <x:c r="X2257" s="23" t="str">
        <x:v>augustoluan797@gmail.com</x:v>
      </x:c>
      <x:c r="Y2257" s="22" t="str">
        <x:f>"35998396815"</x:f>
        <x:v>35998396815</x:v>
      </x:c>
      <x:c r="Z2257" s="30" t="n">
        <x:v>46464</x:v>
      </x:c>
    </x:row>
    <x:row r="2258" ht="18" customHeight="1">
      <x:c r="A2258" s="22" t="str">
        <x:f>"f674d9ff-47f0-4a28-aef7-735ce956c10e"</x:f>
        <x:v>f674d9ff-47f0-4a28-aef7-735ce956c10e</x:v>
      </x:c>
      <x:c r="B2258" s="23" t="str">
        <x:v>LUAN AUGUSTO FORMIGONI</x:v>
      </x:c>
      <x:c r="C2258" s="23" t="str">
        <x:v>luan augusto formigoni</x:v>
      </x:c>
      <x:c r="D2258" s="22" t="str">
        <x:f>"52.781.454/0001-40"</x:f>
        <x:v>52.781.454/0001-40</x:v>
      </x:c>
      <x:c r="E2258" s="22" t="str">
        <x:f>"52781454000140"</x:f>
        <x:v>52781454000140</x:v>
      </x:c>
      <x:c r="F2258" s="22" t="str">
        <x:f>"449.476.058-71"</x:f>
        <x:v>449.476.058-71</x:v>
      </x:c>
      <x:c r="G2258" s="22" t="str">
        <x:f>"44947605871"</x:f>
        <x:v>44947605871</x:v>
      </x:c>
      <x:c r="H2258" s="23" t="str">
        <x:v>formigoniluan3@gmail.com</x:v>
      </x:c>
      <x:c r="I2258" s="22" t="str">
        <x:f>"16991699087"</x:f>
        <x:v>16991699087</x:v>
      </x:c>
      <x:c r="J2258" s="23" t="str">
        <x:v>RENTAL</x:v>
      </x:c>
      <x:c r="K2258" s="23" t="str">
        <x:v>rental_company</x:v>
      </x:c>
      <x:c r="L2258" s="24" t="b">
        <x:v>1</x:v>
      </x:c>
      <x:c r="M2258" s="23" t="n">
        <x:v>1</x:v>
      </x:c>
      <x:c r="N2258" s="28" t="n">
        <x:v>46219.812988715275</x:v>
      </x:c>
      <x:c r="O2258" s="28" t="n">
        <x:v>46219.812988715275</x:v>
      </x:c>
      <x:c r="P2258" s="23" t="str">
        <x:v>SÃO CARLOS</x:v>
      </x:c>
      <x:c r="Q2258" s="30" t="n">
        <x:v>36029</x:v>
      </x:c>
      <x:c r="R2258" s="22" t="str">
        <x:f>"56007461x"</x:f>
        <x:v>56007461x</x:v>
      </x:c>
      <x:c r="S2258" s="23" t="str">
        <x:v>masculino</x:v>
      </x:c>
      <x:c r="T2258" s="22" t="str"/>
      <x:c r="U2258" s="23" t="str">
        <x:v>LUAN AUGUSTO FORMIGONI</x:v>
      </x:c>
      <x:c r="V2258" s="22" t="str">
        <x:f>"449.476.058-71"</x:f>
        <x:v>449.476.058-71</x:v>
      </x:c>
      <x:c r="W2258" s="22" t="str">
        <x:f>"44947605871"</x:f>
        <x:v>44947605871</x:v>
      </x:c>
      <x:c r="X2258" s="23" t="str">
        <x:v>formigoniluan3@gmail.com</x:v>
      </x:c>
      <x:c r="Y2258" s="22" t="str">
        <x:f>"16991699087"</x:f>
        <x:v>16991699087</x:v>
      </x:c>
      <x:c r="Z2258" s="30" t="n">
        <x:v>46571</x:v>
      </x:c>
    </x:row>
    <x:row r="2259" ht="18" customHeight="1">
      <x:c r="A2259" s="22" t="str">
        <x:f>"4afbbaf8-cf9f-4683-8a9f-a6232307800b"</x:f>
        <x:v>4afbbaf8-cf9f-4683-8a9f-a6232307800b</x:v>
      </x:c>
      <x:c r="B2259" s="23" t="str">
        <x:v>LUAN DA COSTA PERO</x:v>
      </x:c>
      <x:c r="C2259" s="23" t="str">
        <x:v>luan da costa pero</x:v>
      </x:c>
      <x:c r="D2259" s="22" t="str">
        <x:f>"59.765.264/0001-89"</x:f>
        <x:v>59.765.264/0001-89</x:v>
      </x:c>
      <x:c r="E2259" s="22" t="str">
        <x:f>"59765264000189"</x:f>
        <x:v>59765264000189</x:v>
      </x:c>
      <x:c r="F2259" s="22" t="str">
        <x:f>"448.284.938-32"</x:f>
        <x:v>448.284.938-32</x:v>
      </x:c>
      <x:c r="G2259" s="22" t="str">
        <x:f>"44828493832"</x:f>
        <x:v>44828493832</x:v>
      </x:c>
      <x:c r="H2259" s="23" t="str">
        <x:v>costahluan36@gmail.com</x:v>
      </x:c>
      <x:c r="I2259" s="22" t="str">
        <x:f>"11976457478"</x:f>
        <x:v>11976457478</x:v>
      </x:c>
      <x:c r="J2259" s="23" t="str">
        <x:v>RENTAL</x:v>
      </x:c>
      <x:c r="K2259" s="23" t="str">
        <x:v>rental_company</x:v>
      </x:c>
      <x:c r="L2259" s="24" t="b">
        <x:v>1</x:v>
      </x:c>
      <x:c r="M2259" s="23" t="n">
        <x:v>1</x:v>
      </x:c>
      <x:c r="N2259" s="28" t="n">
        <x:v>46203.921852962965</x:v>
      </x:c>
      <x:c r="O2259" s="28" t="n">
        <x:v>46219.812988715275</x:v>
      </x:c>
      <x:c r="P2259" s="23" t="str">
        <x:v>BARUERI</x:v>
      </x:c>
      <x:c r="Q2259" s="30" t="n">
        <x:v>35823</x:v>
      </x:c>
      <x:c r="R2259" s="22" t="str">
        <x:f>"559036036"</x:f>
        <x:v>559036036</x:v>
      </x:c>
      <x:c r="S2259" s="23" t="str">
        <x:v>masculino</x:v>
      </x:c>
      <x:c r="T2259" s="22" t="str"/>
      <x:c r="U2259" s="23" t="str">
        <x:v>LUAN DA COSTA PERO</x:v>
      </x:c>
      <x:c r="V2259" s="22" t="str">
        <x:f>"448.284.938-32"</x:f>
        <x:v>448.284.938-32</x:v>
      </x:c>
      <x:c r="W2259" s="22" t="str">
        <x:f>"44828493832"</x:f>
        <x:v>44828493832</x:v>
      </x:c>
      <x:c r="X2259" s="23" t="str">
        <x:v>costahluan36@gmail.com</x:v>
      </x:c>
      <x:c r="Y2259" s="22" t="str">
        <x:f>"11976457478"</x:f>
        <x:v>11976457478</x:v>
      </x:c>
      <x:c r="Z2259" s="30" t="n">
        <x:v>46252</x:v>
      </x:c>
    </x:row>
    <x:row r="2260" ht="18" customHeight="1">
      <x:c r="A2260" s="22" t="str">
        <x:f>"5e3535a8-fe70-4c16-aabc-82dcbc4d010e"</x:f>
        <x:v>5e3535a8-fe70-4c16-aabc-82dcbc4d010e</x:v>
      </x:c>
      <x:c r="B2260" s="23" t="str">
        <x:v>LUAN DE CARVALHO PEREIRA</x:v>
      </x:c>
      <x:c r="C2260" s="23" t="str">
        <x:v>luan de carvalho pereira</x:v>
      </x:c>
      <x:c r="D2260" s="22" t="str">
        <x:f>"00.007.229/2676-86"</x:f>
        <x:v>00.007.229/2676-86</x:v>
      </x:c>
      <x:c r="E2260" s="22" t="str">
        <x:f>"00007229267686"</x:f>
        <x:v>00007229267686</x:v>
      </x:c>
      <x:c r="F2260" s="22" t="str">
        <x:f>"165.489.957-75"</x:f>
        <x:v>165.489.957-75</x:v>
      </x:c>
      <x:c r="G2260" s="22" t="str">
        <x:f>"16548995775"</x:f>
        <x:v>16548995775</x:v>
      </x:c>
      <x:c r="H2260" s="23" t="str">
        <x:v>luanlcppereira@gmail.com</x:v>
      </x:c>
      <x:c r="I2260" s="22" t="str">
        <x:f>"21995278988"</x:f>
        <x:v>21995278988</x:v>
      </x:c>
      <x:c r="J2260" s="23" t="str">
        <x:v>SPOT</x:v>
      </x:c>
      <x:c r="K2260" s="23" t="str">
        <x:v>favored_only</x:v>
      </x:c>
      <x:c r="L2260" s="24" t="b">
        <x:v>1</x:v>
      </x:c>
      <x:c r="M2260" s="23" t="n">
        <x:v>1</x:v>
      </x:c>
      <x:c r="N2260" s="28" t="n">
        <x:v>46219.812988715275</x:v>
      </x:c>
      <x:c r="O2260" s="28" t="n">
        <x:v>46219.812988715275</x:v>
      </x:c>
      <x:c r="P2260" s="23" t="str">
        <x:v>ITABORAI</x:v>
      </x:c>
      <x:c r="Q2260" s="30" t="n">
        <x:v>36305</x:v>
      </x:c>
      <x:c r="R2260" s="22" t="str">
        <x:f>"297939563"</x:f>
        <x:v>297939563</x:v>
      </x:c>
      <x:c r="S2260" s="23" t="str">
        <x:v>masculino</x:v>
      </x:c>
      <x:c r="T2260" s="22" t="str">
        <x:f>"UBE7E81"</x:f>
        <x:v>UBE7E81</x:v>
      </x:c>
      <x:c r="U2260" s="23" t="str">
        <x:v>LUAN DE CARVALHO PEREIRA</x:v>
      </x:c>
      <x:c r="V2260" s="22" t="str">
        <x:f>"165.489.957-75"</x:f>
        <x:v>165.489.957-75</x:v>
      </x:c>
      <x:c r="W2260" s="22" t="str">
        <x:f>"16548995775"</x:f>
        <x:v>16548995775</x:v>
      </x:c>
      <x:c r="X2260" s="23" t="str">
        <x:v>luanlcppereira@gmail.com</x:v>
      </x:c>
      <x:c r="Y2260" s="22" t="str">
        <x:f>"21995278988"</x:f>
        <x:v>21995278988</x:v>
      </x:c>
      <x:c r="Z2260" s="30" t="n">
        <x:v>46455</x:v>
      </x:c>
    </x:row>
    <x:row r="2261" ht="18" customHeight="1">
      <x:c r="A2261" s="22" t="str">
        <x:f>"e0905f70-6dc9-4c32-bad0-3fe89dbb7a65"</x:f>
        <x:v>e0905f70-6dc9-4c32-bad0-3fe89dbb7a65</x:v>
      </x:c>
      <x:c r="B2261" s="23" t="str">
        <x:v>LUAN DE OLIVEIRA PINTO MENDONCA</x:v>
      </x:c>
      <x:c r="C2261" s="23" t="str">
        <x:v>luan de oliveira pinto mendonca</x:v>
      </x:c>
      <x:c r="D2261" s="22" t="str">
        <x:f>"65.917.596/0001-34"</x:f>
        <x:v>65.917.596/0001-34</x:v>
      </x:c>
      <x:c r="E2261" s="22" t="str">
        <x:f>"65917596000134"</x:f>
        <x:v>65917596000134</x:v>
      </x:c>
      <x:c r="F2261" s="22" t="str">
        <x:f>"140.309.767-43"</x:f>
        <x:v>140.309.767-43</x:v>
      </x:c>
      <x:c r="G2261" s="22" t="str">
        <x:f>"14030976743"</x:f>
        <x:v>14030976743</x:v>
      </x:c>
      <x:c r="H2261" s="23" t="str">
        <x:v>lauralolo.0512@gmail.com</x:v>
      </x:c>
      <x:c r="I2261" s="22" t="str">
        <x:f>"21987786892"</x:f>
        <x:v>21987786892</x:v>
      </x:c>
      <x:c r="J2261" s="23" t="str">
        <x:v>SPOT</x:v>
      </x:c>
      <x:c r="K2261" s="23" t="str">
        <x:v>favored_only</x:v>
      </x:c>
      <x:c r="L2261" s="24" t="b">
        <x:v>1</x:v>
      </x:c>
      <x:c r="M2261" s="23" t="n">
        <x:v>2</x:v>
      </x:c>
      <x:c r="N2261" s="28" t="n">
        <x:v>46219.812988715275</x:v>
      </x:c>
      <x:c r="O2261" s="28" t="n">
        <x:v>46219.812988715275</x:v>
      </x:c>
      <x:c r="P2261" s="23" t="str">
        <x:v>CAMPO GRANDE</x:v>
      </x:c>
      <x:c r="Q2261" s="30" t="n">
        <x:v>34762</x:v>
      </x:c>
      <x:c r="R2261" s="22" t="str">
        <x:f>"8692513"</x:f>
        <x:v>8692513</x:v>
      </x:c>
      <x:c r="S2261" s="23" t="str">
        <x:v>masculino</x:v>
      </x:c>
      <x:c r="T2261" s="22" t="str">
        <x:f>"KPX4G75"</x:f>
        <x:v>KPX4G75</x:v>
      </x:c>
      <x:c r="U2261" s="23" t="str">
        <x:v>LUAN DE OLIVEIRA PINTO MENDONCA</x:v>
      </x:c>
      <x:c r="V2261" s="22" t="str">
        <x:f>"140.309.767-43"</x:f>
        <x:v>140.309.767-43</x:v>
      </x:c>
      <x:c r="W2261" s="22" t="str">
        <x:f>"14030976743"</x:f>
        <x:v>14030976743</x:v>
      </x:c>
      <x:c r="X2261" s="23" t="str">
        <x:v>lauralolo.0512@gmail.com</x:v>
      </x:c>
      <x:c r="Y2261" s="22" t="str">
        <x:f>"21987786892"</x:f>
        <x:v>21987786892</x:v>
      </x:c>
      <x:c r="Z2261" s="30" t="n">
        <x:v>46541</x:v>
      </x:c>
    </x:row>
    <x:row r="2262" ht="18" customHeight="1">
      <x:c r="A2262" s="22" t="str">
        <x:f>"6760fb1d-a63f-42de-b427-c24d0be585c4"</x:f>
        <x:v>6760fb1d-a63f-42de-b427-c24d0be585c4</x:v>
      </x:c>
      <x:c r="B2262" s="23" t="str">
        <x:v>LUAN DOS SANTOS PICOLO</x:v>
      </x:c>
      <x:c r="C2262" s="23" t="str">
        <x:v>luan dos santos picolo</x:v>
      </x:c>
      <x:c r="D2262" s="22" t="str">
        <x:f>"54.139.767/0001-25"</x:f>
        <x:v>54.139.767/0001-25</x:v>
      </x:c>
      <x:c r="E2262" s="22" t="str">
        <x:f>"54139767000125"</x:f>
        <x:v>54139767000125</x:v>
      </x:c>
      <x:c r="F2262" s="22" t="str">
        <x:f>"522.167.188-31"</x:f>
        <x:v>522.167.188-31</x:v>
      </x:c>
      <x:c r="G2262" s="22" t="str">
        <x:f>"52216718831"</x:f>
        <x:v>52216718831</x:v>
      </x:c>
      <x:c r="H2262" s="23" t="str">
        <x:v>luanpicolo70@gmail.com</x:v>
      </x:c>
      <x:c r="I2262" s="22" t="str">
        <x:f>"17992809357"</x:f>
        <x:v>17992809357</x:v>
      </x:c>
      <x:c r="J2262" s="23" t="str">
        <x:v>RENTAL</x:v>
      </x:c>
      <x:c r="K2262" s="23" t="str">
        <x:v>rental_company</x:v>
      </x:c>
      <x:c r="L2262" s="24" t="b">
        <x:v>1</x:v>
      </x:c>
      <x:c r="M2262" s="23" t="n">
        <x:v>1</x:v>
      </x:c>
      <x:c r="N2262" s="28" t="n">
        <x:v>46219.812988715275</x:v>
      </x:c>
      <x:c r="O2262" s="28" t="n">
        <x:v>46219.812988715275</x:v>
      </x:c>
      <x:c r="P2262" s="23" t="str">
        <x:v>BARRETOS</x:v>
      </x:c>
      <x:c r="Q2262" s="30" t="n">
        <x:v>37458</x:v>
      </x:c>
      <x:c r="R2262" s="22" t="str">
        <x:f>"62981692X"</x:f>
        <x:v>62981692X</x:v>
      </x:c>
      <x:c r="S2262" s="23" t="str">
        <x:v>masculino</x:v>
      </x:c>
      <x:c r="T2262" s="22" t="str"/>
      <x:c r="U2262" s="23" t="str">
        <x:v>LUAN DOS SANTOS PICOLO</x:v>
      </x:c>
      <x:c r="V2262" s="22" t="str">
        <x:f>"522.167.188-31"</x:f>
        <x:v>522.167.188-31</x:v>
      </x:c>
      <x:c r="W2262" s="22" t="str">
        <x:f>"52216718831"</x:f>
        <x:v>52216718831</x:v>
      </x:c>
      <x:c r="X2262" s="23" t="str">
        <x:v>luanpicolo70@gmail.com</x:v>
      </x:c>
      <x:c r="Y2262" s="22" t="str">
        <x:f>"17992809357"</x:f>
        <x:v>17992809357</x:v>
      </x:c>
      <x:c r="Z2262" s="30" t="n">
        <x:v>46578</x:v>
      </x:c>
    </x:row>
    <x:row r="2263" ht="18" customHeight="1">
      <x:c r="A2263" s="22" t="str">
        <x:f>"84f40608-64cf-4272-892b-6a77ddaf6a12"</x:f>
        <x:v>84f40608-64cf-4272-892b-6a77ddaf6a12</x:v>
      </x:c>
      <x:c r="B2263" s="23" t="str">
        <x:v>LUAN HENRIQUE DE FARIAS AMARO</x:v>
      </x:c>
      <x:c r="C2263" s="23" t="str">
        <x:v>luan henrique de farias amaro</x:v>
      </x:c>
      <x:c r="D2263" s="22" t="str">
        <x:f>"66.589.890/0001-27"</x:f>
        <x:v>66.589.890/0001-27</x:v>
      </x:c>
      <x:c r="E2263" s="22" t="str">
        <x:f>"66589890000127"</x:f>
        <x:v>66589890000127</x:v>
      </x:c>
      <x:c r="F2263" s="22" t="str">
        <x:f>"430.620.988-13"</x:f>
        <x:v>430.620.988-13</x:v>
      </x:c>
      <x:c r="G2263" s="22" t="str">
        <x:f>"43062098813"</x:f>
        <x:v>43062098813</x:v>
      </x:c>
      <x:c r="H2263" s="23" t="str">
        <x:v>luanserrana185@gmail.com</x:v>
      </x:c>
      <x:c r="I2263" s="22" t="str">
        <x:f>"16 99461-1173"</x:f>
        <x:v>16 99461-1173</x:v>
      </x:c>
      <x:c r="J2263" s="23" t="str">
        <x:v>RENTAL</x:v>
      </x:c>
      <x:c r="K2263" s="23" t="str">
        <x:v>rental_company</x:v>
      </x:c>
      <x:c r="L2263" s="24" t="b">
        <x:v>1</x:v>
      </x:c>
      <x:c r="M2263" s="23" t="n">
        <x:v>1</x:v>
      </x:c>
      <x:c r="N2263" s="28" t="n">
        <x:v>46219.812988715275</x:v>
      </x:c>
      <x:c r="O2263" s="28" t="n">
        <x:v>46219.812988715275</x:v>
      </x:c>
      <x:c r="P2263" s="23" t="str">
        <x:v>RIBEIRAO PRETO</x:v>
      </x:c>
      <x:c r="Q2263" s="30" t="n">
        <x:v>33788</x:v>
      </x:c>
      <x:c r="R2263" s="22" t="str">
        <x:f>"48821534"</x:f>
        <x:v>48821534</x:v>
      </x:c>
      <x:c r="S2263" s="23" t="str">
        <x:v>masculino</x:v>
      </x:c>
      <x:c r="T2263" s="22" t="str"/>
      <x:c r="U2263" s="23" t="str">
        <x:v>66.589.890 LUAN HENRIQUE DE FARIAS AMARO</x:v>
      </x:c>
      <x:c r="V2263" s="22" t="str">
        <x:f>"430.620.988-13"</x:f>
        <x:v>430.620.988-13</x:v>
      </x:c>
      <x:c r="W2263" s="22" t="str">
        <x:f>"43062098813"</x:f>
        <x:v>43062098813</x:v>
      </x:c>
      <x:c r="X2263" s="23" t="str">
        <x:v>luanserrana185@gmail.com</x:v>
      </x:c>
      <x:c r="Y2263" s="22" t="str">
        <x:f>"16 99461-1173"</x:f>
        <x:v>16 99461-1173</x:v>
      </x:c>
      <x:c r="Z2263" s="30" t="n">
        <x:v>46527</x:v>
      </x:c>
    </x:row>
    <x:row r="2264" ht="18" customHeight="1">
      <x:c r="A2264" s="22" t="str">
        <x:f>"b0d6338b-d92e-485f-a2ca-36df6436feb1"</x:f>
        <x:v>b0d6338b-d92e-485f-a2ca-36df6436feb1</x:v>
      </x:c>
      <x:c r="B2264" s="23" t="str">
        <x:v>LUAN JUNIOR DE ALMEIDA LIMA</x:v>
      </x:c>
      <x:c r="C2264" s="23" t="str">
        <x:v>luan junior de almeida lima</x:v>
      </x:c>
      <x:c r="D2264" s="22" t="str">
        <x:f>"37.823.997/0001-90"</x:f>
        <x:v>37.823.997/0001-90</x:v>
      </x:c>
      <x:c r="E2264" s="22" t="str">
        <x:f>"37823997000190"</x:f>
        <x:v>37823997000190</x:v>
      </x:c>
      <x:c r="F2264" s="22" t="str">
        <x:f>"068.089.901-40"</x:f>
        <x:v>068.089.901-40</x:v>
      </x:c>
      <x:c r="G2264" s="22" t="str">
        <x:f>"06808990140"</x:f>
        <x:v>06808990140</x:v>
      </x:c>
      <x:c r="H2264" s="23" t="str">
        <x:v>luanj1057@gmail.com</x:v>
      </x:c>
      <x:c r="I2264" s="22" t="str">
        <x:f>"6596100999"</x:f>
        <x:v>6596100999</x:v>
      </x:c>
      <x:c r="J2264" s="23" t="str">
        <x:v>SPOT</x:v>
      </x:c>
      <x:c r="K2264" s="23" t="str">
        <x:v>favored_only</x:v>
      </x:c>
      <x:c r="L2264" s="24" t="b">
        <x:v>1</x:v>
      </x:c>
      <x:c r="M2264" s="23" t="n">
        <x:v>1</x:v>
      </x:c>
      <x:c r="N2264" s="28" t="n">
        <x:v>46205.60451246528</x:v>
      </x:c>
      <x:c r="O2264" s="28" t="n">
        <x:v>46219.812988715275</x:v>
      </x:c>
      <x:c r="P2264" s="23" t="str">
        <x:v>CUIABA</x:v>
      </x:c>
      <x:c r="Q2264" s="30" t="n">
        <x:v>37302</x:v>
      </x:c>
      <x:c r="R2264" s="22" t="str">
        <x:f>"28625684"</x:f>
        <x:v>28625684</x:v>
      </x:c>
      <x:c r="S2264" s="23" t="str">
        <x:v>masculino</x:v>
      </x:c>
      <x:c r="T2264" s="22" t="str">
        <x:f>"NUD9J95"</x:f>
        <x:v>NUD9J95</x:v>
      </x:c>
      <x:c r="U2264" s="23" t="str">
        <x:v>DANILLO BACIEL ALMEIDA</x:v>
      </x:c>
      <x:c r="V2264" s="22" t="str">
        <x:f>"962.005.291-91"</x:f>
        <x:v>962.005.291-91</x:v>
      </x:c>
      <x:c r="W2264" s="22" t="str">
        <x:f>"96200529191"</x:f>
        <x:v>96200529191</x:v>
      </x:c>
      <x:c r="X2264" s="23" t="str">
        <x:v>RPT.cargas@gmail.com</x:v>
      </x:c>
      <x:c r="Y2264" s="22" t="str">
        <x:f>"(62) 99661-0607"</x:f>
        <x:v>(62) 99661-0607</x:v>
      </x:c>
      <x:c r="Z2264" s="30" t="n">
        <x:v>46280</x:v>
      </x:c>
    </x:row>
    <x:row r="2265" ht="18" customHeight="1">
      <x:c r="A2265" s="22" t="str">
        <x:f>"d2a33001-b66a-40a1-a2ba-74cdb87c345c"</x:f>
        <x:v>d2a33001-b66a-40a1-a2ba-74cdb87c345c</x:v>
      </x:c>
      <x:c r="B2265" s="23" t="str">
        <x:v>LUAN MATHEUS BRAZ</x:v>
      </x:c>
      <x:c r="C2265" s="23" t="str">
        <x:v>luan matheus braz</x:v>
      </x:c>
      <x:c r="D2265" s="22" t="str">
        <x:f>"41.708.418/0001-35"</x:f>
        <x:v>41.708.418/0001-35</x:v>
      </x:c>
      <x:c r="E2265" s="22" t="str">
        <x:f>"41708418000135"</x:f>
        <x:v>41708418000135</x:v>
      </x:c>
      <x:c r="F2265" s="22" t="str">
        <x:f>"315.489.538-81"</x:f>
        <x:v>315.489.538-81</x:v>
      </x:c>
      <x:c r="G2265" s="22" t="str">
        <x:f>"31548953881"</x:f>
        <x:v>31548953881</x:v>
      </x:c>
      <x:c r="H2265" s="23" t="str">
        <x:v>luanmotor1@gmail.com</x:v>
      </x:c>
      <x:c r="I2265" s="22" t="str">
        <x:f>"16974059697"</x:f>
        <x:v>16974059697</x:v>
      </x:c>
      <x:c r="J2265" s="23" t="str">
        <x:v>RENTAL</x:v>
      </x:c>
      <x:c r="K2265" s="23" t="str">
        <x:v>rental_company</x:v>
      </x:c>
      <x:c r="L2265" s="24" t="b">
        <x:v>1</x:v>
      </x:c>
      <x:c r="M2265" s="23" t="n">
        <x:v>1</x:v>
      </x:c>
      <x:c r="N2265" s="28" t="n">
        <x:v>46203.921887453704</x:v>
      </x:c>
      <x:c r="O2265" s="28" t="n">
        <x:v>46219.812988715275</x:v>
      </x:c>
      <x:c r="P2265" s="23" t="str">
        <x:v>RIBEIRAO PRETO</x:v>
      </x:c>
      <x:c r="Q2265" s="30" t="n">
        <x:v>34365</x:v>
      </x:c>
      <x:c r="R2265" s="22" t="str">
        <x:f>"44469234"</x:f>
        <x:v>44469234</x:v>
      </x:c>
      <x:c r="S2265" s="23" t="str">
        <x:v>masculino</x:v>
      </x:c>
      <x:c r="T2265" s="22" t="str"/>
      <x:c r="U2265" s="23" t="str">
        <x:v>LUAN MATHEUS BRAZ</x:v>
      </x:c>
      <x:c r="V2265" s="22" t="str">
        <x:f>"315.489.538-81"</x:f>
        <x:v>315.489.538-81</x:v>
      </x:c>
      <x:c r="W2265" s="22" t="str">
        <x:f>"31548953881"</x:f>
        <x:v>31548953881</x:v>
      </x:c>
      <x:c r="X2265" s="23" t="str">
        <x:v>luanmotor1@gmail.com</x:v>
      </x:c>
      <x:c r="Y2265" s="22" t="str">
        <x:f>"16974059697"</x:f>
        <x:v>16974059697</x:v>
      </x:c>
      <x:c r="Z2265" s="30" t="n">
        <x:v>46333</x:v>
      </x:c>
    </x:row>
    <x:row r="2266" ht="18" customHeight="1">
      <x:c r="A2266" s="22" t="str">
        <x:f>"225fbdcf-de9d-4678-9da4-cd500f635f63"</x:f>
        <x:v>225fbdcf-de9d-4678-9da4-cd500f635f63</x:v>
      </x:c>
      <x:c r="B2266" s="23" t="str">
        <x:v>LUAN PATRICK BUENO CORREIA</x:v>
      </x:c>
      <x:c r="C2266" s="23" t="str">
        <x:v>luan patrick bueno correia</x:v>
      </x:c>
      <x:c r="D2266" s="22" t="str">
        <x:f>"47.659.125/0001-91"</x:f>
        <x:v>47.659.125/0001-91</x:v>
      </x:c>
      <x:c r="E2266" s="22" t="str">
        <x:f>"47659125000191"</x:f>
        <x:v>47659125000191</x:v>
      </x:c>
      <x:c r="F2266" s="22" t="str">
        <x:f>"431.218.858-04"</x:f>
        <x:v>431.218.858-04</x:v>
      </x:c>
      <x:c r="G2266" s="22" t="str">
        <x:f>"43121885804"</x:f>
        <x:v>43121885804</x:v>
      </x:c>
      <x:c r="H2266" s="23" t="str">
        <x:v>luancorreia2419@gmail.com</x:v>
      </x:c>
      <x:c r="I2266" s="22" t="str">
        <x:f>"14991793833"</x:f>
        <x:v>14991793833</x:v>
      </x:c>
      <x:c r="J2266" s="23" t="str">
        <x:v>RENTAL</x:v>
      </x:c>
      <x:c r="K2266" s="23" t="str">
        <x:v>rental_company</x:v>
      </x:c>
      <x:c r="L2266" s="24" t="b">
        <x:v>1</x:v>
      </x:c>
      <x:c r="M2266" s="23" t="n">
        <x:v>1</x:v>
      </x:c>
      <x:c r="N2266" s="28" t="n">
        <x:v>46203.9219084375</x:v>
      </x:c>
      <x:c r="O2266" s="28" t="n">
        <x:v>46219.812988715275</x:v>
      </x:c>
      <x:c r="P2266" s="23" t="str">
        <x:v>BAURU</x:v>
      </x:c>
      <x:c r="Q2266" s="30" t="n">
        <x:v>34744</x:v>
      </x:c>
      <x:c r="R2266" s="22" t="str">
        <x:f>"42.248578-0"</x:f>
        <x:v>42.248578-0</x:v>
      </x:c>
      <x:c r="S2266" s="23" t="str">
        <x:v>masculino</x:v>
      </x:c>
      <x:c r="T2266" s="22" t="str"/>
      <x:c r="U2266" s="23" t="str">
        <x:v>LUAN PATRICK BUENO CORREIA</x:v>
      </x:c>
      <x:c r="V2266" s="22" t="str">
        <x:f>"431.218.858-04"</x:f>
        <x:v>431.218.858-04</x:v>
      </x:c>
      <x:c r="W2266" s="22" t="str">
        <x:f>"43121885804"</x:f>
        <x:v>43121885804</x:v>
      </x:c>
      <x:c r="X2266" s="23" t="str">
        <x:v>luancorreia2419@gmail.com</x:v>
      </x:c>
      <x:c r="Y2266" s="22" t="str">
        <x:f>"14991793833"</x:f>
        <x:v>14991793833</x:v>
      </x:c>
      <x:c r="Z2266" s="30" t="n">
        <x:v>46399</x:v>
      </x:c>
    </x:row>
    <x:row r="2267" ht="18" customHeight="1">
      <x:c r="A2267" s="22" t="str">
        <x:f>"678547aa-178c-4e5a-994c-f4fd8c931e70"</x:f>
        <x:v>678547aa-178c-4e5a-994c-f4fd8c931e70</x:v>
      </x:c>
      <x:c r="B2267" s="23" t="str">
        <x:v>LUAN RICARDO DORNELES DUARTE</x:v>
      </x:c>
      <x:c r="C2267" s="23" t="str">
        <x:v>luan ricardo dorneles duarte</x:v>
      </x:c>
      <x:c r="D2267" s="22" t="str">
        <x:f>"62.167.521/0001-95"</x:f>
        <x:v>62.167.521/0001-95</x:v>
      </x:c>
      <x:c r="E2267" s="22" t="str">
        <x:f>"62167521000195"</x:f>
        <x:v>62167521000195</x:v>
      </x:c>
      <x:c r="F2267" s="22" t="str">
        <x:f>"059.190.421-76"</x:f>
        <x:v>059.190.421-76</x:v>
      </x:c>
      <x:c r="G2267" s="22" t="str">
        <x:f>"05919042176"</x:f>
        <x:v>05919042176</x:v>
      </x:c>
      <x:c r="H2267" s="23" t="str">
        <x:v>Luanricardodornelesduarte@gmail.com</x:v>
      </x:c>
      <x:c r="I2267" s="22" t="str">
        <x:f>"65 99913-5089"</x:f>
        <x:v>65 99913-5089</x:v>
      </x:c>
      <x:c r="J2267" s="23" t="str">
        <x:v>SPOT</x:v>
      </x:c>
      <x:c r="K2267" s="23" t="str">
        <x:v>favored_only</x:v>
      </x:c>
      <x:c r="L2267" s="24" t="b">
        <x:v>1</x:v>
      </x:c>
      <x:c r="M2267" s="23" t="n">
        <x:v>1</x:v>
      </x:c>
      <x:c r="N2267" s="28" t="n">
        <x:v>46219.812988715275</x:v>
      </x:c>
      <x:c r="O2267" s="28" t="n">
        <x:v>46219.812988715275</x:v>
      </x:c>
      <x:c r="P2267" s="23" t="str">
        <x:v>ARAPUTANGA</x:v>
      </x:c>
      <x:c r="Q2267" s="30" t="n">
        <x:v>34948</x:v>
      </x:c>
      <x:c r="R2267" s="22" t="str">
        <x:f>"26851415 SJSP MT"</x:f>
        <x:v>26851415 SJSP MT</x:v>
      </x:c>
      <x:c r="S2267" s="23" t="str">
        <x:v>masculino</x:v>
      </x:c>
      <x:c r="T2267" s="22" t="str">
        <x:f>"FYS4D00"</x:f>
        <x:v>FYS4D00</x:v>
      </x:c>
      <x:c r="U2267" s="23" t="str">
        <x:v>MATHEUS GOMES AZEVEDO</x:v>
      </x:c>
      <x:c r="V2267" s="22" t="str">
        <x:f>"050.420.141-79"</x:f>
        <x:v>050.420.141-79</x:v>
      </x:c>
      <x:c r="W2267" s="22" t="str">
        <x:f>"05042014179"</x:f>
        <x:v>05042014179</x:v>
      </x:c>
      <x:c r="X2267" s="23" t="str">
        <x:v>mateusjauruazevedo@hotmail.com</x:v>
      </x:c>
      <x:c r="Y2267" s="22" t="str">
        <x:f>"55 65 9678-6166"</x:f>
        <x:v>55 65 9678-6166</x:v>
      </x:c>
      <x:c r="Z2267" s="30" t="n">
        <x:v>46560</x:v>
      </x:c>
    </x:row>
    <x:row r="2268" ht="18" customHeight="1">
      <x:c r="A2268" s="22" t="str">
        <x:f>"bf2aa4eb-2d23-4b21-a9b3-cbcd09b60d38"</x:f>
        <x:v>bf2aa4eb-2d23-4b21-a9b3-cbcd09b60d38</x:v>
      </x:c>
      <x:c r="B2268" s="23" t="str">
        <x:v>LUAN RODRIGO RODRIGUES DE AMORIM</x:v>
      </x:c>
      <x:c r="C2268" s="23" t="str">
        <x:v>luan rodrigo rodrigues de amorim</x:v>
      </x:c>
      <x:c r="D2268" s="22" t="str">
        <x:f>"38.350.604/0001-30"</x:f>
        <x:v>38.350.604/0001-30</x:v>
      </x:c>
      <x:c r="E2268" s="22" t="str">
        <x:f>"38350604000130"</x:f>
        <x:v>38350604000130</x:v>
      </x:c>
      <x:c r="F2268" s="22" t="str">
        <x:f>"704.121.001-42"</x:f>
        <x:v>704.121.001-42</x:v>
      </x:c>
      <x:c r="G2268" s="22" t="str">
        <x:f>"70412100142"</x:f>
        <x:v>70412100142</x:v>
      </x:c>
      <x:c r="H2268" s="23" t="str">
        <x:v>rluan7800@gmail.com</x:v>
      </x:c>
      <x:c r="I2268" s="22" t="str">
        <x:f>"65992164724"</x:f>
        <x:v>65992164724</x:v>
      </x:c>
      <x:c r="J2268" s="23" t="str">
        <x:v>SPOT</x:v>
      </x:c>
      <x:c r="K2268" s="23" t="str">
        <x:v>favored_only</x:v>
      </x:c>
      <x:c r="L2268" s="24" t="b">
        <x:v>1</x:v>
      </x:c>
      <x:c r="M2268" s="23" t="n">
        <x:v>1</x:v>
      </x:c>
      <x:c r="N2268" s="28" t="n">
        <x:v>46219.812988715275</x:v>
      </x:c>
      <x:c r="O2268" s="28" t="n">
        <x:v>46219.812988715275</x:v>
      </x:c>
      <x:c r="P2268" s="23" t="str">
        <x:v>CUIABA</x:v>
      </x:c>
      <x:c r="Q2268" s="30" t="n">
        <x:v>36782</x:v>
      </x:c>
      <x:c r="R2268" s="22" t="str">
        <x:f>"27206874"</x:f>
        <x:v>27206874</x:v>
      </x:c>
      <x:c r="S2268" s="23" t="str">
        <x:v>masculino</x:v>
      </x:c>
      <x:c r="T2268" s="22" t="str">
        <x:f>"QCL9H92"</x:f>
        <x:v>QCL9H92</x:v>
      </x:c>
      <x:c r="U2268" s="23" t="str">
        <x:v>ROSELI KLANN</x:v>
      </x:c>
      <x:c r="V2268" s="22" t="str">
        <x:f>"973.595.561-04"</x:f>
        <x:v>973.595.561-04</x:v>
      </x:c>
      <x:c r="W2268" s="22" t="str">
        <x:f>"97359556104"</x:f>
        <x:v>97359556104</x:v>
      </x:c>
      <x:c r="X2268" s="23" t="str">
        <x:v>roseliklann36@gmail.com</x:v>
      </x:c>
      <x:c r="Y2268" s="22" t="str">
        <x:f>"65992468971"</x:f>
        <x:v>65992468971</x:v>
      </x:c>
      <x:c r="Z2268" s="30" t="n">
        <x:v>46488</x:v>
      </x:c>
    </x:row>
    <x:row r="2269" ht="18" customHeight="1">
      <x:c r="A2269" s="22" t="str">
        <x:f>"027e3eba-1188-4eb7-a770-648965f27cbb"</x:f>
        <x:v>027e3eba-1188-4eb7-a770-648965f27cbb</x:v>
      </x:c>
      <x:c r="B2269" s="23" t="str">
        <x:v>LUAN RODRIGUES DOS SANTOS</x:v>
      </x:c>
      <x:c r="C2269" s="23" t="str">
        <x:v>luan rodrigues dos santos</x:v>
      </x:c>
      <x:c r="D2269" s="22" t="str">
        <x:f>"59.191.107/0001-07"</x:f>
        <x:v>59.191.107/0001-07</x:v>
      </x:c>
      <x:c r="E2269" s="22" t="str">
        <x:f>"59191107000107"</x:f>
        <x:v>59191107000107</x:v>
      </x:c>
      <x:c r="F2269" s="22" t="str">
        <x:f>"034.365.061-41"</x:f>
        <x:v>034.365.061-41</x:v>
      </x:c>
      <x:c r="G2269" s="22" t="str">
        <x:f>"03436506141"</x:f>
        <x:v>03436506141</x:v>
      </x:c>
      <x:c r="H2269" s="23" t="str">
        <x:v>Rodriguesdossantosluan@gmail.com</x:v>
      </x:c>
      <x:c r="I2269" s="22" t="str">
        <x:f>"65993328232"</x:f>
        <x:v>65993328232</x:v>
      </x:c>
      <x:c r="J2269" s="23" t="str">
        <x:v>RENTAL</x:v>
      </x:c>
      <x:c r="K2269" s="23" t="str">
        <x:v>rental_company</x:v>
      </x:c>
      <x:c r="L2269" s="24" t="b">
        <x:v>1</x:v>
      </x:c>
      <x:c r="M2269" s="23" t="n">
        <x:v>3</x:v>
      </x:c>
      <x:c r="N2269" s="28" t="n">
        <x:v>46203.9218771875</x:v>
      </x:c>
      <x:c r="O2269" s="28" t="n">
        <x:v>46219.812988715275</x:v>
      </x:c>
      <x:c r="P2269" s="23" t="str">
        <x:v>CUIABA</x:v>
      </x:c>
      <x:c r="Q2269" s="30" t="n">
        <x:v>32989</x:v>
      </x:c>
      <x:c r="R2269" s="22" t="str">
        <x:f>"20261241"</x:f>
        <x:v>20261241</x:v>
      </x:c>
      <x:c r="S2269" s="23" t="str">
        <x:v>masculino</x:v>
      </x:c>
      <x:c r="T2269" s="22" t="str"/>
      <x:c r="U2269" s="23" t="str">
        <x:v>LUAN RODRIGUES DOS SANTOS</x:v>
      </x:c>
      <x:c r="V2269" s="22" t="str">
        <x:f>"034.365.061-41"</x:f>
        <x:v>034.365.061-41</x:v>
      </x:c>
      <x:c r="W2269" s="22" t="str">
        <x:f>"03436506141"</x:f>
        <x:v>03436506141</x:v>
      </x:c>
      <x:c r="X2269" s="23" t="str">
        <x:v>Rodriguesdossantosluan@gmail.com</x:v>
      </x:c>
      <x:c r="Y2269" s="22" t="str">
        <x:f>"65993328232"</x:f>
        <x:v>65993328232</x:v>
      </x:c>
      <x:c r="Z2269" s="30" t="n">
        <x:v>46304</x:v>
      </x:c>
    </x:row>
    <x:row r="2270" ht="18" customHeight="1">
      <x:c r="A2270" s="22" t="str">
        <x:f>"4c3890d8-190f-413b-861d-afdc687b253b"</x:f>
        <x:v>4c3890d8-190f-413b-861d-afdc687b253b</x:v>
      </x:c>
      <x:c r="B2270" s="23" t="str">
        <x:v>LUAN WESLEY GERTRUDES</x:v>
      </x:c>
      <x:c r="C2270" s="23" t="str">
        <x:v>luan wesley gertrudes</x:v>
      </x:c>
      <x:c r="D2270" s="22" t="str">
        <x:f>"39.685.964/0001-56"</x:f>
        <x:v>39.685.964/0001-56</x:v>
      </x:c>
      <x:c r="E2270" s="22" t="str">
        <x:f>"39685964000156"</x:f>
        <x:v>39685964000156</x:v>
      </x:c>
      <x:c r="F2270" s="22" t="str">
        <x:f>"102.901.086-24"</x:f>
        <x:v>102.901.086-24</x:v>
      </x:c>
      <x:c r="G2270" s="22" t="str">
        <x:f>"10290108624"</x:f>
        <x:v>10290108624</x:v>
      </x:c>
      <x:c r="H2270" s="23" t="str">
        <x:v>luanwesley831@gmail.com</x:v>
      </x:c>
      <x:c r="I2270" s="22" t="str">
        <x:f>"35 9235-8357"</x:f>
        <x:v>35 9235-8357</x:v>
      </x:c>
      <x:c r="J2270" s="23" t="str">
        <x:v>SPOT</x:v>
      </x:c>
      <x:c r="K2270" s="23" t="str">
        <x:v>favored_only</x:v>
      </x:c>
      <x:c r="L2270" s="24" t="b">
        <x:v>1</x:v>
      </x:c>
      <x:c r="M2270" s="23" t="n">
        <x:v>1</x:v>
      </x:c>
      <x:c r="N2270" s="28" t="n">
        <x:v>46219.812988715275</x:v>
      </x:c>
      <x:c r="O2270" s="28" t="n">
        <x:v>46219.812988715275</x:v>
      </x:c>
      <x:c r="P2270" s="23" t="str">
        <x:v>GUAXUPE</x:v>
      </x:c>
      <x:c r="Q2270" s="30" t="n">
        <x:v>33160</x:v>
      </x:c>
      <x:c r="R2270" s="22" t="str">
        <x:f>"16865997"</x:f>
        <x:v>16865997</x:v>
      </x:c>
      <x:c r="S2270" s="23" t="str">
        <x:v>masculino</x:v>
      </x:c>
      <x:c r="T2270" s="22" t="str">
        <x:f>"PXX3060"</x:f>
        <x:v>PXX3060</x:v>
      </x:c>
      <x:c r="U2270" s="23" t="str">
        <x:v>LUAN WESLEY GERTRUDES</x:v>
      </x:c>
      <x:c r="V2270" s="22" t="str">
        <x:f>"102.901.086-24"</x:f>
        <x:v>102.901.086-24</x:v>
      </x:c>
      <x:c r="W2270" s="22" t="str">
        <x:f>"10290108624"</x:f>
        <x:v>10290108624</x:v>
      </x:c>
      <x:c r="X2270" s="23" t="str">
        <x:v>luanwesley831@gmail.com</x:v>
      </x:c>
      <x:c r="Y2270" s="22" t="str">
        <x:f>"35 9235-8357"</x:f>
        <x:v>35 9235-8357</x:v>
      </x:c>
      <x:c r="Z2270" s="30" t="n">
        <x:v>46568</x:v>
      </x:c>
    </x:row>
    <x:row r="2271" ht="18" customHeight="1">
      <x:c r="A2271" s="22" t="str">
        <x:f>"31f0260f-5dea-4b39-a00a-0634609c8fdb"</x:f>
        <x:v>31f0260f-5dea-4b39-a00a-0634609c8fdb</x:v>
      </x:c>
      <x:c r="B2271" s="23" t="str">
        <x:v>LUCAS ALAF PEREIRA DE SA</x:v>
      </x:c>
      <x:c r="C2271" s="23" t="str">
        <x:v>lucas alaf pereira de sa</x:v>
      </x:c>
      <x:c r="D2271" s="22" t="str">
        <x:f>"41.424.700/0001-90"</x:f>
        <x:v>41.424.700/0001-90</x:v>
      </x:c>
      <x:c r="E2271" s="22" t="str">
        <x:f>"41424700000190"</x:f>
        <x:v>41424700000190</x:v>
      </x:c>
      <x:c r="F2271" s="22" t="str">
        <x:f>"142.516.456-00"</x:f>
        <x:v>142.516.456-00</x:v>
      </x:c>
      <x:c r="G2271" s="22" t="str">
        <x:f>"14251645600"</x:f>
        <x:v>14251645600</x:v>
      </x:c>
      <x:c r="H2271" s="23" t="str">
        <x:v>lucasalaf.pereira@gmail.com</x:v>
      </x:c>
      <x:c r="I2271" s="22" t="str">
        <x:f>"31992141127"</x:f>
        <x:v>31992141127</x:v>
      </x:c>
      <x:c r="J2271" s="23" t="str">
        <x:v>SPOT</x:v>
      </x:c>
      <x:c r="K2271" s="23" t="str">
        <x:v>favored_only</x:v>
      </x:c>
      <x:c r="L2271" s="24" t="b">
        <x:v>1</x:v>
      </x:c>
      <x:c r="M2271" s="23" t="n">
        <x:v>1</x:v>
      </x:c>
      <x:c r="N2271" s="28" t="n">
        <x:v>46203.92186888889</x:v>
      </x:c>
      <x:c r="O2271" s="28" t="n">
        <x:v>46219.812988715275</x:v>
      </x:c>
      <x:c r="P2271" s="23" t="str">
        <x:v>CONTAGEM</x:v>
      </x:c>
      <x:c r="Q2271" s="30" t="n">
        <x:v>35859</x:v>
      </x:c>
      <x:c r="R2271" s="22" t="str">
        <x:f>"17951341"</x:f>
        <x:v>17951341</x:v>
      </x:c>
      <x:c r="S2271" s="23" t="str">
        <x:v>masculino</x:v>
      </x:c>
      <x:c r="T2271" s="22" t="str">
        <x:f>"PVM8E66"</x:f>
        <x:v>PVM8E66</x:v>
      </x:c>
      <x:c r="U2271" s="23" t="str">
        <x:v>LUCAS ALAF PEREIRA DE SA</x:v>
      </x:c>
      <x:c r="V2271" s="22" t="str">
        <x:f>"142.516.456-00"</x:f>
        <x:v>142.516.456-00</x:v>
      </x:c>
      <x:c r="W2271" s="22" t="str">
        <x:f>"14251645600"</x:f>
        <x:v>14251645600</x:v>
      </x:c>
      <x:c r="X2271" s="23" t="str">
        <x:v>lucasalaf.pereira@gmail.com</x:v>
      </x:c>
      <x:c r="Y2271" s="22" t="str">
        <x:f>"31992141127"</x:f>
        <x:v>31992141127</x:v>
      </x:c>
      <x:c r="Z2271" s="30" t="n">
        <x:v>46291</x:v>
      </x:c>
    </x:row>
    <x:row r="2272" ht="18" customHeight="1">
      <x:c r="A2272" s="22" t="str">
        <x:f>"57e1394f-a2f5-475e-a11a-3b2f140f133f"</x:f>
        <x:v>57e1394f-a2f5-475e-a11a-3b2f140f133f</x:v>
      </x:c>
      <x:c r="B2272" s="23" t="str">
        <x:v>LUCAS ALMEIDA SANTOS</x:v>
      </x:c>
      <x:c r="C2272" s="23" t="str">
        <x:v>lucas almeida santos</x:v>
      </x:c>
      <x:c r="D2272" s="22" t="str">
        <x:f>"66.214.348/0001-90"</x:f>
        <x:v>66.214.348/0001-90</x:v>
      </x:c>
      <x:c r="E2272" s="22" t="str">
        <x:f>"66214348000190"</x:f>
        <x:v>66214348000190</x:v>
      </x:c>
      <x:c r="F2272" s="22" t="str">
        <x:f>"023.197.526-09"</x:f>
        <x:v>023.197.526-09</x:v>
      </x:c>
      <x:c r="G2272" s="22" t="str">
        <x:f>"02319752609"</x:f>
        <x:v>02319752609</x:v>
      </x:c>
      <x:c r="H2272" s="23" t="str">
        <x:v>contatolucas1808@gmail.com</x:v>
      </x:c>
      <x:c r="I2272" s="22" t="str">
        <x:f>"(31)9 82211953"</x:f>
        <x:v>(31)9 82211953</x:v>
      </x:c>
      <x:c r="J2272" s="23" t="str">
        <x:v>SPOT</x:v>
      </x:c>
      <x:c r="K2272" s="23" t="str">
        <x:v>favored_only</x:v>
      </x:c>
      <x:c r="L2272" s="24" t="b">
        <x:v>1</x:v>
      </x:c>
      <x:c r="M2272" s="23" t="n">
        <x:v>1</x:v>
      </x:c>
      <x:c r="N2272" s="28" t="n">
        <x:v>46219.812988715275</x:v>
      </x:c>
      <x:c r="O2272" s="28" t="n">
        <x:v>46219.812988715275</x:v>
      </x:c>
      <x:c r="P2272" s="23" t="str">
        <x:v>CONTAGEM</x:v>
      </x:c>
      <x:c r="Q2272" s="30" t="n">
        <x:v>38217</x:v>
      </x:c>
      <x:c r="R2272" s="22" t="str">
        <x:f>"mg19084805"</x:f>
        <x:v>mg19084805</x:v>
      </x:c>
      <x:c r="S2272" s="23" t="str">
        <x:v>masculino</x:v>
      </x:c>
      <x:c r="T2272" s="22" t="str">
        <x:f>"GSB6G65"</x:f>
        <x:v>GSB6G65</x:v>
      </x:c>
      <x:c r="U2272" s="23" t="str">
        <x:v>LUCAS ALMEIDA SANTOS</x:v>
      </x:c>
      <x:c r="V2272" s="22" t="str">
        <x:f>"023.197.526-09"</x:f>
        <x:v>023.197.526-09</x:v>
      </x:c>
      <x:c r="W2272" s="22" t="str">
        <x:f>"02319752609"</x:f>
        <x:v>02319752609</x:v>
      </x:c>
      <x:c r="X2272" s="23" t="str">
        <x:v>contatolucas1808@gmail.com</x:v>
      </x:c>
      <x:c r="Y2272" s="22" t="str">
        <x:f>"(31)9 82211953"</x:f>
        <x:v>(31)9 82211953</x:v>
      </x:c>
      <x:c r="Z2272" s="30" t="n">
        <x:v>46490</x:v>
      </x:c>
    </x:row>
    <x:row r="2273" ht="18" customHeight="1">
      <x:c r="A2273" s="22" t="str">
        <x:f>"f5fc2ac7-a159-4ea5-9c64-94d1efba017d"</x:f>
        <x:v>f5fc2ac7-a159-4ea5-9c64-94d1efba017d</x:v>
      </x:c>
      <x:c r="B2273" s="23" t="str">
        <x:v>LUCAS ALVES DE ARRUDA</x:v>
      </x:c>
      <x:c r="C2273" s="23" t="str">
        <x:v>lucas alves de arruda</x:v>
      </x:c>
      <x:c r="D2273" s="22" t="str">
        <x:f>"53.264.533/0001-47"</x:f>
        <x:v>53.264.533/0001-47</x:v>
      </x:c>
      <x:c r="E2273" s="22" t="str">
        <x:f>"53264533000147"</x:f>
        <x:v>53264533000147</x:v>
      </x:c>
      <x:c r="F2273" s="22" t="str">
        <x:f>"063.591.731-90"</x:f>
        <x:v>063.591.731-90</x:v>
      </x:c>
      <x:c r="G2273" s="22" t="str">
        <x:f>"06359173190"</x:f>
        <x:v>06359173190</x:v>
      </x:c>
      <x:c r="H2273" s="23" t="str">
        <x:v>lucasalvesdearruda@hotmail.com</x:v>
      </x:c>
      <x:c r="I2273" s="22" t="str">
        <x:f>"65 9907-9893"</x:f>
        <x:v>65 9907-9893</x:v>
      </x:c>
      <x:c r="J2273" s="23" t="str">
        <x:v>SPOT</x:v>
      </x:c>
      <x:c r="K2273" s="23" t="str">
        <x:v>favored_only</x:v>
      </x:c>
      <x:c r="L2273" s="24" t="b">
        <x:v>1</x:v>
      </x:c>
      <x:c r="M2273" s="23" t="n">
        <x:v>1</x:v>
      </x:c>
      <x:c r="N2273" s="28" t="n">
        <x:v>46205.60371590278</x:v>
      </x:c>
      <x:c r="O2273" s="28" t="n">
        <x:v>46219.812988715275</x:v>
      </x:c>
      <x:c r="P2273" s="23" t="str">
        <x:v>CUIABA</x:v>
      </x:c>
      <x:c r="Q2273" s="30" t="n">
        <x:v>36209</x:v>
      </x:c>
      <x:c r="R2273" s="22" t="str">
        <x:f>"26155800"</x:f>
        <x:v>26155800</x:v>
      </x:c>
      <x:c r="S2273" s="23" t="str">
        <x:v>masculino</x:v>
      </x:c>
      <x:c r="T2273" s="22" t="str">
        <x:f>"SPT4B41"</x:f>
        <x:v>SPT4B41</x:v>
      </x:c>
      <x:c r="U2273" s="23" t="str">
        <x:v>LEONIDAS DE PINHO E SILVA</x:v>
      </x:c>
      <x:c r="V2273" s="22" t="str">
        <x:f>"692.451.851-68"</x:f>
        <x:v>692.451.851-68</x:v>
      </x:c>
      <x:c r="W2273" s="22" t="str">
        <x:f>"69245185168"</x:f>
        <x:v>69245185168</x:v>
      </x:c>
      <x:c r="X2273" s="23" t="str">
        <x:v>veloxlogisticamt@gmail.com</x:v>
      </x:c>
      <x:c r="Y2273" s="22" t="str">
        <x:f>"(65) 99632-1030"</x:f>
        <x:v>(65) 99632-1030</x:v>
      </x:c>
      <x:c r="Z2273" s="30" t="n">
        <x:v>46235</x:v>
      </x:c>
    </x:row>
    <x:row r="2274" ht="18" customHeight="1">
      <x:c r="A2274" s="22" t="str">
        <x:f>"85817289-0b1e-4282-9eff-1b1f5d9d0d82"</x:f>
        <x:v>85817289-0b1e-4282-9eff-1b1f5d9d0d82</x:v>
      </x:c>
      <x:c r="B2274" s="23" t="str">
        <x:v>LUCAS ALVES FERREIRA</x:v>
      </x:c>
      <x:c r="C2274" s="23" t="str">
        <x:v>lucas alves ferreira</x:v>
      </x:c>
      <x:c r="D2274" s="22" t="str">
        <x:f>"57.888.200/0001-40"</x:f>
        <x:v>57.888.200/0001-40</x:v>
      </x:c>
      <x:c r="E2274" s="22" t="str">
        <x:f>"57888200000140"</x:f>
        <x:v>57888200000140</x:v>
      </x:c>
      <x:c r="F2274" s="22" t="str">
        <x:f>"087.760.766-44"</x:f>
        <x:v>087.760.766-44</x:v>
      </x:c>
      <x:c r="G2274" s="22" t="str">
        <x:f>"08776076644"</x:f>
        <x:v>08776076644</x:v>
      </x:c>
      <x:c r="H2274" s="23" t="str">
        <x:v>lucas.af@outlook.com</x:v>
      </x:c>
      <x:c r="I2274" s="22" t="str">
        <x:f>"31 98655-1391"</x:f>
        <x:v>31 98655-1391</x:v>
      </x:c>
      <x:c r="J2274" s="23" t="str">
        <x:v>SPOT</x:v>
      </x:c>
      <x:c r="K2274" s="23" t="str">
        <x:v>favored_only</x:v>
      </x:c>
      <x:c r="L2274" s="24" t="b">
        <x:v>1</x:v>
      </x:c>
      <x:c r="M2274" s="23" t="n">
        <x:v>1</x:v>
      </x:c>
      <x:c r="N2274" s="28" t="n">
        <x:v>46219.812988715275</x:v>
      </x:c>
      <x:c r="O2274" s="28" t="n">
        <x:v>46219.812988715275</x:v>
      </x:c>
      <x:c r="P2274" s="23" t="str">
        <x:v>VESPASIANO</x:v>
      </x:c>
      <x:c r="Q2274" s="30" t="n">
        <x:v>32752</x:v>
      </x:c>
      <x:c r="R2274" s="22" t="str">
        <x:f>"MG-15.226.242"</x:f>
        <x:v>MG-15.226.242</x:v>
      </x:c>
      <x:c r="S2274" s="23" t="str">
        <x:v>masculino</x:v>
      </x:c>
      <x:c r="T2274" s="22" t="str">
        <x:f>"RNJ0A02"</x:f>
        <x:v>RNJ0A02</x:v>
      </x:c>
      <x:c r="U2274" s="23" t="str">
        <x:v>LUCAS ALVES FERREIRA</x:v>
      </x:c>
      <x:c r="V2274" s="22" t="str">
        <x:f>"087.760.766-44"</x:f>
        <x:v>087.760.766-44</x:v>
      </x:c>
      <x:c r="W2274" s="22" t="str">
        <x:f>"08776076644"</x:f>
        <x:v>08776076644</x:v>
      </x:c>
      <x:c r="X2274" s="23" t="str">
        <x:v>lucas.af@outlook.com</x:v>
      </x:c>
      <x:c r="Y2274" s="22" t="str">
        <x:f>"31 98655-1391"</x:f>
        <x:v>31 98655-1391</x:v>
      </x:c>
      <x:c r="Z2274" s="30" t="n">
        <x:v>46563</x:v>
      </x:c>
    </x:row>
    <x:row r="2275" ht="18" customHeight="1">
      <x:c r="A2275" s="22" t="str">
        <x:f>"744648e7-43af-43af-a994-e1454c6264ed"</x:f>
        <x:v>744648e7-43af-43af-a994-e1454c6264ed</x:v>
      </x:c>
      <x:c r="B2275" s="23" t="str">
        <x:v>LUCAS ALVES NASCIMENTO</x:v>
      </x:c>
      <x:c r="C2275" s="23" t="str">
        <x:v>lucas alves nascimento</x:v>
      </x:c>
      <x:c r="D2275" s="22" t="str">
        <x:f>"55.783.923/0001-59"</x:f>
        <x:v>55.783.923/0001-59</x:v>
      </x:c>
      <x:c r="E2275" s="22" t="str">
        <x:f>"55783923000159"</x:f>
        <x:v>55783923000159</x:v>
      </x:c>
      <x:c r="F2275" s="22" t="str">
        <x:f>"056.873.311-82"</x:f>
        <x:v>056.873.311-82</x:v>
      </x:c>
      <x:c r="G2275" s="22" t="str">
        <x:f>"05687331182"</x:f>
        <x:v>05687331182</x:v>
      </x:c>
      <x:c r="H2275" s="23" t="str">
        <x:v>lucas.alves.la@gmail.com</x:v>
      </x:c>
      <x:c r="I2275" s="22" t="str">
        <x:f>"65996441193"</x:f>
        <x:v>65996441193</x:v>
      </x:c>
      <x:c r="J2275" s="23" t="str">
        <x:v>SPOT</x:v>
      </x:c>
      <x:c r="K2275" s="23" t="str">
        <x:v>favored_only</x:v>
      </x:c>
      <x:c r="L2275" s="24" t="b">
        <x:v>1</x:v>
      </x:c>
      <x:c r="M2275" s="23" t="n">
        <x:v>1</x:v>
      </x:c>
      <x:c r="N2275" s="28" t="n">
        <x:v>46205.604571944445</x:v>
      </x:c>
      <x:c r="O2275" s="28" t="n">
        <x:v>46219.812988715275</x:v>
      </x:c>
      <x:c r="P2275" s="23" t="str">
        <x:v>CÁCERES</x:v>
      </x:c>
      <x:c r="Q2275" s="30" t="n">
        <x:v>35517</x:v>
      </x:c>
      <x:c r="R2275" s="22" t="str">
        <x:f>"23149701"</x:f>
        <x:v>23149701</x:v>
      </x:c>
      <x:c r="S2275" s="23" t="str">
        <x:v>masculino</x:v>
      </x:c>
      <x:c r="T2275" s="22" t="str">
        <x:f>"OBG5647"</x:f>
        <x:v>OBG5647</x:v>
      </x:c>
      <x:c r="U2275" s="23" t="str">
        <x:v>CAIQUE HENRIQUE DA CRUZ</x:v>
      </x:c>
      <x:c r="V2275" s="22" t="str">
        <x:f>"058.062.901-58"</x:f>
        <x:v>058.062.901-58</x:v>
      </x:c>
      <x:c r="W2275" s="22" t="str">
        <x:f>"05806290158"</x:f>
        <x:v>05806290158</x:v>
      </x:c>
      <x:c r="X2275" s="23" t="str">
        <x:v>caiquehenrique112@gmail.com</x:v>
      </x:c>
      <x:c r="Y2275" s="22" t="str">
        <x:f>"65981695365"</x:f>
        <x:v>65981695365</x:v>
      </x:c>
      <x:c r="Z2275" s="30" t="n">
        <x:v>46283</x:v>
      </x:c>
    </x:row>
    <x:row r="2276" ht="18" customHeight="1">
      <x:c r="A2276" s="22" t="str">
        <x:f>"ebf89dae-0e68-41e8-98c7-01880aa5f270"</x:f>
        <x:v>ebf89dae-0e68-41e8-98c7-01880aa5f270</x:v>
      </x:c>
      <x:c r="B2276" s="23" t="str">
        <x:v>LUCAS ANDRADE DE SOUZA</x:v>
      </x:c>
      <x:c r="C2276" s="23" t="str">
        <x:v>lucas andrade de souza</x:v>
      </x:c>
      <x:c r="D2276" s="22" t="str">
        <x:f>"66.480.975/0001-72"</x:f>
        <x:v>66.480.975/0001-72</x:v>
      </x:c>
      <x:c r="E2276" s="22" t="str">
        <x:f>"66480975000172"</x:f>
        <x:v>66480975000172</x:v>
      </x:c>
      <x:c r="F2276" s="22" t="str">
        <x:f>"103.727.916-62"</x:f>
        <x:v>103.727.916-62</x:v>
      </x:c>
      <x:c r="G2276" s="22" t="str">
        <x:f>"10372791662"</x:f>
        <x:v>10372791662</x:v>
      </x:c>
      <x:c r="H2276" s="23" t="str">
        <x:v>lucas.a.s0609@gmail.com</x:v>
      </x:c>
      <x:c r="I2276" s="22" t="str">
        <x:f>"34991109973"</x:f>
        <x:v>34991109973</x:v>
      </x:c>
      <x:c r="J2276" s="23" t="str">
        <x:v>RENTAL</x:v>
      </x:c>
      <x:c r="K2276" s="23" t="str">
        <x:v>rental_company</x:v>
      </x:c>
      <x:c r="L2276" s="24" t="b">
        <x:v>1</x:v>
      </x:c>
      <x:c r="M2276" s="23" t="n">
        <x:v>1</x:v>
      </x:c>
      <x:c r="N2276" s="28" t="n">
        <x:v>46219.812988715275</x:v>
      </x:c>
      <x:c r="O2276" s="28" t="n">
        <x:v>46219.812988715275</x:v>
      </x:c>
      <x:c r="P2276" s="23" t="str">
        <x:v>UBERLANDIA</x:v>
      </x:c>
      <x:c r="Q2276" s="30" t="n">
        <x:v>33269</x:v>
      </x:c>
      <x:c r="R2276" s="22" t="str">
        <x:f>"16944387"</x:f>
        <x:v>16944387</x:v>
      </x:c>
      <x:c r="S2276" s="23" t="str">
        <x:v>masculino</x:v>
      </x:c>
      <x:c r="T2276" s="22" t="str"/>
      <x:c r="U2276" s="23" t="str">
        <x:v>LUCAS ANDRADE DE SOUZA</x:v>
      </x:c>
      <x:c r="V2276" s="22" t="str">
        <x:f>"103.727.916-62"</x:f>
        <x:v>103.727.916-62</x:v>
      </x:c>
      <x:c r="W2276" s="22" t="str">
        <x:f>"10372791662"</x:f>
        <x:v>10372791662</x:v>
      </x:c>
      <x:c r="X2276" s="23" t="str">
        <x:v>lucas.a.s0609@gmail.com</x:v>
      </x:c>
      <x:c r="Y2276" s="22" t="str">
        <x:f>"34991109973"</x:f>
        <x:v>34991109973</x:v>
      </x:c>
      <x:c r="Z2276" s="30" t="n">
        <x:v>46569</x:v>
      </x:c>
    </x:row>
    <x:row r="2277" ht="18" customHeight="1">
      <x:c r="A2277" s="22" t="str">
        <x:f>"2fbe47e6-263f-442e-98eb-09068f354704"</x:f>
        <x:v>2fbe47e6-263f-442e-98eb-09068f354704</x:v>
      </x:c>
      <x:c r="B2277" s="23" t="str">
        <x:v>LUCAS ANDRADE FELIX</x:v>
      </x:c>
      <x:c r="C2277" s="23" t="str">
        <x:v>lucas andrade felix</x:v>
      </x:c>
      <x:c r="D2277" s="22" t="str">
        <x:f>"64.265.813/0001-96"</x:f>
        <x:v>64.265.813/0001-96</x:v>
      </x:c>
      <x:c r="E2277" s="22" t="str">
        <x:f>"64265813000196"</x:f>
        <x:v>64265813000196</x:v>
      </x:c>
      <x:c r="F2277" s="22" t="str">
        <x:f>"020.524.436-06"</x:f>
        <x:v>020.524.436-06</x:v>
      </x:c>
      <x:c r="G2277" s="22" t="str">
        <x:f>"02052443606"</x:f>
        <x:v>02052443606</x:v>
      </x:c>
      <x:c r="H2277" s="23" t="str">
        <x:v>lukasfelix1313@gmail.com</x:v>
      </x:c>
      <x:c r="I2277" s="22" t="str">
        <x:f>"31980260425"</x:f>
        <x:v>31980260425</x:v>
      </x:c>
      <x:c r="J2277" s="23" t="str">
        <x:v>SPOT</x:v>
      </x:c>
      <x:c r="K2277" s="23" t="str">
        <x:v>favored_only</x:v>
      </x:c>
      <x:c r="L2277" s="24" t="b">
        <x:v>1</x:v>
      </x:c>
      <x:c r="M2277" s="23" t="n">
        <x:v>1</x:v>
      </x:c>
      <x:c r="N2277" s="28" t="n">
        <x:v>46219.812988715275</x:v>
      </x:c>
      <x:c r="O2277" s="28" t="n">
        <x:v>46219.812988715275</x:v>
      </x:c>
      <x:c r="P2277" s="23" t="str">
        <x:v>IPATINGA</x:v>
      </x:c>
      <x:c r="Q2277" s="30" t="n">
        <x:v>36813</x:v>
      </x:c>
      <x:c r="R2277" s="22" t="str">
        <x:f>"MG 20099423 SSPMG"</x:f>
        <x:v>MG 20099423 SSPMG</x:v>
      </x:c>
      <x:c r="S2277" s="23" t="str">
        <x:v>masculino</x:v>
      </x:c>
      <x:c r="T2277" s="22" t="str">
        <x:f>"HEQ9512"</x:f>
        <x:v>HEQ9512</x:v>
      </x:c>
      <x:c r="U2277" s="23" t="str">
        <x:v>LUCAS ANDRADE FELIX</x:v>
      </x:c>
      <x:c r="V2277" s="22" t="str">
        <x:f>"020.524.436-06"</x:f>
        <x:v>020.524.436-06</x:v>
      </x:c>
      <x:c r="W2277" s="22" t="str">
        <x:f>"02052443606"</x:f>
        <x:v>02052443606</x:v>
      </x:c>
      <x:c r="X2277" s="23" t="str">
        <x:v>lukasfelix1313@gmail.com</x:v>
      </x:c>
      <x:c r="Y2277" s="22" t="str">
        <x:f>"31980260425"</x:f>
        <x:v>31980260425</x:v>
      </x:c>
      <x:c r="Z2277" s="30" t="n">
        <x:v>46451</x:v>
      </x:c>
    </x:row>
    <x:row r="2278" ht="18" customHeight="1">
      <x:c r="A2278" s="22" t="str">
        <x:f>"34f6d9af-dd89-41d4-bb17-70ada0520982"</x:f>
        <x:v>34f6d9af-dd89-41d4-bb17-70ada0520982</x:v>
      </x:c>
      <x:c r="B2278" s="23" t="str">
        <x:v>LUCAS ANDRE DE MIRANDA LEITE</x:v>
      </x:c>
      <x:c r="C2278" s="23" t="str">
        <x:v>lucas andre de miranda leite</x:v>
      </x:c>
      <x:c r="D2278" s="22" t="str">
        <x:f>"66.118.625/0001-60"</x:f>
        <x:v>66.118.625/0001-60</x:v>
      </x:c>
      <x:c r="E2278" s="22" t="str">
        <x:f>"66118625000160"</x:f>
        <x:v>66118625000160</x:v>
      </x:c>
      <x:c r="F2278" s="22" t="str">
        <x:f>"051.910.771-30"</x:f>
        <x:v>051.910.771-30</x:v>
      </x:c>
      <x:c r="G2278" s="22" t="str">
        <x:f>"05191077130"</x:f>
        <x:v>05191077130</x:v>
      </x:c>
      <x:c r="H2278" s="23" t="str">
        <x:v>lucasatual96@gmail.com</x:v>
      </x:c>
      <x:c r="I2278" s="22" t="str">
        <x:f>"65993109415"</x:f>
        <x:v>65993109415</x:v>
      </x:c>
      <x:c r="J2278" s="23" t="str">
        <x:v>RENTAL</x:v>
      </x:c>
      <x:c r="K2278" s="23" t="str">
        <x:v>rental_company</x:v>
      </x:c>
      <x:c r="L2278" s="24" t="b">
        <x:v>1</x:v>
      </x:c>
      <x:c r="M2278" s="23" t="n">
        <x:v>1</x:v>
      </x:c>
      <x:c r="N2278" s="28" t="n">
        <x:v>46219.812988715275</x:v>
      </x:c>
      <x:c r="O2278" s="28" t="n">
        <x:v>46219.812988715275</x:v>
      </x:c>
      <x:c r="P2278" s="23" t="str">
        <x:v>CUIABA</x:v>
      </x:c>
      <x:c r="Q2278" s="30" t="n">
        <x:v>35226</x:v>
      </x:c>
      <x:c r="R2278" s="22" t="str">
        <x:f>"22011730"</x:f>
        <x:v>22011730</x:v>
      </x:c>
      <x:c r="S2278" s="23" t="str">
        <x:v>masculino</x:v>
      </x:c>
      <x:c r="T2278" s="22" t="str"/>
      <x:c r="U2278" s="23" t="str">
        <x:v>LUCAS ANDRE DE MIRANDA LEITE</x:v>
      </x:c>
      <x:c r="V2278" s="22" t="str">
        <x:f>"051.910.771-30"</x:f>
        <x:v>051.910.771-30</x:v>
      </x:c>
      <x:c r="W2278" s="22" t="str">
        <x:f>"05191077130"</x:f>
        <x:v>05191077130</x:v>
      </x:c>
      <x:c r="X2278" s="23" t="str">
        <x:v>lucasatual96@gmail.com</x:v>
      </x:c>
      <x:c r="Y2278" s="22" t="str">
        <x:f>"65993109415"</x:f>
        <x:v>65993109415</x:v>
      </x:c>
      <x:c r="Z2278" s="30" t="n">
        <x:v>46492</x:v>
      </x:c>
    </x:row>
    <x:row r="2279" ht="18" customHeight="1">
      <x:c r="A2279" s="22" t="str">
        <x:f>"da865eec-1209-48c1-ac87-c6499bba18ea"</x:f>
        <x:v>da865eec-1209-48c1-ac87-c6499bba18ea</x:v>
      </x:c>
      <x:c r="B2279" s="23" t="str">
        <x:v>LUCAS ANTONIO LISZMAN DA SILVA</x:v>
      </x:c>
      <x:c r="C2279" s="23" t="str">
        <x:v>lucas antonio liszman da silva</x:v>
      </x:c>
      <x:c r="D2279" s="22" t="str">
        <x:f>"58.531.129/0001-06"</x:f>
        <x:v>58.531.129/0001-06</x:v>
      </x:c>
      <x:c r="E2279" s="22" t="str">
        <x:f>"58531129000106"</x:f>
        <x:v>58531129000106</x:v>
      </x:c>
      <x:c r="F2279" s="22" t="str">
        <x:f>"065.716.671-50"</x:f>
        <x:v>065.716.671-50</x:v>
      </x:c>
      <x:c r="G2279" s="22" t="str">
        <x:f>"06571667150"</x:f>
        <x:v>06571667150</x:v>
      </x:c>
      <x:c r="H2279" s="23" t="str">
        <x:v>lucasliszman014@gmail.com</x:v>
      </x:c>
      <x:c r="I2279" s="22" t="str">
        <x:f>"65981475369"</x:f>
        <x:v>65981475369</x:v>
      </x:c>
      <x:c r="J2279" s="23" t="str">
        <x:v>SPOT</x:v>
      </x:c>
      <x:c r="K2279" s="23" t="str">
        <x:v>favored_only</x:v>
      </x:c>
      <x:c r="L2279" s="24" t="b">
        <x:v>1</x:v>
      </x:c>
      <x:c r="M2279" s="23" t="n">
        <x:v>1</x:v>
      </x:c>
      <x:c r="N2279" s="28" t="n">
        <x:v>46219.812988715275</x:v>
      </x:c>
      <x:c r="O2279" s="28" t="n">
        <x:v>46219.812988715275</x:v>
      </x:c>
      <x:c r="P2279" s="23" t="str">
        <x:v>CUIABA</x:v>
      </x:c>
      <x:c r="Q2279" s="30" t="n">
        <x:v>38238</x:v>
      </x:c>
      <x:c r="R2279" s="22" t="str">
        <x:f>"33634758"</x:f>
        <x:v>33634758</x:v>
      </x:c>
      <x:c r="S2279" s="23" t="str">
        <x:v>masculino</x:v>
      </x:c>
      <x:c r="T2279" s="22" t="str">
        <x:f>"OAW9J84"</x:f>
        <x:v>OAW9J84</x:v>
      </x:c>
      <x:c r="U2279" s="23" t="str">
        <x:v>LUCAS ANTONIO LISZMAN DA SILVA</x:v>
      </x:c>
      <x:c r="V2279" s="22" t="str">
        <x:f>"065.716.671-50"</x:f>
        <x:v>065.716.671-50</x:v>
      </x:c>
      <x:c r="W2279" s="22" t="str">
        <x:f>"06571667150"</x:f>
        <x:v>06571667150</x:v>
      </x:c>
      <x:c r="X2279" s="23" t="str">
        <x:v>lucasliszman014@gmail.com</x:v>
      </x:c>
      <x:c r="Y2279" s="22" t="str">
        <x:f>"65981475369"</x:f>
        <x:v>65981475369</x:v>
      </x:c>
      <x:c r="Z2279" s="30" t="n">
        <x:v>46458</x:v>
      </x:c>
    </x:row>
    <x:row r="2280" ht="18" customHeight="1">
      <x:c r="A2280" s="22" t="str">
        <x:f>"06e9c93b-ae21-4475-a5d5-dd5cbb37c346"</x:f>
        <x:v>06e9c93b-ae21-4475-a5d5-dd5cbb37c346</x:v>
      </x:c>
      <x:c r="B2280" s="23" t="str">
        <x:v>LUCAS APARECIDO RAMOS BARROSO</x:v>
      </x:c>
      <x:c r="C2280" s="23" t="str">
        <x:v>lucas aparecido ramos barroso</x:v>
      </x:c>
      <x:c r="D2280" s="22" t="str">
        <x:f>"54.032.338/0001-54"</x:f>
        <x:v>54.032.338/0001-54</x:v>
      </x:c>
      <x:c r="E2280" s="22" t="str">
        <x:f>"54032338000154"</x:f>
        <x:v>54032338000154</x:v>
      </x:c>
      <x:c r="F2280" s="22" t="str">
        <x:f>"096.913.816-48"</x:f>
        <x:v>096.913.816-48</x:v>
      </x:c>
      <x:c r="G2280" s="22" t="str">
        <x:f>"09691381648"</x:f>
        <x:v>09691381648</x:v>
      </x:c>
      <x:c r="H2280" s="23" t="str">
        <x:v>lucasramossamu@gmail.com</x:v>
      </x:c>
      <x:c r="I2280" s="22" t="str">
        <x:f>"(33) 99119-7443"</x:f>
        <x:v>(33) 99119-7443</x:v>
      </x:c>
      <x:c r="J2280" s="23" t="str">
        <x:v>SPOT</x:v>
      </x:c>
      <x:c r="K2280" s="23" t="str">
        <x:v>favored_only</x:v>
      </x:c>
      <x:c r="L2280" s="24" t="b">
        <x:v>1</x:v>
      </x:c>
      <x:c r="M2280" s="23" t="n">
        <x:v>1</x:v>
      </x:c>
      <x:c r="N2280" s="28" t="n">
        <x:v>46203.921904421295</x:v>
      </x:c>
      <x:c r="O2280" s="28" t="n">
        <x:v>46219.812988715275</x:v>
      </x:c>
      <x:c r="P2280" s="23" t="str">
        <x:v>TEOFILO OTONI</x:v>
      </x:c>
      <x:c r="Q2280" s="30" t="n">
        <x:v>32587</x:v>
      </x:c>
      <x:c r="R2280" s="22" t="str">
        <x:f>"16532482"</x:f>
        <x:v>16532482</x:v>
      </x:c>
      <x:c r="S2280" s="23" t="str">
        <x:v>masculino</x:v>
      </x:c>
      <x:c r="T2280" s="22" t="str">
        <x:f>"SID2D39"</x:f>
        <x:v>SID2D39</x:v>
      </x:c>
      <x:c r="U2280" s="23" t="str">
        <x:v>LUCAS APARECIDO RAMOS BARROSO</x:v>
      </x:c>
      <x:c r="V2280" s="22" t="str">
        <x:f>"096.913.816-48"</x:f>
        <x:v>096.913.816-48</x:v>
      </x:c>
      <x:c r="W2280" s="22" t="str">
        <x:f>"09691381648"</x:f>
        <x:v>09691381648</x:v>
      </x:c>
      <x:c r="X2280" s="23" t="str">
        <x:v>lucasramossamu@gmail.com</x:v>
      </x:c>
      <x:c r="Y2280" s="22" t="str">
        <x:f>"(33) 99119-7443"</x:f>
        <x:v>(33) 99119-7443</x:v>
      </x:c>
      <x:c r="Z2280" s="30" t="n">
        <x:v>46366</x:v>
      </x:c>
    </x:row>
    <x:row r="2281" ht="18" customHeight="1">
      <x:c r="A2281" s="22" t="str">
        <x:f>"d140da3d-717e-4801-a0cc-535eb04cf024"</x:f>
        <x:v>d140da3d-717e-4801-a0cc-535eb04cf024</x:v>
      </x:c>
      <x:c r="B2281" s="23" t="str">
        <x:v>LUCAS AUGUSTO BELAGAMBA</x:v>
      </x:c>
      <x:c r="C2281" s="23" t="str">
        <x:v>lucas augusto belagamba</x:v>
      </x:c>
      <x:c r="D2281" s="22" t="str">
        <x:f>"59.733.336/0001-06"</x:f>
        <x:v>59.733.336/0001-06</x:v>
      </x:c>
      <x:c r="E2281" s="22" t="str">
        <x:f>"59733336000106"</x:f>
        <x:v>59733336000106</x:v>
      </x:c>
      <x:c r="F2281" s="22" t="str">
        <x:f>"433.817.268-11"</x:f>
        <x:v>433.817.268-11</x:v>
      </x:c>
      <x:c r="G2281" s="22" t="str">
        <x:f>"43381726811"</x:f>
        <x:v>43381726811</x:v>
      </x:c>
      <x:c r="H2281" s="23" t="str">
        <x:v>lucasaugustobelagamba2@gmail.com</x:v>
      </x:c>
      <x:c r="I2281" s="22" t="str">
        <x:f>"16994535469"</x:f>
        <x:v>16994535469</x:v>
      </x:c>
      <x:c r="J2281" s="23" t="str">
        <x:v>RENTALS</x:v>
      </x:c>
      <x:c r="K2281" s="23" t="str">
        <x:v>rental_company</x:v>
      </x:c>
      <x:c r="L2281" s="24" t="b">
        <x:v>1</x:v>
      </x:c>
      <x:c r="M2281" s="23" t="n">
        <x:v>1</x:v>
      </x:c>
      <x:c r="N2281" s="28" t="n">
        <x:v>46219.812988715275</x:v>
      </x:c>
      <x:c r="O2281" s="28" t="n">
        <x:v>46219.812988715275</x:v>
      </x:c>
      <x:c r="P2281" s="23" t="str">
        <x:v>RIBEIRAO PRETO</x:v>
      </x:c>
      <x:c r="Q2281" s="30" t="n">
        <x:v>34595</x:v>
      </x:c>
      <x:c r="R2281" s="22" t="str">
        <x:f>"454057660"</x:f>
        <x:v>454057660</x:v>
      </x:c>
      <x:c r="S2281" s="23" t="str">
        <x:v>masculino</x:v>
      </x:c>
      <x:c r="T2281" s="22" t="str"/>
      <x:c r="U2281" s="23" t="str">
        <x:v>LUCAS AUGUSTO BELAGAMBA</x:v>
      </x:c>
      <x:c r="V2281" s="22" t="str">
        <x:f>"433.817.268-11"</x:f>
        <x:v>433.817.268-11</x:v>
      </x:c>
      <x:c r="W2281" s="22" t="str">
        <x:f>"43381726811"</x:f>
        <x:v>43381726811</x:v>
      </x:c>
      <x:c r="X2281" s="23" t="str">
        <x:v>lucasaugustobelagamba2@gmail.com</x:v>
      </x:c>
      <x:c r="Y2281" s="22" t="str">
        <x:f>"16994535469"</x:f>
        <x:v>16994535469</x:v>
      </x:c>
      <x:c r="Z2281" s="30" t="n">
        <x:v>46486</x:v>
      </x:c>
    </x:row>
    <x:row r="2282" ht="18" customHeight="1">
      <x:c r="A2282" s="22" t="str">
        <x:f>"397b1f41-76dc-43b5-96a3-e04bb6237d1b"</x:f>
        <x:v>397b1f41-76dc-43b5-96a3-e04bb6237d1b</x:v>
      </x:c>
      <x:c r="B2282" s="23" t="str">
        <x:v>LUCAS BARBOSA GONCALVES TIBE</x:v>
      </x:c>
      <x:c r="C2282" s="23" t="str">
        <x:v>lucas barbosa goncalves tibe</x:v>
      </x:c>
      <x:c r="D2282" s="22" t="str">
        <x:f>"53.264.533/0001-47"</x:f>
        <x:v>53.264.533/0001-47</x:v>
      </x:c>
      <x:c r="E2282" s="22" t="str">
        <x:f>"53264533000147"</x:f>
        <x:v>53264533000147</x:v>
      </x:c>
      <x:c r="F2282" s="22" t="str">
        <x:f>"043.027.551-05"</x:f>
        <x:v>043.027.551-05</x:v>
      </x:c>
      <x:c r="G2282" s="22" t="str">
        <x:f>"04302755105"</x:f>
        <x:v>04302755105</x:v>
      </x:c>
      <x:c r="H2282" s="23" t="str">
        <x:v>luucas.2004@gmail.com</x:v>
      </x:c>
      <x:c r="I2282" s="22" t="str">
        <x:f>"66984201424"</x:f>
        <x:v>66984201424</x:v>
      </x:c>
      <x:c r="J2282" s="23" t="str">
        <x:v>SPOT</x:v>
      </x:c>
      <x:c r="K2282" s="23" t="str">
        <x:v>favored_only</x:v>
      </x:c>
      <x:c r="L2282" s="24" t="b">
        <x:v>1</x:v>
      </x:c>
      <x:c r="M2282" s="23" t="n">
        <x:v>1</x:v>
      </x:c>
      <x:c r="N2282" s="28" t="n">
        <x:v>46205.60371357639</x:v>
      </x:c>
      <x:c r="O2282" s="28" t="n">
        <x:v>46219.812988715275</x:v>
      </x:c>
      <x:c r="P2282" s="23" t="str">
        <x:v>CUIABA</x:v>
      </x:c>
      <x:c r="Q2282" s="30" t="n">
        <x:v>38025</x:v>
      </x:c>
      <x:c r="R2282" s="22" t="str">
        <x:f>"32458681"</x:f>
        <x:v>32458681</x:v>
      </x:c>
      <x:c r="S2282" s="23" t="str">
        <x:v>masculino</x:v>
      </x:c>
      <x:c r="T2282" s="22" t="str">
        <x:f>"SPT4B81"</x:f>
        <x:v>SPT4B81</x:v>
      </x:c>
      <x:c r="U2282" s="23" t="str">
        <x:v>LEONIDAS DE PINHO E SILVA</x:v>
      </x:c>
      <x:c r="V2282" s="22" t="str">
        <x:f>"692.451.851-68"</x:f>
        <x:v>692.451.851-68</x:v>
      </x:c>
      <x:c r="W2282" s="22" t="str">
        <x:f>"69245185168"</x:f>
        <x:v>69245185168</x:v>
      </x:c>
      <x:c r="X2282" s="23" t="str">
        <x:v>veloxlogisticamt@gmail.com</x:v>
      </x:c>
      <x:c r="Y2282" s="22" t="str">
        <x:f>"(65) 99632-1030"</x:f>
        <x:v>(65) 99632-1030</x:v>
      </x:c>
      <x:c r="Z2282" s="30" t="n">
        <x:v>46235</x:v>
      </x:c>
    </x:row>
    <x:row r="2283" ht="18" customHeight="1">
      <x:c r="A2283" s="22" t="str">
        <x:f>"1d9cda6b-9092-49a4-ad16-e6e825b58d9f"</x:f>
        <x:v>1d9cda6b-9092-49a4-ad16-e6e825b58d9f</x:v>
      </x:c>
      <x:c r="B2283" s="23" t="str">
        <x:v>LUCAS BARBOSA GONCALVES TIBES</x:v>
      </x:c>
      <x:c r="C2283" s="23" t="str">
        <x:v>lucas barbosa goncalves tibes</x:v>
      </x:c>
      <x:c r="D2283" s="22" t="str">
        <x:f>"23.130.072/0001-59"</x:f>
        <x:v>23.130.072/0001-59</x:v>
      </x:c>
      <x:c r="E2283" s="22" t="str">
        <x:f>"23130072000159"</x:f>
        <x:v>23130072000159</x:v>
      </x:c>
      <x:c r="F2283" s="22" t="str">
        <x:f>"043.027.551-05"</x:f>
        <x:v>043.027.551-05</x:v>
      </x:c>
      <x:c r="G2283" s="22" t="str">
        <x:f>"04302755105"</x:f>
        <x:v>04302755105</x:v>
      </x:c>
      <x:c r="H2283" s="23" t="str">
        <x:v>luucas.2004@gmail.com</x:v>
      </x:c>
      <x:c r="I2283" s="22" t="str">
        <x:f>"66984201424"</x:f>
        <x:v>66984201424</x:v>
      </x:c>
      <x:c r="J2283" s="23" t="str">
        <x:v>SPOT</x:v>
      </x:c>
      <x:c r="K2283" s="23" t="str">
        <x:v>favored_only</x:v>
      </x:c>
      <x:c r="L2283" s="24" t="b">
        <x:v>1</x:v>
      </x:c>
      <x:c r="M2283" s="23" t="n">
        <x:v>1</x:v>
      </x:c>
      <x:c r="N2283" s="28" t="n">
        <x:v>46205.606572337965</x:v>
      </x:c>
      <x:c r="O2283" s="28" t="n">
        <x:v>46219.812988715275</x:v>
      </x:c>
      <x:c r="P2283" s="23" t="str">
        <x:v>CUIABA</x:v>
      </x:c>
      <x:c r="Q2283" s="30" t="n">
        <x:v>38025</x:v>
      </x:c>
      <x:c r="R2283" s="22" t="str">
        <x:f>"8255922038"</x:f>
        <x:v>8255922038</x:v>
      </x:c>
      <x:c r="S2283" s="23" t="str">
        <x:v>masculino</x:v>
      </x:c>
      <x:c r="T2283" s="22" t="str">
        <x:f>"RNN0A40"</x:f>
        <x:v>RNN0A40</x:v>
      </x:c>
      <x:c r="U2283" s="23" t="str">
        <x:v>ROGGER DAYAN GONCALVES BELARDI</x:v>
      </x:c>
      <x:c r="V2283" s="22" t="str">
        <x:f>"048.078.511-28"</x:f>
        <x:v>048.078.511-28</x:v>
      </x:c>
      <x:c r="W2283" s="22" t="str">
        <x:f>"04807851128"</x:f>
        <x:v>04807851128</x:v>
      </x:c>
      <x:c r="X2283" s="23" t="str">
        <x:v>roggerdayan59@gmail.com</x:v>
      </x:c>
      <x:c r="Y2283" s="22" t="str">
        <x:f>"65996787923"</x:f>
        <x:v>65996787923</x:v>
      </x:c>
      <x:c r="Z2283" s="30" t="n">
        <x:v>46365</x:v>
      </x:c>
    </x:row>
    <x:row r="2284" ht="18" customHeight="1">
      <x:c r="A2284" s="22" t="str">
        <x:f>"2ff0c3b4-c285-4183-ac08-ba14f86e04af"</x:f>
        <x:v>2ff0c3b4-c285-4183-ac08-ba14f86e04af</x:v>
      </x:c>
      <x:c r="B2284" s="23" t="str">
        <x:v>LUCAS BARBOSA GONCALVES TIBES</x:v>
      </x:c>
      <x:c r="C2284" s="23" t="str">
        <x:v>lucas barbosa goncalves tibes</x:v>
      </x:c>
      <x:c r="D2284" s="22" t="str">
        <x:f>"59.477.857/0001-40"</x:f>
        <x:v>59.477.857/0001-40</x:v>
      </x:c>
      <x:c r="E2284" s="22" t="str">
        <x:f>"59477857000140"</x:f>
        <x:v>59477857000140</x:v>
      </x:c>
      <x:c r="F2284" s="22" t="str">
        <x:f>"043.027.551-05"</x:f>
        <x:v>043.027.551-05</x:v>
      </x:c>
      <x:c r="G2284" s="22" t="str">
        <x:f>"04302755105"</x:f>
        <x:v>04302755105</x:v>
      </x:c>
      <x:c r="H2284" s="23" t="str">
        <x:v>luucas.2004@gmail.com</x:v>
      </x:c>
      <x:c r="I2284" s="22" t="str">
        <x:f>"66984201424"</x:f>
        <x:v>66984201424</x:v>
      </x:c>
      <x:c r="J2284" s="23" t="str">
        <x:v>SPOT</x:v>
      </x:c>
      <x:c r="K2284" s="23" t="str">
        <x:v>favored_only</x:v>
      </x:c>
      <x:c r="L2284" s="24" t="b">
        <x:v>1</x:v>
      </x:c>
      <x:c r="M2284" s="23" t="n">
        <x:v>1</x:v>
      </x:c>
      <x:c r="N2284" s="28" t="n">
        <x:v>46205.60463381944</x:v>
      </x:c>
      <x:c r="O2284" s="28" t="n">
        <x:v>46219.812988715275</x:v>
      </x:c>
      <x:c r="P2284" s="23" t="str">
        <x:v>CUIABA</x:v>
      </x:c>
      <x:c r="Q2284" s="30" t="n">
        <x:v>38025</x:v>
      </x:c>
      <x:c r="R2284" s="22" t="str">
        <x:f>"8255922038"</x:f>
        <x:v>8255922038</x:v>
      </x:c>
      <x:c r="S2284" s="23" t="str">
        <x:v>masculino</x:v>
      </x:c>
      <x:c r="T2284" s="22" t="str">
        <x:f>"SPR4D72"</x:f>
        <x:v>SPR4D72</x:v>
      </x:c>
      <x:c r="U2284" s="23" t="str">
        <x:v>ANDRE LUIS DE FREITAS FARIAS</x:v>
      </x:c>
      <x:c r="V2284" s="22" t="str">
        <x:f>"627.859.401-30"</x:f>
        <x:v>627.859.401-30</x:v>
      </x:c>
      <x:c r="W2284" s="22" t="str">
        <x:f>"62785940130"</x:f>
        <x:v>62785940130</x:v>
      </x:c>
      <x:c r="X2284" s="23" t="str">
        <x:v>andreffarias40@gmail.com</x:v>
      </x:c>
      <x:c r="Y2284" s="22" t="str">
        <x:f>"(61) 99890-5388"</x:f>
        <x:v>(61) 99890-5388</x:v>
      </x:c>
      <x:c r="Z2284" s="30" t="n">
        <x:v>46287</x:v>
      </x:c>
    </x:row>
    <x:row r="2285" ht="18" customHeight="1">
      <x:c r="A2285" s="22" t="str">
        <x:f>"121a8df0-ed8e-4c83-a5e4-23ab6d776630"</x:f>
        <x:v>121a8df0-ed8e-4c83-a5e4-23ab6d776630</x:v>
      </x:c>
      <x:c r="B2285" s="23" t="str">
        <x:v>LUCAS BISPO DOS SANTOS</x:v>
      </x:c>
      <x:c r="C2285" s="23" t="str">
        <x:v>lucas bispo dos santos</x:v>
      </x:c>
      <x:c r="D2285" s="22" t="str">
        <x:f>"36.951.751/0001-30"</x:f>
        <x:v>36.951.751/0001-30</x:v>
      </x:c>
      <x:c r="E2285" s="22" t="str">
        <x:f>"36951751000130"</x:f>
        <x:v>36951751000130</x:v>
      </x:c>
      <x:c r="F2285" s="22" t="str">
        <x:f>"405.632.488-31"</x:f>
        <x:v>405.632.488-31</x:v>
      </x:c>
      <x:c r="G2285" s="22" t="str">
        <x:f>"40563248831"</x:f>
        <x:v>40563248831</x:v>
      </x:c>
      <x:c r="H2285" s="23" t="str">
        <x:v>clucas.bispo92@hotmail.com</x:v>
      </x:c>
      <x:c r="I2285" s="22" t="str">
        <x:f>"11991816258"</x:f>
        <x:v>11991816258</x:v>
      </x:c>
      <x:c r="J2285" s="23" t="str">
        <x:v>RENTAL</x:v>
      </x:c>
      <x:c r="K2285" s="23" t="str">
        <x:v>rental_company</x:v>
      </x:c>
      <x:c r="L2285" s="24" t="b">
        <x:v>1</x:v>
      </x:c>
      <x:c r="M2285" s="23" t="n">
        <x:v>1</x:v>
      </x:c>
      <x:c r="N2285" s="28" t="n">
        <x:v>46203.92186462963</x:v>
      </x:c>
      <x:c r="O2285" s="28" t="n">
        <x:v>46219.812988715275</x:v>
      </x:c>
      <x:c r="P2285" s="23" t="str">
        <x:v>MADEIRA MADEIRA</x:v>
      </x:c>
      <x:c r="Q2285" s="30" t="n">
        <x:v>33708</x:v>
      </x:c>
      <x:c r="R2285" s="22" t="str">
        <x:f>"48.186.082-4"</x:f>
        <x:v>48.186.082-4</x:v>
      </x:c>
      <x:c r="S2285" s="23" t="str">
        <x:v>masculino</x:v>
      </x:c>
      <x:c r="T2285" s="22" t="str"/>
      <x:c r="U2285" s="23" t="str">
        <x:v>LUCAS BISPO DOS SANTOS</x:v>
      </x:c>
      <x:c r="V2285" s="22" t="str">
        <x:f>"405.632.488-31"</x:f>
        <x:v>405.632.488-31</x:v>
      </x:c>
      <x:c r="W2285" s="22" t="str">
        <x:f>"40563248831"</x:f>
        <x:v>40563248831</x:v>
      </x:c>
      <x:c r="X2285" s="23" t="str">
        <x:v>clucas.bispo92@hotmail.com</x:v>
      </x:c>
      <x:c r="Y2285" s="22" t="str">
        <x:f>"11991816258"</x:f>
        <x:v>11991816258</x:v>
      </x:c>
      <x:c r="Z2285" s="30" t="n">
        <x:v>46284</x:v>
      </x:c>
    </x:row>
    <x:row r="2286" ht="18" customHeight="1">
      <x:c r="A2286" s="22" t="str">
        <x:f>"b12f3950-0a69-46c4-9de6-3b397a8c72f4"</x:f>
        <x:v>b12f3950-0a69-46c4-9de6-3b397a8c72f4</x:v>
      </x:c>
      <x:c r="B2286" s="23" t="str">
        <x:v>LUCAS BORGES RANGEL</x:v>
      </x:c>
      <x:c r="C2286" s="23" t="str">
        <x:v>lucas borges rangel</x:v>
      </x:c>
      <x:c r="D2286" s="22" t="str">
        <x:f>"59.902.802/0001-30"</x:f>
        <x:v>59.902.802/0001-30</x:v>
      </x:c>
      <x:c r="E2286" s="22" t="str">
        <x:f>"59902802000130"</x:f>
        <x:v>59902802000130</x:v>
      </x:c>
      <x:c r="F2286" s="22" t="str">
        <x:f>"181.133.317-60"</x:f>
        <x:v>181.133.317-60</x:v>
      </x:c>
      <x:c r="G2286" s="22" t="str">
        <x:f>"18113331760"</x:f>
        <x:v>18113331760</x:v>
      </x:c>
      <x:c r="H2286" s="23" t="str">
        <x:v>lucasborges2090@gmail.com</x:v>
      </x:c>
      <x:c r="I2286" s="22" t="str">
        <x:f>"22 998786876"</x:f>
        <x:v>22 998786876</x:v>
      </x:c>
      <x:c r="J2286" s="23" t="str">
        <x:v>SPOT</x:v>
      </x:c>
      <x:c r="K2286" s="23" t="str">
        <x:v>favored_only</x:v>
      </x:c>
      <x:c r="L2286" s="24" t="b">
        <x:v>1</x:v>
      </x:c>
      <x:c r="M2286" s="23" t="n">
        <x:v>1</x:v>
      </x:c>
      <x:c r="N2286" s="28" t="n">
        <x:v>46203.92188238426</x:v>
      </x:c>
      <x:c r="O2286" s="28" t="n">
        <x:v>46219.812988715275</x:v>
      </x:c>
      <x:c r="P2286" s="23" t="str">
        <x:v>CAMPOS DOS GOYTACAZES</x:v>
      </x:c>
      <x:c r="Q2286" s="30" t="n">
        <x:v>37804</x:v>
      </x:c>
      <x:c r="R2286" s="22" t="str">
        <x:f>"294760202"</x:f>
        <x:v>294760202</x:v>
      </x:c>
      <x:c r="S2286" s="23" t="str">
        <x:v>masculino</x:v>
      </x:c>
      <x:c r="T2286" s="22" t="str">
        <x:f>"KYI3E20"</x:f>
        <x:v>KYI3E20</x:v>
      </x:c>
      <x:c r="U2286" s="23" t="str">
        <x:v>LUCAS BORGES RANGEL</x:v>
      </x:c>
      <x:c r="V2286" s="22" t="str">
        <x:f>"181.133.317-60"</x:f>
        <x:v>181.133.317-60</x:v>
      </x:c>
      <x:c r="W2286" s="22" t="str">
        <x:f>"18113331760"</x:f>
        <x:v>18113331760</x:v>
      </x:c>
      <x:c r="X2286" s="23" t="str">
        <x:v>lucasborges2090@gmail.com</x:v>
      </x:c>
      <x:c r="Y2286" s="22" t="str">
        <x:f>"22 998786876"</x:f>
        <x:v>22 998786876</x:v>
      </x:c>
      <x:c r="Z2286" s="30" t="n">
        <x:v>46320</x:v>
      </x:c>
    </x:row>
    <x:row r="2287" ht="18" customHeight="1">
      <x:c r="A2287" s="22" t="str">
        <x:f>"d650be4f-e94a-46ea-b4f2-d10c61dbac49"</x:f>
        <x:v>d650be4f-e94a-46ea-b4f2-d10c61dbac49</x:v>
      </x:c>
      <x:c r="B2287" s="23" t="str">
        <x:v>LUCAS BRANDAO DE OLIVEIRA</x:v>
      </x:c>
      <x:c r="C2287" s="23" t="str">
        <x:v>lucas brandao de oliveira</x:v>
      </x:c>
      <x:c r="D2287" s="22" t="str">
        <x:f>"62.626.009/0001-60"</x:f>
        <x:v>62.626.009/0001-60</x:v>
      </x:c>
      <x:c r="E2287" s="22" t="str">
        <x:f>"62626009000160"</x:f>
        <x:v>62626009000160</x:v>
      </x:c>
      <x:c r="F2287" s="22" t="str">
        <x:f>"05528821193"</x:f>
        <x:v>05528821193</x:v>
      </x:c>
      <x:c r="G2287" s="22" t="str">
        <x:f>"05528821193"</x:f>
        <x:v>05528821193</x:v>
      </x:c>
      <x:c r="H2287" s="23" t="str">
        <x:v>lucasbrandao20rv@gmail.com</x:v>
      </x:c>
      <x:c r="I2287" s="22" t="str">
        <x:f>"64992184258"</x:f>
        <x:v>64992184258</x:v>
      </x:c>
      <x:c r="J2287" s="23" t="str">
        <x:v>SPOT</x:v>
      </x:c>
      <x:c r="K2287" s="23" t="str">
        <x:v>favored_only</x:v>
      </x:c>
      <x:c r="L2287" s="24" t="b">
        <x:v>1</x:v>
      </x:c>
      <x:c r="M2287" s="23" t="n">
        <x:v>1</x:v>
      </x:c>
      <x:c r="N2287" s="28" t="n">
        <x:v>46203.92186462963</x:v>
      </x:c>
      <x:c r="O2287" s="28" t="n">
        <x:v>46203.92186462963</x:v>
      </x:c>
      <x:c r="P2287" s="23" t="str"/>
      <x:c r="Q2287" s="30" t="str"/>
      <x:c r="R2287" s="22" t="str"/>
      <x:c r="S2287" s="23" t="str"/>
      <x:c r="T2287" s="22" t="str"/>
      <x:c r="U2287" s="23" t="str">
        <x:v>LUCAS BRANDAO DE OLIVEIRA</x:v>
      </x:c>
      <x:c r="V2287" s="22" t="str">
        <x:f>"05528821193"</x:f>
        <x:v>05528821193</x:v>
      </x:c>
      <x:c r="W2287" s="22" t="str">
        <x:f>"05528821193"</x:f>
        <x:v>05528821193</x:v>
      </x:c>
      <x:c r="X2287" s="23" t="str">
        <x:v>lucasbrandao20rv@gmail.com</x:v>
      </x:c>
      <x:c r="Y2287" s="22" t="str">
        <x:f>"64992184258"</x:f>
        <x:v>64992184258</x:v>
      </x:c>
      <x:c r="Z2287" s="30" t="str"/>
    </x:row>
    <x:row r="2288" ht="18" customHeight="1">
      <x:c r="A2288" s="22" t="str">
        <x:f>"b3b4da7f-4aff-4555-86e3-43daa75450fe"</x:f>
        <x:v>b3b4da7f-4aff-4555-86e3-43daa75450fe</x:v>
      </x:c>
      <x:c r="B2288" s="23" t="str">
        <x:v>LUCAS BRANDAO MOREIRA</x:v>
      </x:c>
      <x:c r="C2288" s="23" t="str">
        <x:v>lucas brandao moreira</x:v>
      </x:c>
      <x:c r="D2288" s="22" t="str">
        <x:f>"13.094.904/0001-75"</x:f>
        <x:v>13.094.904/0001-75</x:v>
      </x:c>
      <x:c r="E2288" s="22" t="str">
        <x:f>"13094904000175"</x:f>
        <x:v>13094904000175</x:v>
      </x:c>
      <x:c r="F2288" s="22" t="str">
        <x:f>"002.850.391-05"</x:f>
        <x:v>002.850.391-05</x:v>
      </x:c>
      <x:c r="G2288" s="22" t="str">
        <x:f>"00285039105"</x:f>
        <x:v>00285039105</x:v>
      </x:c>
      <x:c r="H2288" s="23" t="str">
        <x:v>lucaszenira1969@gmail.com</x:v>
      </x:c>
      <x:c r="I2288" s="22" t="str">
        <x:f>"(62)9 9667-7312"</x:f>
        <x:v>(62)9 9667-7312</x:v>
      </x:c>
      <x:c r="J2288" s="23" t="str">
        <x:v>SPOT</x:v>
      </x:c>
      <x:c r="K2288" s="23" t="str">
        <x:v>favored_only</x:v>
      </x:c>
      <x:c r="L2288" s="24" t="b">
        <x:v>1</x:v>
      </x:c>
      <x:c r="M2288" s="23" t="n">
        <x:v>1</x:v>
      </x:c>
      <x:c r="N2288" s="28" t="n">
        <x:v>46219.812988715275</x:v>
      </x:c>
      <x:c r="O2288" s="28" t="n">
        <x:v>46219.812988715275</x:v>
      </x:c>
      <x:c r="P2288" s="23" t="str">
        <x:v>GOIANIA</x:v>
      </x:c>
      <x:c r="Q2288" s="30" t="n">
        <x:v>30582</x:v>
      </x:c>
      <x:c r="R2288" s="22" t="str">
        <x:f>"4475381"</x:f>
        <x:v>4475381</x:v>
      </x:c>
      <x:c r="S2288" s="23" t="str">
        <x:v>masculino</x:v>
      </x:c>
      <x:c r="T2288" s="22" t="str">
        <x:f>"TFN6I84"</x:f>
        <x:v>TFN6I84</x:v>
      </x:c>
      <x:c r="U2288" s="23" t="str">
        <x:v>ZENIRA DA SILVA</x:v>
      </x:c>
      <x:c r="V2288" s="22" t="str">
        <x:f>"958.553.431-20"</x:f>
        <x:v>958.553.431-20</x:v>
      </x:c>
      <x:c r="W2288" s="22" t="str">
        <x:f>"95855343120"</x:f>
        <x:v>95855343120</x:v>
      </x:c>
      <x:c r="X2288" s="23" t="str">
        <x:v>zenira1969@gmail.com</x:v>
      </x:c>
      <x:c r="Y2288" s="22" t="str">
        <x:f>"62982438677"</x:f>
        <x:v>62982438677</x:v>
      </x:c>
      <x:c r="Z2288" s="30" t="n">
        <x:v>46493</x:v>
      </x:c>
    </x:row>
    <x:row r="2289" ht="18" customHeight="1">
      <x:c r="A2289" s="22" t="str">
        <x:f>"5278b5e8-8745-4f96-8fae-749a9b73c61d"</x:f>
        <x:v>5278b5e8-8745-4f96-8fae-749a9b73c61d</x:v>
      </x:c>
      <x:c r="B2289" s="23" t="str">
        <x:v>LUCAS BRENO BARBOSA DE SOUZA</x:v>
      </x:c>
      <x:c r="C2289" s="23" t="str">
        <x:v>lucas breno barbosa de souza</x:v>
      </x:c>
      <x:c r="D2289" s="22" t="str">
        <x:f>"59.716.680/0001-97"</x:f>
        <x:v>59.716.680/0001-97</x:v>
      </x:c>
      <x:c r="E2289" s="22" t="str">
        <x:f>"59716680000197"</x:f>
        <x:v>59716680000197</x:v>
      </x:c>
      <x:c r="F2289" s="22" t="str">
        <x:f>"075.752.741-89"</x:f>
        <x:v>075.752.741-89</x:v>
      </x:c>
      <x:c r="G2289" s="22" t="str">
        <x:f>"07575274189"</x:f>
        <x:v>07575274189</x:v>
      </x:c>
      <x:c r="H2289" s="23" t="str">
        <x:v>lucasbreno2663@gmail.com</x:v>
      </x:c>
      <x:c r="I2289" s="22" t="str">
        <x:f>"62985252663"</x:f>
        <x:v>62985252663</x:v>
      </x:c>
      <x:c r="J2289" s="23" t="str">
        <x:v>SPOT</x:v>
      </x:c>
      <x:c r="K2289" s="23" t="str">
        <x:v>favored_only</x:v>
      </x:c>
      <x:c r="L2289" s="24" t="b">
        <x:v>1</x:v>
      </x:c>
      <x:c r="M2289" s="23" t="n">
        <x:v>1</x:v>
      </x:c>
      <x:c r="N2289" s="28" t="n">
        <x:v>46205.60646892361</x:v>
      </x:c>
      <x:c r="O2289" s="28" t="n">
        <x:v>46219.812988715275</x:v>
      </x:c>
      <x:c r="P2289" s="23" t="str">
        <x:v>MINAÇU</x:v>
      </x:c>
      <x:c r="Q2289" s="30" t="n">
        <x:v>36520</x:v>
      </x:c>
      <x:c r="R2289" s="22" t="str">
        <x:f>"6834675"</x:f>
        <x:v>6834675</x:v>
      </x:c>
      <x:c r="S2289" s="23" t="str">
        <x:v>masculino</x:v>
      </x:c>
      <x:c r="T2289" s="22" t="str">
        <x:f>"NGA7621"</x:f>
        <x:v>NGA7621</x:v>
      </x:c>
      <x:c r="U2289" s="23" t="str">
        <x:v>PEDRO DANIEL BARROS DE OLIVEIRA</x:v>
      </x:c>
      <x:c r="V2289" s="22" t="str">
        <x:f>"064.924.083-90"</x:f>
        <x:v>064.924.083-90</x:v>
      </x:c>
      <x:c r="W2289" s="22" t="str">
        <x:f>"06492408390"</x:f>
        <x:v>06492408390</x:v>
      </x:c>
      <x:c r="X2289" s="23" t="str">
        <x:v>pdanielbarros@hotmail.com</x:v>
      </x:c>
      <x:c r="Y2289" s="22" t="str">
        <x:f>"62 98628-3153"</x:f>
        <x:v>62 98628-3153</x:v>
      </x:c>
      <x:c r="Z2289" s="30" t="n">
        <x:v>46360</x:v>
      </x:c>
    </x:row>
    <x:row r="2290" ht="18" customHeight="1">
      <x:c r="A2290" s="22" t="str">
        <x:f>"9ad53459-dbbf-4e9e-9cc7-3c61c8bc0a5c"</x:f>
        <x:v>9ad53459-dbbf-4e9e-9cc7-3c61c8bc0a5c</x:v>
      </x:c>
      <x:c r="B2290" s="23" t="str">
        <x:v>LUCAS BRENO BARBOSA DE SOUZA</x:v>
      </x:c>
      <x:c r="C2290" s="23" t="str">
        <x:v>lucas breno barbosa de souza</x:v>
      </x:c>
      <x:c r="D2290" s="22" t="str">
        <x:f>"67.611.953/0001-67"</x:f>
        <x:v>67.611.953/0001-67</x:v>
      </x:c>
      <x:c r="E2290" s="22" t="str">
        <x:f>"67611953000167"</x:f>
        <x:v>67611953000167</x:v>
      </x:c>
      <x:c r="F2290" s="22" t="str">
        <x:f>"075.752.741-89"</x:f>
        <x:v>075.752.741-89</x:v>
      </x:c>
      <x:c r="G2290" s="22" t="str">
        <x:f>"07575274189"</x:f>
        <x:v>07575274189</x:v>
      </x:c>
      <x:c r="H2290" s="23" t="str">
        <x:v>lucasbreno2663@gamail.com</x:v>
      </x:c>
      <x:c r="I2290" s="22" t="str">
        <x:f>"62985252663"</x:f>
        <x:v>62985252663</x:v>
      </x:c>
      <x:c r="J2290" s="23" t="str">
        <x:v>SPOT</x:v>
      </x:c>
      <x:c r="K2290" s="23" t="str">
        <x:v>favored_only</x:v>
      </x:c>
      <x:c r="L2290" s="24" t="b">
        <x:v>1</x:v>
      </x:c>
      <x:c r="M2290" s="23" t="n">
        <x:v>1</x:v>
      </x:c>
      <x:c r="N2290" s="28" t="n">
        <x:v>46219.812988715275</x:v>
      </x:c>
      <x:c r="O2290" s="28" t="n">
        <x:v>46219.812988715275</x:v>
      </x:c>
      <x:c r="P2290" s="23" t="str">
        <x:v>MINAÇU</x:v>
      </x:c>
      <x:c r="Q2290" s="30" t="n">
        <x:v>36520</x:v>
      </x:c>
      <x:c r="R2290" s="22" t="str">
        <x:f>"6834675"</x:f>
        <x:v>6834675</x:v>
      </x:c>
      <x:c r="S2290" s="23" t="str">
        <x:v>masculino</x:v>
      </x:c>
      <x:c r="T2290" s="22" t="str">
        <x:f>"SCS3H02"</x:f>
        <x:v>SCS3H02</x:v>
      </x:c>
      <x:c r="U2290" s="23" t="str">
        <x:v>LUCAS BRENO BARBOSA DE SOUZA</x:v>
      </x:c>
      <x:c r="V2290" s="22" t="str">
        <x:f>"075.752.741-89"</x:f>
        <x:v>075.752.741-89</x:v>
      </x:c>
      <x:c r="W2290" s="22" t="str">
        <x:f>"07575274189"</x:f>
        <x:v>07575274189</x:v>
      </x:c>
      <x:c r="X2290" s="23" t="str">
        <x:v>lucasbreno2663@gamail.com</x:v>
      </x:c>
      <x:c r="Y2290" s="22" t="str">
        <x:f>"62985252663"</x:f>
        <x:v>62985252663</x:v>
      </x:c>
      <x:c r="Z2290" s="30" t="n">
        <x:v>46560</x:v>
      </x:c>
    </x:row>
    <x:row r="2291" ht="18" customHeight="1">
      <x:c r="A2291" s="22" t="str">
        <x:f>"65f9e127-7ef4-4ca2-8756-db36f1cf718e"</x:f>
        <x:v>65f9e127-7ef4-4ca2-8756-db36f1cf718e</x:v>
      </x:c>
      <x:c r="B2291" s="23" t="str">
        <x:v>LUCAS CABRITA NASCIMENTO MASINI</x:v>
      </x:c>
      <x:c r="C2291" s="23" t="str">
        <x:v>lucas cabrita nascimento masini</x:v>
      </x:c>
      <x:c r="D2291" s="22" t="str">
        <x:f>"65.147.253/0001-38"</x:f>
        <x:v>65.147.253/0001-38</x:v>
      </x:c>
      <x:c r="E2291" s="22" t="str">
        <x:f>"65147253000138"</x:f>
        <x:v>65147253000138</x:v>
      </x:c>
      <x:c r="F2291" s="22" t="str">
        <x:f>"437.843.118-14"</x:f>
        <x:v>437.843.118-14</x:v>
      </x:c>
      <x:c r="G2291" s="22" t="str">
        <x:f>"43784311814"</x:f>
        <x:v>43784311814</x:v>
      </x:c>
      <x:c r="H2291" s="23" t="str">
        <x:v>lucascaabritaa@gmail.com</x:v>
      </x:c>
      <x:c r="I2291" s="22" t="str">
        <x:f>"18936214849"</x:f>
        <x:v>18936214849</x:v>
      </x:c>
      <x:c r="J2291" s="23" t="str">
        <x:v>RENTAL</x:v>
      </x:c>
      <x:c r="K2291" s="23" t="str">
        <x:v>rental_company</x:v>
      </x:c>
      <x:c r="L2291" s="24" t="b">
        <x:v>1</x:v>
      </x:c>
      <x:c r="M2291" s="23" t="n">
        <x:v>1</x:v>
      </x:c>
      <x:c r="N2291" s="28" t="n">
        <x:v>46219.812988715275</x:v>
      </x:c>
      <x:c r="O2291" s="28" t="n">
        <x:v>46219.812988715275</x:v>
      </x:c>
      <x:c r="P2291" s="23" t="str">
        <x:v>ARAÇATUBA</x:v>
      </x:c>
      <x:c r="Q2291" s="30" t="n">
        <x:v>34996</x:v>
      </x:c>
      <x:c r="R2291" s="22" t="str">
        <x:f>"38300618"</x:f>
        <x:v>38300618</x:v>
      </x:c>
      <x:c r="S2291" s="23" t="str">
        <x:v>masculino</x:v>
      </x:c>
      <x:c r="T2291" s="22" t="str"/>
      <x:c r="U2291" s="23" t="str">
        <x:v>LUCAS CABRITA NASCIMENTO MASINI</x:v>
      </x:c>
      <x:c r="V2291" s="22" t="str">
        <x:f>"437.843.118-14"</x:f>
        <x:v>437.843.118-14</x:v>
      </x:c>
      <x:c r="W2291" s="22" t="str">
        <x:f>"43784311814"</x:f>
        <x:v>43784311814</x:v>
      </x:c>
      <x:c r="X2291" s="23" t="str">
        <x:v>lucascaabritaa@gmail.com</x:v>
      </x:c>
      <x:c r="Y2291" s="22" t="str">
        <x:f>"18936214849"</x:f>
        <x:v>18936214849</x:v>
      </x:c>
      <x:c r="Z2291" s="30" t="n">
        <x:v>46582</x:v>
      </x:c>
    </x:row>
    <x:row r="2292" ht="18" customHeight="1">
      <x:c r="A2292" s="22" t="str">
        <x:f>"075bb0ad-da6f-4789-996d-51e62ca65c1c"</x:f>
        <x:v>075bb0ad-da6f-4789-996d-51e62ca65c1c</x:v>
      </x:c>
      <x:c r="B2292" s="23" t="str">
        <x:v>LUCAS CAMILO DA CRUZ</x:v>
      </x:c>
      <x:c r="C2292" s="23" t="str">
        <x:v>lucas camilo da cruz</x:v>
      </x:c>
      <x:c r="D2292" s="22" t="str">
        <x:f>"44.264.525/0001-00"</x:f>
        <x:v>44.264.525/0001-00</x:v>
      </x:c>
      <x:c r="E2292" s="22" t="str">
        <x:f>"44264525000100"</x:f>
        <x:v>44264525000100</x:v>
      </x:c>
      <x:c r="F2292" s="22" t="str">
        <x:f>"090.976.236-85"</x:f>
        <x:v>090.976.236-85</x:v>
      </x:c>
      <x:c r="G2292" s="22" t="str">
        <x:f>"09097623685"</x:f>
        <x:v>09097623685</x:v>
      </x:c>
      <x:c r="H2292" s="23" t="str">
        <x:v>lucascamilo1803@gmail.com</x:v>
      </x:c>
      <x:c r="I2292" s="22" t="str">
        <x:f>"31971717060"</x:f>
        <x:v>31971717060</x:v>
      </x:c>
      <x:c r="J2292" s="23" t="str">
        <x:v>SPOT</x:v>
      </x:c>
      <x:c r="K2292" s="23" t="str">
        <x:v>favored_only</x:v>
      </x:c>
      <x:c r="L2292" s="24" t="b">
        <x:v>1</x:v>
      </x:c>
      <x:c r="M2292" s="23" t="n">
        <x:v>1</x:v>
      </x:c>
      <x:c r="N2292" s="28" t="n">
        <x:v>46219.812988715275</x:v>
      </x:c>
      <x:c r="O2292" s="28" t="n">
        <x:v>46219.812988715275</x:v>
      </x:c>
      <x:c r="P2292" s="23" t="str">
        <x:v>VESPASIANO</x:v>
      </x:c>
      <x:c r="Q2292" s="30" t="n">
        <x:v>32673</x:v>
      </x:c>
      <x:c r="R2292" s="22" t="str">
        <x:f>"mg 15840740"</x:f>
        <x:v>mg 15840740</x:v>
      </x:c>
      <x:c r="S2292" s="23" t="str">
        <x:v>masculino</x:v>
      </x:c>
      <x:c r="T2292" s="22" t="str">
        <x:f>"SIU9F32"</x:f>
        <x:v>SIU9F32</x:v>
      </x:c>
      <x:c r="U2292" s="23" t="str">
        <x:v>LUCAS CAMILO DA CRUZ</x:v>
      </x:c>
      <x:c r="V2292" s="22" t="str">
        <x:f>"090.976.236-85"</x:f>
        <x:v>090.976.236-85</x:v>
      </x:c>
      <x:c r="W2292" s="22" t="str">
        <x:f>"09097623685"</x:f>
        <x:v>09097623685</x:v>
      </x:c>
      <x:c r="X2292" s="23" t="str">
        <x:v>lucascamilo1803@gmail.com</x:v>
      </x:c>
      <x:c r="Y2292" s="22" t="str">
        <x:f>"31971717060"</x:f>
        <x:v>31971717060</x:v>
      </x:c>
      <x:c r="Z2292" s="30" t="n">
        <x:v>46423</x:v>
      </x:c>
    </x:row>
    <x:row r="2293" ht="18" customHeight="1">
      <x:c r="A2293" s="22" t="str">
        <x:f>"b77575ce-7973-4fe2-aa82-0daf814edb23"</x:f>
        <x:v>b77575ce-7973-4fe2-aa82-0daf814edb23</x:v>
      </x:c>
      <x:c r="B2293" s="23" t="str">
        <x:v>LUCAS CANDIDO DA SILVA</x:v>
      </x:c>
      <x:c r="C2293" s="23" t="str">
        <x:v>lucas candido da silva</x:v>
      </x:c>
      <x:c r="D2293" s="22" t="str">
        <x:f>"44.191.168/0001-05"</x:f>
        <x:v>44.191.168/0001-05</x:v>
      </x:c>
      <x:c r="E2293" s="22" t="str">
        <x:f>"44191168000105"</x:f>
        <x:v>44191168000105</x:v>
      </x:c>
      <x:c r="F2293" s="22" t="str">
        <x:f>"439.568.418-16"</x:f>
        <x:v>439.568.418-16</x:v>
      </x:c>
      <x:c r="G2293" s="22" t="str">
        <x:f>"43956841816"</x:f>
        <x:v>43956841816</x:v>
      </x:c>
      <x:c r="H2293" s="23" t="str">
        <x:v>lukassp.1931@gmail.com</x:v>
      </x:c>
      <x:c r="I2293" s="22" t="str">
        <x:f>"11976932658"</x:f>
        <x:v>11976932658</x:v>
      </x:c>
      <x:c r="J2293" s="23" t="str">
        <x:v>RENTAL</x:v>
      </x:c>
      <x:c r="K2293" s="23" t="str">
        <x:v>rental_company</x:v>
      </x:c>
      <x:c r="L2293" s="24" t="b">
        <x:v>1</x:v>
      </x:c>
      <x:c r="M2293" s="23" t="n">
        <x:v>1</x:v>
      </x:c>
      <x:c r="N2293" s="28" t="n">
        <x:v>46219.812988715275</x:v>
      </x:c>
      <x:c r="O2293" s="28" t="n">
        <x:v>46219.812988715275</x:v>
      </x:c>
      <x:c r="P2293" s="23" t="str">
        <x:v>MADEIRA MADEIRA</x:v>
      </x:c>
      <x:c r="Q2293" s="30" t="n">
        <x:v>34723</x:v>
      </x:c>
      <x:c r="R2293" s="22" t="str">
        <x:f>"45901899"</x:f>
        <x:v>45901899</x:v>
      </x:c>
      <x:c r="S2293" s="23" t="str">
        <x:v>masculino</x:v>
      </x:c>
      <x:c r="T2293" s="22" t="str"/>
      <x:c r="U2293" s="23" t="str">
        <x:v>LUCAS CANDIDO DA SILVA</x:v>
      </x:c>
      <x:c r="V2293" s="22" t="str">
        <x:f>"439.568.418-16"</x:f>
        <x:v>439.568.418-16</x:v>
      </x:c>
      <x:c r="W2293" s="22" t="str">
        <x:f>"43956841816"</x:f>
        <x:v>43956841816</x:v>
      </x:c>
      <x:c r="X2293" s="23" t="str">
        <x:v>lukassp.1931@gmail.com</x:v>
      </x:c>
      <x:c r="Y2293" s="22" t="str">
        <x:f>"11976932658"</x:f>
        <x:v>11976932658</x:v>
      </x:c>
      <x:c r="Z2293" s="30" t="n">
        <x:v>46460</x:v>
      </x:c>
    </x:row>
    <x:row r="2294" ht="18" customHeight="1">
      <x:c r="A2294" s="22" t="str">
        <x:f>"473c03a0-664e-4b52-a276-ac59ba64dbc2"</x:f>
        <x:v>473c03a0-664e-4b52-a276-ac59ba64dbc2</x:v>
      </x:c>
      <x:c r="B2294" s="23" t="str">
        <x:v>LUCAS CAPELLINI CAMARGO</x:v>
      </x:c>
      <x:c r="C2294" s="23" t="str">
        <x:v>lucas capellini camargo</x:v>
      </x:c>
      <x:c r="D2294" s="22" t="str">
        <x:f>"47.043.338/0001-94"</x:f>
        <x:v>47.043.338/0001-94</x:v>
      </x:c>
      <x:c r="E2294" s="22" t="str">
        <x:f>"47043338000194"</x:f>
        <x:v>47043338000194</x:v>
      </x:c>
      <x:c r="F2294" s="22" t="str">
        <x:f>"166.553.327-70"</x:f>
        <x:v>166.553.327-70</x:v>
      </x:c>
      <x:c r="G2294" s="22" t="str">
        <x:f>"16655332770"</x:f>
        <x:v>16655332770</x:v>
      </x:c>
      <x:c r="H2294" s="23" t="str">
        <x:v>lkcamargo16@gmail.com</x:v>
      </x:c>
      <x:c r="I2294" s="22" t="str">
        <x:f>"21977178882"</x:f>
        <x:v>21977178882</x:v>
      </x:c>
      <x:c r="J2294" s="23" t="str">
        <x:v>SPOT</x:v>
      </x:c>
      <x:c r="K2294" s="23" t="str">
        <x:v>favored_only</x:v>
      </x:c>
      <x:c r="L2294" s="24" t="b">
        <x:v>1</x:v>
      </x:c>
      <x:c r="M2294" s="23" t="n">
        <x:v>1</x:v>
      </x:c>
      <x:c r="N2294" s="28" t="n">
        <x:v>46219.812988715275</x:v>
      </x:c>
      <x:c r="O2294" s="28" t="n">
        <x:v>46219.812988715275</x:v>
      </x:c>
      <x:c r="P2294" s="23" t="str">
        <x:v>QUEIMADOS</x:v>
      </x:c>
      <x:c r="Q2294" s="30" t="n">
        <x:v>35284</x:v>
      </x:c>
      <x:c r="R2294" s="22" t="str">
        <x:f>"272952375"</x:f>
        <x:v>272952375</x:v>
      </x:c>
      <x:c r="S2294" s="23" t="str">
        <x:v>masculino</x:v>
      </x:c>
      <x:c r="T2294" s="22" t="str">
        <x:f>"LPC7280"</x:f>
        <x:v>LPC7280</x:v>
      </x:c>
      <x:c r="U2294" s="23" t="str">
        <x:v>LUCAS CAPELLINI CAMARGO</x:v>
      </x:c>
      <x:c r="V2294" s="22" t="str">
        <x:f>"166.553.327-70"</x:f>
        <x:v>166.553.327-70</x:v>
      </x:c>
      <x:c r="W2294" s="22" t="str">
        <x:f>"16655332770"</x:f>
        <x:v>16655332770</x:v>
      </x:c>
      <x:c r="X2294" s="23" t="str">
        <x:v>lkcamargo16@gmail.com</x:v>
      </x:c>
      <x:c r="Y2294" s="22" t="str">
        <x:f>"21977178882"</x:f>
        <x:v>21977178882</x:v>
      </x:c>
      <x:c r="Z2294" s="30" t="n">
        <x:v>46492</x:v>
      </x:c>
    </x:row>
    <x:row r="2295" ht="18" customHeight="1">
      <x:c r="A2295" s="22" t="str">
        <x:f>"139d76ab-4529-4d4a-9114-4f17771bc29c"</x:f>
        <x:v>139d76ab-4529-4d4a-9114-4f17771bc29c</x:v>
      </x:c>
      <x:c r="B2295" s="23" t="str">
        <x:v>LUCAS CARLOS DUDA ARAUJO</x:v>
      </x:c>
      <x:c r="C2295" s="23" t="str">
        <x:v>lucas carlos duda araujo</x:v>
      </x:c>
      <x:c r="D2295" s="22" t="str">
        <x:f>"61.558.523/0001-42"</x:f>
        <x:v>61.558.523/0001-42</x:v>
      </x:c>
      <x:c r="E2295" s="22" t="str">
        <x:f>"61558523000142"</x:f>
        <x:v>61558523000142</x:v>
      </x:c>
      <x:c r="F2295" s="22" t="str">
        <x:f>"170.771.287-50"</x:f>
        <x:v>170.771.287-50</x:v>
      </x:c>
      <x:c r="G2295" s="22" t="str">
        <x:f>"17077128750"</x:f>
        <x:v>17077128750</x:v>
      </x:c>
      <x:c r="H2295" s="23" t="str">
        <x:v>lucas.duda2021@gmail.com</x:v>
      </x:c>
      <x:c r="I2295" s="22" t="str">
        <x:f>"(35) 99161-2282"</x:f>
        <x:v>(35) 99161-2282</x:v>
      </x:c>
      <x:c r="J2295" s="23" t="str">
        <x:v>SPOT</x:v>
      </x:c>
      <x:c r="K2295" s="23" t="str">
        <x:v>favored_only</x:v>
      </x:c>
      <x:c r="L2295" s="24" t="b">
        <x:v>1</x:v>
      </x:c>
      <x:c r="M2295" s="23" t="n">
        <x:v>1</x:v>
      </x:c>
      <x:c r="N2295" s="28" t="n">
        <x:v>46203.92191240741</x:v>
      </x:c>
      <x:c r="O2295" s="28" t="n">
        <x:v>46219.812988715275</x:v>
      </x:c>
      <x:c r="P2295" s="23" t="str">
        <x:v>POUSO ALEGRE</x:v>
      </x:c>
      <x:c r="Q2295" s="30" t="n">
        <x:v>35957</x:v>
      </x:c>
      <x:c r="R2295" s="22" t="str">
        <x:f>"306160094 DETRAN RJ"</x:f>
        <x:v>306160094 DETRAN RJ</x:v>
      </x:c>
      <x:c r="S2295" s="23" t="str">
        <x:v>masculino</x:v>
      </x:c>
      <x:c r="T2295" s="22" t="str">
        <x:f>"FSS1843"</x:f>
        <x:v>FSS1843</x:v>
      </x:c>
      <x:c r="U2295" s="23" t="str">
        <x:v>LUCAS CARLOS DUDA ARAUJO</x:v>
      </x:c>
      <x:c r="V2295" s="22" t="str">
        <x:f>"170.771.287-50"</x:f>
        <x:v>170.771.287-50</x:v>
      </x:c>
      <x:c r="W2295" s="22" t="str">
        <x:f>"17077128750"</x:f>
        <x:v>17077128750</x:v>
      </x:c>
      <x:c r="X2295" s="23" t="str">
        <x:v>lucas.duda2021@gmail.com</x:v>
      </x:c>
      <x:c r="Y2295" s="22" t="str">
        <x:f>"(35) 99161-2282"</x:f>
        <x:v>(35) 99161-2282</x:v>
      </x:c>
      <x:c r="Z2295" s="30" t="n">
        <x:v>46254</x:v>
      </x:c>
    </x:row>
    <x:row r="2296" ht="18" customHeight="1">
      <x:c r="A2296" s="22" t="str">
        <x:f>"e75685e1-c06b-4cce-b4cd-bc92ca378fb9"</x:f>
        <x:v>e75685e1-c06b-4cce-b4cd-bc92ca378fb9</x:v>
      </x:c>
      <x:c r="B2296" s="23" t="str">
        <x:v>LUCAS CARVALHAIS RIBEIRO</x:v>
      </x:c>
      <x:c r="C2296" s="23" t="str">
        <x:v>lucas carvalhais ribeiro</x:v>
      </x:c>
      <x:c r="D2296" s="22" t="str">
        <x:f>"56.252.861/0001-11"</x:f>
        <x:v>56.252.861/0001-11</x:v>
      </x:c>
      <x:c r="E2296" s="22" t="str">
        <x:f>"56252861000111"</x:f>
        <x:v>56252861000111</x:v>
      </x:c>
      <x:c r="F2296" s="22" t="str">
        <x:f>"102.142.356-45"</x:f>
        <x:v>102.142.356-45</x:v>
      </x:c>
      <x:c r="G2296" s="22" t="str">
        <x:f>"10214235645"</x:f>
        <x:v>10214235645</x:v>
      </x:c>
      <x:c r="H2296" s="23" t="str">
        <x:v>lk160993@gmail.com</x:v>
      </x:c>
      <x:c r="I2296" s="22" t="str">
        <x:f>"(31) 98019-4723"</x:f>
        <x:v>(31) 98019-4723</x:v>
      </x:c>
      <x:c r="J2296" s="23" t="str">
        <x:v>SPOT</x:v>
      </x:c>
      <x:c r="K2296" s="23" t="str">
        <x:v>favored_only</x:v>
      </x:c>
      <x:c r="L2296" s="24" t="b">
        <x:v>1</x:v>
      </x:c>
      <x:c r="M2296" s="23" t="n">
        <x:v>1</x:v>
      </x:c>
      <x:c r="N2296" s="28" t="n">
        <x:v>46219.812988715275</x:v>
      </x:c>
      <x:c r="O2296" s="28" t="n">
        <x:v>46219.812988715275</x:v>
      </x:c>
      <x:c r="P2296" s="23" t="str">
        <x:v>CONTAGEM</x:v>
      </x:c>
      <x:c r="Q2296" s="30" t="n">
        <x:v>34228</x:v>
      </x:c>
      <x:c r="R2296" s="22" t="str">
        <x:f>"MG16804939"</x:f>
        <x:v>MG16804939</x:v>
      </x:c>
      <x:c r="S2296" s="23" t="str">
        <x:v>masculino</x:v>
      </x:c>
      <x:c r="T2296" s="22" t="str">
        <x:f>"PUJ0D45"</x:f>
        <x:v>PUJ0D45</x:v>
      </x:c>
      <x:c r="U2296" s="23" t="str">
        <x:v>LUCAS CARVALHAIS RIBEIRO</x:v>
      </x:c>
      <x:c r="V2296" s="22" t="str">
        <x:f>"102.142.356-45"</x:f>
        <x:v>102.142.356-45</x:v>
      </x:c>
      <x:c r="W2296" s="22" t="str">
        <x:f>"10214235645"</x:f>
        <x:v>10214235645</x:v>
      </x:c>
      <x:c r="X2296" s="23" t="str">
        <x:v>lk160993@gmail.com</x:v>
      </x:c>
      <x:c r="Y2296" s="22" t="str">
        <x:f>"(31) 98019-4723"</x:f>
        <x:v>(31) 98019-4723</x:v>
      </x:c>
      <x:c r="Z2296" s="30" t="n">
        <x:v>46478</x:v>
      </x:c>
    </x:row>
    <x:row r="2297" ht="18" customHeight="1">
      <x:c r="A2297" s="22" t="str">
        <x:f>"f0d8f28f-8020-4910-8310-a50d7a7a8616"</x:f>
        <x:v>f0d8f28f-8020-4910-8310-a50d7a7a8616</x:v>
      </x:c>
      <x:c r="B2297" s="23" t="str">
        <x:v>LUCAS DA CUNHA PEREIRA</x:v>
      </x:c>
      <x:c r="C2297" s="23" t="str">
        <x:v>lucas da cunha pereira</x:v>
      </x:c>
      <x:c r="D2297" s="22" t="str">
        <x:f>"61.375.013/0001-30"</x:f>
        <x:v>61.375.013/0001-30</x:v>
      </x:c>
      <x:c r="E2297" s="22" t="str">
        <x:f>"61375013000130"</x:f>
        <x:v>61375013000130</x:v>
      </x:c>
      <x:c r="F2297" s="22" t="str">
        <x:f>"440.305.788-88"</x:f>
        <x:v>440.305.788-88</x:v>
      </x:c>
      <x:c r="G2297" s="22" t="str">
        <x:f>"44030578888"</x:f>
        <x:v>44030578888</x:v>
      </x:c>
      <x:c r="H2297" s="23" t="str">
        <x:v>lucasdacunhapereira1995@gmail.com</x:v>
      </x:c>
      <x:c r="I2297" s="22" t="str">
        <x:f>"11918723284"</x:f>
        <x:v>11918723284</x:v>
      </x:c>
      <x:c r="J2297" s="23" t="str">
        <x:v>RENTAL</x:v>
      </x:c>
      <x:c r="K2297" s="23" t="str">
        <x:v>rental_company</x:v>
      </x:c>
      <x:c r="L2297" s="24" t="b">
        <x:v>1</x:v>
      </x:c>
      <x:c r="M2297" s="23" t="n">
        <x:v>1</x:v>
      </x:c>
      <x:c r="N2297" s="28" t="n">
        <x:v>46219.812988715275</x:v>
      </x:c>
      <x:c r="O2297" s="28" t="n">
        <x:v>46219.812988715275</x:v>
      </x:c>
      <x:c r="P2297" s="23" t="str">
        <x:v>BARUERI</x:v>
      </x:c>
      <x:c r="Q2297" s="30" t="n">
        <x:v>34793</x:v>
      </x:c>
      <x:c r="R2297" s="22" t="str">
        <x:f>"483883979"</x:f>
        <x:v>483883979</x:v>
      </x:c>
      <x:c r="S2297" s="23" t="str">
        <x:v>masculino</x:v>
      </x:c>
      <x:c r="T2297" s="22" t="str"/>
      <x:c r="U2297" s="23" t="str">
        <x:v>LUCAS DA CUNHA PEREIRA</x:v>
      </x:c>
      <x:c r="V2297" s="22" t="str">
        <x:f>"440.305.788-88"</x:f>
        <x:v>440.305.788-88</x:v>
      </x:c>
      <x:c r="W2297" s="22" t="str">
        <x:f>"44030578888"</x:f>
        <x:v>44030578888</x:v>
      </x:c>
      <x:c r="X2297" s="23" t="str">
        <x:v>lucasdacunhapereira1995@gmail.com</x:v>
      </x:c>
      <x:c r="Y2297" s="22" t="str">
        <x:f>"11918723284"</x:f>
        <x:v>11918723284</x:v>
      </x:c>
      <x:c r="Z2297" s="30" t="n">
        <x:v>46502</x:v>
      </x:c>
    </x:row>
    <x:row r="2298" ht="18" customHeight="1">
      <x:c r="A2298" s="22" t="str">
        <x:f>"e61f4e06-4dcd-4265-aee9-dcf94a6fa620"</x:f>
        <x:v>e61f4e06-4dcd-4265-aee9-dcf94a6fa620</x:v>
      </x:c>
      <x:c r="B2298" s="23" t="str">
        <x:v>LUCAS DANIEL SOUZA DE PAULA</x:v>
      </x:c>
      <x:c r="C2298" s="23" t="str">
        <x:v>lucas daniel souza de paula</x:v>
      </x:c>
      <x:c r="D2298" s="22" t="str">
        <x:f>"60.778.764/0001-34"</x:f>
        <x:v>60.778.764/0001-34</x:v>
      </x:c>
      <x:c r="E2298" s="22" t="str">
        <x:f>"60778764000134"</x:f>
        <x:v>60778764000134</x:v>
      </x:c>
      <x:c r="F2298" s="22" t="str">
        <x:f>"135.803.356-00"</x:f>
        <x:v>135.803.356-00</x:v>
      </x:c>
      <x:c r="G2298" s="22" t="str">
        <x:f>"13580335600"</x:f>
        <x:v>13580335600</x:v>
      </x:c>
      <x:c r="H2298" s="23" t="str">
        <x:v>ld33022@gmail.com</x:v>
      </x:c>
      <x:c r="I2298" s="22" t="str">
        <x:f>"31996355609"</x:f>
        <x:v>31996355609</x:v>
      </x:c>
      <x:c r="J2298" s="23" t="str">
        <x:v>RENTAL</x:v>
      </x:c>
      <x:c r="K2298" s="23" t="str">
        <x:v>rental_company</x:v>
      </x:c>
      <x:c r="L2298" s="24" t="b">
        <x:v>1</x:v>
      </x:c>
      <x:c r="M2298" s="23" t="n">
        <x:v>1</x:v>
      </x:c>
      <x:c r="N2298" s="28" t="n">
        <x:v>46219.812988715275</x:v>
      </x:c>
      <x:c r="O2298" s="28" t="n">
        <x:v>46219.812988715275</x:v>
      </x:c>
      <x:c r="P2298" s="23" t="str">
        <x:v>VESPASIANO</x:v>
      </x:c>
      <x:c r="Q2298" s="30" t="n">
        <x:v>35566</x:v>
      </x:c>
      <x:c r="R2298" s="22" t="str">
        <x:f>"MG19153461"</x:f>
        <x:v>MG19153461</x:v>
      </x:c>
      <x:c r="S2298" s="23" t="str">
        <x:v>masculino</x:v>
      </x:c>
      <x:c r="T2298" s="22" t="str"/>
      <x:c r="U2298" s="23" t="str">
        <x:v>LUCAS DANIEL SOUZA DE PAULA</x:v>
      </x:c>
      <x:c r="V2298" s="22" t="str">
        <x:f>"135.803.356-00"</x:f>
        <x:v>135.803.356-00</x:v>
      </x:c>
      <x:c r="W2298" s="22" t="str">
        <x:f>"13580335600"</x:f>
        <x:v>13580335600</x:v>
      </x:c>
      <x:c r="X2298" s="23" t="str">
        <x:v>ld33022@gmail.com</x:v>
      </x:c>
      <x:c r="Y2298" s="22" t="str">
        <x:f>"31996355609"</x:f>
        <x:v>31996355609</x:v>
      </x:c>
      <x:c r="Z2298" s="30" t="n">
        <x:v>46413</x:v>
      </x:c>
    </x:row>
    <x:row r="2299" ht="18" customHeight="1">
      <x:c r="A2299" s="22" t="str">
        <x:f>"ebaaedbf-f498-4811-9a62-6185f51e6a21"</x:f>
        <x:v>ebaaedbf-f498-4811-9a62-6185f51e6a21</x:v>
      </x:c>
      <x:c r="B2299" s="23" t="str">
        <x:v>LUCAS DA SILVA ALVES DINIZ</x:v>
      </x:c>
      <x:c r="C2299" s="23" t="str">
        <x:v>lucas da silva alves diniz</x:v>
      </x:c>
      <x:c r="D2299" s="22" t="str">
        <x:f>"57.411.874/0001-59"</x:f>
        <x:v>57.411.874/0001-59</x:v>
      </x:c>
      <x:c r="E2299" s="22" t="str">
        <x:f>"57411874000159"</x:f>
        <x:v>57411874000159</x:v>
      </x:c>
      <x:c r="F2299" s="22" t="str">
        <x:f>"117.792.716-03"</x:f>
        <x:v>117.792.716-03</x:v>
      </x:c>
      <x:c r="G2299" s="22" t="str">
        <x:f>"11779271603"</x:f>
        <x:v>11779271603</x:v>
      </x:c>
      <x:c r="H2299" s="23" t="str">
        <x:v>Lucassilva.diniz@hotmail.com</x:v>
      </x:c>
      <x:c r="I2299" s="22" t="str">
        <x:f>"31 98613-9227"</x:f>
        <x:v>31 98613-9227</x:v>
      </x:c>
      <x:c r="J2299" s="23" t="str">
        <x:v>RENTAL</x:v>
      </x:c>
      <x:c r="K2299" s="23" t="str">
        <x:v>favored_only</x:v>
      </x:c>
      <x:c r="L2299" s="24" t="b">
        <x:v>1</x:v>
      </x:c>
      <x:c r="M2299" s="23" t="n">
        <x:v>2</x:v>
      </x:c>
      <x:c r="N2299" s="28" t="n">
        <x:v>46203.92184908565</x:v>
      </x:c>
      <x:c r="O2299" s="28" t="n">
        <x:v>46219.812988715275</x:v>
      </x:c>
      <x:c r="P2299" s="23" t="str">
        <x:v>VESPASIANO</x:v>
      </x:c>
      <x:c r="Q2299" s="30" t="n">
        <x:v>34534</x:v>
      </x:c>
      <x:c r="R2299" s="22" t="str">
        <x:f>"RG : Mg15991182"</x:f>
        <x:v>RG : Mg15991182</x:v>
      </x:c>
      <x:c r="S2299" s="23" t="str">
        <x:v>masculino</x:v>
      </x:c>
      <x:c r="T2299" s="22" t="str">
        <x:f>"QOC9I60"</x:f>
        <x:v>QOC9I60</x:v>
      </x:c>
      <x:c r="U2299" s="23" t="str">
        <x:v>LUCAS DA SILVA ALVES DINIZ</x:v>
      </x:c>
      <x:c r="V2299" s="22" t="str">
        <x:f>"117.792.716-03"</x:f>
        <x:v>117.792.716-03</x:v>
      </x:c>
      <x:c r="W2299" s="22" t="str">
        <x:f>"11779271603"</x:f>
        <x:v>11779271603</x:v>
      </x:c>
      <x:c r="X2299" s="23" t="str">
        <x:v>Lucassilva.diniz@hotmail.com</x:v>
      </x:c>
      <x:c r="Y2299" s="22" t="str">
        <x:f>"31 98613-9227"</x:f>
        <x:v>31 98613-9227</x:v>
      </x:c>
      <x:c r="Z2299" s="30" t="n">
        <x:v>46446</x:v>
      </x:c>
    </x:row>
    <x:row r="2300" ht="18" customHeight="1">
      <x:c r="A2300" s="22" t="str">
        <x:f>"a763905d-7afb-47bd-b6d3-bfe56389e7cb"</x:f>
        <x:v>a763905d-7afb-47bd-b6d3-bfe56389e7cb</x:v>
      </x:c>
      <x:c r="B2300" s="23" t="str">
        <x:v>LUCAS DA SILVA COSTA</x:v>
      </x:c>
      <x:c r="C2300" s="23" t="str">
        <x:v>lucas da silva costa</x:v>
      </x:c>
      <x:c r="D2300" s="22" t="str">
        <x:f>"62.949.360/0001-91"</x:f>
        <x:v>62.949.360/0001-91</x:v>
      </x:c>
      <x:c r="E2300" s="22" t="str">
        <x:f>"62949360000191"</x:f>
        <x:v>62949360000191</x:v>
      </x:c>
      <x:c r="F2300" s="22" t="str">
        <x:f>"703.249.651-25"</x:f>
        <x:v>703.249.651-25</x:v>
      </x:c>
      <x:c r="G2300" s="22" t="str">
        <x:f>"70324965125"</x:f>
        <x:v>70324965125</x:v>
      </x:c>
      <x:c r="H2300" s="23" t="str">
        <x:v>lc4899901@gmail.com</x:v>
      </x:c>
      <x:c r="I2300" s="22" t="str">
        <x:f>"62991260313"</x:f>
        <x:v>62991260313</x:v>
      </x:c>
      <x:c r="J2300" s="23" t="str">
        <x:v>spot</x:v>
      </x:c>
      <x:c r="K2300" s="23" t="str">
        <x:v>favored_only</x:v>
      </x:c>
      <x:c r="L2300" s="24" t="b">
        <x:v>1</x:v>
      </x:c>
      <x:c r="M2300" s="23" t="n">
        <x:v>1</x:v>
      </x:c>
      <x:c r="N2300" s="28" t="n">
        <x:v>46203.92186888889</x:v>
      </x:c>
      <x:c r="O2300" s="28" t="n">
        <x:v>46219.812988715275</x:v>
      </x:c>
      <x:c r="P2300" s="23" t="str">
        <x:v>GOIANIA</x:v>
      </x:c>
      <x:c r="Q2300" s="30" t="n">
        <x:v>35367</x:v>
      </x:c>
      <x:c r="R2300" s="22" t="str">
        <x:f>"5672289"</x:f>
        <x:v>5672289</x:v>
      </x:c>
      <x:c r="S2300" s="23" t="str">
        <x:v>masculino</x:v>
      </x:c>
      <x:c r="T2300" s="22" t="str">
        <x:f>"RFL2I37"</x:f>
        <x:v>RFL2I37</x:v>
      </x:c>
      <x:c r="U2300" s="23" t="str">
        <x:v>LUCAS DA SILVA COSTA</x:v>
      </x:c>
      <x:c r="V2300" s="22" t="str">
        <x:f>"703.249.651-25"</x:f>
        <x:v>703.249.651-25</x:v>
      </x:c>
      <x:c r="W2300" s="22" t="str">
        <x:f>"70324965125"</x:f>
        <x:v>70324965125</x:v>
      </x:c>
      <x:c r="X2300" s="23" t="str">
        <x:v>lc4899901@gmail.com</x:v>
      </x:c>
      <x:c r="Y2300" s="22" t="str">
        <x:f>"62991260313"</x:f>
        <x:v>62991260313</x:v>
      </x:c>
      <x:c r="Z2300" s="30" t="n">
        <x:v>46298</x:v>
      </x:c>
    </x:row>
    <x:row r="2301" ht="18" customHeight="1">
      <x:c r="A2301" s="22" t="str">
        <x:f>"e048e58a-f04a-42ba-b776-ab9dc95e1613"</x:f>
        <x:v>e048e58a-f04a-42ba-b776-ab9dc95e1613</x:v>
      </x:c>
      <x:c r="B2301" s="23" t="str">
        <x:v>LUCAS DA SILVA CUNHA</x:v>
      </x:c>
      <x:c r="C2301" s="23" t="str">
        <x:v>lucas da silva cunha</x:v>
      </x:c>
      <x:c r="D2301" s="22" t="str">
        <x:f>"65.739.333/0001-82"</x:f>
        <x:v>65.739.333/0001-82</x:v>
      </x:c>
      <x:c r="E2301" s="22" t="str">
        <x:f>"65739333000182"</x:f>
        <x:v>65739333000182</x:v>
      </x:c>
      <x:c r="F2301" s="22" t="str">
        <x:f>"121.572.927-52"</x:f>
        <x:v>121.572.927-52</x:v>
      </x:c>
      <x:c r="G2301" s="22" t="str">
        <x:f>"12157292752"</x:f>
        <x:v>12157292752</x:v>
      </x:c>
      <x:c r="H2301" s="23" t="str">
        <x:v>Lucassilvacunha7@gmail.com</x:v>
      </x:c>
      <x:c r="I2301" s="22" t="str">
        <x:f>"21968469937"</x:f>
        <x:v>21968469937</x:v>
      </x:c>
      <x:c r="J2301" s="23" t="str">
        <x:v>SPOT</x:v>
      </x:c>
      <x:c r="K2301" s="23" t="str">
        <x:v>favored_only</x:v>
      </x:c>
      <x:c r="L2301" s="24" t="b">
        <x:v>1</x:v>
      </x:c>
      <x:c r="M2301" s="23" t="n">
        <x:v>2</x:v>
      </x:c>
      <x:c r="N2301" s="28" t="n">
        <x:v>46219.812988715275</x:v>
      </x:c>
      <x:c r="O2301" s="28" t="n">
        <x:v>46219.812988715275</x:v>
      </x:c>
      <x:c r="P2301" s="23" t="str">
        <x:v>ITABORAI</x:v>
      </x:c>
      <x:c r="Q2301" s="30" t="n">
        <x:v>35118</x:v>
      </x:c>
      <x:c r="R2301" s="22" t="str">
        <x:f>"206255788"</x:f>
        <x:v>206255788</x:v>
      </x:c>
      <x:c r="S2301" s="23" t="str">
        <x:v>masculino</x:v>
      </x:c>
      <x:c r="T2301" s="22" t="str">
        <x:f>"OPF8J87"</x:f>
        <x:v>OPF8J87</x:v>
      </x:c>
      <x:c r="U2301" s="23" t="str">
        <x:v>LUCAS DA SILVA CUNHA</x:v>
      </x:c>
      <x:c r="V2301" s="22" t="str">
        <x:f>"121.572.927-52"</x:f>
        <x:v>121.572.927-52</x:v>
      </x:c>
      <x:c r="W2301" s="22" t="str">
        <x:f>"12157292752"</x:f>
        <x:v>12157292752</x:v>
      </x:c>
      <x:c r="X2301" s="23" t="str">
        <x:v>Lucassilvacunha7@gmail.com</x:v>
      </x:c>
      <x:c r="Y2301" s="22" t="str">
        <x:f>"21968469937"</x:f>
        <x:v>21968469937</x:v>
      </x:c>
      <x:c r="Z2301" s="30" t="n">
        <x:v>46491</x:v>
      </x:c>
    </x:row>
    <x:row r="2302" ht="18" customHeight="1">
      <x:c r="A2302" s="22" t="str">
        <x:f>"38de5535-0e16-4144-840a-0f88a2dbe2d5"</x:f>
        <x:v>38de5535-0e16-4144-840a-0f88a2dbe2d5</x:v>
      </x:c>
      <x:c r="B2302" s="23" t="str">
        <x:v>LUCAS DA SILVA DE SANTANA</x:v>
      </x:c>
      <x:c r="C2302" s="23" t="str">
        <x:v>lucas da silva de santana</x:v>
      </x:c>
      <x:c r="D2302" s="22" t="str">
        <x:f>"59.047.185/0001-32"</x:f>
        <x:v>59.047.185/0001-32</x:v>
      </x:c>
      <x:c r="E2302" s="22" t="str">
        <x:f>"59047185000132"</x:f>
        <x:v>59047185000132</x:v>
      </x:c>
      <x:c r="F2302" s="22" t="str">
        <x:f>"170.245.657-99"</x:f>
        <x:v>170.245.657-99</x:v>
      </x:c>
      <x:c r="G2302" s="22" t="str">
        <x:f>"17024565799"</x:f>
        <x:v>17024565799</x:v>
      </x:c>
      <x:c r="H2302" s="23" t="str">
        <x:v>lucas.ftb23@gmail.com</x:v>
      </x:c>
      <x:c r="I2302" s="22" t="str">
        <x:f>"21991796731"</x:f>
        <x:v>21991796731</x:v>
      </x:c>
      <x:c r="J2302" s="23" t="str">
        <x:v>SPOT</x:v>
      </x:c>
      <x:c r="K2302" s="23" t="str">
        <x:v>favored_only</x:v>
      </x:c>
      <x:c r="L2302" s="24" t="b">
        <x:v>1</x:v>
      </x:c>
      <x:c r="M2302" s="23" t="n">
        <x:v>1</x:v>
      </x:c>
      <x:c r="N2302" s="28" t="n">
        <x:v>46219.812988715275</x:v>
      </x:c>
      <x:c r="O2302" s="28" t="n">
        <x:v>46219.812988715275</x:v>
      </x:c>
      <x:c r="P2302" s="23" t="str">
        <x:v>QUEIMADOS</x:v>
      </x:c>
      <x:c r="Q2302" s="30" t="n">
        <x:v>36784</x:v>
      </x:c>
      <x:c r="R2302" s="22" t="str">
        <x:f>"316363175"</x:f>
        <x:v>316363175</x:v>
      </x:c>
      <x:c r="S2302" s="23" t="str">
        <x:v>masculino</x:v>
      </x:c>
      <x:c r="T2302" s="22" t="str">
        <x:f>"KYG3787"</x:f>
        <x:v>KYG3787</x:v>
      </x:c>
      <x:c r="U2302" s="23" t="str">
        <x:v>DANIEL BATISTA DE ORNELAS</x:v>
      </x:c>
      <x:c r="V2302" s="22" t="str">
        <x:f>"149.020.867-43"</x:f>
        <x:v>149.020.867-43</x:v>
      </x:c>
      <x:c r="W2302" s="22" t="str">
        <x:f>"14902086743"</x:f>
        <x:v>14902086743</x:v>
      </x:c>
      <x:c r="X2302" s="23" t="str">
        <x:v>danielornelas660@gmail.com</x:v>
      </x:c>
      <x:c r="Y2302" s="22" t="str">
        <x:f>"21992808629"</x:f>
        <x:v>21992808629</x:v>
      </x:c>
      <x:c r="Z2302" s="30" t="n">
        <x:v>46581</x:v>
      </x:c>
    </x:row>
    <x:row r="2303" ht="18" customHeight="1">
      <x:c r="A2303" s="22" t="str">
        <x:f>"480d22b7-3d1f-4fb7-9171-b2cc38914a99"</x:f>
        <x:v>480d22b7-3d1f-4fb7-9171-b2cc38914a99</x:v>
      </x:c>
      <x:c r="B2303" s="23" t="str">
        <x:v>LUCAS DA SILVA DE SANTANA</x:v>
      </x:c>
      <x:c r="C2303" s="23" t="str">
        <x:v>lucas da silva de santana</x:v>
      </x:c>
      <x:c r="D2303" s="22" t="str">
        <x:f>"67.124.528/0001-43"</x:f>
        <x:v>67.124.528/0001-43</x:v>
      </x:c>
      <x:c r="E2303" s="22" t="str">
        <x:f>"67124528000143"</x:f>
        <x:v>67124528000143</x:v>
      </x:c>
      <x:c r="F2303" s="22" t="str">
        <x:f>"170.245.657-99"</x:f>
        <x:v>170.245.657-99</x:v>
      </x:c>
      <x:c r="G2303" s="22" t="str">
        <x:f>"17024565799"</x:f>
        <x:v>17024565799</x:v>
      </x:c>
      <x:c r="H2303" s="23" t="str">
        <x:v>lucas.ftb23@gmail.com</x:v>
      </x:c>
      <x:c r="I2303" s="22" t="str">
        <x:f>"(21) 99179-6731"</x:f>
        <x:v>(21) 99179-6731</x:v>
      </x:c>
      <x:c r="J2303" s="23" t="str">
        <x:v>RENTAL</x:v>
      </x:c>
      <x:c r="K2303" s="23" t="str">
        <x:v>rental_company</x:v>
      </x:c>
      <x:c r="L2303" s="24" t="b">
        <x:v>1</x:v>
      </x:c>
      <x:c r="M2303" s="23" t="n">
        <x:v>1</x:v>
      </x:c>
      <x:c r="N2303" s="28" t="n">
        <x:v>46219.812988715275</x:v>
      </x:c>
      <x:c r="O2303" s="28" t="n">
        <x:v>46219.812988715275</x:v>
      </x:c>
      <x:c r="P2303" s="23" t="str">
        <x:v>QUEIMADOS</x:v>
      </x:c>
      <x:c r="Q2303" s="30" t="n">
        <x:v>36784</x:v>
      </x:c>
      <x:c r="R2303" s="22" t="str">
        <x:f>"316363175"</x:f>
        <x:v>316363175</x:v>
      </x:c>
      <x:c r="S2303" s="23" t="str">
        <x:v>masculino</x:v>
      </x:c>
      <x:c r="T2303" s="22" t="str"/>
      <x:c r="U2303" s="23" t="str">
        <x:v>LUCAS DA SILVA DE SANTANA</x:v>
      </x:c>
      <x:c r="V2303" s="22" t="str">
        <x:f>"170.245.657-99"</x:f>
        <x:v>170.245.657-99</x:v>
      </x:c>
      <x:c r="W2303" s="22" t="str">
        <x:f>"17024565799"</x:f>
        <x:v>17024565799</x:v>
      </x:c>
      <x:c r="X2303" s="23" t="str">
        <x:v>lucas.ftb23@gmail.com</x:v>
      </x:c>
      <x:c r="Y2303" s="22" t="str">
        <x:f>"(21) 99179-6731"</x:f>
        <x:v>(21) 99179-6731</x:v>
      </x:c>
      <x:c r="Z2303" s="30" t="n">
        <x:v>46547</x:v>
      </x:c>
    </x:row>
    <x:row r="2304" ht="18" customHeight="1">
      <x:c r="A2304" s="22" t="str">
        <x:f>"b3847aa2-2a21-4edb-af7c-b34f9bc0c1ee"</x:f>
        <x:v>b3847aa2-2a21-4edb-af7c-b34f9bc0c1ee</x:v>
      </x:c>
      <x:c r="B2304" s="23" t="str">
        <x:v>LUCAS DA SILVA DE SANTANA</x:v>
      </x:c>
      <x:c r="C2304" s="23" t="str">
        <x:v>lucas da silva de santana</x:v>
      </x:c>
      <x:c r="D2304" s="22" t="str">
        <x:f>"50.682.612/0001-80"</x:f>
        <x:v>50.682.612/0001-80</x:v>
      </x:c>
      <x:c r="E2304" s="22" t="str">
        <x:f>"50682612000180"</x:f>
        <x:v>50682612000180</x:v>
      </x:c>
      <x:c r="F2304" s="22" t="str">
        <x:f>"170.245.657-99"</x:f>
        <x:v>170.245.657-99</x:v>
      </x:c>
      <x:c r="G2304" s="22" t="str">
        <x:f>"17024565799"</x:f>
        <x:v>17024565799</x:v>
      </x:c>
      <x:c r="H2304" s="23" t="str">
        <x:v>lucas.ftb23@gmail.com</x:v>
      </x:c>
      <x:c r="I2304" s="22" t="str">
        <x:f>"(21) 99179-6731"</x:f>
        <x:v>(21) 99179-6731</x:v>
      </x:c>
      <x:c r="J2304" s="23" t="str">
        <x:v>SPOT</x:v>
      </x:c>
      <x:c r="K2304" s="23" t="str">
        <x:v>favored_only</x:v>
      </x:c>
      <x:c r="L2304" s="24" t="b">
        <x:v>1</x:v>
      </x:c>
      <x:c r="M2304" s="23" t="n">
        <x:v>2</x:v>
      </x:c>
      <x:c r="N2304" s="28" t="n">
        <x:v>46219.812988715275</x:v>
      </x:c>
      <x:c r="O2304" s="28" t="n">
        <x:v>46219.812988715275</x:v>
      </x:c>
      <x:c r="P2304" s="23" t="str">
        <x:v>QUEIMADOS</x:v>
      </x:c>
      <x:c r="Q2304" s="30" t="n">
        <x:v>36784</x:v>
      </x:c>
      <x:c r="R2304" s="22" t="str">
        <x:f>"316363175"</x:f>
        <x:v>316363175</x:v>
      </x:c>
      <x:c r="S2304" s="23" t="str">
        <x:v>masculino</x:v>
      </x:c>
      <x:c r="T2304" s="22" t="str">
        <x:f>"LSA5D66"</x:f>
        <x:v>LSA5D66</x:v>
      </x:c>
      <x:c r="U2304" s="23" t="str">
        <x:v>MATHEUS DA SILVA DE SANTANA</x:v>
      </x:c>
      <x:c r="V2304" s="22" t="str">
        <x:f>"170.246.077-00"</x:f>
        <x:v>170.246.077-00</x:v>
      </x:c>
      <x:c r="W2304" s="22" t="str">
        <x:f>"17024607700"</x:f>
        <x:v>17024607700</x:v>
      </x:c>
      <x:c r="X2304" s="23" t="str">
        <x:v>matheus.ftb2003@gmail.com</x:v>
      </x:c>
      <x:c r="Y2304" s="22" t="str">
        <x:f>"(21) 97403-5951"</x:f>
        <x:v>(21) 97403-5951</x:v>
      </x:c>
      <x:c r="Z2304" s="30" t="n">
        <x:v>46460</x:v>
      </x:c>
    </x:row>
    <x:row r="2305" ht="18" customHeight="1">
      <x:c r="A2305" s="22" t="str">
        <x:f>"c24019b6-118d-478d-b054-f64996e66dec"</x:f>
        <x:v>c24019b6-118d-478d-b054-f64996e66dec</x:v>
      </x:c>
      <x:c r="B2305" s="23" t="str">
        <x:v>LUCAS DA SILVA FERNANDES</x:v>
      </x:c>
      <x:c r="C2305" s="23" t="str">
        <x:v>lucas da silva fernandes</x:v>
      </x:c>
      <x:c r="D2305" s="22" t="str">
        <x:f>"54.158.239/0001-13"</x:f>
        <x:v>54.158.239/0001-13</x:v>
      </x:c>
      <x:c r="E2305" s="22" t="str">
        <x:f>"54158239000113"</x:f>
        <x:v>54158239000113</x:v>
      </x:c>
      <x:c r="F2305" s="22" t="str">
        <x:f>"082.828.125-44"</x:f>
        <x:v>082.828.125-44</x:v>
      </x:c>
      <x:c r="G2305" s="22" t="str">
        <x:f>"08282812544"</x:f>
        <x:v>08282812544</x:v>
      </x:c>
      <x:c r="H2305" s="23" t="str">
        <x:v>z8alucard@hotmail.com</x:v>
      </x:c>
      <x:c r="I2305" s="22" t="str">
        <x:f>"31 996706613"</x:f>
        <x:v>31 996706613</x:v>
      </x:c>
      <x:c r="J2305" s="23" t="str">
        <x:v>spot</x:v>
      </x:c>
      <x:c r="K2305" s="23" t="str">
        <x:v>favored_only</x:v>
      </x:c>
      <x:c r="L2305" s="24" t="b">
        <x:v>1</x:v>
      </x:c>
      <x:c r="M2305" s="23" t="n">
        <x:v>1</x:v>
      </x:c>
      <x:c r="N2305" s="28" t="n">
        <x:v>46219.812988715275</x:v>
      </x:c>
      <x:c r="O2305" s="28" t="n">
        <x:v>46219.812988715275</x:v>
      </x:c>
      <x:c r="P2305" s="23" t="str">
        <x:v>NOVA LIMA</x:v>
      </x:c>
      <x:c r="Q2305" s="30" t="n">
        <x:v>36612</x:v>
      </x:c>
      <x:c r="R2305" s="22" t="str">
        <x:f>"140077591"</x:f>
        <x:v>140077591</x:v>
      </x:c>
      <x:c r="S2305" s="23" t="str">
        <x:v>masculino</x:v>
      </x:c>
      <x:c r="T2305" s="22" t="str">
        <x:f>"JXT5H22"</x:f>
        <x:v>JXT5H22</x:v>
      </x:c>
      <x:c r="U2305" s="23" t="str">
        <x:v>LUCAS DA SILVA FERNANDES</x:v>
      </x:c>
      <x:c r="V2305" s="22" t="str">
        <x:f>"082.828.125-44"</x:f>
        <x:v>082.828.125-44</x:v>
      </x:c>
      <x:c r="W2305" s="22" t="str">
        <x:f>"08282812544"</x:f>
        <x:v>08282812544</x:v>
      </x:c>
      <x:c r="X2305" s="23" t="str">
        <x:v>z8alucard@hotmail.com</x:v>
      </x:c>
      <x:c r="Y2305" s="22" t="str">
        <x:f>"31 996706613"</x:f>
        <x:v>31 996706613</x:v>
      </x:c>
      <x:c r="Z2305" s="30" t="n">
        <x:v>46557</x:v>
      </x:c>
    </x:row>
    <x:row r="2306" ht="18" customHeight="1">
      <x:c r="A2306" s="22" t="str">
        <x:f>"3b9b1f54-b4f6-4655-b0cd-1b4ce1e6d5eb"</x:f>
        <x:v>3b9b1f54-b4f6-4655-b0cd-1b4ce1e6d5eb</x:v>
      </x:c>
      <x:c r="B2306" s="23" t="str">
        <x:v>LUCAS DE ARAUJO LEMOS</x:v>
      </x:c>
      <x:c r="C2306" s="23" t="str">
        <x:v>lucas de araujo lemos</x:v>
      </x:c>
      <x:c r="D2306" s="22" t="str">
        <x:f>"54.606.515/0001-69"</x:f>
        <x:v>54.606.515/0001-69</x:v>
      </x:c>
      <x:c r="E2306" s="22" t="str">
        <x:f>"54606515000169"</x:f>
        <x:v>54606515000169</x:v>
      </x:c>
      <x:c r="F2306" s="22" t="str">
        <x:f>"049.594.411-43"</x:f>
        <x:v>049.594.411-43</x:v>
      </x:c>
      <x:c r="G2306" s="22" t="str">
        <x:f>"04959441143"</x:f>
        <x:v>04959441143</x:v>
      </x:c>
      <x:c r="H2306" s="23" t="str">
        <x:v>lucasaraujo2@live.com</x:v>
      </x:c>
      <x:c r="I2306" s="22" t="str">
        <x:f>"65981418905"</x:f>
        <x:v>65981418905</x:v>
      </x:c>
      <x:c r="J2306" s="23" t="str">
        <x:v>SPOT</x:v>
      </x:c>
      <x:c r="K2306" s="23" t="str">
        <x:v>favored_only</x:v>
      </x:c>
      <x:c r="L2306" s="24" t="b">
        <x:v>1</x:v>
      </x:c>
      <x:c r="M2306" s="23" t="n">
        <x:v>2</x:v>
      </x:c>
      <x:c r="N2306" s="28" t="n">
        <x:v>46203.92191240741</x:v>
      </x:c>
      <x:c r="O2306" s="28" t="n">
        <x:v>46219.812988715275</x:v>
      </x:c>
      <x:c r="P2306" s="23" t="str">
        <x:v>CUIABA</x:v>
      </x:c>
      <x:c r="Q2306" s="30" t="n">
        <x:v>34124</x:v>
      </x:c>
      <x:c r="R2306" s="22" t="str">
        <x:f>"16781589"</x:f>
        <x:v>16781589</x:v>
      </x:c>
      <x:c r="S2306" s="23" t="str">
        <x:v>masculino</x:v>
      </x:c>
      <x:c r="T2306" s="22" t="str">
        <x:f>"QCC4H36"</x:f>
        <x:v>QCC4H36</x:v>
      </x:c>
      <x:c r="U2306" s="23" t="str">
        <x:v>LUCAS DE ARAUJO LEMOS</x:v>
      </x:c>
      <x:c r="V2306" s="22" t="str">
        <x:f>"049.594.411-43"</x:f>
        <x:v>049.594.411-43</x:v>
      </x:c>
      <x:c r="W2306" s="22" t="str">
        <x:f>"04959441143"</x:f>
        <x:v>04959441143</x:v>
      </x:c>
      <x:c r="X2306" s="23" t="str">
        <x:v>lucasaraujo2@live.com</x:v>
      </x:c>
      <x:c r="Y2306" s="22" t="str">
        <x:f>"65981418905"</x:f>
        <x:v>65981418905</x:v>
      </x:c>
      <x:c r="Z2306" s="30" t="n">
        <x:v>46421</x:v>
      </x:c>
    </x:row>
    <x:row r="2307" ht="18" customHeight="1">
      <x:c r="A2307" s="22" t="str">
        <x:f>"d919777a-e8da-4ccf-a2a6-7137ee1f5453"</x:f>
        <x:v>d919777a-e8da-4ccf-a2a6-7137ee1f5453</x:v>
      </x:c>
      <x:c r="B2307" s="23" t="str">
        <x:v>LUCAS DE CARVALHO SILVA</x:v>
      </x:c>
      <x:c r="C2307" s="23" t="str">
        <x:v>lucas de carvalho silva</x:v>
      </x:c>
      <x:c r="D2307" s="22" t="str">
        <x:f>"65.745.357/0001-44"</x:f>
        <x:v>65.745.357/0001-44</x:v>
      </x:c>
      <x:c r="E2307" s="22" t="str">
        <x:f>"65745357000144"</x:f>
        <x:v>65745357000144</x:v>
      </x:c>
      <x:c r="F2307" s="22" t="str">
        <x:f>"155.829.346-93"</x:f>
        <x:v>155.829.346-93</x:v>
      </x:c>
      <x:c r="G2307" s="22" t="str">
        <x:f>"15582934693"</x:f>
        <x:v>15582934693</x:v>
      </x:c>
      <x:c r="H2307" s="23" t="str">
        <x:v>lucascarvalhosilva182@gmail.com</x:v>
      </x:c>
      <x:c r="I2307" s="22" t="str">
        <x:f>"+55 31 8258-4667"</x:f>
        <x:v>+55 31 8258-4667</x:v>
      </x:c>
      <x:c r="J2307" s="23" t="str">
        <x:v>SPOT</x:v>
      </x:c>
      <x:c r="K2307" s="23" t="str">
        <x:v>favored_only</x:v>
      </x:c>
      <x:c r="L2307" s="24" t="b">
        <x:v>1</x:v>
      </x:c>
      <x:c r="M2307" s="23" t="n">
        <x:v>1</x:v>
      </x:c>
      <x:c r="N2307" s="28" t="n">
        <x:v>46219.812988715275</x:v>
      </x:c>
      <x:c r="O2307" s="28" t="n">
        <x:v>46219.812988715275</x:v>
      </x:c>
      <x:c r="P2307" s="23" t="str">
        <x:v>CONCEIÇÃO DO MATO DENTRO</x:v>
      </x:c>
      <x:c r="Q2307" s="30" t="n">
        <x:v>38000</x:v>
      </x:c>
      <x:c r="R2307" s="22" t="str">
        <x:f>"17644837"</x:f>
        <x:v>17644837</x:v>
      </x:c>
      <x:c r="S2307" s="23" t="str">
        <x:v>masculino</x:v>
      </x:c>
      <x:c r="T2307" s="22" t="str">
        <x:f>"hmi4e79"</x:f>
        <x:v>hmi4e79</x:v>
      </x:c>
      <x:c r="U2307" s="23" t="str">
        <x:v>LUCAS DE CARVALHO SILVA</x:v>
      </x:c>
      <x:c r="V2307" s="22" t="str">
        <x:f>"155.829.346-93"</x:f>
        <x:v>155.829.346-93</x:v>
      </x:c>
      <x:c r="W2307" s="22" t="str">
        <x:f>"15582934693"</x:f>
        <x:v>15582934693</x:v>
      </x:c>
      <x:c r="X2307" s="23" t="str">
        <x:v>lucascarvalhosilva182@gmail.com</x:v>
      </x:c>
      <x:c r="Y2307" s="22" t="str">
        <x:f>"31982584667"</x:f>
        <x:v>31982584667</x:v>
      </x:c>
      <x:c r="Z2307" s="30" t="n">
        <x:v>46494</x:v>
      </x:c>
    </x:row>
    <x:row r="2308" ht="18" customHeight="1">
      <x:c r="A2308" s="22" t="str">
        <x:f>"92bd6386-fc12-465e-85b4-29f91bcc7094"</x:f>
        <x:v>92bd6386-fc12-465e-85b4-29f91bcc7094</x:v>
      </x:c>
      <x:c r="B2308" s="23" t="str">
        <x:v>LUCAS DE FATIMA LISBOA</x:v>
      </x:c>
      <x:c r="C2308" s="23" t="str">
        <x:v>lucas de fatima lisboa</x:v>
      </x:c>
      <x:c r="D2308" s="22" t="str">
        <x:f>"66.910.153/0001-84"</x:f>
        <x:v>66.910.153/0001-84</x:v>
      </x:c>
      <x:c r="E2308" s="22" t="str">
        <x:f>"66910153000184"</x:f>
        <x:v>66910153000184</x:v>
      </x:c>
      <x:c r="F2308" s="22" t="str">
        <x:f>"702.583.286-30"</x:f>
        <x:v>702.583.286-30</x:v>
      </x:c>
      <x:c r="G2308" s="22" t="str">
        <x:f>"70258328630"</x:f>
        <x:v>70258328630</x:v>
      </x:c>
      <x:c r="H2308" s="23" t="str">
        <x:v>Lucasfatima38@gmail.com</x:v>
      </x:c>
      <x:c r="I2308" s="22" t="str">
        <x:f>"31995236541"</x:f>
        <x:v>31995236541</x:v>
      </x:c>
      <x:c r="J2308" s="23" t="str">
        <x:v>SPOT</x:v>
      </x:c>
      <x:c r="K2308" s="23" t="str">
        <x:v>favored_only</x:v>
      </x:c>
      <x:c r="L2308" s="24" t="b">
        <x:v>1</x:v>
      </x:c>
      <x:c r="M2308" s="23" t="n">
        <x:v>1</x:v>
      </x:c>
      <x:c r="N2308" s="28" t="n">
        <x:v>46219.812988715275</x:v>
      </x:c>
      <x:c r="O2308" s="28" t="n">
        <x:v>46219.812988715275</x:v>
      </x:c>
      <x:c r="P2308" s="23" t="str">
        <x:v>NOVA LIMA</x:v>
      </x:c>
      <x:c r="Q2308" s="30" t="n">
        <x:v>37779</x:v>
      </x:c>
      <x:c r="R2308" s="22" t="str">
        <x:f>"21845801"</x:f>
        <x:v>21845801</x:v>
      </x:c>
      <x:c r="S2308" s="23" t="str">
        <x:v>masculino</x:v>
      </x:c>
      <x:c r="T2308" s="22" t="str">
        <x:f>"OAF8E39"</x:f>
        <x:v>OAF8E39</x:v>
      </x:c>
      <x:c r="U2308" s="23" t="str">
        <x:v>LUCAS DE FATIMA LISBOA</x:v>
      </x:c>
      <x:c r="V2308" s="22" t="str">
        <x:f>"702.583.286-30"</x:f>
        <x:v>702.583.286-30</x:v>
      </x:c>
      <x:c r="W2308" s="22" t="str">
        <x:f>"70258328630"</x:f>
        <x:v>70258328630</x:v>
      </x:c>
      <x:c r="X2308" s="23" t="str">
        <x:v>Lucasfatima38@gmail.com</x:v>
      </x:c>
      <x:c r="Y2308" s="22" t="str">
        <x:f>"31995236541"</x:f>
        <x:v>31995236541</x:v>
      </x:c>
      <x:c r="Z2308" s="30" t="n">
        <x:v>46220</x:v>
      </x:c>
    </x:row>
    <x:row r="2309" ht="18" customHeight="1">
      <x:c r="A2309" s="22" t="str">
        <x:f>"799c4f5f-81d0-4e05-95ce-abbd21663662"</x:f>
        <x:v>799c4f5f-81d0-4e05-95ce-abbd21663662</x:v>
      </x:c>
      <x:c r="B2309" s="23" t="str">
        <x:v>LUCAS DE LIMA</x:v>
      </x:c>
      <x:c r="C2309" s="23" t="str">
        <x:v>lucas de lima</x:v>
      </x:c>
      <x:c r="D2309" s="22" t="str">
        <x:f>"61.946.528/0001-42"</x:f>
        <x:v>61.946.528/0001-42</x:v>
      </x:c>
      <x:c r="E2309" s="22" t="str">
        <x:f>"61946528000142"</x:f>
        <x:v>61946528000142</x:v>
      </x:c>
      <x:c r="F2309" s="22" t="str">
        <x:f>"140.437.617-83"</x:f>
        <x:v>140.437.617-83</x:v>
      </x:c>
      <x:c r="G2309" s="22" t="str">
        <x:f>"14043761783"</x:f>
        <x:v>14043761783</x:v>
      </x:c>
      <x:c r="H2309" s="23" t="str">
        <x:v>nego.motors@outlook.com</x:v>
      </x:c>
      <x:c r="I2309" s="22" t="str">
        <x:f>"21974451200"</x:f>
        <x:v>21974451200</x:v>
      </x:c>
      <x:c r="J2309" s="23" t="str">
        <x:v>SPOT</x:v>
      </x:c>
      <x:c r="K2309" s="23" t="str">
        <x:v>favored_only</x:v>
      </x:c>
      <x:c r="L2309" s="24" t="b">
        <x:v>1</x:v>
      </x:c>
      <x:c r="M2309" s="23" t="n">
        <x:v>2</x:v>
      </x:c>
      <x:c r="N2309" s="28" t="n">
        <x:v>46203.921852962965</x:v>
      </x:c>
      <x:c r="O2309" s="28" t="n">
        <x:v>46219.812988715275</x:v>
      </x:c>
      <x:c r="P2309" s="23" t="str">
        <x:v>QUEIMADOS</x:v>
      </x:c>
      <x:c r="Q2309" s="30" t="n">
        <x:v>33281</x:v>
      </x:c>
      <x:c r="R2309" s="22" t="str">
        <x:f>"223741208"</x:f>
        <x:v>223741208</x:v>
      </x:c>
      <x:c r="S2309" s="23" t="str">
        <x:v>masculino</x:v>
      </x:c>
      <x:c r="T2309" s="22" t="str">
        <x:f>"LPU1625"</x:f>
        <x:v>LPU1625</x:v>
      </x:c>
      <x:c r="U2309" s="23" t="str">
        <x:v>LUCAS DE LIMA</x:v>
      </x:c>
      <x:c r="V2309" s="22" t="str">
        <x:f>"140.437.617-83"</x:f>
        <x:v>140.437.617-83</x:v>
      </x:c>
      <x:c r="W2309" s="22" t="str">
        <x:f>"14043761783"</x:f>
        <x:v>14043761783</x:v>
      </x:c>
      <x:c r="X2309" s="23" t="str">
        <x:v>nego.motors@outlook.com</x:v>
      </x:c>
      <x:c r="Y2309" s="22" t="str">
        <x:f>"21974451200"</x:f>
        <x:v>21974451200</x:v>
      </x:c>
      <x:c r="Z2309" s="30" t="n">
        <x:v>46276</x:v>
      </x:c>
    </x:row>
    <x:row r="2310" ht="18" customHeight="1">
      <x:c r="A2310" s="22" t="str">
        <x:f>"3b5b0f72-1437-498b-8d93-dd4ae25dbbe4"</x:f>
        <x:v>3b5b0f72-1437-498b-8d93-dd4ae25dbbe4</x:v>
      </x:c>
      <x:c r="B2310" s="23" t="str">
        <x:v>LUCAS DE OLIVEIRA MOTA</x:v>
      </x:c>
      <x:c r="C2310" s="23" t="str">
        <x:v>lucas de oliveira mota</x:v>
      </x:c>
      <x:c r="D2310" s="22" t="str">
        <x:f>"63.324.423/0001-87"</x:f>
        <x:v>63.324.423/0001-87</x:v>
      </x:c>
      <x:c r="E2310" s="22" t="str">
        <x:f>"63324423000187"</x:f>
        <x:v>63324423000187</x:v>
      </x:c>
      <x:c r="F2310" s="22" t="str">
        <x:f>"157.984.757-94"</x:f>
        <x:v>157.984.757-94</x:v>
      </x:c>
      <x:c r="G2310" s="22" t="str">
        <x:f>"15798475794"</x:f>
        <x:v>15798475794</x:v>
      </x:c>
      <x:c r="H2310" s="23" t="str">
        <x:v>lucasmotta51@gmail.com</x:v>
      </x:c>
      <x:c r="I2310" s="22" t="str">
        <x:f>"21997286913"</x:f>
        <x:v>21997286913</x:v>
      </x:c>
      <x:c r="J2310" s="23" t="str">
        <x:v>SPOT</x:v>
      </x:c>
      <x:c r="K2310" s="23" t="str">
        <x:v>favored_only</x:v>
      </x:c>
      <x:c r="L2310" s="24" t="b">
        <x:v>1</x:v>
      </x:c>
      <x:c r="M2310" s="23" t="n">
        <x:v>1</x:v>
      </x:c>
      <x:c r="N2310" s="28" t="n">
        <x:v>46219.812988715275</x:v>
      </x:c>
      <x:c r="O2310" s="28" t="n">
        <x:v>46219.812988715275</x:v>
      </x:c>
      <x:c r="P2310" s="23" t="str">
        <x:v>ITABORAI</x:v>
      </x:c>
      <x:c r="Q2310" s="30" t="n">
        <x:v>34677</x:v>
      </x:c>
      <x:c r="R2310" s="22" t="str">
        <x:f>"256747080"</x:f>
        <x:v>256747080</x:v>
      </x:c>
      <x:c r="S2310" s="23" t="str">
        <x:v>masculino</x:v>
      </x:c>
      <x:c r="T2310" s="22" t="str">
        <x:f>"RFH2A53"</x:f>
        <x:v>RFH2A53</x:v>
      </x:c>
      <x:c r="U2310" s="23" t="str">
        <x:v>LEVI JOSE DA MOTA</x:v>
      </x:c>
      <x:c r="V2310" s="22" t="str">
        <x:f>"015.871.857-76"</x:f>
        <x:v>015.871.857-76</x:v>
      </x:c>
      <x:c r="W2310" s="22" t="str">
        <x:f>"01587185776"</x:f>
        <x:v>01587185776</x:v>
      </x:c>
      <x:c r="X2310" s="23" t="str">
        <x:v>lucasmotta51@gmail.com</x:v>
      </x:c>
      <x:c r="Y2310" s="22" t="str">
        <x:f>"21997286913"</x:f>
        <x:v>21997286913</x:v>
      </x:c>
      <x:c r="Z2310" s="30" t="n">
        <x:v>46465</x:v>
      </x:c>
    </x:row>
    <x:row r="2311" ht="18" customHeight="1">
      <x:c r="A2311" s="22" t="str">
        <x:f>"eafd1ab0-81a1-4af7-a51f-0d5cb5be217e"</x:f>
        <x:v>eafd1ab0-81a1-4af7-a51f-0d5cb5be217e</x:v>
      </x:c>
      <x:c r="B2311" s="23" t="str">
        <x:v>LUCAS DE SOUZA MARQUES</x:v>
      </x:c>
      <x:c r="C2311" s="23" t="str">
        <x:v>lucas de souza marques</x:v>
      </x:c>
      <x:c r="D2311" s="22" t="str">
        <x:f>"64.520.594/0001-44"</x:f>
        <x:v>64.520.594/0001-44</x:v>
      </x:c>
      <x:c r="E2311" s="22" t="str">
        <x:f>"64520594000144"</x:f>
        <x:v>64520594000144</x:v>
      </x:c>
      <x:c r="F2311" s="22" t="str">
        <x:f>"450.401.978-70"</x:f>
        <x:v>450.401.978-70</x:v>
      </x:c>
      <x:c r="G2311" s="22" t="str">
        <x:f>"45040197870"</x:f>
        <x:v>45040197870</x:v>
      </x:c>
      <x:c r="H2311" s="23" t="str">
        <x:v>lcsmarques1994@gmail.com</x:v>
      </x:c>
      <x:c r="I2311" s="22" t="str">
        <x:f>"18 99800-6561"</x:f>
        <x:v>18 99800-6561</x:v>
      </x:c>
      <x:c r="J2311" s="23" t="str">
        <x:v>RENTAL</x:v>
      </x:c>
      <x:c r="K2311" s="23" t="str">
        <x:v>rental_company</x:v>
      </x:c>
      <x:c r="L2311" s="24" t="b">
        <x:v>1</x:v>
      </x:c>
      <x:c r="M2311" s="23" t="n">
        <x:v>1</x:v>
      </x:c>
      <x:c r="N2311" s="28" t="n">
        <x:v>46219.812988715275</x:v>
      </x:c>
      <x:c r="O2311" s="28" t="n">
        <x:v>46219.812988715275</x:v>
      </x:c>
      <x:c r="P2311" s="23" t="str">
        <x:v>PRESIDENTE PRUDENTE</x:v>
      </x:c>
      <x:c r="Q2311" s="30" t="n">
        <x:v>34475</x:v>
      </x:c>
      <x:c r="R2311" s="22" t="str">
        <x:f>"40541641"</x:f>
        <x:v>40541641</x:v>
      </x:c>
      <x:c r="S2311" s="23" t="str">
        <x:v>masculino</x:v>
      </x:c>
      <x:c r="T2311" s="22" t="str"/>
      <x:c r="U2311" s="23" t="str">
        <x:v>LUCAS DE SOUZA MARQUES</x:v>
      </x:c>
      <x:c r="V2311" s="22" t="str">
        <x:f>"450.401.978-70"</x:f>
        <x:v>450.401.978-70</x:v>
      </x:c>
      <x:c r="W2311" s="22" t="str">
        <x:f>"45040197870"</x:f>
        <x:v>45040197870</x:v>
      </x:c>
      <x:c r="X2311" s="23" t="str">
        <x:v>lcsmarques1994@gmail.com</x:v>
      </x:c>
      <x:c r="Y2311" s="22" t="str">
        <x:f>"18 99800-6561"</x:f>
        <x:v>18 99800-6561</x:v>
      </x:c>
      <x:c r="Z2311" s="30" t="n">
        <x:v>46413</x:v>
      </x:c>
    </x:row>
    <x:row r="2312" ht="18" customHeight="1">
      <x:c r="A2312" s="22" t="str">
        <x:f>"30b74efe-6a78-48d7-b843-a0b9761c0e05"</x:f>
        <x:v>30b74efe-6a78-48d7-b843-a0b9761c0e05</x:v>
      </x:c>
      <x:c r="B2312" s="23" t="str">
        <x:v>LUCAS DE SOUZA MORAIS</x:v>
      </x:c>
      <x:c r="C2312" s="23" t="str">
        <x:v>lucas de souza morais</x:v>
      </x:c>
      <x:c r="D2312" s="22" t="str">
        <x:f>"52.910.378/0001-26"</x:f>
        <x:v>52.910.378/0001-26</x:v>
      </x:c>
      <x:c r="E2312" s="22" t="str">
        <x:f>"52910378000126"</x:f>
        <x:v>52910378000126</x:v>
      </x:c>
      <x:c r="F2312" s="22" t="str">
        <x:f>"132.067.926-90"</x:f>
        <x:v>132.067.926-90</x:v>
      </x:c>
      <x:c r="G2312" s="22" t="str">
        <x:f>"13206792690"</x:f>
        <x:v>13206792690</x:v>
      </x:c>
      <x:c r="H2312" s="23" t="str">
        <x:v>lucasmoraisbh@gmail.com</x:v>
      </x:c>
      <x:c r="I2312" s="22" t="str">
        <x:f>"31992186204"</x:f>
        <x:v>31992186204</x:v>
      </x:c>
      <x:c r="J2312" s="23" t="str">
        <x:v>SPOT</x:v>
      </x:c>
      <x:c r="K2312" s="23" t="str">
        <x:v>favored_only</x:v>
      </x:c>
      <x:c r="L2312" s="24" t="b">
        <x:v>1</x:v>
      </x:c>
      <x:c r="M2312" s="23" t="n">
        <x:v>3</x:v>
      </x:c>
      <x:c r="N2312" s="28" t="n">
        <x:v>46203.92184908565</x:v>
      </x:c>
      <x:c r="O2312" s="28" t="n">
        <x:v>46219.812988715275</x:v>
      </x:c>
      <x:c r="P2312" s="23" t="str">
        <x:v>CONTAGEM</x:v>
      </x:c>
      <x:c r="Q2312" s="30" t="n">
        <x:v>35180</x:v>
      </x:c>
      <x:c r="R2312" s="22" t="str">
        <x:f>"19494346"</x:f>
        <x:v>19494346</x:v>
      </x:c>
      <x:c r="S2312" s="23" t="str">
        <x:v>masculino</x:v>
      </x:c>
      <x:c r="T2312" s="22" t="str">
        <x:f>"ORB4294"</x:f>
        <x:v>ORB4294</x:v>
      </x:c>
      <x:c r="U2312" s="23" t="str">
        <x:v>LUCAS DE SOUZA MORAIS</x:v>
      </x:c>
      <x:c r="V2312" s="22" t="str">
        <x:f>"132.067.926-90"</x:f>
        <x:v>132.067.926-90</x:v>
      </x:c>
      <x:c r="W2312" s="22" t="str">
        <x:f>"13206792690"</x:f>
        <x:v>13206792690</x:v>
      </x:c>
      <x:c r="X2312" s="23" t="str">
        <x:v>lucasmoraisbh@gmail.com</x:v>
      </x:c>
      <x:c r="Y2312" s="22" t="str">
        <x:f>"31992186204"</x:f>
        <x:v>31992186204</x:v>
      </x:c>
      <x:c r="Z2312" s="30" t="n">
        <x:v>46406</x:v>
      </x:c>
    </x:row>
    <x:row r="2313" ht="18" customHeight="1">
      <x:c r="A2313" s="22" t="str">
        <x:f>"c98c6a60-c04a-4cd1-8114-1145e259b115"</x:f>
        <x:v>c98c6a60-c04a-4cd1-8114-1145e259b115</x:v>
      </x:c>
      <x:c r="B2313" s="23" t="str">
        <x:v>LUCAS DIOGO NEVES COSTA</x:v>
      </x:c>
      <x:c r="C2313" s="23" t="str">
        <x:v>lucas diogo neves costa</x:v>
      </x:c>
      <x:c r="D2313" s="22" t="str">
        <x:f>"49.095.226/0001-02"</x:f>
        <x:v>49.095.226/0001-02</x:v>
      </x:c>
      <x:c r="E2313" s="22" t="str">
        <x:f>"49095226000102"</x:f>
        <x:v>49095226000102</x:v>
      </x:c>
      <x:c r="F2313" s="22" t="str">
        <x:f>"048.294.531-17"</x:f>
        <x:v>048.294.531-17</x:v>
      </x:c>
      <x:c r="G2313" s="22" t="str">
        <x:f>"04829453117"</x:f>
        <x:v>04829453117</x:v>
      </x:c>
      <x:c r="H2313" s="23" t="str">
        <x:v>lucasdiogo427@gmail.com</x:v>
      </x:c>
      <x:c r="I2313" s="22" t="str">
        <x:f>"65 99239-6131"</x:f>
        <x:v>65 99239-6131</x:v>
      </x:c>
      <x:c r="J2313" s="23" t="str">
        <x:v>SPOT</x:v>
      </x:c>
      <x:c r="K2313" s="23" t="str">
        <x:v>favored_only</x:v>
      </x:c>
      <x:c r="L2313" s="24" t="b">
        <x:v>1</x:v>
      </x:c>
      <x:c r="M2313" s="23" t="n">
        <x:v>1</x:v>
      </x:c>
      <x:c r="N2313" s="28" t="n">
        <x:v>46219.812988715275</x:v>
      </x:c>
      <x:c r="O2313" s="28" t="n">
        <x:v>46219.812988715275</x:v>
      </x:c>
      <x:c r="P2313" s="23" t="str">
        <x:v>CUIABA</x:v>
      </x:c>
      <x:c r="Q2313" s="30" t="n">
        <x:v>34936</x:v>
      </x:c>
      <x:c r="R2313" s="22" t="str">
        <x:f>"18276547"</x:f>
        <x:v>18276547</x:v>
      </x:c>
      <x:c r="S2313" s="23" t="str">
        <x:v>masculino</x:v>
      </x:c>
      <x:c r="T2313" s="22" t="str">
        <x:f>"PVS0B27"</x:f>
        <x:v>PVS0B27</x:v>
      </x:c>
      <x:c r="U2313" s="23" t="str">
        <x:v>LUCAS DIOGO NEVES COSTA</x:v>
      </x:c>
      <x:c r="V2313" s="22" t="str">
        <x:f>"048.294.531-17"</x:f>
        <x:v>048.294.531-17</x:v>
      </x:c>
      <x:c r="W2313" s="22" t="str">
        <x:f>"04829453117"</x:f>
        <x:v>04829453117</x:v>
      </x:c>
      <x:c r="X2313" s="23" t="str">
        <x:v>lucasdiogo427@gmail.com</x:v>
      </x:c>
      <x:c r="Y2313" s="22" t="str">
        <x:f>"65 99239-6131"</x:f>
        <x:v>65 99239-6131</x:v>
      </x:c>
      <x:c r="Z2313" s="30" t="n">
        <x:v>46437</x:v>
      </x:c>
    </x:row>
    <x:row r="2314" ht="18" customHeight="1">
      <x:c r="A2314" s="22" t="str">
        <x:f>"55c0963e-ff35-456c-846f-195622559e80"</x:f>
        <x:v>55c0963e-ff35-456c-846f-195622559e80</x:v>
      </x:c>
      <x:c r="B2314" s="23" t="str">
        <x:v>LUCAS DO NASCIMENTO PEIXOTO</x:v>
      </x:c>
      <x:c r="C2314" s="23" t="str">
        <x:v>lucas do nascimento peixoto</x:v>
      </x:c>
      <x:c r="D2314" s="22" t="str">
        <x:f>"55.258.697/0001-97"</x:f>
        <x:v>55.258.697/0001-97</x:v>
      </x:c>
      <x:c r="E2314" s="22" t="str">
        <x:f>"55258697000197"</x:f>
        <x:v>55258697000197</x:v>
      </x:c>
      <x:c r="F2314" s="22" t="str">
        <x:f>"146.275.017-65"</x:f>
        <x:v>146.275.017-65</x:v>
      </x:c>
      <x:c r="G2314" s="22" t="str">
        <x:f>"14627501765"</x:f>
        <x:v>14627501765</x:v>
      </x:c>
      <x:c r="H2314" s="23" t="str">
        <x:v>luucaspeixoto@outlook.com</x:v>
      </x:c>
      <x:c r="I2314" s="22" t="str">
        <x:f>"21970108455"</x:f>
        <x:v>21970108455</x:v>
      </x:c>
      <x:c r="J2314" s="23" t="str">
        <x:v>SPOT</x:v>
      </x:c>
      <x:c r="K2314" s="23" t="str">
        <x:v>favored_only</x:v>
      </x:c>
      <x:c r="L2314" s="24" t="b">
        <x:v>1</x:v>
      </x:c>
      <x:c r="M2314" s="23" t="n">
        <x:v>1</x:v>
      </x:c>
      <x:c r="N2314" s="28" t="n">
        <x:v>46219.812988715275</x:v>
      </x:c>
      <x:c r="O2314" s="28" t="n">
        <x:v>46219.812988715275</x:v>
      </x:c>
      <x:c r="P2314" s="23" t="str">
        <x:v>CORDOVIL</x:v>
      </x:c>
      <x:c r="Q2314" s="30" t="n">
        <x:v>35335</x:v>
      </x:c>
      <x:c r="R2314" s="22" t="str">
        <x:f>"290042654"</x:f>
        <x:v>290042654</x:v>
      </x:c>
      <x:c r="S2314" s="23" t="str">
        <x:v>masculino</x:v>
      </x:c>
      <x:c r="T2314" s="22" t="str">
        <x:f>"RVN2D24"</x:f>
        <x:v>RVN2D24</x:v>
      </x:c>
      <x:c r="U2314" s="23" t="str">
        <x:v>LUCAS DO NASCIMENTO PEIXOTO</x:v>
      </x:c>
      <x:c r="V2314" s="22" t="str">
        <x:f>"146.275.017-65"</x:f>
        <x:v>146.275.017-65</x:v>
      </x:c>
      <x:c r="W2314" s="22" t="str">
        <x:f>"14627501765"</x:f>
        <x:v>14627501765</x:v>
      </x:c>
      <x:c r="X2314" s="23" t="str">
        <x:v>luucaspeixoto@outlook.com</x:v>
      </x:c>
      <x:c r="Y2314" s="22" t="str">
        <x:f>"21970108455"</x:f>
        <x:v>21970108455</x:v>
      </x:c>
      <x:c r="Z2314" s="30" t="n">
        <x:v>46459</x:v>
      </x:c>
    </x:row>
    <x:row r="2315" ht="18" customHeight="1">
      <x:c r="A2315" s="22" t="str">
        <x:f>"78e80226-4ff1-41a0-bc43-452c9810704a"</x:f>
        <x:v>78e80226-4ff1-41a0-bc43-452c9810704a</x:v>
      </x:c>
      <x:c r="B2315" s="23" t="str">
        <x:v>LUCAS DO PRADO CARVALHO</x:v>
      </x:c>
      <x:c r="C2315" s="23" t="str">
        <x:v>lucas do prado carvalho</x:v>
      </x:c>
      <x:c r="D2315" s="22" t="str">
        <x:f>"64.570.358/0001-32"</x:f>
        <x:v>64.570.358/0001-32</x:v>
      </x:c>
      <x:c r="E2315" s="22" t="str">
        <x:f>"64570358000132"</x:f>
        <x:v>64570358000132</x:v>
      </x:c>
      <x:c r="F2315" s="22" t="str">
        <x:f>"497.930.098-70"</x:f>
        <x:v>497.930.098-70</x:v>
      </x:c>
      <x:c r="G2315" s="22" t="str">
        <x:f>"49793009870"</x:f>
        <x:v>49793009870</x:v>
      </x:c>
      <x:c r="H2315" s="23" t="str">
        <x:v>lucas__sk8@outlook.com</x:v>
      </x:c>
      <x:c r="I2315" s="22" t="str">
        <x:f>"17996542375"</x:f>
        <x:v>17996542375</x:v>
      </x:c>
      <x:c r="J2315" s="23" t="str">
        <x:v>SPOT</x:v>
      </x:c>
      <x:c r="K2315" s="23" t="str">
        <x:v>favored_only</x:v>
      </x:c>
      <x:c r="L2315" s="24" t="b">
        <x:v>1</x:v>
      </x:c>
      <x:c r="M2315" s="23" t="n">
        <x:v>2</x:v>
      </x:c>
      <x:c r="N2315" s="28" t="n">
        <x:v>46219.812988715275</x:v>
      </x:c>
      <x:c r="O2315" s="28" t="n">
        <x:v>46219.812988715275</x:v>
      </x:c>
      <x:c r="P2315" s="23" t="str">
        <x:v>JALES</x:v>
      </x:c>
      <x:c r="Q2315" s="30" t="n">
        <x:v>38027</x:v>
      </x:c>
      <x:c r="R2315" s="22" t="str">
        <x:f>"549179926"</x:f>
        <x:v>549179926</x:v>
      </x:c>
      <x:c r="S2315" s="23" t="str">
        <x:v>masculino</x:v>
      </x:c>
      <x:c r="T2315" s="22" t="str">
        <x:f>"SIH9C52"</x:f>
        <x:v>SIH9C52</x:v>
      </x:c>
      <x:c r="U2315" s="23" t="str">
        <x:v>LUCAS DO PRADO CARVALHO</x:v>
      </x:c>
      <x:c r="V2315" s="22" t="str">
        <x:f>"497.930.098-70"</x:f>
        <x:v>497.930.098-70</x:v>
      </x:c>
      <x:c r="W2315" s="22" t="str">
        <x:f>"49793009870"</x:f>
        <x:v>49793009870</x:v>
      </x:c>
      <x:c r="X2315" s="23" t="str">
        <x:v>lucas__sk8@outlook.com</x:v>
      </x:c>
      <x:c r="Y2315" s="22" t="str">
        <x:f>"17996542375"</x:f>
        <x:v>17996542375</x:v>
      </x:c>
      <x:c r="Z2315" s="30" t="n">
        <x:v>46507</x:v>
      </x:c>
    </x:row>
    <x:row r="2316" ht="18" customHeight="1">
      <x:c r="A2316" s="22" t="str">
        <x:f>"be419460-a3f7-443d-a5e5-1967688bedd0"</x:f>
        <x:v>be419460-a3f7-443d-a5e5-1967688bedd0</x:v>
      </x:c>
      <x:c r="B2316" s="23" t="str">
        <x:v>LUCAS DOS SANTOS BERTELLI</x:v>
      </x:c>
      <x:c r="C2316" s="23" t="str">
        <x:v>lucas dos santos bertelli</x:v>
      </x:c>
      <x:c r="D2316" s="22" t="str">
        <x:f>"49.315.787/0001-70"</x:f>
        <x:v>49.315.787/0001-70</x:v>
      </x:c>
      <x:c r="E2316" s="22" t="str">
        <x:f>"49315787000170"</x:f>
        <x:v>49315787000170</x:v>
      </x:c>
      <x:c r="F2316" s="22" t="str">
        <x:f>"151.917.447-05"</x:f>
        <x:v>151.917.447-05</x:v>
      </x:c>
      <x:c r="G2316" s="22" t="str">
        <x:f>"15191744705"</x:f>
        <x:v>15191744705</x:v>
      </x:c>
      <x:c r="H2316" s="23" t="str">
        <x:v>lucasbertelli41@gmail.com</x:v>
      </x:c>
      <x:c r="I2316" s="22" t="str">
        <x:f>"33 99991-1383"</x:f>
        <x:v>33 99991-1383</x:v>
      </x:c>
      <x:c r="J2316" s="23" t="str">
        <x:v>RENTAL</x:v>
      </x:c>
      <x:c r="K2316" s="23" t="str">
        <x:v>rental_company</x:v>
      </x:c>
      <x:c r="L2316" s="24" t="b">
        <x:v>1</x:v>
      </x:c>
      <x:c r="M2316" s="23" t="n">
        <x:v>1</x:v>
      </x:c>
      <x:c r="N2316" s="28" t="n">
        <x:v>46203.92183017361</x:v>
      </x:c>
      <x:c r="O2316" s="28" t="n">
        <x:v>46219.812988715275</x:v>
      </x:c>
      <x:c r="P2316" s="23" t="str">
        <x:v>TEOFILO OTONI</x:v>
      </x:c>
      <x:c r="Q2316" s="30" t="n">
        <x:v>34265</x:v>
      </x:c>
      <x:c r="R2316" s="22" t="str">
        <x:f>"22211644"</x:f>
        <x:v>22211644</x:v>
      </x:c>
      <x:c r="S2316" s="23" t="str">
        <x:v>masculino</x:v>
      </x:c>
      <x:c r="T2316" s="22" t="str"/>
      <x:c r="U2316" s="23" t="str">
        <x:v>LUCAS DOS SANTOS BERTELLI</x:v>
      </x:c>
      <x:c r="V2316" s="22" t="str">
        <x:f>"151.917.447-05"</x:f>
        <x:v>151.917.447-05</x:v>
      </x:c>
      <x:c r="W2316" s="22" t="str">
        <x:f>"15191744705"</x:f>
        <x:v>15191744705</x:v>
      </x:c>
      <x:c r="X2316" s="23" t="str">
        <x:v>lucasbertelli41@gmail.com</x:v>
      </x:c>
      <x:c r="Y2316" s="22" t="str">
        <x:f>"33 99991-1383"</x:f>
        <x:v>33 99991-1383</x:v>
      </x:c>
      <x:c r="Z2316" s="30" t="n">
        <x:v>46577</x:v>
      </x:c>
    </x:row>
    <x:row r="2317" ht="18" customHeight="1">
      <x:c r="A2317" s="22" t="str">
        <x:f>"67585315-6084-4511-9c7a-0be54f926add"</x:f>
        <x:v>67585315-6084-4511-9c7a-0be54f926add</x:v>
      </x:c>
      <x:c r="B2317" s="23" t="str">
        <x:v>LUCAS DOS SANTOS RIHS</x:v>
      </x:c>
      <x:c r="C2317" s="23" t="str">
        <x:v>lucas dos santos rihs</x:v>
      </x:c>
      <x:c r="D2317" s="22" t="str">
        <x:f>"65.945.378/0001-03"</x:f>
        <x:v>65.945.378/0001-03</x:v>
      </x:c>
      <x:c r="E2317" s="22" t="str">
        <x:f>"65945378000103"</x:f>
        <x:v>65945378000103</x:v>
      </x:c>
      <x:c r="F2317" s="22" t="str">
        <x:f>"152.219.476-25"</x:f>
        <x:v>152.219.476-25</x:v>
      </x:c>
      <x:c r="G2317" s="22" t="str">
        <x:f>"15221947625"</x:f>
        <x:v>15221947625</x:v>
      </x:c>
      <x:c r="H2317" s="23" t="str">
        <x:v>lrihs488@gmail.com</x:v>
      </x:c>
      <x:c r="I2317" s="22" t="str">
        <x:f>"33 8892-8504"</x:f>
        <x:v>33 8892-8504</x:v>
      </x:c>
      <x:c r="J2317" s="23" t="str">
        <x:v>SPOT</x:v>
      </x:c>
      <x:c r="K2317" s="23" t="str">
        <x:v>favored_only</x:v>
      </x:c>
      <x:c r="L2317" s="24" t="b">
        <x:v>1</x:v>
      </x:c>
      <x:c r="M2317" s="23" t="n">
        <x:v>1</x:v>
      </x:c>
      <x:c r="N2317" s="28" t="n">
        <x:v>46219.812988715275</x:v>
      </x:c>
      <x:c r="O2317" s="28" t="n">
        <x:v>46219.812988715275</x:v>
      </x:c>
      <x:c r="P2317" s="23" t="str">
        <x:v>TEOFILO OTONI</x:v>
      </x:c>
      <x:c r="Q2317" s="30" t="n">
        <x:v>37392</x:v>
      </x:c>
      <x:c r="R2317" s="22" t="str">
        <x:f>"16078852"</x:f>
        <x:v>16078852</x:v>
      </x:c>
      <x:c r="S2317" s="23" t="str">
        <x:v>masculino</x:v>
      </x:c>
      <x:c r="T2317" s="22" t="str">
        <x:f>"SBZ4C55"</x:f>
        <x:v>SBZ4C55</x:v>
      </x:c>
      <x:c r="U2317" s="23" t="str">
        <x:v>LUCAS DOS SANTOS RIHS</x:v>
      </x:c>
      <x:c r="V2317" s="22" t="str">
        <x:f>"152.219.476-25"</x:f>
        <x:v>152.219.476-25</x:v>
      </x:c>
      <x:c r="W2317" s="22" t="str">
        <x:f>"15221947625"</x:f>
        <x:v>15221947625</x:v>
      </x:c>
      <x:c r="X2317" s="23" t="str">
        <x:v>lrihs488@gmail.com</x:v>
      </x:c>
      <x:c r="Y2317" s="22" t="str">
        <x:f>"33 8892-8504"</x:f>
        <x:v>33 8892-8504</x:v>
      </x:c>
      <x:c r="Z2317" s="30" t="n">
        <x:v>46491</x:v>
      </x:c>
    </x:row>
    <x:row r="2318" ht="18" customHeight="1">
      <x:c r="A2318" s="22" t="str">
        <x:f>"a114826c-e6c6-438f-8262-4c814f30bb9c"</x:f>
        <x:v>a114826c-e6c6-438f-8262-4c814f30bb9c</x:v>
      </x:c>
      <x:c r="B2318" s="23" t="str">
        <x:v>LUCAS EDUARDO FELIX DIAS</x:v>
      </x:c>
      <x:c r="C2318" s="23" t="str">
        <x:v>lucas eduardo felix dias</x:v>
      </x:c>
      <x:c r="D2318" s="22" t="str">
        <x:f>"45.967.665/0001-07"</x:f>
        <x:v>45.967.665/0001-07</x:v>
      </x:c>
      <x:c r="E2318" s="22" t="str">
        <x:f>"45967665000107"</x:f>
        <x:v>45967665000107</x:v>
      </x:c>
      <x:c r="F2318" s="22" t="str">
        <x:f>"502.568.608-31"</x:f>
        <x:v>502.568.608-31</x:v>
      </x:c>
      <x:c r="G2318" s="22" t="str">
        <x:f>"50256860831"</x:f>
        <x:v>50256860831</x:v>
      </x:c>
      <x:c r="H2318" s="23" t="str">
        <x:v>lucasdiasfelix@14gmail.com</x:v>
      </x:c>
      <x:c r="I2318" s="22" t="str">
        <x:f>"(17) 98150-2761"</x:f>
        <x:v>(17) 98150-2761</x:v>
      </x:c>
      <x:c r="J2318" s="23" t="str">
        <x:v>SPOT</x:v>
      </x:c>
      <x:c r="K2318" s="23" t="str">
        <x:v>favored_only</x:v>
      </x:c>
      <x:c r="L2318" s="24" t="b">
        <x:v>1</x:v>
      </x:c>
      <x:c r="M2318" s="23" t="n">
        <x:v>1</x:v>
      </x:c>
      <x:c r="N2318" s="28" t="n">
        <x:v>46203.92186888889</x:v>
      </x:c>
      <x:c r="O2318" s="28" t="n">
        <x:v>46219.812988715275</x:v>
      </x:c>
      <x:c r="P2318" s="23" t="str">
        <x:v>SÃO JOSE DO RIO PRETO</x:v>
      </x:c>
      <x:c r="Q2318" s="30" t="n">
        <x:v>37025</x:v>
      </x:c>
      <x:c r="R2318" s="22" t="str">
        <x:f>"59.610.474-1"</x:f>
        <x:v>59.610.474-1</x:v>
      </x:c>
      <x:c r="S2318" s="23" t="str">
        <x:v>masculino</x:v>
      </x:c>
      <x:c r="T2318" s="22" t="str">
        <x:f>"FOY7G18"</x:f>
        <x:v>FOY7G18</x:v>
      </x:c>
      <x:c r="U2318" s="23" t="str">
        <x:v>LUCAS EDUARDO FELIX DIAS</x:v>
      </x:c>
      <x:c r="V2318" s="22" t="str">
        <x:f>"502.568.608-31"</x:f>
        <x:v>502.568.608-31</x:v>
      </x:c>
      <x:c r="W2318" s="22" t="str">
        <x:f>"50256860831"</x:f>
        <x:v>50256860831</x:v>
      </x:c>
      <x:c r="X2318" s="23" t="str">
        <x:v>lucasdiasfelix@14gmail.com</x:v>
      </x:c>
      <x:c r="Y2318" s="22" t="str">
        <x:f>"(17) 98150-2761"</x:f>
        <x:v>(17) 98150-2761</x:v>
      </x:c>
      <x:c r="Z2318" s="30" t="n">
        <x:v>46298</x:v>
      </x:c>
    </x:row>
    <x:row r="2319" ht="18" customHeight="1">
      <x:c r="A2319" s="22" t="str">
        <x:f>"0d50d0d8-c482-42a0-8ab1-d83246e2b9a7"</x:f>
        <x:v>0d50d0d8-c482-42a0-8ab1-d83246e2b9a7</x:v>
      </x:c>
      <x:c r="B2319" s="23" t="str">
        <x:v>LUCAS EDUARDO INACIO DE LIMA</x:v>
      </x:c>
      <x:c r="C2319" s="23" t="str">
        <x:v>lucas eduardo inacio de lima</x:v>
      </x:c>
      <x:c r="D2319" s="22" t="str">
        <x:f>"67.139.860/0001-81"</x:f>
        <x:v>67.139.860/0001-81</x:v>
      </x:c>
      <x:c r="E2319" s="22" t="str">
        <x:f>"67139860000181"</x:f>
        <x:v>67139860000181</x:v>
      </x:c>
      <x:c r="F2319" s="22" t="str">
        <x:f>"141.023.646-33"</x:f>
        <x:v>141.023.646-33</x:v>
      </x:c>
      <x:c r="G2319" s="22" t="str">
        <x:f>"14102364633"</x:f>
        <x:v>14102364633</x:v>
      </x:c>
      <x:c r="H2319" s="23" t="str">
        <x:v>lucaseduardomercadolivre@gmail.com</x:v>
      </x:c>
      <x:c r="I2319" s="22" t="str">
        <x:f>"(35)98405-8654"</x:f>
        <x:v>(35)98405-8654</x:v>
      </x:c>
      <x:c r="J2319" s="23" t="str">
        <x:v>RENTAL</x:v>
      </x:c>
      <x:c r="K2319" s="23" t="str">
        <x:v>rental_company</x:v>
      </x:c>
      <x:c r="L2319" s="24" t="b">
        <x:v>1</x:v>
      </x:c>
      <x:c r="M2319" s="23" t="n">
        <x:v>1</x:v>
      </x:c>
      <x:c r="N2319" s="28" t="n">
        <x:v>46219.812988715275</x:v>
      </x:c>
      <x:c r="O2319" s="28" t="n">
        <x:v>46219.812988715275</x:v>
      </x:c>
      <x:c r="P2319" s="23" t="str">
        <x:v>POUSO ALEGRE</x:v>
      </x:c>
      <x:c r="Q2319" s="30" t="n">
        <x:v>36451</x:v>
      </x:c>
      <x:c r="R2319" s="22" t="str">
        <x:f>"MG20739910 SSP MG"</x:f>
        <x:v>MG20739910 SSP MG</x:v>
      </x:c>
      <x:c r="S2319" s="23" t="str">
        <x:v>masculino</x:v>
      </x:c>
      <x:c r="T2319" s="22" t="str"/>
      <x:c r="U2319" s="23" t="str">
        <x:v>LUCAS EDUARDO INACIO DE LIMA</x:v>
      </x:c>
      <x:c r="V2319" s="22" t="str">
        <x:f>"141.023.643-33"</x:f>
        <x:v>141.023.643-33</x:v>
      </x:c>
      <x:c r="W2319" s="22" t="str">
        <x:f>"14102364333"</x:f>
        <x:v>14102364333</x:v>
      </x:c>
      <x:c r="X2319" s="23" t="str">
        <x:v>lucaseduardomercadolivre@gmail.com</x:v>
      </x:c>
      <x:c r="Y2319" s="22" t="str">
        <x:f>"(35)98405-8654"</x:f>
        <x:v>(35)98405-8654</x:v>
      </x:c>
      <x:c r="Z2319" s="30" t="n">
        <x:v>46542</x:v>
      </x:c>
    </x:row>
    <x:row r="2320" ht="18" customHeight="1">
      <x:c r="A2320" s="22" t="str">
        <x:f>"35404df8-1ae5-4db7-ac73-83308dab8ee7"</x:f>
        <x:v>35404df8-1ae5-4db7-ac73-83308dab8ee7</x:v>
      </x:c>
      <x:c r="B2320" s="23" t="str">
        <x:v>LUCAS EDUARDO MARCONDES FARIA</x:v>
      </x:c>
      <x:c r="C2320" s="23" t="str">
        <x:v>lucas eduardo marcondes faria</x:v>
      </x:c>
      <x:c r="D2320" s="22" t="str">
        <x:f>"61.845.743/0001-57"</x:f>
        <x:v>61.845.743/0001-57</x:v>
      </x:c>
      <x:c r="E2320" s="22" t="str">
        <x:f>"61845743000157"</x:f>
        <x:v>61845743000157</x:v>
      </x:c>
      <x:c r="F2320" s="22" t="str">
        <x:f>"020.369.736-71"</x:f>
        <x:v>020.369.736-71</x:v>
      </x:c>
      <x:c r="G2320" s="22" t="str">
        <x:f>"02036973671"</x:f>
        <x:v>02036973671</x:v>
      </x:c>
      <x:c r="H2320" s="23" t="str">
        <x:v>lucaseduardomarcondesfaria@gmail.com</x:v>
      </x:c>
      <x:c r="I2320" s="22" t="str">
        <x:f>"(35)99153-1912"</x:f>
        <x:v>(35)99153-1912</x:v>
      </x:c>
      <x:c r="J2320" s="23" t="str">
        <x:v>RENTAL</x:v>
      </x:c>
      <x:c r="K2320" s="23" t="str">
        <x:v>rental_company</x:v>
      </x:c>
      <x:c r="L2320" s="24" t="b">
        <x:v>1</x:v>
      </x:c>
      <x:c r="M2320" s="23" t="n">
        <x:v>1</x:v>
      </x:c>
      <x:c r="N2320" s="28" t="n">
        <x:v>46203.92184908565</x:v>
      </x:c>
      <x:c r="O2320" s="28" t="n">
        <x:v>46205.60509693287</x:v>
      </x:c>
      <x:c r="P2320" s="23" t="str">
        <x:v>POUSO ALEGRE</x:v>
      </x:c>
      <x:c r="Q2320" s="30" t="n">
        <x:v>36170</x:v>
      </x:c>
      <x:c r="R2320" s="22" t="str">
        <x:f>"MG20051216 SSP MG"</x:f>
        <x:v>MG20051216 SSP MG</x:v>
      </x:c>
      <x:c r="S2320" s="23" t="str">
        <x:v>Masculino</x:v>
      </x:c>
      <x:c r="T2320" s="22" t="str"/>
      <x:c r="U2320" s="23" t="str">
        <x:v>LUCAS EDUARDO MARCONDES FARIA</x:v>
      </x:c>
      <x:c r="V2320" s="22" t="str">
        <x:f>"020.369.736-71"</x:f>
        <x:v>020.369.736-71</x:v>
      </x:c>
      <x:c r="W2320" s="22" t="str">
        <x:f>"02036973671"</x:f>
        <x:v>02036973671</x:v>
      </x:c>
      <x:c r="X2320" s="23" t="str">
        <x:v>lucaseduardomarcondesfaria@gmail.com</x:v>
      </x:c>
      <x:c r="Y2320" s="22" t="str">
        <x:f>"(35)99153-1912"</x:f>
        <x:v>(35)99153-1912</x:v>
      </x:c>
      <x:c r="Z2320" s="30" t="n">
        <x:v>46226</x:v>
      </x:c>
    </x:row>
    <x:row r="2321" ht="18" customHeight="1">
      <x:c r="A2321" s="22" t="str">
        <x:f>"35cdba69-8c09-4b25-b9dd-27b47d68f7a1"</x:f>
        <x:v>35cdba69-8c09-4b25-b9dd-27b47d68f7a1</x:v>
      </x:c>
      <x:c r="B2321" s="23" t="str">
        <x:v>LUCAS EDUARDO PAES</x:v>
      </x:c>
      <x:c r="C2321" s="23" t="str">
        <x:v>lucas eduardo paes</x:v>
      </x:c>
      <x:c r="D2321" s="22" t="str">
        <x:f>"57.800.784/0001-50"</x:f>
        <x:v>57.800.784/0001-50</x:v>
      </x:c>
      <x:c r="E2321" s="22" t="str">
        <x:f>"57800784000150"</x:f>
        <x:v>57800784000150</x:v>
      </x:c>
      <x:c r="F2321" s="22" t="str">
        <x:f>"476.812.478-07"</x:f>
        <x:v>476.812.478-07</x:v>
      </x:c>
      <x:c r="G2321" s="22" t="str">
        <x:f>"47681247807"</x:f>
        <x:v>47681247807</x:v>
      </x:c>
      <x:c r="H2321" s="23" t="str">
        <x:v>paes3301@gmail.com</x:v>
      </x:c>
      <x:c r="I2321" s="22" t="str">
        <x:f>"17996473097"</x:f>
        <x:v>17996473097</x:v>
      </x:c>
      <x:c r="J2321" s="23" t="str">
        <x:v>RENTAL</x:v>
      </x:c>
      <x:c r="K2321" s="23" t="str">
        <x:v>rental_company</x:v>
      </x:c>
      <x:c r="L2321" s="24" t="b">
        <x:v>1</x:v>
      </x:c>
      <x:c r="M2321" s="23" t="n">
        <x:v>1</x:v>
      </x:c>
      <x:c r="N2321" s="28" t="n">
        <x:v>46203.92183332176</x:v>
      </x:c>
      <x:c r="O2321" s="28" t="n">
        <x:v>46219.812988715275</x:v>
      </x:c>
      <x:c r="P2321" s="23" t="str">
        <x:v>BARRETOS</x:v>
      </x:c>
      <x:c r="Q2321" s="30" t="n">
        <x:v>37191</x:v>
      </x:c>
      <x:c r="R2321" s="22" t="str">
        <x:f>"580869830"</x:f>
        <x:v>580869830</x:v>
      </x:c>
      <x:c r="S2321" s="23" t="str">
        <x:v>masculino</x:v>
      </x:c>
      <x:c r="T2321" s="22" t="str"/>
      <x:c r="U2321" s="23" t="str">
        <x:v>LUCAS EDUARDO PAES</x:v>
      </x:c>
      <x:c r="V2321" s="22" t="str">
        <x:f>"476.812.478-07"</x:f>
        <x:v>476.812.478-07</x:v>
      </x:c>
      <x:c r="W2321" s="22" t="str">
        <x:f>"47681247807"</x:f>
        <x:v>47681247807</x:v>
      </x:c>
      <x:c r="X2321" s="23" t="str">
        <x:v>paes3301@gmail.com</x:v>
      </x:c>
      <x:c r="Y2321" s="22" t="str">
        <x:f>"17996473097"</x:f>
        <x:v>17996473097</x:v>
      </x:c>
      <x:c r="Z2321" s="30" t="n">
        <x:v>46344</x:v>
      </x:c>
    </x:row>
    <x:row r="2322" ht="18" customHeight="1">
      <x:c r="A2322" s="22" t="str">
        <x:f>"9cb1caa8-f773-4e6a-a037-dc4a69b306d3"</x:f>
        <x:v>9cb1caa8-f773-4e6a-a037-dc4a69b306d3</x:v>
      </x:c>
      <x:c r="B2322" s="23" t="str">
        <x:v>LUCAS EDUARDO PEREIRA SILVA - MERCADO</x:v>
      </x:c>
      <x:c r="C2322" s="23" t="str">
        <x:v>lucas eduardo pereira silva mercado</x:v>
      </x:c>
      <x:c r="D2322" s="22" t="str">
        <x:f>"49.939.651/0001-30"</x:f>
        <x:v>49.939.651/0001-30</x:v>
      </x:c>
      <x:c r="E2322" s="22" t="str">
        <x:f>"49939651000130"</x:f>
        <x:v>49939651000130</x:v>
      </x:c>
      <x:c r="F2322" s="22" t="str">
        <x:f>"471.649.858-12"</x:f>
        <x:v>471.649.858-12</x:v>
      </x:c>
      <x:c r="G2322" s="22" t="str">
        <x:f>"47164985812"</x:f>
        <x:v>47164985812</x:v>
      </x:c>
      <x:c r="H2322" s="23" t="str">
        <x:v>lucas.edusilva@outlook.com.br</x:v>
      </x:c>
      <x:c r="I2322" s="22" t="str">
        <x:f>"18997704149"</x:f>
        <x:v>18997704149</x:v>
      </x:c>
      <x:c r="J2322" s="23" t="str">
        <x:v>RENTAL</x:v>
      </x:c>
      <x:c r="K2322" s="23" t="str">
        <x:v>rental_company</x:v>
      </x:c>
      <x:c r="L2322" s="24" t="b">
        <x:v>1</x:v>
      </x:c>
      <x:c r="M2322" s="23" t="n">
        <x:v>1</x:v>
      </x:c>
      <x:c r="N2322" s="28" t="n">
        <x:v>46219.812988715275</x:v>
      </x:c>
      <x:c r="O2322" s="28" t="n">
        <x:v>46219.812988715275</x:v>
      </x:c>
      <x:c r="P2322" s="23" t="str">
        <x:v>PRESIDENTE PRUDENTE</x:v>
      </x:c>
      <x:c r="Q2322" s="30" t="n">
        <x:v>35547</x:v>
      </x:c>
      <x:c r="R2322" s="22" t="str">
        <x:f>"545410150"</x:f>
        <x:v>545410150</x:v>
      </x:c>
      <x:c r="S2322" s="23" t="str">
        <x:v>masculino</x:v>
      </x:c>
      <x:c r="T2322" s="22" t="str"/>
      <x:c r="U2322" s="23" t="str">
        <x:v>LUCAS EDUARDO PEREIRA SILVA - MERCADO</x:v>
      </x:c>
      <x:c r="V2322" s="22" t="str">
        <x:f>"471.649.858-12"</x:f>
        <x:v>471.649.858-12</x:v>
      </x:c>
      <x:c r="W2322" s="22" t="str">
        <x:f>"47164985812"</x:f>
        <x:v>47164985812</x:v>
      </x:c>
      <x:c r="X2322" s="23" t="str">
        <x:v>lucas.edusilva@outlook.com.br</x:v>
      </x:c>
      <x:c r="Y2322" s="22" t="str">
        <x:f>"18997704149"</x:f>
        <x:v>18997704149</x:v>
      </x:c>
      <x:c r="Z2322" s="30" t="n">
        <x:v>46296</x:v>
      </x:c>
    </x:row>
    <x:row r="2323" ht="18" customHeight="1">
      <x:c r="A2323" s="22" t="str">
        <x:f>"8fbbbf03-293e-4de7-82da-5756a6968b89"</x:f>
        <x:v>8fbbbf03-293e-4de7-82da-5756a6968b89</x:v>
      </x:c>
      <x:c r="B2323" s="23" t="str">
        <x:v>LUCAS EVANGELISTA DOS SANTOS</x:v>
      </x:c>
      <x:c r="C2323" s="23" t="str">
        <x:v>lucas evangelista dos santos</x:v>
      </x:c>
      <x:c r="D2323" s="22" t="str">
        <x:f>"66.917.098/0001-54"</x:f>
        <x:v>66.917.098/0001-54</x:v>
      </x:c>
      <x:c r="E2323" s="22" t="str">
        <x:f>"66917098000154"</x:f>
        <x:v>66917098000154</x:v>
      </x:c>
      <x:c r="F2323" s="22" t="str">
        <x:f>"177.266.367-47"</x:f>
        <x:v>177.266.367-47</x:v>
      </x:c>
      <x:c r="G2323" s="22" t="str">
        <x:f>"17726636747"</x:f>
        <x:v>17726636747</x:v>
      </x:c>
      <x:c r="H2323" s="23" t="str">
        <x:v>evangelista6604@gmail.com</x:v>
      </x:c>
      <x:c r="I2323" s="22" t="str">
        <x:f>"21968869296"</x:f>
        <x:v>21968869296</x:v>
      </x:c>
      <x:c r="J2323" s="23" t="str">
        <x:v>SPOT</x:v>
      </x:c>
      <x:c r="K2323" s="23" t="str">
        <x:v>favored_only</x:v>
      </x:c>
      <x:c r="L2323" s="24" t="b">
        <x:v>1</x:v>
      </x:c>
      <x:c r="M2323" s="23" t="n">
        <x:v>1</x:v>
      </x:c>
      <x:c r="N2323" s="28" t="n">
        <x:v>46219.812988715275</x:v>
      </x:c>
      <x:c r="O2323" s="28" t="n">
        <x:v>46219.812988715275</x:v>
      </x:c>
      <x:c r="P2323" s="23" t="str">
        <x:v>QUEIMADOS</x:v>
      </x:c>
      <x:c r="Q2323" s="30" t="n">
        <x:v>38144</x:v>
      </x:c>
      <x:c r="R2323" s="22" t="str">
        <x:f>"222888497"</x:f>
        <x:v>222888497</x:v>
      </x:c>
      <x:c r="S2323" s="23" t="str">
        <x:v>masculino</x:v>
      </x:c>
      <x:c r="T2323" s="22" t="str">
        <x:f>"FZM2C87"</x:f>
        <x:v>FZM2C87</x:v>
      </x:c>
      <x:c r="U2323" s="23" t="str">
        <x:v>LUCAS EVANGELISTA DOS SANTOS</x:v>
      </x:c>
      <x:c r="V2323" s="22" t="str">
        <x:f>"177.266.367-47"</x:f>
        <x:v>177.266.367-47</x:v>
      </x:c>
      <x:c r="W2323" s="22" t="str">
        <x:f>"17726636747"</x:f>
        <x:v>17726636747</x:v>
      </x:c>
      <x:c r="X2323" s="23" t="str">
        <x:v>evangelista6604@gmail.com</x:v>
      </x:c>
      <x:c r="Y2323" s="22" t="str">
        <x:f>"21968869296"</x:f>
        <x:v>21968869296</x:v>
      </x:c>
      <x:c r="Z2323" s="30" t="n">
        <x:v>46582</x:v>
      </x:c>
    </x:row>
    <x:row r="2324" ht="18" customHeight="1">
      <x:c r="A2324" s="22" t="str">
        <x:f>"239a68de-febf-464f-b130-39f68b4345ba"</x:f>
        <x:v>239a68de-febf-464f-b130-39f68b4345ba</x:v>
      </x:c>
      <x:c r="B2324" s="23" t="str">
        <x:v>LUCAS FARIA DE SOUSA</x:v>
      </x:c>
      <x:c r="C2324" s="23" t="str">
        <x:v>lucas faria de sousa</x:v>
      </x:c>
      <x:c r="D2324" s="22" t="str">
        <x:f>"46.154.802/0001-57"</x:f>
        <x:v>46.154.802/0001-57</x:v>
      </x:c>
      <x:c r="E2324" s="22" t="str">
        <x:f>"46154802000157"</x:f>
        <x:v>46154802000157</x:v>
      </x:c>
      <x:c r="F2324" s="22" t="str">
        <x:f>"087.663.786-13"</x:f>
        <x:v>087.663.786-13</x:v>
      </x:c>
      <x:c r="G2324" s="22" t="str">
        <x:f>"08766378613"</x:f>
        <x:v>08766378613</x:v>
      </x:c>
      <x:c r="H2324" s="23" t="str">
        <x:v>lucas.denise90@gmail.com</x:v>
      </x:c>
      <x:c r="I2324" s="22" t="str">
        <x:f>"(35) 98413-8703"</x:f>
        <x:v>(35) 98413-8703</x:v>
      </x:c>
      <x:c r="J2324" s="23" t="str">
        <x:v>SPOT</x:v>
      </x:c>
      <x:c r="K2324" s="23" t="str">
        <x:v>favored_only</x:v>
      </x:c>
      <x:c r="L2324" s="24" t="b">
        <x:v>1</x:v>
      </x:c>
      <x:c r="M2324" s="23" t="n">
        <x:v>1</x:v>
      </x:c>
      <x:c r="N2324" s="28" t="n">
        <x:v>46219.812988715275</x:v>
      </x:c>
      <x:c r="O2324" s="28" t="n">
        <x:v>46219.812988715275</x:v>
      </x:c>
      <x:c r="P2324" s="23" t="str">
        <x:v>POUSO ALEGRE</x:v>
      </x:c>
      <x:c r="Q2324" s="30" t="n">
        <x:v>33045</x:v>
      </x:c>
      <x:c r="R2324" s="22" t="str">
        <x:f>"MG15628783 SSP MG"</x:f>
        <x:v>MG15628783 SSP MG</x:v>
      </x:c>
      <x:c r="S2324" s="23" t="str">
        <x:v>masculino</x:v>
      </x:c>
      <x:c r="T2324" s="22" t="str">
        <x:f>"QIL5I34"</x:f>
        <x:v>QIL5I34</x:v>
      </x:c>
      <x:c r="U2324" s="23" t="str">
        <x:v>LUCAS FARIA DE SOUSA</x:v>
      </x:c>
      <x:c r="V2324" s="22" t="str">
        <x:f>"087.663.786-13"</x:f>
        <x:v>087.663.786-13</x:v>
      </x:c>
      <x:c r="W2324" s="22" t="str">
        <x:f>"08766378613"</x:f>
        <x:v>08766378613</x:v>
      </x:c>
      <x:c r="X2324" s="23" t="str">
        <x:v>lucas.denise90@gmail.com</x:v>
      </x:c>
      <x:c r="Y2324" s="22" t="str">
        <x:f>"(35) 98413-8703"</x:f>
        <x:v>(35) 98413-8703</x:v>
      </x:c>
      <x:c r="Z2324" s="30" t="n">
        <x:v>46520</x:v>
      </x:c>
    </x:row>
    <x:row r="2325" ht="18" customHeight="1">
      <x:c r="A2325" s="22" t="str">
        <x:f>"23abb659-953f-4fc3-9c67-a3758f426c41"</x:f>
        <x:v>23abb659-953f-4fc3-9c67-a3758f426c41</x:v>
      </x:c>
      <x:c r="B2325" s="23" t="str">
        <x:v>LUCAS FELIPE RESENDE DA SILVA</x:v>
      </x:c>
      <x:c r="C2325" s="23" t="str">
        <x:v>lucas felipe resende da silva</x:v>
      </x:c>
      <x:c r="D2325" s="22" t="str">
        <x:f>"00.046.703/5798-06"</x:f>
        <x:v>00.046.703/5798-06</x:v>
      </x:c>
      <x:c r="E2325" s="22" t="str">
        <x:f>"00046703579806"</x:f>
        <x:v>00046703579806</x:v>
      </x:c>
      <x:c r="F2325" s="22" t="str">
        <x:f>"467.035.798-06"</x:f>
        <x:v>467.035.798-06</x:v>
      </x:c>
      <x:c r="G2325" s="22" t="str">
        <x:f>"46703579806"</x:f>
        <x:v>46703579806</x:v>
      </x:c>
      <x:c r="H2325" s="23" t="str">
        <x:v>xiatong.felipe@gmail.com</x:v>
      </x:c>
      <x:c r="I2325" s="22" t="str">
        <x:f>"1194065-7591"</x:f>
        <x:v>1194065-7591</x:v>
      </x:c>
      <x:c r="J2325" s="23" t="str">
        <x:v>SPOT</x:v>
      </x:c>
      <x:c r="K2325" s="23" t="str">
        <x:v>favored_only</x:v>
      </x:c>
      <x:c r="L2325" s="24" t="b">
        <x:v>1</x:v>
      </x:c>
      <x:c r="M2325" s="23" t="n">
        <x:v>1</x:v>
      </x:c>
      <x:c r="N2325" s="28" t="n">
        <x:v>46203.9219084375</x:v>
      </x:c>
      <x:c r="O2325" s="28" t="n">
        <x:v>46219.812988715275</x:v>
      </x:c>
      <x:c r="P2325" s="23" t="str">
        <x:v>BARUERI</x:v>
      </x:c>
      <x:c r="Q2325" s="30" t="n">
        <x:v>36586</x:v>
      </x:c>
      <x:c r="R2325" s="22" t="str">
        <x:f>"50946614"</x:f>
        <x:v>50946614</x:v>
      </x:c>
      <x:c r="S2325" s="23" t="str">
        <x:v>masculino</x:v>
      </x:c>
      <x:c r="T2325" s="22" t="str"/>
      <x:c r="U2325" s="23" t="str">
        <x:v>LUCAS FELIPE RESENDE DA SILVA</x:v>
      </x:c>
      <x:c r="V2325" s="22" t="str">
        <x:f>"467.035.798-06"</x:f>
        <x:v>467.035.798-06</x:v>
      </x:c>
      <x:c r="W2325" s="22" t="str">
        <x:f>"46703579806"</x:f>
        <x:v>46703579806</x:v>
      </x:c>
      <x:c r="X2325" s="23" t="str">
        <x:v>xiatong.felipe@gmail.com</x:v>
      </x:c>
      <x:c r="Y2325" s="22" t="str">
        <x:f>"1194065-7591"</x:f>
        <x:v>1194065-7591</x:v>
      </x:c>
      <x:c r="Z2325" s="30" t="n">
        <x:v>46385</x:v>
      </x:c>
    </x:row>
    <x:row r="2326" ht="18" customHeight="1">
      <x:c r="A2326" s="22" t="str">
        <x:f>"7f99c2a5-1b91-4683-8e36-88b469a851e7"</x:f>
        <x:v>7f99c2a5-1b91-4683-8e36-88b469a851e7</x:v>
      </x:c>
      <x:c r="B2326" s="23" t="str">
        <x:v>LUCAS FELIPE SILVA CAMELO</x:v>
      </x:c>
      <x:c r="C2326" s="23" t="str">
        <x:v>lucas felipe silva camelo</x:v>
      </x:c>
      <x:c r="D2326" s="22" t="str">
        <x:f>"63.145.812/0001-45"</x:f>
        <x:v>63.145.812/0001-45</x:v>
      </x:c>
      <x:c r="E2326" s="22" t="str">
        <x:f>"63145812000145"</x:f>
        <x:v>63145812000145</x:v>
      </x:c>
      <x:c r="F2326" s="22" t="str">
        <x:f>"145.771.056-08"</x:f>
        <x:v>145.771.056-08</x:v>
      </x:c>
      <x:c r="G2326" s="22" t="str">
        <x:f>"14577105608"</x:f>
        <x:v>14577105608</x:v>
      </x:c>
      <x:c r="H2326" s="23" t="str">
        <x:v>lucasfelipecamelo3@gmail.com</x:v>
      </x:c>
      <x:c r="I2326" s="22" t="str">
        <x:f>"31 99639-5666"</x:f>
        <x:v>31 99639-5666</x:v>
      </x:c>
      <x:c r="J2326" s="23" t="str">
        <x:v>SPOT</x:v>
      </x:c>
      <x:c r="K2326" s="23" t="str">
        <x:v>favored_only</x:v>
      </x:c>
      <x:c r="L2326" s="24" t="b">
        <x:v>1</x:v>
      </x:c>
      <x:c r="M2326" s="23" t="n">
        <x:v>2</x:v>
      </x:c>
      <x:c r="N2326" s="28" t="n">
        <x:v>46203.921904421295</x:v>
      </x:c>
      <x:c r="O2326" s="28" t="n">
        <x:v>46219.812988715275</x:v>
      </x:c>
      <x:c r="P2326" s="23" t="str">
        <x:v>VESPASIANO</x:v>
      </x:c>
      <x:c r="Q2326" s="30" t="n">
        <x:v>37323</x:v>
      </x:c>
      <x:c r="R2326" s="22" t="str">
        <x:f>"21501881"</x:f>
        <x:v>21501881</x:v>
      </x:c>
      <x:c r="S2326" s="23" t="str">
        <x:v>masculino</x:v>
      </x:c>
      <x:c r="T2326" s="22" t="str">
        <x:f>"HHM3771"</x:f>
        <x:v>HHM3771</x:v>
      </x:c>
      <x:c r="U2326" s="23" t="str">
        <x:v>LUCAS FELIPE SILVA CAMELO</x:v>
      </x:c>
      <x:c r="V2326" s="22" t="str">
        <x:f>"145.771.056-08"</x:f>
        <x:v>145.771.056-08</x:v>
      </x:c>
      <x:c r="W2326" s="22" t="str">
        <x:f>"14577105608"</x:f>
        <x:v>14577105608</x:v>
      </x:c>
      <x:c r="X2326" s="23" t="str">
        <x:v>lucasfelipecamelo3@gmail.com</x:v>
      </x:c>
      <x:c r="Y2326" s="22" t="str">
        <x:f>"31 99639-5666"</x:f>
        <x:v>31 99639-5666</x:v>
      </x:c>
      <x:c r="Z2326" s="30" t="n">
        <x:v>46491</x:v>
      </x:c>
    </x:row>
    <x:row r="2327" ht="18" customHeight="1">
      <x:c r="A2327" s="22" t="str">
        <x:f>"8fd398da-02fe-4a7f-bbb2-b0eca29009b3"</x:f>
        <x:v>8fd398da-02fe-4a7f-bbb2-b0eca29009b3</x:v>
      </x:c>
      <x:c r="B2327" s="23" t="str">
        <x:v>LUCAS FELIPPE MARTINS</x:v>
      </x:c>
      <x:c r="C2327" s="23" t="str">
        <x:v>lucas felippe martins</x:v>
      </x:c>
      <x:c r="D2327" s="22" t="str">
        <x:f>"62.383.057/0001-74"</x:f>
        <x:v>62.383.057/0001-74</x:v>
      </x:c>
      <x:c r="E2327" s="22" t="str">
        <x:f>"62383057000174"</x:f>
        <x:v>62383057000174</x:v>
      </x:c>
      <x:c r="F2327" s="22" t="str">
        <x:f>"365.941.018-70"</x:f>
        <x:v>365.941.018-70</x:v>
      </x:c>
      <x:c r="G2327" s="22" t="str">
        <x:f>"36594101870"</x:f>
        <x:v>36594101870</x:v>
      </x:c>
      <x:c r="H2327" s="23" t="str">
        <x:v>Lucasfelippe300104@gmail.com</x:v>
      </x:c>
      <x:c r="I2327" s="22" t="str">
        <x:f>"11 912375626"</x:f>
        <x:v>11 912375626</x:v>
      </x:c>
      <x:c r="J2327" s="23" t="str">
        <x:v>RENTAL</x:v>
      </x:c>
      <x:c r="K2327" s="23" t="str">
        <x:v>rental_company</x:v>
      </x:c>
      <x:c r="L2327" s="24" t="b">
        <x:v>1</x:v>
      </x:c>
      <x:c r="M2327" s="23" t="n">
        <x:v>2</x:v>
      </x:c>
      <x:c r="N2327" s="28" t="n">
        <x:v>46203.92186888889</x:v>
      </x:c>
      <x:c r="O2327" s="28" t="n">
        <x:v>46219.812988715275</x:v>
      </x:c>
      <x:c r="P2327" s="23" t="str">
        <x:v>BARUERI</x:v>
      </x:c>
      <x:c r="Q2327" s="30" t="n">
        <x:v>38017</x:v>
      </x:c>
      <x:c r="R2327" s="22" t="str">
        <x:f>"602208518"</x:f>
        <x:v>602208518</x:v>
      </x:c>
      <x:c r="S2327" s="23" t="str">
        <x:v>masculino</x:v>
      </x:c>
      <x:c r="T2327" s="22" t="str"/>
      <x:c r="U2327" s="23" t="str">
        <x:v>LUCAS FELIPPE MARTINS</x:v>
      </x:c>
      <x:c r="V2327" s="22" t="str">
        <x:f>"365.941.018-70"</x:f>
        <x:v>365.941.018-70</x:v>
      </x:c>
      <x:c r="W2327" s="22" t="str">
        <x:f>"36594101870"</x:f>
        <x:v>36594101870</x:v>
      </x:c>
      <x:c r="X2327" s="23" t="str">
        <x:v>Lucasfelippe300104@gmail.com</x:v>
      </x:c>
      <x:c r="Y2327" s="22" t="str">
        <x:f>"11 912375626"</x:f>
        <x:v>11 912375626</x:v>
      </x:c>
      <x:c r="Z2327" s="30" t="n">
        <x:v>46361</x:v>
      </x:c>
    </x:row>
    <x:row r="2328" ht="18" customHeight="1">
      <x:c r="A2328" s="22" t="str">
        <x:f>"c4d075e7-249f-4eaa-90ee-81c2caca5ec3"</x:f>
        <x:v>c4d075e7-249f-4eaa-90ee-81c2caca5ec3</x:v>
      </x:c>
      <x:c r="B2328" s="23" t="str">
        <x:v>LUCAS FERNANDES DOS SANTOS</x:v>
      </x:c>
      <x:c r="C2328" s="23" t="str">
        <x:v>lucas fernandes dos santos</x:v>
      </x:c>
      <x:c r="D2328" s="22" t="str">
        <x:f>"68.016.060/0001-36"</x:f>
        <x:v>68.016.060/0001-36</x:v>
      </x:c>
      <x:c r="E2328" s="22" t="str">
        <x:f>"68016060000136"</x:f>
        <x:v>68016060000136</x:v>
      </x:c>
      <x:c r="F2328" s="22" t="str">
        <x:f>"205.970.327-18"</x:f>
        <x:v>205.970.327-18</x:v>
      </x:c>
      <x:c r="G2328" s="22" t="str">
        <x:f>"20597032718"</x:f>
        <x:v>20597032718</x:v>
      </x:c>
      <x:c r="H2328" s="23" t="str">
        <x:v>lucasfsantos.trabalho@gmail.com</x:v>
      </x:c>
      <x:c r="I2328" s="22" t="str">
        <x:f>"22 99886-4312"</x:f>
        <x:v>22 99886-4312</x:v>
      </x:c>
      <x:c r="J2328" s="23" t="str">
        <x:v>RENTAL</x:v>
      </x:c>
      <x:c r="K2328" s="23" t="str">
        <x:v>rental_company</x:v>
      </x:c>
      <x:c r="L2328" s="24" t="b">
        <x:v>1</x:v>
      </x:c>
      <x:c r="M2328" s="23" t="n">
        <x:v>1</x:v>
      </x:c>
      <x:c r="N2328" s="28" t="n">
        <x:v>46219.812988715275</x:v>
      </x:c>
      <x:c r="O2328" s="28" t="n">
        <x:v>46219.812988715275</x:v>
      </x:c>
      <x:c r="P2328" s="23" t="str">
        <x:v>CAMPOS DOS GOYTACAZES</x:v>
      </x:c>
      <x:c r="Q2328" s="30" t="n">
        <x:v>37780</x:v>
      </x:c>
      <x:c r="R2328" s="22" t="str">
        <x:f>"336150768"</x:f>
        <x:v>336150768</x:v>
      </x:c>
      <x:c r="S2328" s="23" t="str">
        <x:v>masculino</x:v>
      </x:c>
      <x:c r="T2328" s="22" t="str"/>
      <x:c r="U2328" s="23" t="str">
        <x:v>LUCAS FERNANDES DOS SANTOS</x:v>
      </x:c>
      <x:c r="V2328" s="22" t="str">
        <x:f>"205.970.327-18"</x:f>
        <x:v>205.970.327-18</x:v>
      </x:c>
      <x:c r="W2328" s="22" t="str">
        <x:f>"20597032718"</x:f>
        <x:v>20597032718</x:v>
      </x:c>
      <x:c r="X2328" s="23" t="str">
        <x:v>lucasfsantos.trabalho@gmail.com</x:v>
      </x:c>
      <x:c r="Y2328" s="22" t="str">
        <x:f>"22 99886-4312"</x:f>
        <x:v>22 99886-4312</x:v>
      </x:c>
      <x:c r="Z2328" s="30" t="n">
        <x:v>46582</x:v>
      </x:c>
    </x:row>
    <x:row r="2329" ht="18" customHeight="1">
      <x:c r="A2329" s="22" t="str">
        <x:f>"d61c1ddf-e0ab-4b7c-91c0-3aa6d9fa8ea8"</x:f>
        <x:v>d61c1ddf-e0ab-4b7c-91c0-3aa6d9fa8ea8</x:v>
      </x:c>
      <x:c r="B2329" s="23" t="str">
        <x:v>LUCAS FERREIRA COUTRIM ARAUJO</x:v>
      </x:c>
      <x:c r="C2329" s="23" t="str">
        <x:v>lucas ferreira coutrim araujo</x:v>
      </x:c>
      <x:c r="D2329" s="22" t="str">
        <x:f>"63.753.056/0001-37"</x:f>
        <x:v>63.753.056/0001-37</x:v>
      </x:c>
      <x:c r="E2329" s="22" t="str">
        <x:f>"63753056000137"</x:f>
        <x:v>63753056000137</x:v>
      </x:c>
      <x:c r="F2329" s="22" t="str">
        <x:f>"035.975.491-01"</x:f>
        <x:v>035.975.491-01</x:v>
      </x:c>
      <x:c r="G2329" s="22" t="str">
        <x:f>"03597549101"</x:f>
        <x:v>03597549101</x:v>
      </x:c>
      <x:c r="H2329" s="23" t="str">
        <x:v>lucascastro.brtcc@icloud.com</x:v>
      </x:c>
      <x:c r="I2329" s="22" t="str">
        <x:f>"62 99833-8459"</x:f>
        <x:v>62 99833-8459</x:v>
      </x:c>
      <x:c r="J2329" s="23" t="str">
        <x:v>RENTAL</x:v>
      </x:c>
      <x:c r="K2329" s="23" t="str">
        <x:v>rental_company</x:v>
      </x:c>
      <x:c r="L2329" s="24" t="b">
        <x:v>1</x:v>
      </x:c>
      <x:c r="M2329" s="23" t="n">
        <x:v>1</x:v>
      </x:c>
      <x:c r="N2329" s="28" t="n">
        <x:v>46219.812988715275</x:v>
      </x:c>
      <x:c r="O2329" s="28" t="n">
        <x:v>46219.812988715275</x:v>
      </x:c>
      <x:c r="P2329" s="23" t="str">
        <x:v>GOIANIA</x:v>
      </x:c>
      <x:c r="Q2329" s="30" t="n">
        <x:v>33688</x:v>
      </x:c>
      <x:c r="R2329" s="22" t="str">
        <x:f>"5331577"</x:f>
        <x:v>5331577</x:v>
      </x:c>
      <x:c r="S2329" s="23" t="str">
        <x:v>masculino</x:v>
      </x:c>
      <x:c r="T2329" s="22" t="str"/>
      <x:c r="U2329" s="23" t="str">
        <x:v>LUCAS FERREIRA COUTRIM ARAUJO</x:v>
      </x:c>
      <x:c r="V2329" s="22" t="str">
        <x:f>"035.975.491-01"</x:f>
        <x:v>035.975.491-01</x:v>
      </x:c>
      <x:c r="W2329" s="22" t="str">
        <x:f>"03597549101"</x:f>
        <x:v>03597549101</x:v>
      </x:c>
      <x:c r="X2329" s="23" t="str">
        <x:v>lucascastro.brtcc@icloud.com</x:v>
      </x:c>
      <x:c r="Y2329" s="22" t="str">
        <x:f>"62 99833-8459"</x:f>
        <x:v>62 99833-8459</x:v>
      </x:c>
      <x:c r="Z2329" s="30" t="n">
        <x:v>46576</x:v>
      </x:c>
    </x:row>
    <x:row r="2330" ht="18" customHeight="1">
      <x:c r="A2330" s="22" t="str">
        <x:f>"46ed8288-509d-42c2-885d-e5f49c3c4547"</x:f>
        <x:v>46ed8288-509d-42c2-885d-e5f49c3c4547</x:v>
      </x:c>
      <x:c r="B2330" s="23" t="str">
        <x:v>LUCAS FLAVIO MOCO DE OLIVEIRA</x:v>
      </x:c>
      <x:c r="C2330" s="23" t="str">
        <x:v>lucas flavio moco de oliveira</x:v>
      </x:c>
      <x:c r="D2330" s="22" t="str">
        <x:f>"52.090.193/0001-12"</x:f>
        <x:v>52.090.193/0001-12</x:v>
      </x:c>
      <x:c r="E2330" s="22" t="str">
        <x:f>"52090193000112"</x:f>
        <x:v>52090193000112</x:v>
      </x:c>
      <x:c r="F2330" s="22" t="str">
        <x:f>"059.146.299-00"</x:f>
        <x:v>059.146.299-00</x:v>
      </x:c>
      <x:c r="G2330" s="22" t="str">
        <x:f>"05914629900"</x:f>
        <x:v>05914629900</x:v>
      </x:c>
      <x:c r="H2330" s="23" t="str">
        <x:v>ucasflaviom2014@gmail.com</x:v>
      </x:c>
      <x:c r="I2330" s="22" t="str">
        <x:f>"66 996197986"</x:f>
        <x:v>66 996197986</x:v>
      </x:c>
      <x:c r="J2330" s="23" t="str">
        <x:v>SPOT</x:v>
      </x:c>
      <x:c r="K2330" s="23" t="str">
        <x:v>favored_only</x:v>
      </x:c>
      <x:c r="L2330" s="24" t="b">
        <x:v>1</x:v>
      </x:c>
      <x:c r="M2330" s="23" t="n">
        <x:v>1</x:v>
      </x:c>
      <x:c r="N2330" s="28" t="n">
        <x:v>46219.79396105324</x:v>
      </x:c>
      <x:c r="O2330" s="28" t="n">
        <x:v>46219.812988715275</x:v>
      </x:c>
      <x:c r="P2330" s="23" t="str">
        <x:v>SINOP</x:v>
      </x:c>
      <x:c r="Q2330" s="30" t="n">
        <x:v>32294</x:v>
      </x:c>
      <x:c r="R2330" s="22" t="str">
        <x:f>"87662675"</x:f>
        <x:v>87662675</x:v>
      </x:c>
      <x:c r="S2330" s="23" t="str">
        <x:v>masculino</x:v>
      </x:c>
      <x:c r="T2330" s="22" t="str">
        <x:f>"FRB2779"</x:f>
        <x:v>FRB2779</x:v>
      </x:c>
      <x:c r="U2330" s="23" t="str">
        <x:v>CRISTIANO ROGERIO MANGOLIM</x:v>
      </x:c>
      <x:c r="V2330" s="22" t="str">
        <x:f>"045.350.431-08"</x:f>
        <x:v>045.350.431-08</x:v>
      </x:c>
      <x:c r="W2330" s="22" t="str">
        <x:f>"04535043108"</x:f>
        <x:v>04535043108</x:v>
      </x:c>
      <x:c r="X2330" s="23" t="str">
        <x:v>cristianorogeriomangolim@gmail.com</x:v>
      </x:c>
      <x:c r="Y2330" s="22" t="str">
        <x:f>"(66) 992370774"</x:f>
        <x:v>(66) 992370774</x:v>
      </x:c>
      <x:c r="Z2330" s="30" t="n">
        <x:v>46506</x:v>
      </x:c>
    </x:row>
    <x:row r="2331" ht="18" customHeight="1">
      <x:c r="A2331" s="22" t="str">
        <x:f>"79db75f4-d9de-4575-bd5b-ceb5078c8f6d"</x:f>
        <x:v>79db75f4-d9de-4575-bd5b-ceb5078c8f6d</x:v>
      </x:c>
      <x:c r="B2331" s="23" t="str">
        <x:v>LUCAS FRANCISCO DA CRUZ</x:v>
      </x:c>
      <x:c r="C2331" s="23" t="str">
        <x:v>lucas francisco da cruz</x:v>
      </x:c>
      <x:c r="D2331" s="22" t="str">
        <x:f>"61.125.991/0001-23"</x:f>
        <x:v>61.125.991/0001-23</x:v>
      </x:c>
      <x:c r="E2331" s="22" t="str">
        <x:f>"61125991000123"</x:f>
        <x:v>61125991000123</x:v>
      </x:c>
      <x:c r="F2331" s="22" t="str">
        <x:f>"457.431.088-03"</x:f>
        <x:v>457.431.088-03</x:v>
      </x:c>
      <x:c r="G2331" s="22" t="str">
        <x:f>"45743108803"</x:f>
        <x:v>45743108803</x:v>
      </x:c>
      <x:c r="H2331" s="23" t="str">
        <x:v>lucasfrancisco104@gmail.com</x:v>
      </x:c>
      <x:c r="I2331" s="22" t="str">
        <x:f>"11977863557"</x:f>
        <x:v>11977863557</x:v>
      </x:c>
      <x:c r="J2331" s="23" t="str">
        <x:v>SPOT</x:v>
      </x:c>
      <x:c r="K2331" s="23" t="str">
        <x:v>favored_only</x:v>
      </x:c>
      <x:c r="L2331" s="24" t="b">
        <x:v>1</x:v>
      </x:c>
      <x:c r="M2331" s="23" t="n">
        <x:v>1</x:v>
      </x:c>
      <x:c r="N2331" s="28" t="n">
        <x:v>46203.9218771875</x:v>
      </x:c>
      <x:c r="O2331" s="28" t="n">
        <x:v>46219.812988715275</x:v>
      </x:c>
      <x:c r="P2331" s="23" t="str">
        <x:v>BARUERI</x:v>
      </x:c>
      <x:c r="Q2331" s="30" t="n">
        <x:v>35355</x:v>
      </x:c>
      <x:c r="R2331" s="22" t="str">
        <x:f>"2173519999"</x:f>
        <x:v>2173519999</x:v>
      </x:c>
      <x:c r="S2331" s="23" t="str">
        <x:v>masculino</x:v>
      </x:c>
      <x:c r="T2331" s="22" t="str">
        <x:f>"EXM7C76"</x:f>
        <x:v>EXM7C76</x:v>
      </x:c>
      <x:c r="U2331" s="23" t="str">
        <x:v>LUCAS FRANCISCO DA CRUZ</x:v>
      </x:c>
      <x:c r="V2331" s="22" t="str">
        <x:f>"457.431.088-03"</x:f>
        <x:v>457.431.088-03</x:v>
      </x:c>
      <x:c r="W2331" s="22" t="str">
        <x:f>"45743108803"</x:f>
        <x:v>45743108803</x:v>
      </x:c>
      <x:c r="X2331" s="23" t="str">
        <x:v>lucasfrancisco104@gmail.com</x:v>
      </x:c>
      <x:c r="Y2331" s="22" t="str">
        <x:f>"11977863557"</x:f>
        <x:v>11977863557</x:v>
      </x:c>
      <x:c r="Z2331" s="30" t="n">
        <x:v>46311</x:v>
      </x:c>
    </x:row>
    <x:row r="2332" ht="18" customHeight="1">
      <x:c r="A2332" s="22" t="str">
        <x:f>"88ec0880-5553-474a-af38-42e0300db684"</x:f>
        <x:v>88ec0880-5553-474a-af38-42e0300db684</x:v>
      </x:c>
      <x:c r="B2332" s="23" t="str">
        <x:v>LUCAS GABRIEL DA SILVA HUTIM</x:v>
      </x:c>
      <x:c r="C2332" s="23" t="str">
        <x:v>lucas gabriel da silva hutim</x:v>
      </x:c>
      <x:c r="D2332" s="22" t="str">
        <x:f>"37.823.997/0001-90"</x:f>
        <x:v>37.823.997/0001-90</x:v>
      </x:c>
      <x:c r="E2332" s="22" t="str">
        <x:f>"37823997000190"</x:f>
        <x:v>37823997000190</x:v>
      </x:c>
      <x:c r="F2332" s="22" t="str">
        <x:f>"755.518.371-49"</x:f>
        <x:v>755.518.371-49</x:v>
      </x:c>
      <x:c r="G2332" s="22" t="str">
        <x:f>"75551837149"</x:f>
        <x:v>75551837149</x:v>
      </x:c>
      <x:c r="H2332" s="23" t="str">
        <x:v>lucashutim999@gmail.com</x:v>
      </x:c>
      <x:c r="I2332" s="22" t="str">
        <x:f>"62995752333"</x:f>
        <x:v>62995752333</x:v>
      </x:c>
      <x:c r="J2332" s="23" t="str">
        <x:v>SPOT</x:v>
      </x:c>
      <x:c r="K2332" s="23" t="str">
        <x:v>favored_only</x:v>
      </x:c>
      <x:c r="L2332" s="24" t="b">
        <x:v>1</x:v>
      </x:c>
      <x:c r="M2332" s="23" t="n">
        <x:v>1</x:v>
      </x:c>
      <x:c r="N2332" s="28" t="n">
        <x:v>46205.60642994213</x:v>
      </x:c>
      <x:c r="O2332" s="28" t="n">
        <x:v>46219.812988715275</x:v>
      </x:c>
      <x:c r="P2332" s="23" t="str">
        <x:v>GOIANIA</x:v>
      </x:c>
      <x:c r="Q2332" s="30" t="n">
        <x:v>34340</x:v>
      </x:c>
      <x:c r="R2332" s="22" t="str">
        <x:f>"5784916"</x:f>
        <x:v>5784916</x:v>
      </x:c>
      <x:c r="S2332" s="23" t="str">
        <x:v>masculino</x:v>
      </x:c>
      <x:c r="T2332" s="22" t="str">
        <x:f>"OGW4G74"</x:f>
        <x:v>OGW4G74</x:v>
      </x:c>
      <x:c r="U2332" s="23" t="str">
        <x:v>DANILLO BACIEL ALMEIDA</x:v>
      </x:c>
      <x:c r="V2332" s="22" t="str">
        <x:f>"019.928.911-50"</x:f>
        <x:v>019.928.911-50</x:v>
      </x:c>
      <x:c r="W2332" s="22" t="str">
        <x:f>"01992891150"</x:f>
        <x:v>01992891150</x:v>
      </x:c>
      <x:c r="X2332" s="23" t="str">
        <x:v>rpt.cargas@gmail.com</x:v>
      </x:c>
      <x:c r="Y2332" s="22" t="str">
        <x:f>"62 996610607"</x:f>
        <x:v>62 996610607</x:v>
      </x:c>
      <x:c r="Z2332" s="30" t="n">
        <x:v>46359</x:v>
      </x:c>
    </x:row>
    <x:row r="2333" ht="18" customHeight="1">
      <x:c r="A2333" s="22" t="str">
        <x:f>"356b4e2b-ff72-4664-b3d9-80a9fbf067b1"</x:f>
        <x:v>356b4e2b-ff72-4664-b3d9-80a9fbf067b1</x:v>
      </x:c>
      <x:c r="B2333" s="23" t="str">
        <x:v>LUCAS GABRIEL PEREIRA SANTOS</x:v>
      </x:c>
      <x:c r="C2333" s="23" t="str">
        <x:v>lucas gabriel pereira santos</x:v>
      </x:c>
      <x:c r="D2333" s="22" t="str">
        <x:f>"52.471.438/0001-51"</x:f>
        <x:v>52.471.438/0001-51</x:v>
      </x:c>
      <x:c r="E2333" s="22" t="str">
        <x:f>"52471438000151"</x:f>
        <x:v>52471438000151</x:v>
      </x:c>
      <x:c r="F2333" s="22" t="str">
        <x:f>"523.928.558-62"</x:f>
        <x:v>523.928.558-62</x:v>
      </x:c>
      <x:c r="G2333" s="22" t="str">
        <x:f>"52392855862"</x:f>
        <x:v>52392855862</x:v>
      </x:c>
      <x:c r="H2333" s="23" t="str">
        <x:v>lgabriel01pereira@gmail.com</x:v>
      </x:c>
      <x:c r="I2333" s="22" t="str">
        <x:f>"+55 43 9199-1745"</x:f>
        <x:v>+55 43 9199-1745</x:v>
      </x:c>
      <x:c r="J2333" s="23" t="str">
        <x:v>RENTAL</x:v>
      </x:c>
      <x:c r="K2333" s="23" t="str">
        <x:v>rental_company</x:v>
      </x:c>
      <x:c r="L2333" s="24" t="b">
        <x:v>1</x:v>
      </x:c>
      <x:c r="M2333" s="23" t="n">
        <x:v>1</x:v>
      </x:c>
      <x:c r="N2333" s="28" t="n">
        <x:v>46219.812988715275</x:v>
      </x:c>
      <x:c r="O2333" s="28" t="n">
        <x:v>46219.812988715275</x:v>
      </x:c>
      <x:c r="P2333" s="23" t="str">
        <x:v>BARUERI</x:v>
      </x:c>
      <x:c r="Q2333" s="30" t="n">
        <x:v>37500</x:v>
      </x:c>
      <x:c r="R2333" s="22" t="str">
        <x:f>"509114362"</x:f>
        <x:v>509114362</x:v>
      </x:c>
      <x:c r="S2333" s="23" t="str">
        <x:v>masculino</x:v>
      </x:c>
      <x:c r="T2333" s="22" t="str"/>
      <x:c r="U2333" s="23" t="str">
        <x:v>LUCAS GABRIEL PEREIRA SANTOS</x:v>
      </x:c>
      <x:c r="V2333" s="22" t="str">
        <x:f>"523.928.558-62"</x:f>
        <x:v>523.928.558-62</x:v>
      </x:c>
      <x:c r="W2333" s="22" t="str">
        <x:f>"52392855862"</x:f>
        <x:v>52392855862</x:v>
      </x:c>
      <x:c r="X2333" s="23" t="str">
        <x:v>lgabriel01pereira@gmail.com</x:v>
      </x:c>
      <x:c r="Y2333" s="22" t="str">
        <x:f>"+55 43 9199-1745"</x:f>
        <x:v>+55 43 9199-1745</x:v>
      </x:c>
      <x:c r="Z2333" s="30" t="n">
        <x:v>46534</x:v>
      </x:c>
    </x:row>
    <x:row r="2334" ht="18" customHeight="1">
      <x:c r="A2334" s="22" t="str">
        <x:f>"1172ff1d-dd68-4ced-a002-c066d5005371"</x:f>
        <x:v>1172ff1d-dd68-4ced-a002-c066d5005371</x:v>
      </x:c>
      <x:c r="B2334" s="23" t="str">
        <x:v>LUCAS HENRIQUE FERREIRA</x:v>
      </x:c>
      <x:c r="C2334" s="23" t="str">
        <x:v>lucas henrique ferreira</x:v>
      </x:c>
      <x:c r="D2334" s="22" t="str">
        <x:f>"65.125.112/0001-14"</x:f>
        <x:v>65.125.112/0001-14</x:v>
      </x:c>
      <x:c r="E2334" s="22" t="str">
        <x:f>"65125112000114"</x:f>
        <x:v>65125112000114</x:v>
      </x:c>
      <x:c r="F2334" s="22" t="str">
        <x:f>"095.329.346-77"</x:f>
        <x:v>095.329.346-77</x:v>
      </x:c>
      <x:c r="G2334" s="22" t="str">
        <x:f>"09532934677"</x:f>
        <x:v>09532934677</x:v>
      </x:c>
      <x:c r="H2334" s="23" t="str">
        <x:v>Luisotaviochagasferreira7@gmail.com</x:v>
      </x:c>
      <x:c r="I2334" s="22" t="str">
        <x:f>"35 9948-5930"</x:f>
        <x:v>35 9948-5930</x:v>
      </x:c>
      <x:c r="J2334" s="23" t="str">
        <x:v>SPOT</x:v>
      </x:c>
      <x:c r="K2334" s="23" t="str">
        <x:v>favored_only</x:v>
      </x:c>
      <x:c r="L2334" s="24" t="b">
        <x:v>1</x:v>
      </x:c>
      <x:c r="M2334" s="23" t="n">
        <x:v>1</x:v>
      </x:c>
      <x:c r="N2334" s="28" t="n">
        <x:v>46219.812988715275</x:v>
      </x:c>
      <x:c r="O2334" s="28" t="n">
        <x:v>46219.812988715275</x:v>
      </x:c>
      <x:c r="P2334" s="23" t="str">
        <x:v>POCOS DE CALDAS</x:v>
      </x:c>
      <x:c r="Q2334" s="30" t="n">
        <x:v>32749</x:v>
      </x:c>
      <x:c r="R2334" s="22" t="str">
        <x:f>"15935228"</x:f>
        <x:v>15935228</x:v>
      </x:c>
      <x:c r="S2334" s="23" t="str">
        <x:v>masculino</x:v>
      </x:c>
      <x:c r="T2334" s="22" t="str">
        <x:f>"HLV1EI14"</x:f>
        <x:v>HLV1EI14</x:v>
      </x:c>
      <x:c r="U2334" s="23" t="str">
        <x:v>LUCAS HENRIQUE FERREIRA</x:v>
      </x:c>
      <x:c r="V2334" s="22" t="str">
        <x:f>"095.329.346-77"</x:f>
        <x:v>095.329.346-77</x:v>
      </x:c>
      <x:c r="W2334" s="22" t="str">
        <x:f>"09532934677"</x:f>
        <x:v>09532934677</x:v>
      </x:c>
      <x:c r="X2334" s="23" t="str">
        <x:v>Luisotaviochagasferreira7@gmail.com</x:v>
      </x:c>
      <x:c r="Y2334" s="22" t="str">
        <x:f>"35 9948-5930"</x:f>
        <x:v>35 9948-5930</x:v>
      </x:c>
      <x:c r="Z2334" s="30" t="n">
        <x:v>46435</x:v>
      </x:c>
    </x:row>
    <x:row r="2335" ht="18" customHeight="1">
      <x:c r="A2335" s="22" t="str">
        <x:f>"a34f881e-f29e-4bcb-9e12-e018ef92db52"</x:f>
        <x:v>a34f881e-f29e-4bcb-9e12-e018ef92db52</x:v>
      </x:c>
      <x:c r="B2335" s="23" t="str">
        <x:v>LUCAS HENRIQUE RODRIGUES COSTA</x:v>
      </x:c>
      <x:c r="C2335" s="23" t="str">
        <x:v>lucas henrique rodrigues costa</x:v>
      </x:c>
      <x:c r="D2335" s="22" t="str">
        <x:f>"61.164.020/0001-92"</x:f>
        <x:v>61.164.020/0001-92</x:v>
      </x:c>
      <x:c r="E2335" s="22" t="str">
        <x:f>"61164020000192"</x:f>
        <x:v>61164020000192</x:v>
      </x:c>
      <x:c r="F2335" s="22" t="str">
        <x:f>"189.011.477-42"</x:f>
        <x:v>189.011.477-42</x:v>
      </x:c>
      <x:c r="G2335" s="22" t="str">
        <x:f>"18901147742"</x:f>
        <x:v>18901147742</x:v>
      </x:c>
      <x:c r="H2335" s="23" t="str">
        <x:v>gabrielsilvamonteiro91@gmail.com</x:v>
      </x:c>
      <x:c r="I2335" s="22" t="str">
        <x:f>"21973733854"</x:f>
        <x:v>21973733854</x:v>
      </x:c>
      <x:c r="J2335" s="23" t="str">
        <x:v>SPOT</x:v>
      </x:c>
      <x:c r="K2335" s="23" t="str">
        <x:v>favored_only</x:v>
      </x:c>
      <x:c r="L2335" s="24" t="b">
        <x:v>1</x:v>
      </x:c>
      <x:c r="M2335" s="23" t="n">
        <x:v>1</x:v>
      </x:c>
      <x:c r="N2335" s="28" t="n">
        <x:v>46219.812988715275</x:v>
      </x:c>
      <x:c r="O2335" s="28" t="n">
        <x:v>46219.812988715275</x:v>
      </x:c>
      <x:c r="P2335" s="23" t="str">
        <x:v>QUEIMADOS</x:v>
      </x:c>
      <x:c r="Q2335" s="30" t="n">
        <x:v>36154</x:v>
      </x:c>
      <x:c r="R2335" s="22" t="str">
        <x:f>"308109289"</x:f>
        <x:v>308109289</x:v>
      </x:c>
      <x:c r="S2335" s="23" t="str">
        <x:v>masculino</x:v>
      </x:c>
      <x:c r="T2335" s="22" t="str">
        <x:f>"rko4a24"</x:f>
        <x:v>rko4a24</x:v>
      </x:c>
      <x:c r="U2335" s="23" t="str">
        <x:v>GABRIEL SILVA MONTEIRO</x:v>
      </x:c>
      <x:c r="V2335" s="22" t="str">
        <x:f>"214.098.987-25"</x:f>
        <x:v>214.098.987-25</x:v>
      </x:c>
      <x:c r="W2335" s="22" t="str">
        <x:f>"21409898725"</x:f>
        <x:v>21409898725</x:v>
      </x:c>
      <x:c r="X2335" s="23" t="str">
        <x:v>gabrielsilvamonteiro91@gmail.com</x:v>
      </x:c>
      <x:c r="Y2335" s="22" t="str">
        <x:f>"21973733854"</x:f>
        <x:v>21973733854</x:v>
      </x:c>
      <x:c r="Z2335" s="30" t="n">
        <x:v>46519</x:v>
      </x:c>
    </x:row>
    <x:row r="2336" ht="18" customHeight="1">
      <x:c r="A2336" s="22" t="str">
        <x:f>"8bdbdf36-63b1-4e75-80aa-c18aa521d98b"</x:f>
        <x:v>8bdbdf36-63b1-4e75-80aa-c18aa521d98b</x:v>
      </x:c>
      <x:c r="B2336" s="23" t="str">
        <x:v>LUCAS JOSE ROBERTO DA SILVA</x:v>
      </x:c>
      <x:c r="C2336" s="23" t="str">
        <x:v>lucas jose roberto da silva</x:v>
      </x:c>
      <x:c r="D2336" s="22" t="str">
        <x:f>"53.297.247/0001-88"</x:f>
        <x:v>53.297.247/0001-88</x:v>
      </x:c>
      <x:c r="E2336" s="22" t="str">
        <x:f>"53297247000188"</x:f>
        <x:v>53297247000188</x:v>
      </x:c>
      <x:c r="F2336" s="22" t="str">
        <x:f>"174.899.857-90"</x:f>
        <x:v>174.899.857-90</x:v>
      </x:c>
      <x:c r="G2336" s="22" t="str">
        <x:f>"17489985790"</x:f>
        <x:v>17489985790</x:v>
      </x:c>
      <x:c r="H2336" s="23" t="str">
        <x:v>lucas.lr248577@gmail.com</x:v>
      </x:c>
      <x:c r="I2336" s="22" t="str">
        <x:f>"21993876194"</x:f>
        <x:v>21993876194</x:v>
      </x:c>
      <x:c r="J2336" s="23" t="str">
        <x:v>SPOT</x:v>
      </x:c>
      <x:c r="K2336" s="23" t="str">
        <x:v>favored_only</x:v>
      </x:c>
      <x:c r="L2336" s="24" t="b">
        <x:v>1</x:v>
      </x:c>
      <x:c r="M2336" s="23" t="n">
        <x:v>1</x:v>
      </x:c>
      <x:c r="N2336" s="28" t="n">
        <x:v>46219.812988715275</x:v>
      </x:c>
      <x:c r="O2336" s="28" t="n">
        <x:v>46219.812988715275</x:v>
      </x:c>
      <x:c r="P2336" s="23" t="str">
        <x:v>SÃO JOAO DE MERITI</x:v>
      </x:c>
      <x:c r="Q2336" s="30" t="n">
        <x:v>35323</x:v>
      </x:c>
      <x:c r="R2336" s="22" t="str">
        <x:f>"311492144"</x:f>
        <x:v>311492144</x:v>
      </x:c>
      <x:c r="S2336" s="23" t="str">
        <x:v>masculino</x:v>
      </x:c>
      <x:c r="T2336" s="22" t="str">
        <x:f>"LUT5G15"</x:f>
        <x:v>LUT5G15</x:v>
      </x:c>
      <x:c r="U2336" s="23" t="str">
        <x:v>LUCAS JOSE ROBERTO DA SILVA</x:v>
      </x:c>
      <x:c r="V2336" s="22" t="str">
        <x:f>"174.899.857-90"</x:f>
        <x:v>174.899.857-90</x:v>
      </x:c>
      <x:c r="W2336" s="22" t="str">
        <x:f>"17489985790"</x:f>
        <x:v>17489985790</x:v>
      </x:c>
      <x:c r="X2336" s="23" t="str">
        <x:v>lucas.lr248577@gmail.com</x:v>
      </x:c>
      <x:c r="Y2336" s="22" t="str">
        <x:f>"21993876194"</x:f>
        <x:v>21993876194</x:v>
      </x:c>
      <x:c r="Z2336" s="30" t="n">
        <x:v>46548</x:v>
      </x:c>
    </x:row>
    <x:row r="2337" ht="18" customHeight="1">
      <x:c r="A2337" s="22" t="str">
        <x:f>"0e22154d-deb4-4b8f-b4c3-2eea90dfa6cc"</x:f>
        <x:v>0e22154d-deb4-4b8f-b4c3-2eea90dfa6cc</x:v>
      </x:c>
      <x:c r="B2337" s="23" t="str">
        <x:v>LUCAS JUNIO GASPARINI DE ALMEIDA</x:v>
      </x:c>
      <x:c r="C2337" s="23" t="str">
        <x:v>lucas junio gasparini de almeida</x:v>
      </x:c>
      <x:c r="D2337" s="22" t="str">
        <x:f>"62.378.879/0001-67"</x:f>
        <x:v>62.378.879/0001-67</x:v>
      </x:c>
      <x:c r="E2337" s="22" t="str">
        <x:f>"62378879000167"</x:f>
        <x:v>62378879000167</x:v>
      </x:c>
      <x:c r="F2337" s="22" t="str">
        <x:f>"432.410.068-32"</x:f>
        <x:v>432.410.068-32</x:v>
      </x:c>
      <x:c r="G2337" s="22" t="str">
        <x:f>"43241006832"</x:f>
        <x:v>43241006832</x:v>
      </x:c>
      <x:c r="H2337" s="23" t="str">
        <x:v>lucasgasparini433@gmail.com</x:v>
      </x:c>
      <x:c r="I2337" s="22" t="str">
        <x:f>"17988453160"</x:f>
        <x:v>17988453160</x:v>
      </x:c>
      <x:c r="J2337" s="23" t="str">
        <x:v>RENTAL</x:v>
      </x:c>
      <x:c r="K2337" s="23" t="str">
        <x:v>rental_company</x:v>
      </x:c>
      <x:c r="L2337" s="24" t="b">
        <x:v>1</x:v>
      </x:c>
      <x:c r="M2337" s="23" t="n">
        <x:v>1</x:v>
      </x:c>
      <x:c r="N2337" s="28" t="n">
        <x:v>46203.921858726855</x:v>
      </x:c>
      <x:c r="O2337" s="28" t="n">
        <x:v>46219.812988715275</x:v>
      </x:c>
      <x:c r="P2337" s="23" t="str">
        <x:v>JALES</x:v>
      </x:c>
      <x:c r="Q2337" s="30" t="n">
        <x:v>35739</x:v>
      </x:c>
      <x:c r="R2337" s="22" t="str">
        <x:f>"45948691"</x:f>
        <x:v>45948691</x:v>
      </x:c>
      <x:c r="S2337" s="23" t="str">
        <x:v>masculino</x:v>
      </x:c>
      <x:c r="T2337" s="22" t="str"/>
      <x:c r="U2337" s="23" t="str">
        <x:v>LUCAS JUNIO GASPARINI DE ALMEIDA</x:v>
      </x:c>
      <x:c r="V2337" s="22" t="str">
        <x:f>"432.410.068-32"</x:f>
        <x:v>432.410.068-32</x:v>
      </x:c>
      <x:c r="W2337" s="22" t="str">
        <x:f>"43241006832"</x:f>
        <x:v>43241006832</x:v>
      </x:c>
      <x:c r="X2337" s="23" t="str">
        <x:v>lucasgasparini433@gmail.com</x:v>
      </x:c>
      <x:c r="Y2337" s="22" t="str">
        <x:f>"17988453160"</x:f>
        <x:v>17988453160</x:v>
      </x:c>
      <x:c r="Z2337" s="30" t="n">
        <x:v>46260</x:v>
      </x:c>
    </x:row>
    <x:row r="2338" ht="18" customHeight="1">
      <x:c r="A2338" s="22" t="str">
        <x:f>"31be1dd9-af21-4b03-9919-fc225dcd9dfd"</x:f>
        <x:v>31be1dd9-af21-4b03-9919-fc225dcd9dfd</x:v>
      </x:c>
      <x:c r="B2338" s="23" t="str">
        <x:v>LUCAS JUNIOR DE JESUS BENTO</x:v>
      </x:c>
      <x:c r="C2338" s="23" t="str">
        <x:v>lucas junior de jesus bento</x:v>
      </x:c>
      <x:c r="D2338" s="22" t="str">
        <x:f>"62.315.299/0001-20"</x:f>
        <x:v>62.315.299/0001-20</x:v>
      </x:c>
      <x:c r="E2338" s="22" t="str">
        <x:f>"62315299000120"</x:f>
        <x:v>62315299000120</x:v>
      </x:c>
      <x:c r="F2338" s="22" t="str">
        <x:f>"360.049.688-38"</x:f>
        <x:v>360.049.688-38</x:v>
      </x:c>
      <x:c r="G2338" s="22" t="str">
        <x:f>"36004968838"</x:f>
        <x:v>36004968838</x:v>
      </x:c>
      <x:c r="H2338" s="23" t="str">
        <x:v>lucasbentojr22@gmail.com</x:v>
      </x:c>
      <x:c r="I2338" s="22" t="str">
        <x:f>"16 997239240"</x:f>
        <x:v>16 997239240</x:v>
      </x:c>
      <x:c r="J2338" s="23" t="str">
        <x:v>RENTAL</x:v>
      </x:c>
      <x:c r="K2338" s="23" t="str">
        <x:v>rental_company</x:v>
      </x:c>
      <x:c r="L2338" s="24" t="b">
        <x:v>1</x:v>
      </x:c>
      <x:c r="M2338" s="23" t="n">
        <x:v>1</x:v>
      </x:c>
      <x:c r="N2338" s="28" t="n">
        <x:v>46203.921858726855</x:v>
      </x:c>
      <x:c r="O2338" s="28" t="n">
        <x:v>46219.812988715275</x:v>
      </x:c>
      <x:c r="P2338" s="23" t="str">
        <x:v>SÃO CARLOS</x:v>
      </x:c>
      <x:c r="Q2338" s="30" t="n">
        <x:v>32314</x:v>
      </x:c>
      <x:c r="R2338" s="22" t="str">
        <x:f>"40 853 205 1"</x:f>
        <x:v>40 853 205 1</x:v>
      </x:c>
      <x:c r="S2338" s="23" t="str">
        <x:v>masculino</x:v>
      </x:c>
      <x:c r="T2338" s="22" t="str"/>
      <x:c r="U2338" s="23" t="str">
        <x:v>LUCAS JUNIOR DE JESUS BENTO</x:v>
      </x:c>
      <x:c r="V2338" s="22" t="str">
        <x:f>"360.049.688-38"</x:f>
        <x:v>360.049.688-38</x:v>
      </x:c>
      <x:c r="W2338" s="22" t="str">
        <x:f>"36004968838"</x:f>
        <x:v>36004968838</x:v>
      </x:c>
      <x:c r="X2338" s="23" t="str">
        <x:v>lucasbentojr22@gmail.com</x:v>
      </x:c>
      <x:c r="Y2338" s="22" t="str">
        <x:f>"16 997239240"</x:f>
        <x:v>16 997239240</x:v>
      </x:c>
      <x:c r="Z2338" s="30" t="n">
        <x:v>46256</x:v>
      </x:c>
    </x:row>
    <x:row r="2339" ht="18" customHeight="1">
      <x:c r="A2339" s="22" t="str">
        <x:f>"64ced63a-f22d-4be2-8d23-0c0435d77eef"</x:f>
        <x:v>64ced63a-f22d-4be2-8d23-0c0435d77eef</x:v>
      </x:c>
      <x:c r="B2339" s="23" t="str">
        <x:v>LUCAS LIMA DE MORAES</x:v>
      </x:c>
      <x:c r="C2339" s="23" t="str">
        <x:v>lucas lima de moraes</x:v>
      </x:c>
      <x:c r="D2339" s="22" t="str">
        <x:f>"65.983.466/0001-08"</x:f>
        <x:v>65.983.466/0001-08</x:v>
      </x:c>
      <x:c r="E2339" s="22" t="str">
        <x:f>"65983466000108"</x:f>
        <x:v>65983466000108</x:v>
      </x:c>
      <x:c r="F2339" s="22" t="str">
        <x:f>"139.903.297-66"</x:f>
        <x:v>139.903.297-66</x:v>
      </x:c>
      <x:c r="G2339" s="22" t="str">
        <x:f>"13990329766"</x:f>
        <x:v>13990329766</x:v>
      </x:c>
      <x:c r="H2339" s="23" t="str">
        <x:v>eularissabarros11@gmail.com</x:v>
      </x:c>
      <x:c r="I2339" s="22" t="str">
        <x:f>"21 98236-0261"</x:f>
        <x:v>21 98236-0261</x:v>
      </x:c>
      <x:c r="J2339" s="23" t="str">
        <x:v>SPOT</x:v>
      </x:c>
      <x:c r="K2339" s="23" t="str">
        <x:v>favored_only</x:v>
      </x:c>
      <x:c r="L2339" s="24" t="b">
        <x:v>1</x:v>
      </x:c>
      <x:c r="M2339" s="23" t="n">
        <x:v>1</x:v>
      </x:c>
      <x:c r="N2339" s="28" t="n">
        <x:v>46219.812988715275</x:v>
      </x:c>
      <x:c r="O2339" s="28" t="n">
        <x:v>46219.812988715275</x:v>
      </x:c>
      <x:c r="P2339" s="23" t="str">
        <x:v>ITABORAI</x:v>
      </x:c>
      <x:c r="Q2339" s="30" t="n">
        <x:v>33014</x:v>
      </x:c>
      <x:c r="R2339" s="22" t="str">
        <x:f>"256641796"</x:f>
        <x:v>256641796</x:v>
      </x:c>
      <x:c r="S2339" s="23" t="str">
        <x:v>masculino</x:v>
      </x:c>
      <x:c r="T2339" s="22" t="str">
        <x:f>"KPZ4371"</x:f>
        <x:v>KPZ4371</x:v>
      </x:c>
      <x:c r="U2339" s="23" t="str">
        <x:v>LUCAS LIMA DE MORAES</x:v>
      </x:c>
      <x:c r="V2339" s="22" t="str">
        <x:f>"139.903.297-66"</x:f>
        <x:v>139.903.297-66</x:v>
      </x:c>
      <x:c r="W2339" s="22" t="str">
        <x:f>"13990329766"</x:f>
        <x:v>13990329766</x:v>
      </x:c>
      <x:c r="X2339" s="23" t="str">
        <x:v>eularissabarros11@gmail.com</x:v>
      </x:c>
      <x:c r="Y2339" s="22" t="str">
        <x:f>"21 98236-0261"</x:f>
        <x:v>21 98236-0261</x:v>
      </x:c>
      <x:c r="Z2339" s="30" t="n">
        <x:v>46491</x:v>
      </x:c>
    </x:row>
    <x:row r="2340" ht="18" customHeight="1">
      <x:c r="A2340" s="22" t="str">
        <x:f>"059bc57f-0ae9-4d5c-b58c-e362a21a61c9"</x:f>
        <x:v>059bc57f-0ae9-4d5c-b58c-e362a21a61c9</x:v>
      </x:c>
      <x:c r="B2340" s="23" t="str">
        <x:v>LUCAS MACEDO COSTA</x:v>
      </x:c>
      <x:c r="C2340" s="23" t="str">
        <x:v>lucas macedo costa</x:v>
      </x:c>
      <x:c r="D2340" s="22" t="str">
        <x:f>"52.637.281/0001-91"</x:f>
        <x:v>52.637.281/0001-91</x:v>
      </x:c>
      <x:c r="E2340" s="22" t="str">
        <x:f>"52637281000191"</x:f>
        <x:v>52637281000191</x:v>
      </x:c>
      <x:c r="F2340" s="22" t="str">
        <x:f>"425.257.158-88"</x:f>
        <x:v>425.257.158-88</x:v>
      </x:c>
      <x:c r="G2340" s="22" t="str">
        <x:f>"42525715888"</x:f>
        <x:v>42525715888</x:v>
      </x:c>
      <x:c r="H2340" s="23" t="str">
        <x:v>lucassonatta2013@gmail.com</x:v>
      </x:c>
      <x:c r="I2340" s="22" t="str">
        <x:f>"11994556884"</x:f>
        <x:v>11994556884</x:v>
      </x:c>
      <x:c r="J2340" s="23" t="str">
        <x:v>RENTAL</x:v>
      </x:c>
      <x:c r="K2340" s="23" t="str">
        <x:v>rental_company</x:v>
      </x:c>
      <x:c r="L2340" s="24" t="b">
        <x:v>1</x:v>
      </x:c>
      <x:c r="M2340" s="23" t="n">
        <x:v>1</x:v>
      </x:c>
      <x:c r="N2340" s="28" t="n">
        <x:v>46203.92183017361</x:v>
      </x:c>
      <x:c r="O2340" s="28" t="n">
        <x:v>46219.812988715275</x:v>
      </x:c>
      <x:c r="P2340" s="23" t="str">
        <x:v>MADEIRA MADEIRA</x:v>
      </x:c>
      <x:c r="Q2340" s="30" t="n">
        <x:v>34455</x:v>
      </x:c>
      <x:c r="R2340" s="22" t="str">
        <x:f>"40.883.121-2"</x:f>
        <x:v>40.883.121-2</x:v>
      </x:c>
      <x:c r="S2340" s="23" t="str">
        <x:v>masculino</x:v>
      </x:c>
      <x:c r="T2340" s="22" t="str"/>
      <x:c r="U2340" s="23" t="str">
        <x:v>LUCAS MACEDO COSTA</x:v>
      </x:c>
      <x:c r="V2340" s="22" t="str">
        <x:f>"425.257.158-88"</x:f>
        <x:v>425.257.158-88</x:v>
      </x:c>
      <x:c r="W2340" s="22" t="str">
        <x:f>"42525715888"</x:f>
        <x:v>42525715888</x:v>
      </x:c>
      <x:c r="X2340" s="23" t="str">
        <x:v>lucassonatta2013@gmail.com</x:v>
      </x:c>
      <x:c r="Y2340" s="22" t="str">
        <x:f>"11994556884"</x:f>
        <x:v>11994556884</x:v>
      </x:c>
      <x:c r="Z2340" s="30" t="n">
        <x:v>46366</x:v>
      </x:c>
    </x:row>
    <x:row r="2341" ht="18" customHeight="1">
      <x:c r="A2341" s="22" t="str">
        <x:f>"fc0c9d15-20c1-4ffd-aae5-8b099bf63177"</x:f>
        <x:v>fc0c9d15-20c1-4ffd-aae5-8b099bf63177</x:v>
      </x:c>
      <x:c r="B2341" s="23" t="str">
        <x:v>LUCAS MARQUES DA CUNHA</x:v>
      </x:c>
      <x:c r="C2341" s="23" t="str">
        <x:v>lucas marques da cunha</x:v>
      </x:c>
      <x:c r="D2341" s="22" t="str">
        <x:f>"64.488.683/0001-50"</x:f>
        <x:v>64.488.683/0001-50</x:v>
      </x:c>
      <x:c r="E2341" s="22" t="str">
        <x:f>"64488683000150"</x:f>
        <x:v>64488683000150</x:v>
      </x:c>
      <x:c r="F2341" s="22" t="str">
        <x:f>"705.193.351-55"</x:f>
        <x:v>705.193.351-55</x:v>
      </x:c>
      <x:c r="G2341" s="22" t="str">
        <x:f>"70519335155"</x:f>
        <x:v>70519335155</x:v>
      </x:c>
      <x:c r="H2341" s="23" t="str">
        <x:v>lucasmarquescunha18@gmail.com</x:v>
      </x:c>
      <x:c r="I2341" s="22" t="str">
        <x:f>"62981504049"</x:f>
        <x:v>62981504049</x:v>
      </x:c>
      <x:c r="J2341" s="23" t="str">
        <x:v>SPOT</x:v>
      </x:c>
      <x:c r="K2341" s="23" t="str">
        <x:v>favored_only</x:v>
      </x:c>
      <x:c r="L2341" s="24" t="b">
        <x:v>1</x:v>
      </x:c>
      <x:c r="M2341" s="23" t="n">
        <x:v>1</x:v>
      </x:c>
      <x:c r="N2341" s="28" t="n">
        <x:v>46219.812988715275</x:v>
      </x:c>
      <x:c r="O2341" s="28" t="n">
        <x:v>46219.812988715275</x:v>
      </x:c>
      <x:c r="P2341" s="23" t="str">
        <x:v>GOIANIA</x:v>
      </x:c>
      <x:c r="Q2341" s="30" t="n">
        <x:v>35255</x:v>
      </x:c>
      <x:c r="R2341" s="22" t="str">
        <x:f>"6452900"</x:f>
        <x:v>6452900</x:v>
      </x:c>
      <x:c r="S2341" s="23" t="str">
        <x:v>masculino</x:v>
      </x:c>
      <x:c r="T2341" s="22" t="str">
        <x:f>"OGY3D66"</x:f>
        <x:v>OGY3D66</x:v>
      </x:c>
      <x:c r="U2341" s="23" t="str">
        <x:v>LUCAS MARQUES DA CUNHA</x:v>
      </x:c>
      <x:c r="V2341" s="22" t="str">
        <x:f>"705.193.351-55"</x:f>
        <x:v>705.193.351-55</x:v>
      </x:c>
      <x:c r="W2341" s="22" t="str">
        <x:f>"70519335155"</x:f>
        <x:v>70519335155</x:v>
      </x:c>
      <x:c r="X2341" s="23" t="str">
        <x:v>lucasmarquescunha18@gmail.com</x:v>
      </x:c>
      <x:c r="Y2341" s="22" t="str">
        <x:f>"62981504049"</x:f>
        <x:v>62981504049</x:v>
      </x:c>
      <x:c r="Z2341" s="30" t="n">
        <x:v>46553</x:v>
      </x:c>
    </x:row>
    <x:row r="2342" ht="18" customHeight="1">
      <x:c r="A2342" s="22" t="str">
        <x:f>"5ae9a346-a870-4c39-88a7-9217c303ce08"</x:f>
        <x:v>5ae9a346-a870-4c39-88a7-9217c303ce08</x:v>
      </x:c>
      <x:c r="B2342" s="23" t="str">
        <x:v>LUCAS MARTINS COUTINHO FARIA</x:v>
      </x:c>
      <x:c r="C2342" s="23" t="str">
        <x:v>lucas martins coutinho faria</x:v>
      </x:c>
      <x:c r="D2342" s="22" t="str">
        <x:f>"54.966.922/0001-87"</x:f>
        <x:v>54.966.922/0001-87</x:v>
      </x:c>
      <x:c r="E2342" s="22" t="str">
        <x:f>"54966922000187"</x:f>
        <x:v>54966922000187</x:v>
      </x:c>
      <x:c r="F2342" s="22" t="str">
        <x:f>"131.423.476-58"</x:f>
        <x:v>131.423.476-58</x:v>
      </x:c>
      <x:c r="G2342" s="22" t="str">
        <x:f>"13142347658"</x:f>
        <x:v>13142347658</x:v>
      </x:c>
      <x:c r="H2342" s="23" t="str">
        <x:v>lucas.equipasol@gmail.com</x:v>
      </x:c>
      <x:c r="I2342" s="22" t="str">
        <x:f>"34999876811"</x:f>
        <x:v>34999876811</x:v>
      </x:c>
      <x:c r="J2342" s="23" t="str">
        <x:v>SPOT</x:v>
      </x:c>
      <x:c r="K2342" s="23" t="str">
        <x:v>favored_only</x:v>
      </x:c>
      <x:c r="L2342" s="24" t="b">
        <x:v>1</x:v>
      </x:c>
      <x:c r="M2342" s="23" t="n">
        <x:v>1</x:v>
      </x:c>
      <x:c r="N2342" s="28" t="n">
        <x:v>46203.92189349537</x:v>
      </x:c>
      <x:c r="O2342" s="28" t="n">
        <x:v>46219.812988715275</x:v>
      </x:c>
      <x:c r="P2342" s="23" t="str">
        <x:v>ARAXÁ</x:v>
      </x:c>
      <x:c r="Q2342" s="30" t="n">
        <x:v>35282</x:v>
      </x:c>
      <x:c r="R2342" s="22" t="str">
        <x:f>"16675917"</x:f>
        <x:v>16675917</x:v>
      </x:c>
      <x:c r="S2342" s="23" t="str">
        <x:v>masculino</x:v>
      </x:c>
      <x:c r="T2342" s="22" t="str">
        <x:f>"RFN3E73"</x:f>
        <x:v>RFN3E73</x:v>
      </x:c>
      <x:c r="U2342" s="23" t="str">
        <x:v>LUCAS MARTINS COUTINHO FARIA</x:v>
      </x:c>
      <x:c r="V2342" s="22" t="str">
        <x:f>"131.423.476-58"</x:f>
        <x:v>131.423.476-58</x:v>
      </x:c>
      <x:c r="W2342" s="22" t="str">
        <x:f>"13142347658"</x:f>
        <x:v>13142347658</x:v>
      </x:c>
      <x:c r="X2342" s="23" t="str">
        <x:v>lucas.equipasol@gmail.com</x:v>
      </x:c>
      <x:c r="Y2342" s="22" t="str">
        <x:f>"34999876811"</x:f>
        <x:v>34999876811</x:v>
      </x:c>
      <x:c r="Z2342" s="30" t="n">
        <x:v>46340</x:v>
      </x:c>
    </x:row>
    <x:row r="2343" ht="18" customHeight="1">
      <x:c r="A2343" s="22" t="str">
        <x:f>"0f2aad5e-5e1e-4673-affc-0ab99058d29e"</x:f>
        <x:v>0f2aad5e-5e1e-4673-affc-0ab99058d29e</x:v>
      </x:c>
      <x:c r="B2343" s="23" t="str">
        <x:v>LUCAS MATEUS DA SILVA</x:v>
      </x:c>
      <x:c r="C2343" s="23" t="str">
        <x:v>lucas mateus da silva</x:v>
      </x:c>
      <x:c r="D2343" s="22" t="str">
        <x:f>"60.241.158/0001-85"</x:f>
        <x:v>60.241.158/0001-85</x:v>
      </x:c>
      <x:c r="E2343" s="22" t="str">
        <x:f>"60241158000185"</x:f>
        <x:v>60241158000185</x:v>
      </x:c>
      <x:c r="F2343" s="22" t="str">
        <x:f>"129.964.566-61"</x:f>
        <x:v>129.964.566-61</x:v>
      </x:c>
      <x:c r="G2343" s="22" t="str">
        <x:f>"12996456661"</x:f>
        <x:v>12996456661</x:v>
      </x:c>
      <x:c r="H2343" s="23" t="str">
        <x:v>lucasmateus2997@gmail.com</x:v>
      </x:c>
      <x:c r="I2343" s="22" t="str">
        <x:f>"31993627988"</x:f>
        <x:v>31993627988</x:v>
      </x:c>
      <x:c r="J2343" s="23" t="str">
        <x:v>SPOT</x:v>
      </x:c>
      <x:c r="K2343" s="23" t="str">
        <x:v>favored_only</x:v>
      </x:c>
      <x:c r="L2343" s="24" t="b">
        <x:v>1</x:v>
      </x:c>
      <x:c r="M2343" s="23" t="n">
        <x:v>1</x:v>
      </x:c>
      <x:c r="N2343" s="28" t="n">
        <x:v>46219.812988715275</x:v>
      </x:c>
      <x:c r="O2343" s="28" t="n">
        <x:v>46219.812988715275</x:v>
      </x:c>
      <x:c r="P2343" s="23" t="str">
        <x:v>VESPASIANO</x:v>
      </x:c>
      <x:c r="Q2343" s="30" t="n">
        <x:v>35702</x:v>
      </x:c>
      <x:c r="R2343" s="22" t="str">
        <x:f>"RG: mg19038039"</x:f>
        <x:v>RG: mg19038039</x:v>
      </x:c>
      <x:c r="S2343" s="23" t="str">
        <x:v>masculino</x:v>
      </x:c>
      <x:c r="T2343" s="22" t="str">
        <x:f>"EWD0J52"</x:f>
        <x:v>EWD0J52</x:v>
      </x:c>
      <x:c r="U2343" s="23" t="str">
        <x:v>LUCAS MATEUS DA SILVA</x:v>
      </x:c>
      <x:c r="V2343" s="22" t="str">
        <x:f>"129.964.566-61"</x:f>
        <x:v>129.964.566-61</x:v>
      </x:c>
      <x:c r="W2343" s="22" t="str">
        <x:f>"12996456661"</x:f>
        <x:v>12996456661</x:v>
      </x:c>
      <x:c r="X2343" s="23" t="str">
        <x:v>lucasmateus2997@gmail.com</x:v>
      </x:c>
      <x:c r="Y2343" s="22" t="str">
        <x:f>"31993627988"</x:f>
        <x:v>31993627988</x:v>
      </x:c>
      <x:c r="Z2343" s="30" t="n">
        <x:v>46431</x:v>
      </x:c>
    </x:row>
    <x:row r="2344" ht="18" customHeight="1">
      <x:c r="A2344" s="22" t="str">
        <x:f>"2b3a837d-7809-430f-a20b-78f91bb41aaf"</x:f>
        <x:v>2b3a837d-7809-430f-a20b-78f91bb41aaf</x:v>
      </x:c>
      <x:c r="B2344" s="23" t="str">
        <x:v>LUCAS MEIRA DA SILVA</x:v>
      </x:c>
      <x:c r="C2344" s="23" t="str">
        <x:v>lucas meira da silva</x:v>
      </x:c>
      <x:c r="D2344" s="22" t="str">
        <x:f>"62.513.090/0001-71"</x:f>
        <x:v>62.513.090/0001-71</x:v>
      </x:c>
      <x:c r="E2344" s="22" t="str">
        <x:f>"62513090000171"</x:f>
        <x:v>62513090000171</x:v>
      </x:c>
      <x:c r="F2344" s="22" t="str">
        <x:f>"022.259.706-29"</x:f>
        <x:v>022.259.706-29</x:v>
      </x:c>
      <x:c r="G2344" s="22" t="str">
        <x:f>"02225970629"</x:f>
        <x:v>02225970629</x:v>
      </x:c>
      <x:c r="H2344" s="23" t="str">
        <x:v>lucasmeira561@gmail.com</x:v>
      </x:c>
      <x:c r="I2344" s="22" t="str">
        <x:f>"31 973438149"</x:f>
        <x:v>31 973438149</x:v>
      </x:c>
      <x:c r="J2344" s="23" t="str">
        <x:v>SPOT</x:v>
      </x:c>
      <x:c r="K2344" s="23" t="str">
        <x:v>favored_only</x:v>
      </x:c>
      <x:c r="L2344" s="24" t="b">
        <x:v>1</x:v>
      </x:c>
      <x:c r="M2344" s="23" t="n">
        <x:v>1</x:v>
      </x:c>
      <x:c r="N2344" s="28" t="n">
        <x:v>46203.92186462963</x:v>
      </x:c>
      <x:c r="O2344" s="28" t="n">
        <x:v>46219.812988715275</x:v>
      </x:c>
      <x:c r="P2344" s="23" t="str">
        <x:v>CONTAGEM</x:v>
      </x:c>
      <x:c r="Q2344" s="30" t="n">
        <x:v>35944</x:v>
      </x:c>
      <x:c r="R2344" s="22" t="str">
        <x:f>"18290326"</x:f>
        <x:v>18290326</x:v>
      </x:c>
      <x:c r="S2344" s="23" t="str">
        <x:v>masculino</x:v>
      </x:c>
      <x:c r="T2344" s="22" t="str">
        <x:f>"TOI8I53"</x:f>
        <x:v>TOI8I53</x:v>
      </x:c>
      <x:c r="U2344" s="23" t="str">
        <x:v>LUCAS MEIRA DA SILVA</x:v>
      </x:c>
      <x:c r="V2344" s="22" t="str">
        <x:f>"022.259.706-29"</x:f>
        <x:v>022.259.706-29</x:v>
      </x:c>
      <x:c r="W2344" s="22" t="str">
        <x:f>"02225970629"</x:f>
        <x:v>02225970629</x:v>
      </x:c>
      <x:c r="X2344" s="23" t="str">
        <x:v>lucasmeira561@gmail.com</x:v>
      </x:c>
      <x:c r="Y2344" s="22" t="str">
        <x:f>"31 973438149"</x:f>
        <x:v>31 973438149</x:v>
      </x:c>
      <x:c r="Z2344" s="30" t="n">
        <x:v>46269</x:v>
      </x:c>
    </x:row>
    <x:row r="2345" ht="18" customHeight="1">
      <x:c r="A2345" s="22" t="str">
        <x:f>"5e228e84-f6ac-47b9-95ac-d500e0cde4cb"</x:f>
        <x:v>5e228e84-f6ac-47b9-95ac-d500e0cde4cb</x:v>
      </x:c>
      <x:c r="B2345" s="23" t="str">
        <x:v>LUCAS MONTEIRO SILVA</x:v>
      </x:c>
      <x:c r="C2345" s="23" t="str">
        <x:v>lucas monteiro silva</x:v>
      </x:c>
      <x:c r="D2345" s="22" t="str">
        <x:f>"65.393.859/0001-53"</x:f>
        <x:v>65.393.859/0001-53</x:v>
      </x:c>
      <x:c r="E2345" s="22" t="str">
        <x:f>"65393859000153"</x:f>
        <x:v>65393859000153</x:v>
      </x:c>
      <x:c r="F2345" s="22" t="str">
        <x:f>"131.108.936-57"</x:f>
        <x:v>131.108.936-57</x:v>
      </x:c>
      <x:c r="G2345" s="22" t="str">
        <x:f>"13110893657"</x:f>
        <x:v>13110893657</x:v>
      </x:c>
      <x:c r="H2345" s="23" t="str">
        <x:v>lucas96monteiro.silva@gmail.com</x:v>
      </x:c>
      <x:c r="I2345" s="22" t="str">
        <x:f>"34 9806-4620"</x:f>
        <x:v>34 9806-4620</x:v>
      </x:c>
      <x:c r="J2345" s="23" t="str">
        <x:v>SPOT</x:v>
      </x:c>
      <x:c r="K2345" s="23" t="str">
        <x:v>favored_only</x:v>
      </x:c>
      <x:c r="L2345" s="24" t="b">
        <x:v>1</x:v>
      </x:c>
      <x:c r="M2345" s="23" t="n">
        <x:v>1</x:v>
      </x:c>
      <x:c r="N2345" s="28" t="n">
        <x:v>46219.812988715275</x:v>
      </x:c>
      <x:c r="O2345" s="28" t="n">
        <x:v>46219.812988715275</x:v>
      </x:c>
      <x:c r="P2345" s="23" t="str">
        <x:v>PATOS DE MINAS</x:v>
      </x:c>
      <x:c r="Q2345" s="30" t="n">
        <x:v>35089</x:v>
      </x:c>
      <x:c r="R2345" s="22" t="str">
        <x:f>"MG 19843220"</x:f>
        <x:v>MG 19843220</x:v>
      </x:c>
      <x:c r="S2345" s="23" t="str">
        <x:v>masculino</x:v>
      </x:c>
      <x:c r="T2345" s="22" t="str">
        <x:f>"PVK4C55"</x:f>
        <x:v>PVK4C55</x:v>
      </x:c>
      <x:c r="U2345" s="23" t="str">
        <x:v>LUCAS MONTEIRO SILVA</x:v>
      </x:c>
      <x:c r="V2345" s="22" t="str">
        <x:f>"131.108.936-57"</x:f>
        <x:v>131.108.936-57</x:v>
      </x:c>
      <x:c r="W2345" s="22" t="str">
        <x:f>"13110893657"</x:f>
        <x:v>13110893657</x:v>
      </x:c>
      <x:c r="X2345" s="23" t="str">
        <x:v>lucas96monteiro.silva@gmail.com</x:v>
      </x:c>
      <x:c r="Y2345" s="22" t="str">
        <x:f>"34 9806-4620"</x:f>
        <x:v>34 9806-4620</x:v>
      </x:c>
      <x:c r="Z2345" s="30" t="n">
        <x:v>46466</x:v>
      </x:c>
    </x:row>
    <x:row r="2346" ht="18" customHeight="1">
      <x:c r="A2346" s="22" t="str">
        <x:f>"34f72eed-a8d6-4e06-badd-cce6f07c48b4"</x:f>
        <x:v>34f72eed-a8d6-4e06-badd-cce6f07c48b4</x:v>
      </x:c>
      <x:c r="B2346" s="23" t="str">
        <x:v>LUCAS NEUBER DOS SANTOS OLIVEIRA</x:v>
      </x:c>
      <x:c r="C2346" s="23" t="str">
        <x:v>lucas neuber dos santos oliveira</x:v>
      </x:c>
      <x:c r="D2346" s="22" t="str">
        <x:f>"46.894.327/0001-55"</x:f>
        <x:v>46.894.327/0001-55</x:v>
      </x:c>
      <x:c r="E2346" s="22" t="str">
        <x:f>"46894327000155"</x:f>
        <x:v>46894327000155</x:v>
      </x:c>
      <x:c r="F2346" s="22" t="str">
        <x:f>"161.351.347-01"</x:f>
        <x:v>161.351.347-01</x:v>
      </x:c>
      <x:c r="G2346" s="22" t="str">
        <x:f>"16135134701"</x:f>
        <x:v>16135134701</x:v>
      </x:c>
      <x:c r="H2346" s="23" t="str">
        <x:v>lucasneuber8@gmail.com</x:v>
      </x:c>
      <x:c r="I2346" s="22" t="str">
        <x:f>"21974071269"</x:f>
        <x:v>21974071269</x:v>
      </x:c>
      <x:c r="J2346" s="23" t="str">
        <x:v>SPOT</x:v>
      </x:c>
      <x:c r="K2346" s="23" t="str">
        <x:v>favored_only</x:v>
      </x:c>
      <x:c r="L2346" s="24" t="b">
        <x:v>1</x:v>
      </x:c>
      <x:c r="M2346" s="23" t="n">
        <x:v>1</x:v>
      </x:c>
      <x:c r="N2346" s="28" t="n">
        <x:v>46219.812988715275</x:v>
      </x:c>
      <x:c r="O2346" s="28" t="n">
        <x:v>46219.812988715275</x:v>
      </x:c>
      <x:c r="P2346" s="23" t="str">
        <x:v>CAMPO GRANDE</x:v>
      </x:c>
      <x:c r="Q2346" s="30" t="n">
        <x:v>35506</x:v>
      </x:c>
      <x:c r="R2346" s="22" t="str">
        <x:f>"297248395"</x:f>
        <x:v>297248395</x:v>
      </x:c>
      <x:c r="S2346" s="23" t="str">
        <x:v>masculino</x:v>
      </x:c>
      <x:c r="T2346" s="22" t="str">
        <x:f>"KRZ9214"</x:f>
        <x:v>KRZ9214</x:v>
      </x:c>
      <x:c r="U2346" s="23" t="str">
        <x:v>LUCAS NEUBER DOS SANTOS OLIVEIRA</x:v>
      </x:c>
      <x:c r="V2346" s="22" t="str">
        <x:f>"161.351.347-01"</x:f>
        <x:v>161.351.347-01</x:v>
      </x:c>
      <x:c r="W2346" s="22" t="str">
        <x:f>"16135134701"</x:f>
        <x:v>16135134701</x:v>
      </x:c>
      <x:c r="X2346" s="23" t="str">
        <x:v>lucasneuber8@gmail.com</x:v>
      </x:c>
      <x:c r="Y2346" s="22" t="str">
        <x:f>"21974071269"</x:f>
        <x:v>21974071269</x:v>
      </x:c>
      <x:c r="Z2346" s="30" t="n">
        <x:v>46441</x:v>
      </x:c>
    </x:row>
    <x:row r="2347" ht="18" customHeight="1">
      <x:c r="A2347" s="22" t="str">
        <x:f>"d79332b7-4658-407f-a52d-615382ab8d05"</x:f>
        <x:v>d79332b7-4658-407f-a52d-615382ab8d05</x:v>
      </x:c>
      <x:c r="B2347" s="23" t="str">
        <x:v>LUCAS PASSOS SILVA</x:v>
      </x:c>
      <x:c r="C2347" s="23" t="str">
        <x:v>lucas passos silva</x:v>
      </x:c>
      <x:c r="D2347" s="22" t="str">
        <x:f>"66.510.263/0001-59"</x:f>
        <x:v>66.510.263/0001-59</x:v>
      </x:c>
      <x:c r="E2347" s="22" t="str">
        <x:f>"66510263000159"</x:f>
        <x:v>66510263000159</x:v>
      </x:c>
      <x:c r="F2347" s="22" t="str">
        <x:f>"122.815.706-57"</x:f>
        <x:v>122.815.706-57</x:v>
      </x:c>
      <x:c r="G2347" s="22" t="str">
        <x:f>"12281570657"</x:f>
        <x:v>12281570657</x:v>
      </x:c>
      <x:c r="H2347" s="23" t="str">
        <x:v>luc4spsilva@hotmail.com</x:v>
      </x:c>
      <x:c r="I2347" s="22" t="str">
        <x:f>"31992941939"</x:f>
        <x:v>31992941939</x:v>
      </x:c>
      <x:c r="J2347" s="23" t="str">
        <x:v>RENTALS</x:v>
      </x:c>
      <x:c r="K2347" s="23" t="str">
        <x:v>rental_company</x:v>
      </x:c>
      <x:c r="L2347" s="24" t="b">
        <x:v>1</x:v>
      </x:c>
      <x:c r="M2347" s="23" t="n">
        <x:v>1</x:v>
      </x:c>
      <x:c r="N2347" s="28" t="n">
        <x:v>46219.812988715275</x:v>
      </x:c>
      <x:c r="O2347" s="28" t="n">
        <x:v>46219.812988715275</x:v>
      </x:c>
      <x:c r="P2347" s="23" t="str">
        <x:v>NOVA LIMA</x:v>
      </x:c>
      <x:c r="Q2347" s="30" t="n">
        <x:v>34745</x:v>
      </x:c>
      <x:c r="R2347" s="22" t="str">
        <x:f>"18180233"</x:f>
        <x:v>18180233</x:v>
      </x:c>
      <x:c r="S2347" s="23" t="str">
        <x:v>masculino</x:v>
      </x:c>
      <x:c r="T2347" s="22" t="str"/>
      <x:c r="U2347" s="23" t="str">
        <x:v>LUCAS PASSOS SILVA</x:v>
      </x:c>
      <x:c r="V2347" s="22" t="str">
        <x:f>"122.815.706-57"</x:f>
        <x:v>122.815.706-57</x:v>
      </x:c>
      <x:c r="W2347" s="22" t="str">
        <x:f>"12281570657"</x:f>
        <x:v>12281570657</x:v>
      </x:c>
      <x:c r="X2347" s="23" t="str">
        <x:v>luc4spsilva@hotmail.com</x:v>
      </x:c>
      <x:c r="Y2347" s="22" t="str">
        <x:f>"31992941939"</x:f>
        <x:v>31992941939</x:v>
      </x:c>
      <x:c r="Z2347" s="30" t="n">
        <x:v>46512</x:v>
      </x:c>
    </x:row>
    <x:row r="2348" ht="18" customHeight="1">
      <x:c r="A2348" s="22" t="str">
        <x:f>"9b089e56-8bf9-4c83-a6b8-aac5c60e9889"</x:f>
        <x:v>9b089e56-8bf9-4c83-a6b8-aac5c60e9889</x:v>
      </x:c>
      <x:c r="B2348" s="23" t="str">
        <x:v>LUCAS PEREIRA MARTINS</x:v>
      </x:c>
      <x:c r="C2348" s="23" t="str">
        <x:v>lucas pereira martins</x:v>
      </x:c>
      <x:c r="D2348" s="22" t="str">
        <x:f>"65.025.563/0001-80"</x:f>
        <x:v>65.025.563/0001-80</x:v>
      </x:c>
      <x:c r="E2348" s="22" t="str">
        <x:f>"65025563000180"</x:f>
        <x:v>65025563000180</x:v>
      </x:c>
      <x:c r="F2348" s="22" t="str">
        <x:f>"116.694.086-12"</x:f>
        <x:v>116.694.086-12</x:v>
      </x:c>
      <x:c r="G2348" s="22" t="str">
        <x:f>"11669408612"</x:f>
        <x:v>11669408612</x:v>
      </x:c>
      <x:c r="H2348" s="23" t="str">
        <x:v>luquinhamartins1989@gmail.com</x:v>
      </x:c>
      <x:c r="I2348" s="22" t="str">
        <x:f>"35 9950-8113"</x:f>
        <x:v>35 9950-8113</x:v>
      </x:c>
      <x:c r="J2348" s="23" t="str">
        <x:v>SPOT</x:v>
      </x:c>
      <x:c r="K2348" s="23" t="str">
        <x:v>favored_only</x:v>
      </x:c>
      <x:c r="L2348" s="24" t="b">
        <x:v>1</x:v>
      </x:c>
      <x:c r="M2348" s="23" t="n">
        <x:v>1</x:v>
      </x:c>
      <x:c r="N2348" s="28" t="n">
        <x:v>46219.812988715275</x:v>
      </x:c>
      <x:c r="O2348" s="28" t="n">
        <x:v>46219.812988715275</x:v>
      </x:c>
      <x:c r="P2348" s="23" t="str">
        <x:v>POCOS DE CALDAS</x:v>
      </x:c>
      <x:c r="Q2348" s="30" t="n">
        <x:v>38528</x:v>
      </x:c>
      <x:c r="R2348" s="22" t="str">
        <x:f>"21645880"</x:f>
        <x:v>21645880</x:v>
      </x:c>
      <x:c r="S2348" s="23" t="str">
        <x:v>masculino</x:v>
      </x:c>
      <x:c r="T2348" s="22" t="str">
        <x:f>"SWQ7E16"</x:f>
        <x:v>SWQ7E16</x:v>
      </x:c>
      <x:c r="U2348" s="23" t="str">
        <x:v>LUCAS PEREIRA MARTINS</x:v>
      </x:c>
      <x:c r="V2348" s="22" t="str">
        <x:f>"116.694.086-12"</x:f>
        <x:v>116.694.086-12</x:v>
      </x:c>
      <x:c r="W2348" s="22" t="str">
        <x:f>"11669408612"</x:f>
        <x:v>11669408612</x:v>
      </x:c>
      <x:c r="X2348" s="23" t="str">
        <x:v>luquinhamartins1989@gmail.com</x:v>
      </x:c>
      <x:c r="Y2348" s="22" t="str">
        <x:f>"35 9950-8113"</x:f>
        <x:v>35 9950-8113</x:v>
      </x:c>
      <x:c r="Z2348" s="30" t="n">
        <x:v>46431</x:v>
      </x:c>
    </x:row>
    <x:row r="2349" ht="18" customHeight="1">
      <x:c r="A2349" s="22" t="str">
        <x:f>"395a9e45-2b43-49d0-87b5-26da1ff3ecde"</x:f>
        <x:v>395a9e45-2b43-49d0-87b5-26da1ff3ecde</x:v>
      </x:c>
      <x:c r="B2349" s="23" t="str">
        <x:v>LUCAS PIANTA DE SOUZA</x:v>
      </x:c>
      <x:c r="C2349" s="23" t="str">
        <x:v>lucas pianta de souza</x:v>
      </x:c>
      <x:c r="D2349" s="22" t="str">
        <x:f>"39.649.152/0001-55"</x:f>
        <x:v>39.649.152/0001-55</x:v>
      </x:c>
      <x:c r="E2349" s="22" t="str">
        <x:f>"39649152000155"</x:f>
        <x:v>39649152000155</x:v>
      </x:c>
      <x:c r="F2349" s="22" t="str">
        <x:f>"421.633.878-01"</x:f>
        <x:v>421.633.878-01</x:v>
      </x:c>
      <x:c r="G2349" s="22" t="str">
        <x:f>"42163387801"</x:f>
        <x:v>42163387801</x:v>
      </x:c>
      <x:c r="H2349" s="23" t="str">
        <x:v>vaidefreterp@gmail.com</x:v>
      </x:c>
      <x:c r="I2349" s="22" t="str">
        <x:f>"17 99623-3567"</x:f>
        <x:v>17 99623-3567</x:v>
      </x:c>
      <x:c r="J2349" s="23" t="str">
        <x:v>SPOT</x:v>
      </x:c>
      <x:c r="K2349" s="23" t="str">
        <x:v>favored_only</x:v>
      </x:c>
      <x:c r="L2349" s="24" t="b">
        <x:v>1</x:v>
      </x:c>
      <x:c r="M2349" s="23" t="n">
        <x:v>1</x:v>
      </x:c>
      <x:c r="N2349" s="28" t="n">
        <x:v>46205.60511640046</x:v>
      </x:c>
      <x:c r="O2349" s="28" t="n">
        <x:v>46219.812988715275</x:v>
      </x:c>
      <x:c r="P2349" s="23" t="str">
        <x:v>SÃO JOSE DO RIO PRETO</x:v>
      </x:c>
      <x:c r="Q2349" s="30" t="n">
        <x:v>34951</x:v>
      </x:c>
      <x:c r="R2349" s="22" t="str">
        <x:f>"37340390"</x:f>
        <x:v>37340390</x:v>
      </x:c>
      <x:c r="S2349" s="23" t="str">
        <x:v>masculino</x:v>
      </x:c>
      <x:c r="T2349" s="22" t="str">
        <x:f>"GJH0I89"</x:f>
        <x:v>GJH0I89</x:v>
      </x:c>
      <x:c r="U2349" s="23" t="str">
        <x:v>AGUILLAR SERVICOS ADMINISTRATIVOS LTDA</x:v>
      </x:c>
      <x:c r="V2349" s="22" t="str">
        <x:f>"246.152.658-32"</x:f>
        <x:v>246.152.658-32</x:v>
      </x:c>
      <x:c r="W2349" s="22" t="str">
        <x:f>"24615265832"</x:f>
        <x:v>24615265832</x:v>
      </x:c>
      <x:c r="X2349" s="23" t="str">
        <x:v>vaidefreterp@gmail.com</x:v>
      </x:c>
      <x:c r="Y2349" s="22" t="str">
        <x:f>"17996014101"</x:f>
        <x:v>17996014101</x:v>
      </x:c>
      <x:c r="Z2349" s="30" t="n">
        <x:v>46311</x:v>
      </x:c>
    </x:row>
    <x:row r="2350" ht="18" customHeight="1">
      <x:c r="A2350" s="22" t="str">
        <x:f>"9f3f63c6-0b4c-4daf-b0f6-fcaaa409a40a"</x:f>
        <x:v>9f3f63c6-0b4c-4daf-b0f6-fcaaa409a40a</x:v>
      </x:c>
      <x:c r="B2350" s="23" t="str">
        <x:v>LUCAS PORFIRIO CARVALHO LIMA</x:v>
      </x:c>
      <x:c r="C2350" s="23" t="str">
        <x:v>lucas porfirio carvalho lima</x:v>
      </x:c>
      <x:c r="D2350" s="22" t="str">
        <x:f>"65.547.811/0001-52"</x:f>
        <x:v>65.547.811/0001-52</x:v>
      </x:c>
      <x:c r="E2350" s="22" t="str">
        <x:f>"65547811000152"</x:f>
        <x:v>65547811000152</x:v>
      </x:c>
      <x:c r="F2350" s="22" t="str">
        <x:f>"065.960.836-75"</x:f>
        <x:v>065.960.836-75</x:v>
      </x:c>
      <x:c r="G2350" s="22" t="str">
        <x:f>"06596083675"</x:f>
        <x:v>06596083675</x:v>
      </x:c>
      <x:c r="H2350" s="23" t="str">
        <x:v>lucasporficarvalho@hotmail.com</x:v>
      </x:c>
      <x:c r="I2350" s="22" t="str">
        <x:f>"31996623977"</x:f>
        <x:v>31996623977</x:v>
      </x:c>
      <x:c r="J2350" s="23" t="str">
        <x:v>SPOT</x:v>
      </x:c>
      <x:c r="K2350" s="23" t="str">
        <x:v>favored_only</x:v>
      </x:c>
      <x:c r="L2350" s="24" t="b">
        <x:v>1</x:v>
      </x:c>
      <x:c r="M2350" s="23" t="n">
        <x:v>1</x:v>
      </x:c>
      <x:c r="N2350" s="28" t="n">
        <x:v>46219.812988715275</x:v>
      </x:c>
      <x:c r="O2350" s="28" t="n">
        <x:v>46219.812988715275</x:v>
      </x:c>
      <x:c r="P2350" s="23" t="str">
        <x:v>IPATINGA</x:v>
      </x:c>
      <x:c r="Q2350" s="30" t="n">
        <x:v>31026</x:v>
      </x:c>
      <x:c r="R2350" s="22" t="str">
        <x:f>"MG - 13796764"</x:f>
        <x:v>MG - 13796764</x:v>
      </x:c>
      <x:c r="S2350" s="23" t="str">
        <x:v>masculino</x:v>
      </x:c>
      <x:c r="T2350" s="22" t="str">
        <x:f>"HFK0111"</x:f>
        <x:v>HFK0111</x:v>
      </x:c>
      <x:c r="U2350" s="23" t="str">
        <x:v>SILVANYA LOUZADA LOUBACH PORFIRIO</x:v>
      </x:c>
      <x:c r="V2350" s="22" t="str">
        <x:f>"076.819.696-59"</x:f>
        <x:v>076.819.696-59</x:v>
      </x:c>
      <x:c r="W2350" s="22" t="str">
        <x:f>"07681969659"</x:f>
        <x:v>07681969659</x:v>
      </x:c>
      <x:c r="X2350" s="23" t="str">
        <x:v>silvanya.loubach11@gmail.com</x:v>
      </x:c>
      <x:c r="Y2350" s="22" t="str">
        <x:f>"(31) 9 9610-2744"</x:f>
        <x:v>(31) 9 9610-2744</x:v>
      </x:c>
      <x:c r="Z2350" s="30" t="n">
        <x:v>46499</x:v>
      </x:c>
    </x:row>
    <x:row r="2351" ht="18" customHeight="1">
      <x:c r="A2351" s="22" t="str">
        <x:f>"30aee6f9-9c2c-42b5-ba08-11080b144f3b"</x:f>
        <x:v>30aee6f9-9c2c-42b5-ba08-11080b144f3b</x:v>
      </x:c>
      <x:c r="B2351" s="23" t="str">
        <x:v>LUCAS RAFAEL SILVA MOREIRA</x:v>
      </x:c>
      <x:c r="C2351" s="23" t="str">
        <x:v>lucas rafael silva moreira</x:v>
      </x:c>
      <x:c r="D2351" s="22" t="str">
        <x:f>"65.834.133/0001-09"</x:f>
        <x:v>65.834.133/0001-09</x:v>
      </x:c>
      <x:c r="E2351" s="22" t="str">
        <x:f>"65834133000109"</x:f>
        <x:v>65834133000109</x:v>
      </x:c>
      <x:c r="F2351" s="22" t="str">
        <x:f>"146.745.516-41"</x:f>
        <x:v>146.745.516-41</x:v>
      </x:c>
      <x:c r="G2351" s="22" t="str">
        <x:f>"14674551641"</x:f>
        <x:v>14674551641</x:v>
      </x:c>
      <x:c r="H2351" s="23" t="str">
        <x:v>transporteslucao2@gmail.com</x:v>
      </x:c>
      <x:c r="I2351" s="22" t="str">
        <x:f>"31 972439587"</x:f>
        <x:v>31 972439587</x:v>
      </x:c>
      <x:c r="J2351" s="23" t="str">
        <x:v>SPOT</x:v>
      </x:c>
      <x:c r="K2351" s="23" t="str">
        <x:v>favored_only</x:v>
      </x:c>
      <x:c r="L2351" s="24" t="b">
        <x:v>1</x:v>
      </x:c>
      <x:c r="M2351" s="23" t="n">
        <x:v>1</x:v>
      </x:c>
      <x:c r="N2351" s="28" t="n">
        <x:v>46219.812988715275</x:v>
      </x:c>
      <x:c r="O2351" s="28" t="n">
        <x:v>46219.812988715275</x:v>
      </x:c>
      <x:c r="P2351" s="23" t="str">
        <x:v>NOVA LIMA</x:v>
      </x:c>
      <x:c r="Q2351" s="30" t="n">
        <x:v>37085</x:v>
      </x:c>
      <x:c r="R2351" s="22" t="str">
        <x:f>"2106766"</x:f>
        <x:v>2106766</x:v>
      </x:c>
      <x:c r="S2351" s="23" t="str">
        <x:v>masculino</x:v>
      </x:c>
      <x:c r="T2351" s="22" t="str">
        <x:f>"RMG8H52"</x:f>
        <x:v>RMG8H52</x:v>
      </x:c>
      <x:c r="U2351" s="23" t="str">
        <x:v>LUCAS RAFAEL SILVA MOREIRA</x:v>
      </x:c>
      <x:c r="V2351" s="22" t="str">
        <x:f>"65834133000109"</x:f>
        <x:v>65834133000109</x:v>
      </x:c>
      <x:c r="W2351" s="22" t="str">
        <x:f>"65834133000109"</x:f>
        <x:v>65834133000109</x:v>
      </x:c>
      <x:c r="X2351" s="23" t="str">
        <x:v>transporteslucao2@gmail.com</x:v>
      </x:c>
      <x:c r="Y2351" s="22" t="str">
        <x:f>"31 972439587"</x:f>
        <x:v>31 972439587</x:v>
      </x:c>
      <x:c r="Z2351" s="30" t="n">
        <x:v>46478</x:v>
      </x:c>
    </x:row>
    <x:row r="2352" ht="18" customHeight="1">
      <x:c r="A2352" s="22" t="str">
        <x:f>"91688e0a-a210-4da8-a96d-b287a0956f51"</x:f>
        <x:v>91688e0a-a210-4da8-a96d-b287a0956f51</x:v>
      </x:c>
      <x:c r="B2352" s="23" t="str">
        <x:v>LUCAS RANGEL DE LIMA</x:v>
      </x:c>
      <x:c r="C2352" s="23" t="str">
        <x:v>lucas rangel de lima</x:v>
      </x:c>
      <x:c r="D2352" s="22" t="str">
        <x:f>"60.087.744/0001-17"</x:f>
        <x:v>60.087.744/0001-17</x:v>
      </x:c>
      <x:c r="E2352" s="22" t="str">
        <x:f>"60087744000117"</x:f>
        <x:v>60087744000117</x:v>
      </x:c>
      <x:c r="F2352" s="22" t="str">
        <x:f>"150.599.247-85"</x:f>
        <x:v>150.599.247-85</x:v>
      </x:c>
      <x:c r="G2352" s="22" t="str">
        <x:f>"15059924785"</x:f>
        <x:v>15059924785</x:v>
      </x:c>
      <x:c r="H2352" s="23" t="str">
        <x:v>Lucasrangel7502@gmail.com</x:v>
      </x:c>
      <x:c r="I2352" s="22" t="str">
        <x:f>"21 97453‑9389‬"</x:f>
        <x:v>21 97453‑9389‬</x:v>
      </x:c>
      <x:c r="J2352" s="23" t="str">
        <x:v>SPOT</x:v>
      </x:c>
      <x:c r="K2352" s="23" t="str">
        <x:v>favored_only</x:v>
      </x:c>
      <x:c r="L2352" s="24" t="b">
        <x:v>1</x:v>
      </x:c>
      <x:c r="M2352" s="23" t="n">
        <x:v>1</x:v>
      </x:c>
      <x:c r="N2352" s="28" t="n">
        <x:v>46219.812988715275</x:v>
      </x:c>
      <x:c r="O2352" s="28" t="n">
        <x:v>46219.812988715275</x:v>
      </x:c>
      <x:c r="P2352" s="23" t="str">
        <x:v>ITABORAI</x:v>
      </x:c>
      <x:c r="Q2352" s="30" t="n">
        <x:v>35935</x:v>
      </x:c>
      <x:c r="R2352" s="22" t="str">
        <x:f>"312759814"</x:f>
        <x:v>312759814</x:v>
      </x:c>
      <x:c r="S2352" s="23" t="str">
        <x:v>masculino</x:v>
      </x:c>
      <x:c r="T2352" s="22" t="str">
        <x:f>"QMT3F98"</x:f>
        <x:v>QMT3F98</x:v>
      </x:c>
      <x:c r="U2352" s="23" t="str">
        <x:v>LUCAS RANGEL DE LIMA</x:v>
      </x:c>
      <x:c r="V2352" s="22" t="str">
        <x:f>"150.599.247-85"</x:f>
        <x:v>150.599.247-85</x:v>
      </x:c>
      <x:c r="W2352" s="22" t="str">
        <x:f>"15059924785"</x:f>
        <x:v>15059924785</x:v>
      </x:c>
      <x:c r="X2352" s="23" t="str">
        <x:v>Lucasrangel7502@gmail.com</x:v>
      </x:c>
      <x:c r="Y2352" s="22" t="str">
        <x:f>"21 97453‑9389‬"</x:f>
        <x:v>21 97453‑9389‬</x:v>
      </x:c>
      <x:c r="Z2352" s="30" t="n">
        <x:v>46448</x:v>
      </x:c>
    </x:row>
    <x:row r="2353" ht="18" customHeight="1">
      <x:c r="A2353" s="22" t="str">
        <x:f>"e6e720da-4591-4057-b476-32676578b8eb"</x:f>
        <x:v>e6e720da-4591-4057-b476-32676578b8eb</x:v>
      </x:c>
      <x:c r="B2353" s="23" t="str">
        <x:v>LUCAS RANGEL DE LIMA</x:v>
      </x:c>
      <x:c r="C2353" s="23" t="str">
        <x:v>lucas rangel de lima</x:v>
      </x:c>
      <x:c r="D2353" s="22" t="str">
        <x:f>"66.978.619/0001-83"</x:f>
        <x:v>66.978.619/0001-83</x:v>
      </x:c>
      <x:c r="E2353" s="22" t="str">
        <x:f>"66978619000183"</x:f>
        <x:v>66978619000183</x:v>
      </x:c>
      <x:c r="F2353" s="22" t="str">
        <x:f>"150.599.247-85"</x:f>
        <x:v>150.599.247-85</x:v>
      </x:c>
      <x:c r="G2353" s="22" t="str">
        <x:f>"15059924785"</x:f>
        <x:v>15059924785</x:v>
      </x:c>
      <x:c r="H2353" s="23" t="str">
        <x:v>lucasrangel7502@gmail.com</x:v>
      </x:c>
      <x:c r="I2353" s="22" t="str">
        <x:f>"21974539389"</x:f>
        <x:v>21974539389</x:v>
      </x:c>
      <x:c r="J2353" s="23" t="str">
        <x:v>SPOT</x:v>
      </x:c>
      <x:c r="K2353" s="23" t="str">
        <x:v>favored_only</x:v>
      </x:c>
      <x:c r="L2353" s="24" t="b">
        <x:v>1</x:v>
      </x:c>
      <x:c r="M2353" s="23" t="n">
        <x:v>1</x:v>
      </x:c>
      <x:c r="N2353" s="28" t="n">
        <x:v>46219.812988715275</x:v>
      </x:c>
      <x:c r="O2353" s="28" t="n">
        <x:v>46219.812988715275</x:v>
      </x:c>
      <x:c r="P2353" s="23" t="str">
        <x:v>ITABORAI</x:v>
      </x:c>
      <x:c r="Q2353" s="30" t="n">
        <x:v>35935</x:v>
      </x:c>
      <x:c r="R2353" s="22" t="str">
        <x:f>"312759814"</x:f>
        <x:v>312759814</x:v>
      </x:c>
      <x:c r="S2353" s="23" t="str">
        <x:v>masculino</x:v>
      </x:c>
      <x:c r="T2353" s="22" t="str">
        <x:f>"QMT3F98"</x:f>
        <x:v>QMT3F98</x:v>
      </x:c>
      <x:c r="U2353" s="23" t="str">
        <x:v>ESTHER RODRIGUES DE SA OLIVEIRA</x:v>
      </x:c>
      <x:c r="V2353" s="22" t="str">
        <x:f>"202.335.547-85"</x:f>
        <x:v>202.335.547-85</x:v>
      </x:c>
      <x:c r="W2353" s="22" t="str">
        <x:f>"20233554785"</x:f>
        <x:v>20233554785</x:v>
      </x:c>
      <x:c r="X2353" s="23" t="str">
        <x:v>lucasrangel7502@gmail.com</x:v>
      </x:c>
      <x:c r="Y2353" s="22" t="str">
        <x:f>"21970037502"</x:f>
        <x:v>21970037502</x:v>
      </x:c>
      <x:c r="Z2353" s="30" t="n">
        <x:v>46534</x:v>
      </x:c>
    </x:row>
    <x:row r="2354" ht="18" customHeight="1">
      <x:c r="A2354" s="22" t="str">
        <x:f>"eafb3b59-cc54-46bd-b95a-eccdb53f56ff"</x:f>
        <x:v>eafb3b59-cc54-46bd-b95a-eccdb53f56ff</x:v>
      </x:c>
      <x:c r="B2354" s="23" t="str">
        <x:v>Lucas Ribeiro Rodrigues</x:v>
      </x:c>
      <x:c r="C2354" s="23" t="str">
        <x:v>lucas ribeiro rodrigues</x:v>
      </x:c>
      <x:c r="D2354" s="22" t="str">
        <x:f>"49.194.924/0001-65"</x:f>
        <x:v>49.194.924/0001-65</x:v>
      </x:c>
      <x:c r="E2354" s="22" t="str">
        <x:f>"49194924000165"</x:f>
        <x:v>49194924000165</x:v>
      </x:c>
      <x:c r="F2354" s="22" t="str">
        <x:f>"128.058.416-54"</x:f>
        <x:v>128.058.416-54</x:v>
      </x:c>
      <x:c r="G2354" s="22" t="str">
        <x:f>"12805841654"</x:f>
        <x:v>12805841654</x:v>
      </x:c>
      <x:c r="H2354" s="23" t="str">
        <x:v>ribeiroluca4@gmail.com</x:v>
      </x:c>
      <x:c r="I2354" s="22" t="str">
        <x:f>"31973483303"</x:f>
        <x:v>31973483303</x:v>
      </x:c>
      <x:c r="J2354" s="23" t="str">
        <x:v>RENTAL</x:v>
      </x:c>
      <x:c r="K2354" s="23" t="str">
        <x:v>rental_company</x:v>
      </x:c>
      <x:c r="L2354" s="24" t="b">
        <x:v>1</x:v>
      </x:c>
      <x:c r="M2354" s="23" t="n">
        <x:v>1</x:v>
      </x:c>
      <x:c r="N2354" s="28" t="n">
        <x:v>46203.92183332176</x:v>
      </x:c>
      <x:c r="O2354" s="28" t="n">
        <x:v>46205.60462997685</x:v>
      </x:c>
      <x:c r="P2354" s="23" t="str">
        <x:v>CONTAGEM</x:v>
      </x:c>
      <x:c r="Q2354" s="30" t="n">
        <x:v>34420</x:v>
      </x:c>
      <x:c r="R2354" s="22" t="str">
        <x:f>"16465222"</x:f>
        <x:v>16465222</x:v>
      </x:c>
      <x:c r="S2354" s="23" t="str">
        <x:v>Masculino</x:v>
      </x:c>
      <x:c r="T2354" s="22" t="str"/>
      <x:c r="U2354" s="23" t="str">
        <x:v>Lucas Ribeiro Rodrigues</x:v>
      </x:c>
      <x:c r="V2354" s="22" t="str">
        <x:f>"12805841654"</x:f>
        <x:v>12805841654</x:v>
      </x:c>
      <x:c r="W2354" s="22" t="str">
        <x:f>"12805841654"</x:f>
        <x:v>12805841654</x:v>
      </x:c>
      <x:c r="X2354" s="23" t="str">
        <x:v>ribeiroluca4@gmail.com</x:v>
      </x:c>
      <x:c r="Y2354" s="22" t="str">
        <x:f>"31973483303"</x:f>
        <x:v>31973483303</x:v>
      </x:c>
      <x:c r="Z2354" s="30" t="n">
        <x:v>46204</x:v>
      </x:c>
    </x:row>
    <x:row r="2355" ht="18" customHeight="1">
      <x:c r="A2355" s="22" t="str">
        <x:f>"b977b77b-2396-4281-b2d0-748004ff2996"</x:f>
        <x:v>b977b77b-2396-4281-b2d0-748004ff2996</x:v>
      </x:c>
      <x:c r="B2355" s="23" t="str">
        <x:v>LUCAS RICARDO SASSI GONCALVES</x:v>
      </x:c>
      <x:c r="C2355" s="23" t="str">
        <x:v>lucas ricardo sassi goncalves</x:v>
      </x:c>
      <x:c r="D2355" s="22" t="str">
        <x:f>"63.387.040/0001-58"</x:f>
        <x:v>63.387.040/0001-58</x:v>
      </x:c>
      <x:c r="E2355" s="22" t="str">
        <x:f>"63387040000158"</x:f>
        <x:v>63387040000158</x:v>
      </x:c>
      <x:c r="F2355" s="22" t="str">
        <x:f>"405.467.668-54"</x:f>
        <x:v>405.467.668-54</x:v>
      </x:c>
      <x:c r="G2355" s="22" t="str">
        <x:f>"40546766854"</x:f>
        <x:v>40546766854</x:v>
      </x:c>
      <x:c r="H2355" s="23" t="str">
        <x:v>ricardosassi12340@gmail.com</x:v>
      </x:c>
      <x:c r="I2355" s="22" t="str">
        <x:f>"16 993752321"</x:f>
        <x:v>16 993752321</x:v>
      </x:c>
      <x:c r="J2355" s="23" t="str">
        <x:v>RENTAL</x:v>
      </x:c>
      <x:c r="K2355" s="23" t="str">
        <x:v>rental_company</x:v>
      </x:c>
      <x:c r="L2355" s="24" t="b">
        <x:v>1</x:v>
      </x:c>
      <x:c r="M2355" s="23" t="n">
        <x:v>1</x:v>
      </x:c>
      <x:c r="N2355" s="28" t="n">
        <x:v>46203.921887453704</x:v>
      </x:c>
      <x:c r="O2355" s="28" t="n">
        <x:v>46219.812988715275</x:v>
      </x:c>
      <x:c r="P2355" s="23" t="str">
        <x:v>RIBEIRAO PRETO</x:v>
      </x:c>
      <x:c r="Q2355" s="30" t="n">
        <x:v>33561</x:v>
      </x:c>
      <x:c r="R2355" s="22" t="str">
        <x:f>"48614978"</x:f>
        <x:v>48614978</x:v>
      </x:c>
      <x:c r="S2355" s="23" t="str">
        <x:v>masculino</x:v>
      </x:c>
      <x:c r="T2355" s="22" t="str"/>
      <x:c r="U2355" s="23" t="str">
        <x:v>LUCAS RICARDO SASSI GONCALVES</x:v>
      </x:c>
      <x:c r="V2355" s="22" t="str">
        <x:f>"405.467.668-54"</x:f>
        <x:v>405.467.668-54</x:v>
      </x:c>
      <x:c r="W2355" s="22" t="str">
        <x:f>"40546766854"</x:f>
        <x:v>40546766854</x:v>
      </x:c>
      <x:c r="X2355" s="23" t="str">
        <x:v>ricardosassi12340@gmail.com</x:v>
      </x:c>
      <x:c r="Y2355" s="22" t="str">
        <x:f>"16 993752321"</x:f>
        <x:v>16 993752321</x:v>
      </x:c>
      <x:c r="Z2355" s="30" t="n">
        <x:v>46329</x:v>
      </x:c>
    </x:row>
    <x:row r="2356" ht="18" customHeight="1">
      <x:c r="A2356" s="22" t="str">
        <x:f>"11357f29-ee4c-476a-a319-6ceaf3543ce6"</x:f>
        <x:v>11357f29-ee4c-476a-a319-6ceaf3543ce6</x:v>
      </x:c>
      <x:c r="B2356" s="23" t="str">
        <x:v>LUCAS RODRIGUES NERES</x:v>
      </x:c>
      <x:c r="C2356" s="23" t="str">
        <x:v>lucas rodrigues neres</x:v>
      </x:c>
      <x:c r="D2356" s="22" t="str">
        <x:f>"58.598.430/0001-37"</x:f>
        <x:v>58.598.430/0001-37</x:v>
      </x:c>
      <x:c r="E2356" s="22" t="str">
        <x:f>"58598430000137"</x:f>
        <x:v>58598430000137</x:v>
      </x:c>
      <x:c r="F2356" s="22" t="str">
        <x:f>"156.963.576-52"</x:f>
        <x:v>156.963.576-52</x:v>
      </x:c>
      <x:c r="G2356" s="22" t="str">
        <x:f>"15696357652"</x:f>
        <x:v>15696357652</x:v>
      </x:c>
      <x:c r="H2356" s="23" t="str">
        <x:v>lucasrodriguesptc@outlook.com</x:v>
      </x:c>
      <x:c r="I2356" s="22" t="str">
        <x:f>"3499870549"</x:f>
        <x:v>3499870549</x:v>
      </x:c>
      <x:c r="J2356" s="23" t="str">
        <x:v>SPOT</x:v>
      </x:c>
      <x:c r="K2356" s="23" t="str">
        <x:v>favored_only</x:v>
      </x:c>
      <x:c r="L2356" s="24" t="b">
        <x:v>1</x:v>
      </x:c>
      <x:c r="M2356" s="23" t="n">
        <x:v>1</x:v>
      </x:c>
      <x:c r="N2356" s="28" t="n">
        <x:v>46219.812988715275</x:v>
      </x:c>
      <x:c r="O2356" s="28" t="n">
        <x:v>46219.812988715275</x:v>
      </x:c>
      <x:c r="P2356" s="23" t="str">
        <x:v>PATOS DE MINAS</x:v>
      </x:c>
      <x:c r="Q2356" s="30" t="n">
        <x:v>37983</x:v>
      </x:c>
      <x:c r="R2356" s="22" t="str">
        <x:f>"MG22028121"</x:f>
        <x:v>MG22028121</x:v>
      </x:c>
      <x:c r="S2356" s="23" t="str">
        <x:v>masculino</x:v>
      </x:c>
      <x:c r="T2356" s="22" t="str">
        <x:f>"UIV8A47"</x:f>
        <x:v>UIV8A47</x:v>
      </x:c>
      <x:c r="U2356" s="23" t="str">
        <x:v>ADRIANO JULIAO PERES DA SILVEIRA</x:v>
      </x:c>
      <x:c r="V2356" s="22" t="str">
        <x:f>"114.902.156-03"</x:f>
        <x:v>114.902.156-03</x:v>
      </x:c>
      <x:c r="W2356" s="22" t="str">
        <x:f>"11490215603"</x:f>
        <x:v>11490215603</x:v>
      </x:c>
      <x:c r="X2356" s="23" t="str">
        <x:v>adrianojuliaops@gmail.com</x:v>
      </x:c>
      <x:c r="Y2356" s="22" t="str">
        <x:f>"34 9805-3878"</x:f>
        <x:v>34 9805-3878</x:v>
      </x:c>
      <x:c r="Z2356" s="30" t="n">
        <x:v>46535</x:v>
      </x:c>
    </x:row>
    <x:row r="2357" ht="18" customHeight="1">
      <x:c r="A2357" s="22" t="str">
        <x:f>"2d0767ea-4f55-46ff-bf17-e4a682e285e5"</x:f>
        <x:v>2d0767ea-4f55-46ff-bf17-e4a682e285e5</x:v>
      </x:c>
      <x:c r="B2357" s="23" t="str">
        <x:v>LUCAS RUAN OLIVEIRA CARLOS</x:v>
      </x:c>
      <x:c r="C2357" s="23" t="str">
        <x:v>lucas ruan oliveira carlos</x:v>
      </x:c>
      <x:c r="D2357" s="22" t="str">
        <x:f>"63.178.548/0001-46"</x:f>
        <x:v>63.178.548/0001-46</x:v>
      </x:c>
      <x:c r="E2357" s="22" t="str">
        <x:f>"63178548000146"</x:f>
        <x:v>63178548000146</x:v>
      </x:c>
      <x:c r="F2357" s="22" t="str">
        <x:f>"497.367.158-41"</x:f>
        <x:v>497.367.158-41</x:v>
      </x:c>
      <x:c r="G2357" s="22" t="str">
        <x:f>"49736715841"</x:f>
        <x:v>49736715841</x:v>
      </x:c>
      <x:c r="H2357" s="23" t="str">
        <x:v>ruamlucas1@gmail.com</x:v>
      </x:c>
      <x:c r="I2357" s="22" t="str">
        <x:f>"16993505056"</x:f>
        <x:v>16993505056</x:v>
      </x:c>
      <x:c r="J2357" s="23" t="str">
        <x:v>RENTAL</x:v>
      </x:c>
      <x:c r="K2357" s="23" t="str">
        <x:v>rental_company</x:v>
      </x:c>
      <x:c r="L2357" s="24" t="b">
        <x:v>1</x:v>
      </x:c>
      <x:c r="M2357" s="23" t="n">
        <x:v>1</x:v>
      </x:c>
      <x:c r="N2357" s="28" t="n">
        <x:v>46203.9218771875</x:v>
      </x:c>
      <x:c r="O2357" s="28" t="n">
        <x:v>46219.812988715275</x:v>
      </x:c>
      <x:c r="P2357" s="23" t="str">
        <x:v>RIBEIRAO PRETO</x:v>
      </x:c>
      <x:c r="Q2357" s="30" t="n">
        <x:v>36264</x:v>
      </x:c>
      <x:c r="R2357" s="22" t="str">
        <x:f>"50896960"</x:f>
        <x:v>50896960</x:v>
      </x:c>
      <x:c r="S2357" s="23" t="str">
        <x:v>masculino</x:v>
      </x:c>
      <x:c r="T2357" s="22" t="str"/>
      <x:c r="U2357" s="23" t="str">
        <x:v>LUCAS RUAN OLIVEIRA CARLOS</x:v>
      </x:c>
      <x:c r="V2357" s="22" t="str">
        <x:f>"004.973.671-58"</x:f>
        <x:v>004.973.671-58</x:v>
      </x:c>
      <x:c r="W2357" s="22" t="str">
        <x:f>"00497367158"</x:f>
        <x:v>00497367158</x:v>
      </x:c>
      <x:c r="X2357" s="23" t="str">
        <x:v>ruamlucas1@gmail.com</x:v>
      </x:c>
      <x:c r="Y2357" s="22" t="str">
        <x:f>"16993505056"</x:f>
        <x:v>16993505056</x:v>
      </x:c>
      <x:c r="Z2357" s="30" t="n">
        <x:v>46309</x:v>
      </x:c>
    </x:row>
    <x:row r="2358" ht="18" customHeight="1">
      <x:c r="A2358" s="22" t="str">
        <x:f>"1b21ce34-59b5-43e4-94cb-64528a2100b9"</x:f>
        <x:v>1b21ce34-59b5-43e4-94cb-64528a2100b9</x:v>
      </x:c>
      <x:c r="B2358" s="23" t="str">
        <x:v>LUCAS SAMUEL MOREIRA</x:v>
      </x:c>
      <x:c r="C2358" s="23" t="str">
        <x:v>lucas samuel moreira</x:v>
      </x:c>
      <x:c r="D2358" s="22" t="str">
        <x:f>"01.358.668/0001-78"</x:f>
        <x:v>01.358.668/0001-78</x:v>
      </x:c>
      <x:c r="E2358" s="22" t="str">
        <x:f>"01358668000178"</x:f>
        <x:v>01358668000178</x:v>
      </x:c>
      <x:c r="F2358" s="22" t="str">
        <x:f>"132.233.166-98"</x:f>
        <x:v>132.233.166-98</x:v>
      </x:c>
      <x:c r="G2358" s="22" t="str">
        <x:f>"13223316698"</x:f>
        <x:v>13223316698</x:v>
      </x:c>
      <x:c r="H2358" s="23" t="str">
        <x:v>moreiralucassamuel@gmail.com</x:v>
      </x:c>
      <x:c r="I2358" s="22" t="str">
        <x:f>"31973135261"</x:f>
        <x:v>31973135261</x:v>
      </x:c>
      <x:c r="J2358" s="23" t="str">
        <x:v>SPOT</x:v>
      </x:c>
      <x:c r="K2358" s="23" t="str">
        <x:v>favored_only</x:v>
      </x:c>
      <x:c r="L2358" s="24" t="b">
        <x:v>1</x:v>
      </x:c>
      <x:c r="M2358" s="23" t="n">
        <x:v>1</x:v>
      </x:c>
      <x:c r="N2358" s="28" t="n">
        <x:v>46219.812988715275</x:v>
      </x:c>
      <x:c r="O2358" s="28" t="n">
        <x:v>46219.812988715275</x:v>
      </x:c>
      <x:c r="P2358" s="23" t="str">
        <x:v>CONTAGEM</x:v>
      </x:c>
      <x:c r="Q2358" s="30" t="n">
        <x:v>35660</x:v>
      </x:c>
      <x:c r="R2358" s="22" t="str">
        <x:f>"mg17812717"</x:f>
        <x:v>mg17812717</x:v>
      </x:c>
      <x:c r="S2358" s="23" t="str">
        <x:v>masculino</x:v>
      </x:c>
      <x:c r="T2358" s="22" t="str">
        <x:f>"SHF6H94"</x:f>
        <x:v>SHF6H94</x:v>
      </x:c>
      <x:c r="U2358" s="23" t="str">
        <x:v>FRANCIS GONCALVES DIAS GERGEN</x:v>
      </x:c>
      <x:c r="V2358" s="22" t="str">
        <x:f>"049.686.776-85"</x:f>
        <x:v>049.686.776-85</x:v>
      </x:c>
      <x:c r="W2358" s="22" t="str">
        <x:f>"04968677685"</x:f>
        <x:v>04968677685</x:v>
      </x:c>
      <x:c r="X2358" s="23" t="str">
        <x:v>francisgergen@yahoo.com.br</x:v>
      </x:c>
      <x:c r="Y2358" s="22" t="str">
        <x:f>"31986365442"</x:f>
        <x:v>31986365442</x:v>
      </x:c>
      <x:c r="Z2358" s="30" t="n">
        <x:v>46494</x:v>
      </x:c>
    </x:row>
    <x:row r="2359" ht="18" customHeight="1">
      <x:c r="A2359" s="22" t="str">
        <x:f>"a3774182-a84c-4bf0-a46f-76daca24146f"</x:f>
        <x:v>a3774182-a84c-4bf0-a46f-76daca24146f</x:v>
      </x:c>
      <x:c r="B2359" s="23" t="str">
        <x:v>LUCAS SAMUEL MOREIRA</x:v>
      </x:c>
      <x:c r="C2359" s="23" t="str">
        <x:v>lucas samuel moreira</x:v>
      </x:c>
      <x:c r="D2359" s="22" t="str">
        <x:f>"13.358.668/0001-78"</x:f>
        <x:v>13.358.668/0001-78</x:v>
      </x:c>
      <x:c r="E2359" s="22" t="str">
        <x:f>"13358668000178"</x:f>
        <x:v>13358668000178</x:v>
      </x:c>
      <x:c r="F2359" s="22" t="str">
        <x:f>"132.233.166-98"</x:f>
        <x:v>132.233.166-98</x:v>
      </x:c>
      <x:c r="G2359" s="22" t="str">
        <x:f>"13223316698"</x:f>
        <x:v>13223316698</x:v>
      </x:c>
      <x:c r="H2359" s="23" t="str">
        <x:v>moreiralucassamuel@gmail.com</x:v>
      </x:c>
      <x:c r="I2359" s="22" t="str">
        <x:f>"31973135261"</x:f>
        <x:v>31973135261</x:v>
      </x:c>
      <x:c r="J2359" s="23" t="str">
        <x:v>spot</x:v>
      </x:c>
      <x:c r="K2359" s="23" t="str">
        <x:v>favored_only</x:v>
      </x:c>
      <x:c r="L2359" s="24" t="b">
        <x:v>1</x:v>
      </x:c>
      <x:c r="M2359" s="23" t="n">
        <x:v>1</x:v>
      </x:c>
      <x:c r="N2359" s="28" t="n">
        <x:v>46219.812988715275</x:v>
      </x:c>
      <x:c r="O2359" s="28" t="n">
        <x:v>46219.812988715275</x:v>
      </x:c>
      <x:c r="P2359" s="23" t="str">
        <x:v>CONTAGEM</x:v>
      </x:c>
      <x:c r="Q2359" s="30" t="n">
        <x:v>35660</x:v>
      </x:c>
      <x:c r="R2359" s="22" t="str">
        <x:f>"17812717"</x:f>
        <x:v>17812717</x:v>
      </x:c>
      <x:c r="S2359" s="23" t="str">
        <x:v>masculino</x:v>
      </x:c>
      <x:c r="T2359" s="22" t="str">
        <x:f>"SHF6H94"</x:f>
        <x:v>SHF6H94</x:v>
      </x:c>
      <x:c r="U2359" s="23" t="str">
        <x:v>FRANCIS GONCALVES DIAS GERGEN</x:v>
      </x:c>
      <x:c r="V2359" s="22" t="str">
        <x:f>"049.686.776-85"</x:f>
        <x:v>049.686.776-85</x:v>
      </x:c>
      <x:c r="W2359" s="22" t="str">
        <x:f>"04968677685"</x:f>
        <x:v>04968677685</x:v>
      </x:c>
      <x:c r="X2359" s="23" t="str">
        <x:v>francisgergen13@gmail.com</x:v>
      </x:c>
      <x:c r="Y2359" s="22" t="str">
        <x:f>"31986365442"</x:f>
        <x:v>31986365442</x:v>
      </x:c>
      <x:c r="Z2359" s="30" t="n">
        <x:v>46509</x:v>
      </x:c>
    </x:row>
    <x:row r="2360" ht="18" customHeight="1">
      <x:c r="A2360" s="22" t="str">
        <x:f>"1bec1e1d-c9fa-4dbd-b9a6-21f72aab2df7"</x:f>
        <x:v>1bec1e1d-c9fa-4dbd-b9a6-21f72aab2df7</x:v>
      </x:c>
      <x:c r="B2360" s="23" t="str">
        <x:v>LUCAS SEVERINO DA CRUZ</x:v>
      </x:c>
      <x:c r="C2360" s="23" t="str">
        <x:v>lucas severino da cruz</x:v>
      </x:c>
      <x:c r="D2360" s="22" t="str">
        <x:f>"37.823.997/0001-90"</x:f>
        <x:v>37.823.997/0001-90</x:v>
      </x:c>
      <x:c r="E2360" s="22" t="str">
        <x:f>"37823997000190"</x:f>
        <x:v>37823997000190</x:v>
      </x:c>
      <x:c r="F2360" s="22" t="str">
        <x:f>"702.368.391-79"</x:f>
        <x:v>702.368.391-79</x:v>
      </x:c>
      <x:c r="G2360" s="22" t="str">
        <x:f>"70236839179"</x:f>
        <x:v>70236839179</x:v>
      </x:c>
      <x:c r="H2360" s="23" t="str">
        <x:v>lucasseverino2017@outlook.com</x:v>
      </x:c>
      <x:c r="I2360" s="22" t="str">
        <x:f>"62981575979"</x:f>
        <x:v>62981575979</x:v>
      </x:c>
      <x:c r="J2360" s="23" t="str">
        <x:v>SPOT</x:v>
      </x:c>
      <x:c r="K2360" s="23" t="str">
        <x:v>favored_only</x:v>
      </x:c>
      <x:c r="L2360" s="24" t="b">
        <x:v>1</x:v>
      </x:c>
      <x:c r="M2360" s="23" t="n">
        <x:v>1</x:v>
      </x:c>
      <x:c r="N2360" s="28" t="n">
        <x:v>46205.605959733795</x:v>
      </x:c>
      <x:c r="O2360" s="28" t="n">
        <x:v>46219.812988715275</x:v>
      </x:c>
      <x:c r="P2360" s="23" t="str">
        <x:v>MOZARLANDIA</x:v>
      </x:c>
      <x:c r="Q2360" s="30" t="n">
        <x:v>34449</x:v>
      </x:c>
      <x:c r="R2360" s="22" t="str">
        <x:f>"6155902"</x:f>
        <x:v>6155902</x:v>
      </x:c>
      <x:c r="S2360" s="23" t="str">
        <x:v>masculino</x:v>
      </x:c>
      <x:c r="T2360" s="22" t="str">
        <x:f>"OGH6J14"</x:f>
        <x:v>OGH6J14</x:v>
      </x:c>
      <x:c r="U2360" s="23" t="str">
        <x:v>DANILLO BACIEL ALMEIDA</x:v>
      </x:c>
      <x:c r="V2360" s="22" t="str">
        <x:f>"038.768.901-01"</x:f>
        <x:v>038.768.901-01</x:v>
      </x:c>
      <x:c r="W2360" s="22" t="str">
        <x:f>"03876890101"</x:f>
        <x:v>03876890101</x:v>
      </x:c>
      <x:c r="X2360" s="23" t="str">
        <x:v>rtp.cargas@gmail.com</x:v>
      </x:c>
      <x:c r="Y2360" s="22" t="str">
        <x:f>"62991277279"</x:f>
        <x:v>62991277279</x:v>
      </x:c>
      <x:c r="Z2360" s="30" t="n">
        <x:v>46338</x:v>
      </x:c>
    </x:row>
    <x:row r="2361" ht="18" customHeight="1">
      <x:c r="A2361" s="22" t="str">
        <x:f>"1c0cb0b1-19c8-4735-b862-059fbdee354b"</x:f>
        <x:v>1c0cb0b1-19c8-4735-b862-059fbdee354b</x:v>
      </x:c>
      <x:c r="B2361" s="23" t="str">
        <x:v>LUCAS SILVA BORGES</x:v>
      </x:c>
      <x:c r="C2361" s="23" t="str">
        <x:v>lucas silva borges</x:v>
      </x:c>
      <x:c r="D2361" s="22" t="str">
        <x:f>"49.922.162/0001-76"</x:f>
        <x:v>49.922.162/0001-76</x:v>
      </x:c>
      <x:c r="E2361" s="22" t="str">
        <x:f>"49922162000176"</x:f>
        <x:v>49922162000176</x:v>
      </x:c>
      <x:c r="F2361" s="22" t="str">
        <x:f>"134.537.727-41"</x:f>
        <x:v>134.537.727-41</x:v>
      </x:c>
      <x:c r="G2361" s="22" t="str">
        <x:f>"13453772741"</x:f>
        <x:v>13453772741</x:v>
      </x:c>
      <x:c r="H2361" s="23" t="str">
        <x:v>borges046357@gmail.com</x:v>
      </x:c>
      <x:c r="I2361" s="22" t="str">
        <x:f>"13453772741"</x:f>
        <x:v>13453772741</x:v>
      </x:c>
      <x:c r="J2361" s="23" t="str">
        <x:v>SPOT</x:v>
      </x:c>
      <x:c r="K2361" s="23" t="str">
        <x:v>favored_only</x:v>
      </x:c>
      <x:c r="L2361" s="24" t="b">
        <x:v>1</x:v>
      </x:c>
      <x:c r="M2361" s="23" t="n">
        <x:v>1</x:v>
      </x:c>
      <x:c r="N2361" s="28" t="n">
        <x:v>46203.9219084375</x:v>
      </x:c>
      <x:c r="O2361" s="28" t="n">
        <x:v>46219.812988715275</x:v>
      </x:c>
      <x:c r="P2361" s="23" t="str">
        <x:v>CORDOVIL</x:v>
      </x:c>
      <x:c r="Q2361" s="30" t="n">
        <x:v>34843</x:v>
      </x:c>
      <x:c r="R2361" s="22" t="str">
        <x:f>"280043316"</x:f>
        <x:v>280043316</x:v>
      </x:c>
      <x:c r="S2361" s="23" t="str">
        <x:v>masculino</x:v>
      </x:c>
      <x:c r="T2361" s="22" t="str">
        <x:f>"IZC5D12"</x:f>
        <x:v>IZC5D12</x:v>
      </x:c>
      <x:c r="U2361" s="23" t="str">
        <x:v>LUCAS SILVA BORGES</x:v>
      </x:c>
      <x:c r="V2361" s="22" t="str">
        <x:f>"134.537.727-41"</x:f>
        <x:v>134.537.727-41</x:v>
      </x:c>
      <x:c r="W2361" s="22" t="str">
        <x:f>"13453772741"</x:f>
        <x:v>13453772741</x:v>
      </x:c>
      <x:c r="X2361" s="23" t="str">
        <x:v>borges046357@gmail.com</x:v>
      </x:c>
      <x:c r="Y2361" s="22" t="str">
        <x:f>"21967167652"</x:f>
        <x:v>21967167652</x:v>
      </x:c>
      <x:c r="Z2361" s="30" t="n">
        <x:v>46392</x:v>
      </x:c>
    </x:row>
    <x:row r="2362" ht="18" customHeight="1">
      <x:c r="A2362" s="22" t="str">
        <x:f>"0934c007-71ab-4da2-aa6c-b9c9f29a556d"</x:f>
        <x:v>0934c007-71ab-4da2-aa6c-b9c9f29a556d</x:v>
      </x:c>
      <x:c r="B2362" s="23" t="str">
        <x:v>LUCAS SOARES DE SOUZA</x:v>
      </x:c>
      <x:c r="C2362" s="23" t="str">
        <x:v>lucas soares de souza</x:v>
      </x:c>
      <x:c r="D2362" s="22" t="str">
        <x:f>"49.683.908/0001-36"</x:f>
        <x:v>49.683.908/0001-36</x:v>
      </x:c>
      <x:c r="E2362" s="22" t="str">
        <x:f>"49683908000136"</x:f>
        <x:v>49683908000136</x:v>
      </x:c>
      <x:c r="F2362" s="22" t="str">
        <x:f>"064.584.031-94"</x:f>
        <x:v>064.584.031-94</x:v>
      </x:c>
      <x:c r="G2362" s="22" t="str">
        <x:f>"06458403194"</x:f>
        <x:v>06458403194</x:v>
      </x:c>
      <x:c r="H2362" s="23" t="str">
        <x:v>LUCASSOARESS23@HOTMAIL.COM</x:v>
      </x:c>
      <x:c r="I2362" s="22" t="str">
        <x:f>"65996307814"</x:f>
        <x:v>65996307814</x:v>
      </x:c>
      <x:c r="J2362" s="23" t="str">
        <x:v>SPOT</x:v>
      </x:c>
      <x:c r="K2362" s="23" t="str">
        <x:v>favored_only</x:v>
      </x:c>
      <x:c r="L2362" s="24" t="b">
        <x:v>1</x:v>
      </x:c>
      <x:c r="M2362" s="23" t="n">
        <x:v>1</x:v>
      </x:c>
      <x:c r="N2362" s="28" t="n">
        <x:v>46203.92183017361</x:v>
      </x:c>
      <x:c r="O2362" s="28" t="n">
        <x:v>46219.812988715275</x:v>
      </x:c>
      <x:c r="P2362" s="23" t="str">
        <x:v>ARAPUTANGA</x:v>
      </x:c>
      <x:c r="Q2362" s="30" t="n">
        <x:v>35131</x:v>
      </x:c>
      <x:c r="R2362" s="22" t="str">
        <x:f>"24979953"</x:f>
        <x:v>24979953</x:v>
      </x:c>
      <x:c r="S2362" s="23" t="str">
        <x:v>masculino</x:v>
      </x:c>
      <x:c r="T2362" s="22" t="str">
        <x:f>"EZH4E62"</x:f>
        <x:v>EZH4E62</x:v>
      </x:c>
      <x:c r="U2362" s="23" t="str">
        <x:v>LUCAS SOARES DE SOUZA</x:v>
      </x:c>
      <x:c r="V2362" s="22" t="str">
        <x:f>"064.584.031-94"</x:f>
        <x:v>064.584.031-94</x:v>
      </x:c>
      <x:c r="W2362" s="22" t="str">
        <x:f>"06458403194"</x:f>
        <x:v>06458403194</x:v>
      </x:c>
      <x:c r="X2362" s="23" t="str">
        <x:v>LUCASSOARESS23@HOTMAIL.COM</x:v>
      </x:c>
      <x:c r="Y2362" s="22" t="str">
        <x:f>"65996307814"</x:f>
        <x:v>65996307814</x:v>
      </x:c>
      <x:c r="Z2362" s="30" t="n">
        <x:v>46344</x:v>
      </x:c>
    </x:row>
    <x:row r="2363" ht="18" customHeight="1">
      <x:c r="A2363" s="22" t="str">
        <x:f>"660bebe3-c861-4b19-9a6d-b8f00d159884"</x:f>
        <x:v>660bebe3-c861-4b19-9a6d-b8f00d159884</x:v>
      </x:c>
      <x:c r="B2363" s="23" t="str">
        <x:v>LUCAS TEIXEIRA DOS SANTOS</x:v>
      </x:c>
      <x:c r="C2363" s="23" t="str">
        <x:v>lucas teixeira dos santos</x:v>
      </x:c>
      <x:c r="D2363" s="22" t="str">
        <x:f>"31.592.848/0001-80"</x:f>
        <x:v>31.592.848/0001-80</x:v>
      </x:c>
      <x:c r="E2363" s="22" t="str">
        <x:f>"31592848000180"</x:f>
        <x:v>31592848000180</x:v>
      </x:c>
      <x:c r="F2363" s="22" t="str">
        <x:f>"014.494.056-65"</x:f>
        <x:v>014.494.056-65</x:v>
      </x:c>
      <x:c r="G2363" s="22" t="str">
        <x:f>"01449405665"</x:f>
        <x:v>01449405665</x:v>
      </x:c>
      <x:c r="H2363" s="23" t="str">
        <x:v>santosmotoboy@gmail.com</x:v>
      </x:c>
      <x:c r="I2363" s="22" t="str">
        <x:f>"31971033763"</x:f>
        <x:v>31971033763</x:v>
      </x:c>
      <x:c r="J2363" s="23" t="str">
        <x:v>SPOT</x:v>
      </x:c>
      <x:c r="K2363" s="23" t="str">
        <x:v>favored_only</x:v>
      </x:c>
      <x:c r="L2363" s="24" t="b">
        <x:v>1</x:v>
      </x:c>
      <x:c r="M2363" s="23" t="n">
        <x:v>1</x:v>
      </x:c>
      <x:c r="N2363" s="28" t="n">
        <x:v>46203.92188238426</x:v>
      </x:c>
      <x:c r="O2363" s="28" t="n">
        <x:v>46219.812988715275</x:v>
      </x:c>
      <x:c r="P2363" s="23" t="str">
        <x:v>VESPASIANO</x:v>
      </x:c>
      <x:c r="Q2363" s="30" t="n">
        <x:v>30866</x:v>
      </x:c>
      <x:c r="R2363" s="22" t="str">
        <x:f>"mg11882017"</x:f>
        <x:v>mg11882017</x:v>
      </x:c>
      <x:c r="S2363" s="23" t="str">
        <x:v>masculino</x:v>
      </x:c>
      <x:c r="T2363" s="22" t="str">
        <x:f>"RNW6A14"</x:f>
        <x:v>RNW6A14</x:v>
      </x:c>
      <x:c r="U2363" s="23" t="str">
        <x:v>LUCAS TEIXEIRA DOS SANTOS</x:v>
      </x:c>
      <x:c r="V2363" s="22" t="str">
        <x:f>"014.494.056-65"</x:f>
        <x:v>014.494.056-65</x:v>
      </x:c>
      <x:c r="W2363" s="22" t="str">
        <x:f>"01449405665"</x:f>
        <x:v>01449405665</x:v>
      </x:c>
      <x:c r="X2363" s="23" t="str">
        <x:v>santosmotoboy@gmail.com</x:v>
      </x:c>
      <x:c r="Y2363" s="22" t="str">
        <x:f>"31971033763"</x:f>
        <x:v>31971033763</x:v>
      </x:c>
      <x:c r="Z2363" s="30" t="n">
        <x:v>46324</x:v>
      </x:c>
    </x:row>
    <x:row r="2364" ht="18" customHeight="1">
      <x:c r="A2364" s="22" t="str">
        <x:f>"5895077c-2297-484c-9e28-0a51e2e1e5f1"</x:f>
        <x:v>5895077c-2297-484c-9e28-0a51e2e1e5f1</x:v>
      </x:c>
      <x:c r="B2364" s="23" t="str">
        <x:v>LUCAS TRINCA MARTINS</x:v>
      </x:c>
      <x:c r="C2364" s="23" t="str">
        <x:v>lucas trinca martins</x:v>
      </x:c>
      <x:c r="D2364" s="22" t="str">
        <x:f>"49.856.646/0001-64"</x:f>
        <x:v>49.856.646/0001-64</x:v>
      </x:c>
      <x:c r="E2364" s="22" t="str">
        <x:f>"49856646000164"</x:f>
        <x:v>49856646000164</x:v>
      </x:c>
      <x:c r="F2364" s="22" t="str">
        <x:f>"462.880.348-00"</x:f>
        <x:v>462.880.348-00</x:v>
      </x:c>
      <x:c r="G2364" s="22" t="str">
        <x:f>"46288034800"</x:f>
        <x:v>46288034800</x:v>
      </x:c>
      <x:c r="H2364" s="23" t="str">
        <x:v>LUCAS.TRINCA.MARTINS@GMAIL.COM</x:v>
      </x:c>
      <x:c r="I2364" s="22" t="str">
        <x:f>"14 99864-8595"</x:f>
        <x:v>14 99864-8595</x:v>
      </x:c>
      <x:c r="J2364" s="23" t="str">
        <x:v>RENTAL</x:v>
      </x:c>
      <x:c r="K2364" s="23" t="str">
        <x:v>rental_company</x:v>
      </x:c>
      <x:c r="L2364" s="24" t="b">
        <x:v>1</x:v>
      </x:c>
      <x:c r="M2364" s="23" t="n">
        <x:v>1</x:v>
      </x:c>
      <x:c r="N2364" s="28" t="n">
        <x:v>46203.92183332176</x:v>
      </x:c>
      <x:c r="O2364" s="28" t="n">
        <x:v>46219.812988715275</x:v>
      </x:c>
      <x:c r="P2364" s="23" t="str">
        <x:v>MARILIA</x:v>
      </x:c>
      <x:c r="Q2364" s="30" t="n">
        <x:v>36295</x:v>
      </x:c>
      <x:c r="R2364" s="22" t="str">
        <x:f>"53699100"</x:f>
        <x:v>53699100</x:v>
      </x:c>
      <x:c r="S2364" s="23" t="str">
        <x:v>masculino</x:v>
      </x:c>
      <x:c r="T2364" s="22" t="str"/>
      <x:c r="U2364" s="23" t="str">
        <x:v>LUCAS TRINCA MARTINS</x:v>
      </x:c>
      <x:c r="V2364" s="22" t="str">
        <x:f>"462.880.348-00"</x:f>
        <x:v>462.880.348-00</x:v>
      </x:c>
      <x:c r="W2364" s="22" t="str">
        <x:f>"46288034800"</x:f>
        <x:v>46288034800</x:v>
      </x:c>
      <x:c r="X2364" s="23" t="str">
        <x:v>LUCAS.TRINCA.MARTINS@GMAIL.COM</x:v>
      </x:c>
      <x:c r="Y2364" s="22" t="str">
        <x:f>"14 99864-8595"</x:f>
        <x:v>14 99864-8595</x:v>
      </x:c>
      <x:c r="Z2364" s="30" t="n">
        <x:v>46574</x:v>
      </x:c>
    </x:row>
    <x:row r="2365" ht="18" customHeight="1">
      <x:c r="A2365" s="22" t="str">
        <x:f>"129ae372-256b-4b56-b14f-6778321013e9"</x:f>
        <x:v>129ae372-256b-4b56-b14f-6778321013e9</x:v>
      </x:c>
      <x:c r="B2365" s="23" t="str">
        <x:v>LUCAS VIEIRA MEIRELLES</x:v>
      </x:c>
      <x:c r="C2365" s="23" t="str">
        <x:v>lucas vieira meirelles</x:v>
      </x:c>
      <x:c r="D2365" s="22" t="str">
        <x:f>"65.094.067/0001-88"</x:f>
        <x:v>65.094.067/0001-88</x:v>
      </x:c>
      <x:c r="E2365" s="22" t="str">
        <x:f>"65094067000188"</x:f>
        <x:v>65094067000188</x:v>
      </x:c>
      <x:c r="F2365" s="22" t="str">
        <x:f>"080.012.896-64"</x:f>
        <x:v>080.012.896-64</x:v>
      </x:c>
      <x:c r="G2365" s="22" t="str">
        <x:f>"08001289664"</x:f>
        <x:v>08001289664</x:v>
      </x:c>
      <x:c r="H2365" s="23" t="str">
        <x:v>lucasvmeirelles7@gmail.com</x:v>
      </x:c>
      <x:c r="I2365" s="22" t="str">
        <x:f>"31972011072"</x:f>
        <x:v>31972011072</x:v>
      </x:c>
      <x:c r="J2365" s="23" t="str">
        <x:v>SPOT</x:v>
      </x:c>
      <x:c r="K2365" s="23" t="str">
        <x:v>favored_only</x:v>
      </x:c>
      <x:c r="L2365" s="24" t="b">
        <x:v>1</x:v>
      </x:c>
      <x:c r="M2365" s="23" t="n">
        <x:v>1</x:v>
      </x:c>
      <x:c r="N2365" s="28" t="n">
        <x:v>46219.812988715275</x:v>
      </x:c>
      <x:c r="O2365" s="28" t="n">
        <x:v>46219.812988715275</x:v>
      </x:c>
      <x:c r="P2365" s="23" t="str">
        <x:v>VESPASIANO</x:v>
      </x:c>
      <x:c r="Q2365" s="30" t="n">
        <x:v>32210</x:v>
      </x:c>
      <x:c r="R2365" s="22" t="str">
        <x:f>"RG: MG 14389159"</x:f>
        <x:v>RG: MG 14389159</x:v>
      </x:c>
      <x:c r="S2365" s="23" t="str">
        <x:v>masculino</x:v>
      </x:c>
      <x:c r="T2365" s="22" t="str">
        <x:f>"GXA0414"</x:f>
        <x:v>GXA0414</x:v>
      </x:c>
      <x:c r="U2365" s="23" t="str">
        <x:v>LUCAS VIEIRA MEIRELLES</x:v>
      </x:c>
      <x:c r="V2365" s="22" t="str">
        <x:f>"080.012.896-64"</x:f>
        <x:v>080.012.896-64</x:v>
      </x:c>
      <x:c r="W2365" s="22" t="str">
        <x:f>"08001289664"</x:f>
        <x:v>08001289664</x:v>
      </x:c>
      <x:c r="X2365" s="23" t="str">
        <x:v>lucasvmeirelles7@gmail.com</x:v>
      </x:c>
      <x:c r="Y2365" s="22" t="str">
        <x:f>"31972011072"</x:f>
        <x:v>31972011072</x:v>
      </x:c>
      <x:c r="Z2365" s="30" t="n">
        <x:v>46449</x:v>
      </x:c>
    </x:row>
    <x:row r="2366" ht="18" customHeight="1">
      <x:c r="A2366" s="22" t="str">
        <x:f>"8a87de80-bbc4-4647-becb-c50f89e05900"</x:f>
        <x:v>8a87de80-bbc4-4647-becb-c50f89e05900</x:v>
      </x:c>
      <x:c r="B2366" s="23" t="str">
        <x:v>LUCAS VINICIOS GUIMARAES COSTA</x:v>
      </x:c>
      <x:c r="C2366" s="23" t="str">
        <x:v>lucas vinicios guimaraes costa</x:v>
      </x:c>
      <x:c r="D2366" s="22" t="str">
        <x:f>"29.549.956/0001-29"</x:f>
        <x:v>29.549.956/0001-29</x:v>
      </x:c>
      <x:c r="E2366" s="22" t="str">
        <x:f>"29549956000129"</x:f>
        <x:v>29549956000129</x:v>
      </x:c>
      <x:c r="F2366" s="22" t="str">
        <x:f>"057.885.771-52"</x:f>
        <x:v>057.885.771-52</x:v>
      </x:c>
      <x:c r="G2366" s="22" t="str">
        <x:f>"05788577152"</x:f>
        <x:v>05788577152</x:v>
      </x:c>
      <x:c r="H2366" s="23" t="str">
        <x:v>lucascr7hjuya@gmail.com</x:v>
      </x:c>
      <x:c r="I2366" s="22" t="str">
        <x:f>"65992800900"</x:f>
        <x:v>65992800900</x:v>
      </x:c>
      <x:c r="J2366" s="23" t="str">
        <x:v>SPOT</x:v>
      </x:c>
      <x:c r="K2366" s="23" t="str">
        <x:v>favored_only</x:v>
      </x:c>
      <x:c r="L2366" s="24" t="b">
        <x:v>1</x:v>
      </x:c>
      <x:c r="M2366" s="23" t="n">
        <x:v>1</x:v>
      </x:c>
      <x:c r="N2366" s="28" t="n">
        <x:v>46219.812988715275</x:v>
      </x:c>
      <x:c r="O2366" s="28" t="n">
        <x:v>46219.812988715275</x:v>
      </x:c>
      <x:c r="P2366" s="23" t="str">
        <x:v>CÁCERES</x:v>
      </x:c>
      <x:c r="Q2366" s="30" t="n">
        <x:v>36335</x:v>
      </x:c>
      <x:c r="R2366" s="22" t="str">
        <x:f>"30431727"</x:f>
        <x:v>30431727</x:v>
      </x:c>
      <x:c r="S2366" s="23" t="str">
        <x:v>masculino</x:v>
      </x:c>
      <x:c r="T2366" s="22" t="str">
        <x:f>"QTA1A95"</x:f>
        <x:v>QTA1A95</x:v>
      </x:c>
      <x:c r="U2366" s="23" t="str">
        <x:v>LUCAS VINICIOS GUIMARAES COSTA</x:v>
      </x:c>
      <x:c r="V2366" s="22" t="str">
        <x:f>"057.885.771-52"</x:f>
        <x:v>057.885.771-52</x:v>
      </x:c>
      <x:c r="W2366" s="22" t="str">
        <x:f>"05788577152"</x:f>
        <x:v>05788577152</x:v>
      </x:c>
      <x:c r="X2366" s="23" t="str">
        <x:v>lucascr7hjuya@gmail.com</x:v>
      </x:c>
      <x:c r="Y2366" s="22" t="str">
        <x:f>"‪65992800900"</x:f>
        <x:v>‪65992800900</x:v>
      </x:c>
      <x:c r="Z2366" s="30" t="n">
        <x:v>46442</x:v>
      </x:c>
    </x:row>
    <x:row r="2367" ht="18" customHeight="1">
      <x:c r="A2367" s="22" t="str">
        <x:f>"27a3594d-68dc-46f4-b904-fb893fe94e29"</x:f>
        <x:v>27a3594d-68dc-46f4-b904-fb893fe94e29</x:v>
      </x:c>
      <x:c r="B2367" s="23" t="str">
        <x:v>LUCAS VINICIUS DE ANDRADE</x:v>
      </x:c>
      <x:c r="C2367" s="23" t="str">
        <x:v>lucas vinicius de andrade</x:v>
      </x:c>
      <x:c r="D2367" s="22" t="str">
        <x:f>"37.941.454/0001-77"</x:f>
        <x:v>37.941.454/0001-77</x:v>
      </x:c>
      <x:c r="E2367" s="22" t="str">
        <x:f>"37941454000177"</x:f>
        <x:v>37941454000177</x:v>
      </x:c>
      <x:c r="F2367" s="22" t="str">
        <x:f>"418.586.368-33"</x:f>
        <x:v>418.586.368-33</x:v>
      </x:c>
      <x:c r="G2367" s="22" t="str">
        <x:f>"41858636833"</x:f>
        <x:v>41858636833</x:v>
      </x:c>
      <x:c r="H2367" s="23" t="str">
        <x:v>andrade.lvd@gmail.com</x:v>
      </x:c>
      <x:c r="I2367" s="22" t="str">
        <x:f>"16 997799206"</x:f>
        <x:v>16 997799206</x:v>
      </x:c>
      <x:c r="J2367" s="23" t="str">
        <x:v>RENTAL</x:v>
      </x:c>
      <x:c r="K2367" s="23" t="str">
        <x:v>rental_company</x:v>
      </x:c>
      <x:c r="L2367" s="24" t="b">
        <x:v>1</x:v>
      </x:c>
      <x:c r="M2367" s="23" t="n">
        <x:v>1</x:v>
      </x:c>
      <x:c r="N2367" s="28" t="n">
        <x:v>46203.921887453704</x:v>
      </x:c>
      <x:c r="O2367" s="28" t="n">
        <x:v>46219.812988715275</x:v>
      </x:c>
      <x:c r="P2367" s="23" t="str">
        <x:v>RIBEIRAO PRETO</x:v>
      </x:c>
      <x:c r="Q2367" s="30" t="n">
        <x:v>33915</x:v>
      </x:c>
      <x:c r="R2367" s="22" t="str">
        <x:f>"48261179"</x:f>
        <x:v>48261179</x:v>
      </x:c>
      <x:c r="S2367" s="23" t="str">
        <x:v>masculino</x:v>
      </x:c>
      <x:c r="T2367" s="22" t="str"/>
      <x:c r="U2367" s="23" t="str">
        <x:v>LUCAS VINICIUS DE ANDRADE</x:v>
      </x:c>
      <x:c r="V2367" s="22" t="str">
        <x:f>"418.596.368-33"</x:f>
        <x:v>418.596.368-33</x:v>
      </x:c>
      <x:c r="W2367" s="22" t="str">
        <x:f>"41859636833"</x:f>
        <x:v>41859636833</x:v>
      </x:c>
      <x:c r="X2367" s="23" t="str">
        <x:v>andrade.lvd@gmail.com</x:v>
      </x:c>
      <x:c r="Y2367" s="22" t="str">
        <x:f>"16 997799206"</x:f>
        <x:v>16 997799206</x:v>
      </x:c>
      <x:c r="Z2367" s="30" t="n">
        <x:v>46326</x:v>
      </x:c>
    </x:row>
    <x:row r="2368" ht="18" customHeight="1">
      <x:c r="A2368" s="22" t="str">
        <x:f>"be17046e-85ec-42f8-b754-4cc64d7e649e"</x:f>
        <x:v>be17046e-85ec-42f8-b754-4cc64d7e649e</x:v>
      </x:c>
      <x:c r="B2368" s="23" t="str">
        <x:v>LUCAS VINICIUS DE SOUZA</x:v>
      </x:c>
      <x:c r="C2368" s="23" t="str">
        <x:v>lucas vinicius de souza</x:v>
      </x:c>
      <x:c r="D2368" s="22" t="str">
        <x:f>"61.784.304/0001-81"</x:f>
        <x:v>61.784.304/0001-81</x:v>
      </x:c>
      <x:c r="E2368" s="22" t="str">
        <x:f>"61784304000181"</x:f>
        <x:v>61784304000181</x:v>
      </x:c>
      <x:c r="F2368" s="22" t="str">
        <x:f>"472.227.988-89"</x:f>
        <x:v>472.227.988-89</x:v>
      </x:c>
      <x:c r="G2368" s="22" t="str">
        <x:f>"47222798889"</x:f>
        <x:v>47222798889</x:v>
      </x:c>
      <x:c r="H2368" s="23" t="str">
        <x:v>lukasddtank1999@gmail.com</x:v>
      </x:c>
      <x:c r="I2368" s="22" t="str">
        <x:f>"14997691536"</x:f>
        <x:v>14997691536</x:v>
      </x:c>
      <x:c r="J2368" s="23" t="str">
        <x:v>SPOT</x:v>
      </x:c>
      <x:c r="K2368" s="23" t="str">
        <x:v>favored_only</x:v>
      </x:c>
      <x:c r="L2368" s="24" t="b">
        <x:v>1</x:v>
      </x:c>
      <x:c r="M2368" s="23" t="n">
        <x:v>1</x:v>
      </x:c>
      <x:c r="N2368" s="28" t="n">
        <x:v>46203.921858726855</x:v>
      </x:c>
      <x:c r="O2368" s="28" t="n">
        <x:v>46219.812988715275</x:v>
      </x:c>
      <x:c r="P2368" s="23" t="str">
        <x:v>MARILIA</x:v>
      </x:c>
      <x:c r="Q2368" s="30" t="n">
        <x:v>36181</x:v>
      </x:c>
      <x:c r="R2368" s="22" t="str">
        <x:f>"453169235"</x:f>
        <x:v>453169235</x:v>
      </x:c>
      <x:c r="S2368" s="23" t="str">
        <x:v>masculino</x:v>
      </x:c>
      <x:c r="T2368" s="22" t="str">
        <x:f>"FCW6D59"</x:f>
        <x:v>FCW6D59</x:v>
      </x:c>
      <x:c r="U2368" s="23" t="str">
        <x:v>LUCAS VINICIUS DE SOUZA</x:v>
      </x:c>
      <x:c r="V2368" s="22" t="str">
        <x:f>"472.227.988-89"</x:f>
        <x:v>472.227.988-89</x:v>
      </x:c>
      <x:c r="W2368" s="22" t="str">
        <x:f>"47222798889"</x:f>
        <x:v>47222798889</x:v>
      </x:c>
      <x:c r="X2368" s="23" t="str">
        <x:v>lukasddtank1999@gmail.com</x:v>
      </x:c>
      <x:c r="Y2368" s="22" t="str">
        <x:f>"14997691536"</x:f>
        <x:v>14997691536</x:v>
      </x:c>
      <x:c r="Z2368" s="30" t="n">
        <x:v>46262</x:v>
      </x:c>
    </x:row>
    <x:row r="2369" ht="18" customHeight="1">
      <x:c r="A2369" s="22" t="str">
        <x:f>"c03fcba6-d31d-4c52-af8e-7354066d6a79"</x:f>
        <x:v>c03fcba6-d31d-4c52-af8e-7354066d6a79</x:v>
      </x:c>
      <x:c r="B2369" s="23" t="str">
        <x:v>LUCCA RODRIGUES MAGALHAES</x:v>
      </x:c>
      <x:c r="C2369" s="23" t="str">
        <x:v>lucca rodrigues magalhaes</x:v>
      </x:c>
      <x:c r="D2369" s="22" t="str">
        <x:f>"58.702.642/0001-12"</x:f>
        <x:v>58.702.642/0001-12</x:v>
      </x:c>
      <x:c r="E2369" s="22" t="str">
        <x:f>"58702642000112"</x:f>
        <x:v>58702642000112</x:v>
      </x:c>
      <x:c r="F2369" s="22" t="str">
        <x:f>"023.367.556-61"</x:f>
        <x:v>023.367.556-61</x:v>
      </x:c>
      <x:c r="G2369" s="22" t="str">
        <x:f>"02336755661"</x:f>
        <x:v>02336755661</x:v>
      </x:c>
      <x:c r="H2369" s="23" t="str">
        <x:v>luccarmagalhaes.a9@gmail.com</x:v>
      </x:c>
      <x:c r="I2369" s="22" t="str">
        <x:f>"38 9899-7017"</x:f>
        <x:v>38 9899-7017</x:v>
      </x:c>
      <x:c r="J2369" s="23" t="str">
        <x:v>SPOT</x:v>
      </x:c>
      <x:c r="K2369" s="23" t="str">
        <x:v>favored_only</x:v>
      </x:c>
      <x:c r="L2369" s="24" t="b">
        <x:v>1</x:v>
      </x:c>
      <x:c r="M2369" s="23" t="n">
        <x:v>1</x:v>
      </x:c>
      <x:c r="N2369" s="28" t="n">
        <x:v>46219.812988715275</x:v>
      </x:c>
      <x:c r="O2369" s="28" t="n">
        <x:v>46219.812988715275</x:v>
      </x:c>
      <x:c r="P2369" s="23" t="str">
        <x:v>PATOS DE MINAS</x:v>
      </x:c>
      <x:c r="Q2369" s="30" t="n">
        <x:v>37474</x:v>
      </x:c>
      <x:c r="R2369" s="22" t="str">
        <x:f>"MG20919552"</x:f>
        <x:v>MG20919552</x:v>
      </x:c>
      <x:c r="S2369" s="23" t="str">
        <x:v>masculino</x:v>
      </x:c>
      <x:c r="T2369" s="22" t="str">
        <x:f>"QNN3H88"</x:f>
        <x:v>QNN3H88</x:v>
      </x:c>
      <x:c r="U2369" s="23" t="str">
        <x:v>LUCCA RODRIGUES MAGALHAES</x:v>
      </x:c>
      <x:c r="V2369" s="22" t="str">
        <x:f>"023.367.556-61"</x:f>
        <x:v>023.367.556-61</x:v>
      </x:c>
      <x:c r="W2369" s="22" t="str">
        <x:f>"02336755661"</x:f>
        <x:v>02336755661</x:v>
      </x:c>
      <x:c r="X2369" s="23" t="str">
        <x:v>luccarmagalhaes.a9@gmail.com</x:v>
      </x:c>
      <x:c r="Y2369" s="22" t="str">
        <x:f>"38 9899-7017"</x:f>
        <x:v>38 9899-7017</x:v>
      </x:c>
      <x:c r="Z2369" s="30" t="n">
        <x:v>46548</x:v>
      </x:c>
    </x:row>
    <x:row r="2370" ht="18" customHeight="1">
      <x:c r="A2370" s="22" t="str">
        <x:f>"719d00ac-44a6-45ad-9b59-9fad1c8a77e5"</x:f>
        <x:v>719d00ac-44a6-45ad-9b59-9fad1c8a77e5</x:v>
      </x:c>
      <x:c r="B2370" s="23" t="str">
        <x:v>LUCIANA LINS BOSSATO</x:v>
      </x:c>
      <x:c r="C2370" s="23" t="str">
        <x:v>luciana lins bossato</x:v>
      </x:c>
      <x:c r="D2370" s="22" t="str">
        <x:f>"30.303.230/0001-90"</x:f>
        <x:v>30.303.230/0001-90</x:v>
      </x:c>
      <x:c r="E2370" s="22" t="str">
        <x:f>"30303230000190"</x:f>
        <x:v>30303230000190</x:v>
      </x:c>
      <x:c r="F2370" s="22" t="str">
        <x:f>"195.716.188-45"</x:f>
        <x:v>195.716.188-45</x:v>
      </x:c>
      <x:c r="G2370" s="22" t="str">
        <x:f>"19571618845"</x:f>
        <x:v>19571618845</x:v>
      </x:c>
      <x:c r="H2370" s="23" t="str">
        <x:v>lucianabossato4@gmail.com</x:v>
      </x:c>
      <x:c r="I2370" s="22" t="str">
        <x:f>"17992167044"</x:f>
        <x:v>17992167044</x:v>
      </x:c>
      <x:c r="J2370" s="23" t="str">
        <x:v>SPOT</x:v>
      </x:c>
      <x:c r="K2370" s="23" t="str">
        <x:v>favored_only</x:v>
      </x:c>
      <x:c r="L2370" s="24" t="b">
        <x:v>1</x:v>
      </x:c>
      <x:c r="M2370" s="23" t="n">
        <x:v>1</x:v>
      </x:c>
      <x:c r="N2370" s="28" t="n">
        <x:v>46203.92186462963</x:v>
      </x:c>
      <x:c r="O2370" s="28" t="n">
        <x:v>46219.812988715275</x:v>
      </x:c>
      <x:c r="P2370" s="23" t="str">
        <x:v>SÃO JOSE DO RIO PRETO</x:v>
      </x:c>
      <x:c r="Q2370" s="30" t="n">
        <x:v>28423</x:v>
      </x:c>
      <x:c r="R2370" s="22" t="str">
        <x:f>"288486766"</x:f>
        <x:v>288486766</x:v>
      </x:c>
      <x:c r="S2370" s="23" t="str">
        <x:v>feminino</x:v>
      </x:c>
      <x:c r="T2370" s="22" t="str">
        <x:f>"FYT8I60"</x:f>
        <x:v>FYT8I60</x:v>
      </x:c>
      <x:c r="U2370" s="23" t="str">
        <x:v>LUCIANA LINS BOSSATO</x:v>
      </x:c>
      <x:c r="V2370" s="22" t="str">
        <x:f>"195.716.188-45"</x:f>
        <x:v>195.716.188-45</x:v>
      </x:c>
      <x:c r="W2370" s="22" t="str">
        <x:f>"19571618845"</x:f>
        <x:v>19571618845</x:v>
      </x:c>
      <x:c r="X2370" s="23" t="str">
        <x:v>lucianabossato4@gmail.com</x:v>
      </x:c>
      <x:c r="Y2370" s="22" t="str">
        <x:f>"17992167044"</x:f>
        <x:v>17992167044</x:v>
      </x:c>
      <x:c r="Z2370" s="30" t="n">
        <x:v>46285</x:v>
      </x:c>
    </x:row>
    <x:row r="2371" ht="18" customHeight="1">
      <x:c r="A2371" s="22" t="str">
        <x:f>"cde8f72e-1b61-4d3c-8009-a5059dd474fb"</x:f>
        <x:v>cde8f72e-1b61-4d3c-8009-a5059dd474fb</x:v>
      </x:c>
      <x:c r="B2371" s="23" t="str">
        <x:v>LUCIANA SANTOS GOMES</x:v>
      </x:c>
      <x:c r="C2371" s="23" t="str">
        <x:v>luciana santos gomes</x:v>
      </x:c>
      <x:c r="D2371" s="22" t="str">
        <x:f>"58.183.767/0001-83"</x:f>
        <x:v>58.183.767/0001-83</x:v>
      </x:c>
      <x:c r="E2371" s="22" t="str">
        <x:f>"58183767000183"</x:f>
        <x:v>58183767000183</x:v>
      </x:c>
      <x:c r="F2371" s="22" t="str">
        <x:f>"587.836.521-91"</x:f>
        <x:v>587.836.521-91</x:v>
      </x:c>
      <x:c r="G2371" s="22" t="str">
        <x:f>"58783652191"</x:f>
        <x:v>58783652191</x:v>
      </x:c>
      <x:c r="H2371" s="23" t="str">
        <x:v>lucianasantosgomes245@gmail.com</x:v>
      </x:c>
      <x:c r="I2371" s="22" t="str">
        <x:f>"(34) 9884-2593"</x:f>
        <x:v>(34) 9884-2593</x:v>
      </x:c>
      <x:c r="J2371" s="23" t="str">
        <x:v>RENTAL</x:v>
      </x:c>
      <x:c r="K2371" s="23" t="str">
        <x:v>rental_company</x:v>
      </x:c>
      <x:c r="L2371" s="24" t="b">
        <x:v>1</x:v>
      </x:c>
      <x:c r="M2371" s="23" t="n">
        <x:v>1</x:v>
      </x:c>
      <x:c r="N2371" s="28" t="n">
        <x:v>46219.812988715275</x:v>
      </x:c>
      <x:c r="O2371" s="28" t="n">
        <x:v>46219.812988715275</x:v>
      </x:c>
      <x:c r="P2371" s="23" t="str">
        <x:v>UBERLANDIA</x:v>
      </x:c>
      <x:c r="Q2371" s="30" t="n">
        <x:v>26375</x:v>
      </x:c>
      <x:c r="R2371" s="22" t="str">
        <x:f>"2297066 DGPC GO"</x:f>
        <x:v>2297066 DGPC GO</x:v>
      </x:c>
      <x:c r="S2371" s="23" t="str">
        <x:v>feminino</x:v>
      </x:c>
      <x:c r="T2371" s="22" t="str"/>
      <x:c r="U2371" s="23" t="str">
        <x:v>LUCIANA SANTOS GOMES</x:v>
      </x:c>
      <x:c r="V2371" s="22" t="str">
        <x:f>"587.836.521-91"</x:f>
        <x:v>587.836.521-91</x:v>
      </x:c>
      <x:c r="W2371" s="22" t="str">
        <x:f>"58783652191"</x:f>
        <x:v>58783652191</x:v>
      </x:c>
      <x:c r="X2371" s="23" t="str">
        <x:v>lucianasantosgomes245@gmail.com</x:v>
      </x:c>
      <x:c r="Y2371" s="22" t="str">
        <x:f>"(34) 9884-2593"</x:f>
        <x:v>(34) 9884-2593</x:v>
      </x:c>
      <x:c r="Z2371" s="30" t="n">
        <x:v>46463</x:v>
      </x:c>
    </x:row>
    <x:row r="2372" ht="18" customHeight="1">
      <x:c r="A2372" s="22" t="str">
        <x:f>"92f3c964-c3ca-494e-8385-becc388c119e"</x:f>
        <x:v>92f3c964-c3ca-494e-8385-becc388c119e</x:v>
      </x:c>
      <x:c r="B2372" s="23" t="str">
        <x:v>LUCIANO AGOSTINHO MENDES JUNIOR</x:v>
      </x:c>
      <x:c r="C2372" s="23" t="str">
        <x:v>luciano agostinho mendes junior</x:v>
      </x:c>
      <x:c r="D2372" s="22" t="str">
        <x:f>"37.402.606/0001-63"</x:f>
        <x:v>37.402.606/0001-63</x:v>
      </x:c>
      <x:c r="E2372" s="22" t="str">
        <x:f>"37402606000163"</x:f>
        <x:v>37402606000163</x:v>
      </x:c>
      <x:c r="F2372" s="22" t="str">
        <x:f>"178.105.497-58"</x:f>
        <x:v>178.105.497-58</x:v>
      </x:c>
      <x:c r="G2372" s="22" t="str">
        <x:f>"17810549758"</x:f>
        <x:v>17810549758</x:v>
      </x:c>
      <x:c r="H2372" s="23" t="str">
        <x:v>mendeesjr@hotmail.com</x:v>
      </x:c>
      <x:c r="I2372" s="22" t="str">
        <x:f>"21985049495"</x:f>
        <x:v>21985049495</x:v>
      </x:c>
      <x:c r="J2372" s="23" t="str">
        <x:v>SPOT</x:v>
      </x:c>
      <x:c r="K2372" s="23" t="str">
        <x:v>favored_only</x:v>
      </x:c>
      <x:c r="L2372" s="24" t="b">
        <x:v>1</x:v>
      </x:c>
      <x:c r="M2372" s="23" t="n">
        <x:v>1</x:v>
      </x:c>
      <x:c r="N2372" s="28" t="n">
        <x:v>46203.921904421295</x:v>
      </x:c>
      <x:c r="O2372" s="28" t="n">
        <x:v>46219.812988715275</x:v>
      </x:c>
      <x:c r="P2372" s="23" t="str">
        <x:v>QUEIMADOS</x:v>
      </x:c>
      <x:c r="Q2372" s="30" t="n">
        <x:v>36579</x:v>
      </x:c>
      <x:c r="R2372" s="22" t="str">
        <x:f>"300757788"</x:f>
        <x:v>300757788</x:v>
      </x:c>
      <x:c r="S2372" s="23" t="str">
        <x:v>masculino</x:v>
      </x:c>
      <x:c r="T2372" s="22" t="str">
        <x:f>"LMO7A13"</x:f>
        <x:v>LMO7A13</x:v>
      </x:c>
      <x:c r="U2372" s="23" t="str">
        <x:v>LUCIANO AGOSTINHO MENDES JUNIOR</x:v>
      </x:c>
      <x:c r="V2372" s="22" t="str">
        <x:f>"178.105.497-58"</x:f>
        <x:v>178.105.497-58</x:v>
      </x:c>
      <x:c r="W2372" s="22" t="str">
        <x:f>"17810549758"</x:f>
        <x:v>17810549758</x:v>
      </x:c>
      <x:c r="X2372" s="23" t="str">
        <x:v>mendeesjr@hotmail.com</x:v>
      </x:c>
      <x:c r="Y2372" s="22" t="str">
        <x:f>"21985049495"</x:f>
        <x:v>21985049495</x:v>
      </x:c>
      <x:c r="Z2372" s="30" t="n">
        <x:v>46369</x:v>
      </x:c>
    </x:row>
    <x:row r="2373" ht="18" customHeight="1">
      <x:c r="A2373" s="22" t="str">
        <x:f>"256c0b35-0133-4a4a-94fe-85363eb573a7"</x:f>
        <x:v>256c0b35-0133-4a4a-94fe-85363eb573a7</x:v>
      </x:c>
      <x:c r="B2373" s="23" t="str">
        <x:v>LUCIANO DA SILVA SOUZA</x:v>
      </x:c>
      <x:c r="C2373" s="23" t="str">
        <x:v>luciano da silva souza</x:v>
      </x:c>
      <x:c r="D2373" s="22" t="str">
        <x:f>"55.012.682/0001-44"</x:f>
        <x:v>55.012.682/0001-44</x:v>
      </x:c>
      <x:c r="E2373" s="22" t="str">
        <x:f>"55012682000144"</x:f>
        <x:v>55012682000144</x:v>
      </x:c>
      <x:c r="F2373" s="22" t="str">
        <x:f>"335.951.108-54"</x:f>
        <x:v>335.951.108-54</x:v>
      </x:c>
      <x:c r="G2373" s="22" t="str">
        <x:f>"33595110854"</x:f>
        <x:v>33595110854</x:v>
      </x:c>
      <x:c r="H2373" s="23" t="str">
        <x:v>lucianobesouza@gmail.com</x:v>
      </x:c>
      <x:c r="I2373" s="22" t="str">
        <x:f>"(11)99391-7266"</x:f>
        <x:v>(11)99391-7266</x:v>
      </x:c>
      <x:c r="J2373" s="23" t="str">
        <x:v>SPOT</x:v>
      </x:c>
      <x:c r="K2373" s="23" t="str">
        <x:v>favored_only</x:v>
      </x:c>
      <x:c r="L2373" s="24" t="b">
        <x:v>1</x:v>
      </x:c>
      <x:c r="M2373" s="23" t="n">
        <x:v>1</x:v>
      </x:c>
      <x:c r="N2373" s="28" t="n">
        <x:v>46205.60303802083</x:v>
      </x:c>
      <x:c r="O2373" s="28" t="n">
        <x:v>46219.812988715275</x:v>
      </x:c>
      <x:c r="P2373" s="23" t="str">
        <x:v>BARUERI</x:v>
      </x:c>
      <x:c r="Q2373" s="30" t="n">
        <x:v>30890</x:v>
      </x:c>
      <x:c r="R2373" s="22" t="str">
        <x:f>"46729659"</x:f>
        <x:v>46729659</x:v>
      </x:c>
      <x:c r="S2373" s="23" t="str">
        <x:v>masculino</x:v>
      </x:c>
      <x:c r="T2373" s="22" t="str">
        <x:f>"STV6E01"</x:f>
        <x:v>STV6E01</x:v>
      </x:c>
      <x:c r="U2373" s="23" t="str">
        <x:v>SUELI APARECIDA DA SILVA SOUZA</x:v>
      </x:c>
      <x:c r="V2373" s="22" t="str">
        <x:f>"177.041.718-44"</x:f>
        <x:v>177.041.718-44</x:v>
      </x:c>
      <x:c r="W2373" s="22" t="str">
        <x:f>"17704171844"</x:f>
        <x:v>17704171844</x:v>
      </x:c>
      <x:c r="X2373" s="23" t="str">
        <x:v>silvasueli724@gmail.com</x:v>
      </x:c>
      <x:c r="Y2373" s="22" t="str">
        <x:f>"11993917266"</x:f>
        <x:v>11993917266</x:v>
      </x:c>
      <x:c r="Z2373" s="30" t="n">
        <x:v>46374</x:v>
      </x:c>
    </x:row>
    <x:row r="2374" ht="18" customHeight="1">
      <x:c r="A2374" s="22" t="str">
        <x:f>"be34d6d0-dfba-4b4a-b019-627848344813"</x:f>
        <x:v>be34d6d0-dfba-4b4a-b019-627848344813</x:v>
      </x:c>
      <x:c r="B2374" s="23" t="str">
        <x:v>LUCIANO GOMES LUIZ</x:v>
      </x:c>
      <x:c r="C2374" s="23" t="str">
        <x:v>luciano gomes luiz</x:v>
      </x:c>
      <x:c r="D2374" s="22" t="str">
        <x:f>"51.904.231/0001-60"</x:f>
        <x:v>51.904.231/0001-60</x:v>
      </x:c>
      <x:c r="E2374" s="22" t="str">
        <x:f>"51904231000160"</x:f>
        <x:v>51904231000160</x:v>
      </x:c>
      <x:c r="F2374" s="22" t="str">
        <x:f>"050.601.516-54"</x:f>
        <x:v>050.601.516-54</x:v>
      </x:c>
      <x:c r="G2374" s="22" t="str">
        <x:f>"05060151654"</x:f>
        <x:v>05060151654</x:v>
      </x:c>
      <x:c r="H2374" s="23" t="str">
        <x:v>duluiz20@hotmail.com</x:v>
      </x:c>
      <x:c r="I2374" s="22" t="str">
        <x:f>"33988127767"</x:f>
        <x:v>33988127767</x:v>
      </x:c>
      <x:c r="J2374" s="23" t="str">
        <x:v>SPOT</x:v>
      </x:c>
      <x:c r="K2374" s="23" t="str">
        <x:v>favored_only</x:v>
      </x:c>
      <x:c r="L2374" s="24" t="b">
        <x:v>1</x:v>
      </x:c>
      <x:c r="M2374" s="23" t="n">
        <x:v>1</x:v>
      </x:c>
      <x:c r="N2374" s="28" t="n">
        <x:v>46205.60618791667</x:v>
      </x:c>
      <x:c r="O2374" s="28" t="n">
        <x:v>46219.812988715275</x:v>
      </x:c>
      <x:c r="P2374" s="23" t="str">
        <x:v>TEOFILO OTONI</x:v>
      </x:c>
      <x:c r="Q2374" s="30" t="n">
        <x:v>29757</x:v>
      </x:c>
      <x:c r="R2374" s="22" t="str">
        <x:f>"MG12329994"</x:f>
        <x:v>MG12329994</x:v>
      </x:c>
      <x:c r="S2374" s="23" t="str">
        <x:v>masculino</x:v>
      </x:c>
      <x:c r="T2374" s="22" t="str">
        <x:f>"PWG7D04"</x:f>
        <x:v>PWG7D04</x:v>
      </x:c>
      <x:c r="U2374" s="23" t="str">
        <x:v>TITO ESDRAS PEREIRA SILVA</x:v>
      </x:c>
      <x:c r="V2374" s="22" t="str">
        <x:f>"142.248.736-99"</x:f>
        <x:v>142.248.736-99</x:v>
      </x:c>
      <x:c r="W2374" s="22" t="str">
        <x:f>"14224873699"</x:f>
        <x:v>14224873699</x:v>
      </x:c>
      <x:c r="X2374" s="23" t="str">
        <x:v>tito-esdras@hotmail.com</x:v>
      </x:c>
      <x:c r="Y2374" s="22" t="str">
        <x:f>"33999135570"</x:f>
        <x:v>33999135570</x:v>
      </x:c>
      <x:c r="Z2374" s="30" t="n">
        <x:v>46348</x:v>
      </x:c>
    </x:row>
    <x:row r="2375" ht="18" customHeight="1">
      <x:c r="A2375" s="22" t="str">
        <x:f>"d4f799c0-5c64-4388-a079-f5da5631f91e"</x:f>
        <x:v>d4f799c0-5c64-4388-a079-f5da5631f91e</x:v>
      </x:c>
      <x:c r="B2375" s="23" t="str">
        <x:v>LUCIANO HERBET DO NASCIMENTO BEZERRA</x:v>
      </x:c>
      <x:c r="C2375" s="23" t="str">
        <x:v>luciano herbet do nascimento bezerra</x:v>
      </x:c>
      <x:c r="D2375" s="22" t="str">
        <x:f>"65.234.037/0001-20"</x:f>
        <x:v>65.234.037/0001-20</x:v>
      </x:c>
      <x:c r="E2375" s="22" t="str">
        <x:f>"65234037000120"</x:f>
        <x:v>65234037000120</x:v>
      </x:c>
      <x:c r="F2375" s="22" t="str">
        <x:f>"888.857.711-49"</x:f>
        <x:v>888.857.711-49</x:v>
      </x:c>
      <x:c r="G2375" s="22" t="str">
        <x:f>"88885771149"</x:f>
        <x:v>88885771149</x:v>
      </x:c>
      <x:c r="H2375" s="23" t="str">
        <x:v>lucianoherbertdefensoria@gmail.com</x:v>
      </x:c>
      <x:c r="I2375" s="22" t="str">
        <x:f>"(65) 99294-0550"</x:f>
        <x:v>(65) 99294-0550</x:v>
      </x:c>
      <x:c r="J2375" s="23" t="str">
        <x:v>SPOT</x:v>
      </x:c>
      <x:c r="K2375" s="23" t="str">
        <x:v>favored_only</x:v>
      </x:c>
      <x:c r="L2375" s="24" t="b">
        <x:v>1</x:v>
      </x:c>
      <x:c r="M2375" s="23" t="n">
        <x:v>1</x:v>
      </x:c>
      <x:c r="N2375" s="28" t="n">
        <x:v>46219.812988715275</x:v>
      </x:c>
      <x:c r="O2375" s="28" t="n">
        <x:v>46219.812988715275</x:v>
      </x:c>
      <x:c r="P2375" s="23" t="str">
        <x:v>CUIABA</x:v>
      </x:c>
      <x:c r="Q2375" s="30" t="n">
        <x:v>29101</x:v>
      </x:c>
      <x:c r="R2375" s="22" t="str">
        <x:f>"32929013"</x:f>
        <x:v>32929013</x:v>
      </x:c>
      <x:c r="S2375" s="23" t="str">
        <x:v>masculino</x:v>
      </x:c>
      <x:c r="T2375" s="22" t="str">
        <x:f>"QMS2A87"</x:f>
        <x:v>QMS2A87</x:v>
      </x:c>
      <x:c r="U2375" s="23" t="str">
        <x:v>65.234.037 LUCIANO HERBET DO NASCIMENTO BEZERRA</x:v>
      </x:c>
      <x:c r="V2375" s="22" t="str">
        <x:f>"888.857.711-49"</x:f>
        <x:v>888.857.711-49</x:v>
      </x:c>
      <x:c r="W2375" s="22" t="str">
        <x:f>"88885771149"</x:f>
        <x:v>88885771149</x:v>
      </x:c>
      <x:c r="X2375" s="23" t="str">
        <x:v>lucianoherbertdefensoria@gmail.com</x:v>
      </x:c>
      <x:c r="Y2375" s="22" t="str">
        <x:f>"(65) 99294-0550"</x:f>
        <x:v>(65) 99294-0550</x:v>
      </x:c>
      <x:c r="Z2375" s="30" t="n">
        <x:v>46560</x:v>
      </x:c>
    </x:row>
    <x:row r="2376" ht="18" customHeight="1">
      <x:c r="A2376" s="22" t="str">
        <x:f>"a882f04c-7415-4011-8b30-654862f251b2"</x:f>
        <x:v>a882f04c-7415-4011-8b30-654862f251b2</x:v>
      </x:c>
      <x:c r="B2376" s="23" t="str">
        <x:v>LUCIANO MENDES LINHARES</x:v>
      </x:c>
      <x:c r="C2376" s="23" t="str">
        <x:v>luciano mendes linhares</x:v>
      </x:c>
      <x:c r="D2376" s="22" t="str">
        <x:f>"00.033.987/1435-13"</x:f>
        <x:v>00.033.987/1435-13</x:v>
      </x:c>
      <x:c r="E2376" s="22" t="str">
        <x:f>"00033987143513"</x:f>
        <x:v>00033987143513</x:v>
      </x:c>
      <x:c r="F2376" s="22" t="str">
        <x:f>"091.432.756-99"</x:f>
        <x:v>091.432.756-99</x:v>
      </x:c>
      <x:c r="G2376" s="22" t="str">
        <x:f>"09143275699"</x:f>
        <x:v>09143275699</x:v>
      </x:c>
      <x:c r="H2376" s="23" t="str">
        <x:v>Luciano.linhares88@gmail.com</x:v>
      </x:c>
      <x:c r="I2376" s="22" t="str">
        <x:f>"33987143513"</x:f>
        <x:v>33987143513</x:v>
      </x:c>
      <x:c r="J2376" s="23" t="str">
        <x:v>SPOT</x:v>
      </x:c>
      <x:c r="K2376" s="23" t="str">
        <x:v>favored_only</x:v>
      </x:c>
      <x:c r="L2376" s="24" t="b">
        <x:v>1</x:v>
      </x:c>
      <x:c r="M2376" s="23" t="n">
        <x:v>1</x:v>
      </x:c>
      <x:c r="N2376" s="28" t="n">
        <x:v>46219.812988715275</x:v>
      </x:c>
      <x:c r="O2376" s="28" t="n">
        <x:v>46219.812988715275</x:v>
      </x:c>
      <x:c r="P2376" s="23" t="str">
        <x:v>GUANHAES</x:v>
      </x:c>
      <x:c r="Q2376" s="30" t="n">
        <x:v>32485</x:v>
      </x:c>
      <x:c r="R2376" s="22" t="str">
        <x:f>"16080425"</x:f>
        <x:v>16080425</x:v>
      </x:c>
      <x:c r="S2376" s="23" t="str">
        <x:v>masculino</x:v>
      </x:c>
      <x:c r="T2376" s="22" t="str">
        <x:f>"BEK9C59"</x:f>
        <x:v>BEK9C59</x:v>
      </x:c>
      <x:c r="U2376" s="23" t="str">
        <x:v>DOUGLAS COELHO LINHARES</x:v>
      </x:c>
      <x:c r="V2376" s="22" t="str">
        <x:f>"134.126.116-62"</x:f>
        <x:v>134.126.116-62</x:v>
      </x:c>
      <x:c r="W2376" s="22" t="str">
        <x:f>"13412611662"</x:f>
        <x:v>13412611662</x:v>
      </x:c>
      <x:c r="X2376" s="23" t="str">
        <x:v>douglascoelho742@gmail.com</x:v>
      </x:c>
      <x:c r="Y2376" s="22" t="str">
        <x:f>"33987143513"</x:f>
        <x:v>33987143513</x:v>
      </x:c>
      <x:c r="Z2376" s="30" t="n">
        <x:v>46428</x:v>
      </x:c>
    </x:row>
    <x:row r="2377" ht="18" customHeight="1">
      <x:c r="A2377" s="22" t="str">
        <x:f>"c0051788-09bb-446c-9d66-398c5c0c263c"</x:f>
        <x:v>c0051788-09bb-446c-9d66-398c5c0c263c</x:v>
      </x:c>
      <x:c r="B2377" s="23" t="str">
        <x:v>LUCIANO RENATO BARBOSA GOMES DA SILVA</x:v>
      </x:c>
      <x:c r="C2377" s="23" t="str">
        <x:v>luciano renato barbosa gomes da silva</x:v>
      </x:c>
      <x:c r="D2377" s="22" t="str">
        <x:f>"53.051.999/0001-64"</x:f>
        <x:v>53.051.999/0001-64</x:v>
      </x:c>
      <x:c r="E2377" s="22" t="str">
        <x:f>"53051999000164"</x:f>
        <x:v>53051999000164</x:v>
      </x:c>
      <x:c r="F2377" s="22" t="str">
        <x:f>"082.181.516-48"</x:f>
        <x:v>082.181.516-48</x:v>
      </x:c>
      <x:c r="G2377" s="22" t="str">
        <x:f>"08218151648"</x:f>
        <x:v>08218151648</x:v>
      </x:c>
      <x:c r="H2377" s="23" t="str">
        <x:v>luciano.renato14@gmail.com</x:v>
      </x:c>
      <x:c r="I2377" s="22" t="str">
        <x:f>"34999463222"</x:f>
        <x:v>34999463222</x:v>
      </x:c>
      <x:c r="J2377" s="23" t="str">
        <x:v>RENTAL</x:v>
      </x:c>
      <x:c r="K2377" s="23" t="str">
        <x:v>rental_company</x:v>
      </x:c>
      <x:c r="L2377" s="24" t="b">
        <x:v>1</x:v>
      </x:c>
      <x:c r="M2377" s="23" t="n">
        <x:v>2</x:v>
      </x:c>
      <x:c r="N2377" s="28" t="n">
        <x:v>46219.812988715275</x:v>
      </x:c>
      <x:c r="O2377" s="28" t="n">
        <x:v>46219.812988715275</x:v>
      </x:c>
      <x:c r="P2377" s="23" t="str">
        <x:v>UBERABA</x:v>
      </x:c>
      <x:c r="Q2377" s="30" t="n">
        <x:v>32019</x:v>
      </x:c>
      <x:c r="R2377" s="22" t="str">
        <x:f>"14055528"</x:f>
        <x:v>14055528</x:v>
      </x:c>
      <x:c r="S2377" s="23" t="str">
        <x:v>masculino</x:v>
      </x:c>
      <x:c r="T2377" s="22" t="str"/>
      <x:c r="U2377" s="23" t="str">
        <x:v>LUCIANO RENATO BARBOSA GOMES DA SILVA</x:v>
      </x:c>
      <x:c r="V2377" s="22" t="str">
        <x:f>"082.181.516-48"</x:f>
        <x:v>082.181.516-48</x:v>
      </x:c>
      <x:c r="W2377" s="22" t="str">
        <x:f>"08218151648"</x:f>
        <x:v>08218151648</x:v>
      </x:c>
      <x:c r="X2377" s="23" t="str">
        <x:v>luciano.renato14@gmail.com</x:v>
      </x:c>
      <x:c r="Y2377" s="22" t="str">
        <x:f>"34999463222"</x:f>
        <x:v>34999463222</x:v>
      </x:c>
      <x:c r="Z2377" s="30" t="n">
        <x:v>46557</x:v>
      </x:c>
    </x:row>
    <x:row r="2378" ht="18" customHeight="1">
      <x:c r="A2378" s="22" t="str">
        <x:f>"01c01396-61f7-45fa-a2ba-736738f0f656"</x:f>
        <x:v>01c01396-61f7-45fa-a2ba-736738f0f656</x:v>
      </x:c>
      <x:c r="B2378" s="23" t="str">
        <x:v>LUCIENE ALVES DE MORAES</x:v>
      </x:c>
      <x:c r="C2378" s="23" t="str">
        <x:v>luciene alves de moraes</x:v>
      </x:c>
      <x:c r="D2378" s="22" t="str">
        <x:f>"64.899.392/0001-55"</x:f>
        <x:v>64.899.392/0001-55</x:v>
      </x:c>
      <x:c r="E2378" s="22" t="str">
        <x:f>"64899392000155"</x:f>
        <x:v>64899392000155</x:v>
      </x:c>
      <x:c r="F2378" s="22" t="str">
        <x:f>"014.233.431-66"</x:f>
        <x:v>014.233.431-66</x:v>
      </x:c>
      <x:c r="G2378" s="22" t="str">
        <x:f>"01423343166"</x:f>
        <x:v>01423343166</x:v>
      </x:c>
      <x:c r="H2378" s="23" t="str">
        <x:v>lucienecompras.2018@gmail.com</x:v>
      </x:c>
      <x:c r="I2378" s="22" t="str">
        <x:f>"65992832787"</x:f>
        <x:v>65992832787</x:v>
      </x:c>
      <x:c r="J2378" s="23" t="str">
        <x:v>SPOT</x:v>
      </x:c>
      <x:c r="K2378" s="23" t="str">
        <x:v>favored_only</x:v>
      </x:c>
      <x:c r="L2378" s="24" t="b">
        <x:v>1</x:v>
      </x:c>
      <x:c r="M2378" s="23" t="n">
        <x:v>1</x:v>
      </x:c>
      <x:c r="N2378" s="28" t="n">
        <x:v>46219.812988715275</x:v>
      </x:c>
      <x:c r="O2378" s="28" t="n">
        <x:v>46219.812988715275</x:v>
      </x:c>
      <x:c r="P2378" s="23" t="str">
        <x:v>PONTES E LACERDA</x:v>
      </x:c>
      <x:c r="Q2378" s="30" t="n">
        <x:v>29848</x:v>
      </x:c>
      <x:c r="R2378" s="22" t="str">
        <x:f>"14182033"</x:f>
        <x:v>14182033</x:v>
      </x:c>
      <x:c r="S2378" s="23" t="str">
        <x:v>feminino</x:v>
      </x:c>
      <x:c r="T2378" s="22" t="str">
        <x:f>"OVM4J86"</x:f>
        <x:v>OVM4J86</x:v>
      </x:c>
      <x:c r="U2378" s="23" t="str">
        <x:v>BEATRIZ ALVES DOMINGOS</x:v>
      </x:c>
      <x:c r="V2378" s="22" t="str">
        <x:f>"060.151.031-32"</x:f>
        <x:v>060.151.031-32</x:v>
      </x:c>
      <x:c r="W2378" s="22" t="str">
        <x:f>"06015103132"</x:f>
        <x:v>06015103132</x:v>
      </x:c>
      <x:c r="X2378" s="23" t="str">
        <x:v>beatrizalvesdomingos377@gmail.com</x:v>
      </x:c>
      <x:c r="Y2378" s="22" t="str">
        <x:f>"65992832787"</x:f>
        <x:v>65992832787</x:v>
      </x:c>
      <x:c r="Z2378" s="30" t="n">
        <x:v>46442</x:v>
      </x:c>
    </x:row>
    <x:row r="2379" ht="18" customHeight="1">
      <x:c r="A2379" s="22" t="str">
        <x:f>"ca73da81-5dc9-4b7d-bfcb-70473e3fc1f9"</x:f>
        <x:v>ca73da81-5dc9-4b7d-bfcb-70473e3fc1f9</x:v>
      </x:c>
      <x:c r="B2379" s="23" t="str">
        <x:v>LUCILENE ALVES DE MORAES</x:v>
      </x:c>
      <x:c r="C2379" s="23" t="str">
        <x:v>lucilene alves de moraes</x:v>
      </x:c>
      <x:c r="D2379" s="22" t="str">
        <x:f>"64.899.392/0001-55"</x:f>
        <x:v>64.899.392/0001-55</x:v>
      </x:c>
      <x:c r="E2379" s="22" t="str">
        <x:f>"64899392000155"</x:f>
        <x:v>64899392000155</x:v>
      </x:c>
      <x:c r="F2379" s="22" t="str">
        <x:f>"946.750.741-20"</x:f>
        <x:v>946.750.741-20</x:v>
      </x:c>
      <x:c r="G2379" s="22" t="str">
        <x:f>"94675074120"</x:f>
        <x:v>94675074120</x:v>
      </x:c>
      <x:c r="H2379" s="23" t="str">
        <x:v>lucilene.meli2026@gmail.com</x:v>
      </x:c>
      <x:c r="I2379" s="22" t="str">
        <x:f>"65992832787"</x:f>
        <x:v>65992832787</x:v>
      </x:c>
      <x:c r="J2379" s="23" t="str">
        <x:v>SPOT</x:v>
      </x:c>
      <x:c r="K2379" s="23" t="str">
        <x:v>favored_only</x:v>
      </x:c>
      <x:c r="L2379" s="24" t="b">
        <x:v>1</x:v>
      </x:c>
      <x:c r="M2379" s="23" t="n">
        <x:v>1</x:v>
      </x:c>
      <x:c r="N2379" s="28" t="n">
        <x:v>46219.812988715275</x:v>
      </x:c>
      <x:c r="O2379" s="28" t="n">
        <x:v>46219.812988715275</x:v>
      </x:c>
      <x:c r="P2379" s="23" t="str">
        <x:v>PONTES E LACERDA</x:v>
      </x:c>
      <x:c r="Q2379" s="30" t="n">
        <x:v>28560</x:v>
      </x:c>
      <x:c r="R2379" s="22" t="str">
        <x:f>"18466419"</x:f>
        <x:v>18466419</x:v>
      </x:c>
      <x:c r="S2379" s="23" t="str">
        <x:v>feminino</x:v>
      </x:c>
      <x:c r="T2379" s="22" t="str">
        <x:f>"OVM4J86"</x:f>
        <x:v>OVM4J86</x:v>
      </x:c>
      <x:c r="U2379" s="23" t="str">
        <x:v>BEATRIZ ALVES DOMINGOS</x:v>
      </x:c>
      <x:c r="V2379" s="22" t="str">
        <x:f>"060.151.031-32"</x:f>
        <x:v>060.151.031-32</x:v>
      </x:c>
      <x:c r="W2379" s="22" t="str">
        <x:f>"06015103132"</x:f>
        <x:v>06015103132</x:v>
      </x:c>
      <x:c r="X2379" s="23" t="str">
        <x:v>beatrizalvesdomingos377@gmail.com</x:v>
      </x:c>
      <x:c r="Y2379" s="22" t="str">
        <x:f>"65992832787"</x:f>
        <x:v>65992832787</x:v>
      </x:c>
      <x:c r="Z2379" s="30" t="n">
        <x:v>46442</x:v>
      </x:c>
    </x:row>
    <x:row r="2380" ht="18" customHeight="1">
      <x:c r="A2380" s="22" t="str">
        <x:f>"ad774fdc-e6bf-4b3a-bdba-425b477b6f3f"</x:f>
        <x:v>ad774fdc-e6bf-4b3a-bdba-425b477b6f3f</x:v>
      </x:c>
      <x:c r="B2380" s="23" t="str">
        <x:v>LUCILENE ALVES MORAES CORREA</x:v>
      </x:c>
      <x:c r="C2380" s="23" t="str">
        <x:v>lucilene alves moraes correa</x:v>
      </x:c>
      <x:c r="D2380" s="22" t="str">
        <x:f>"47.352.784/0001-80"</x:f>
        <x:v>47.352.784/0001-80</x:v>
      </x:c>
      <x:c r="E2380" s="22" t="str">
        <x:f>"47352784000180"</x:f>
        <x:v>47352784000180</x:v>
      </x:c>
      <x:c r="F2380" s="22" t="str">
        <x:f>"946.750.741-20"</x:f>
        <x:v>946.750.741-20</x:v>
      </x:c>
      <x:c r="G2380" s="22" t="str">
        <x:f>"94675074120"</x:f>
        <x:v>94675074120</x:v>
      </x:c>
      <x:c r="H2380" s="23" t="str">
        <x:v>Lucienecompras.2018@gmail.com</x:v>
      </x:c>
      <x:c r="I2380" s="22" t="str">
        <x:f>"(65)99272-6492"</x:f>
        <x:v>(65)99272-6492</x:v>
      </x:c>
      <x:c r="J2380" s="23" t="str">
        <x:v>SPOT</x:v>
      </x:c>
      <x:c r="K2380" s="23" t="str">
        <x:v>favored_only</x:v>
      </x:c>
      <x:c r="L2380" s="24" t="b">
        <x:v>1</x:v>
      </x:c>
      <x:c r="M2380" s="23" t="n">
        <x:v>1</x:v>
      </x:c>
      <x:c r="N2380" s="28" t="n">
        <x:v>46205.6038734375</x:v>
      </x:c>
      <x:c r="O2380" s="28" t="n">
        <x:v>46219.812988715275</x:v>
      </x:c>
      <x:c r="P2380" s="23" t="str">
        <x:v>PONTES E LACERDA</x:v>
      </x:c>
      <x:c r="Q2380" s="30" t="n">
        <x:v>28560</x:v>
      </x:c>
      <x:c r="R2380" s="22" t="str">
        <x:f>"18466419"</x:f>
        <x:v>18466419</x:v>
      </x:c>
      <x:c r="S2380" s="23" t="str">
        <x:v>feminino</x:v>
      </x:c>
      <x:c r="T2380" s="22" t="str">
        <x:f>"NJV4078"</x:f>
        <x:v>NJV4078</x:v>
      </x:c>
      <x:c r="U2380" s="23" t="str">
        <x:v>WESLEY SANTOS ABREU</x:v>
      </x:c>
      <x:c r="V2380" s="22" t="str">
        <x:f>"062.631.491-75"</x:f>
        <x:v>062.631.491-75</x:v>
      </x:c>
      <x:c r="W2380" s="22" t="str">
        <x:f>"06263149175"</x:f>
        <x:v>06263149175</x:v>
      </x:c>
      <x:c r="X2380" s="23" t="str">
        <x:v>wesleysantosabreu13@gmail.com</x:v>
      </x:c>
      <x:c r="Y2380" s="22" t="str">
        <x:f>"65993081162"</x:f>
        <x:v>65993081162</x:v>
      </x:c>
      <x:c r="Z2380" s="30" t="n">
        <x:v>46247</x:v>
      </x:c>
    </x:row>
    <x:row r="2381" ht="18" customHeight="1">
      <x:c r="A2381" s="22" t="str">
        <x:f>"475ad33c-0043-48e1-9c8d-6fddb9f68b4c"</x:f>
        <x:v>475ad33c-0043-48e1-9c8d-6fddb9f68b4c</x:v>
      </x:c>
      <x:c r="B2381" s="23" t="str">
        <x:v>LUCILENE RODRIGUES DE JESUS</x:v>
      </x:c>
      <x:c r="C2381" s="23" t="str">
        <x:v>lucilene rodrigues de jesus</x:v>
      </x:c>
      <x:c r="D2381" s="22" t="str">
        <x:f>"40.651.084/0001-48"</x:f>
        <x:v>40.651.084/0001-48</x:v>
      </x:c>
      <x:c r="E2381" s="22" t="str">
        <x:f>"40651084000148"</x:f>
        <x:v>40651084000148</x:v>
      </x:c>
      <x:c r="F2381" s="22" t="str">
        <x:f>"229.913.228-70"</x:f>
        <x:v>229.913.228-70</x:v>
      </x:c>
      <x:c r="G2381" s="22" t="str">
        <x:f>"22991322870"</x:f>
        <x:v>22991322870</x:v>
      </x:c>
      <x:c r="H2381" s="23" t="str">
        <x:v>lucilene.rodrigues.lr@gmail.com</x:v>
      </x:c>
      <x:c r="I2381" s="22" t="str">
        <x:f>"16997991290"</x:f>
        <x:v>16997991290</x:v>
      </x:c>
      <x:c r="J2381" s="23" t="str">
        <x:v>RENTAL</x:v>
      </x:c>
      <x:c r="K2381" s="23" t="str">
        <x:v>rental_company</x:v>
      </x:c>
      <x:c r="L2381" s="24" t="b">
        <x:v>1</x:v>
      </x:c>
      <x:c r="M2381" s="23" t="n">
        <x:v>1</x:v>
      </x:c>
      <x:c r="N2381" s="28" t="n">
        <x:v>46219.812988715275</x:v>
      </x:c>
      <x:c r="O2381" s="28" t="n">
        <x:v>46219.812988715275</x:v>
      </x:c>
      <x:c r="P2381" s="23" t="str">
        <x:v>SÃO CARLOS</x:v>
      </x:c>
      <x:c r="Q2381" s="30" t="n">
        <x:v>32223</x:v>
      </x:c>
      <x:c r="R2381" s="22" t="str">
        <x:f>"41.263.206-8"</x:f>
        <x:v>41.263.206-8</x:v>
      </x:c>
      <x:c r="S2381" s="23" t="str">
        <x:v>feminino</x:v>
      </x:c>
      <x:c r="T2381" s="22" t="str"/>
      <x:c r="U2381" s="23" t="str">
        <x:v>LUCILENE RODRIGUES DE JESUS</x:v>
      </x:c>
      <x:c r="V2381" s="22" t="str">
        <x:f>"229.913.228-70"</x:f>
        <x:v>229.913.228-70</x:v>
      </x:c>
      <x:c r="W2381" s="22" t="str">
        <x:f>"22991322870"</x:f>
        <x:v>22991322870</x:v>
      </x:c>
      <x:c r="X2381" s="23" t="str">
        <x:v>lucilene.rodrigues.lr@gmail.com</x:v>
      </x:c>
      <x:c r="Y2381" s="22" t="str">
        <x:f>"16997991290"</x:f>
        <x:v>16997991290</x:v>
      </x:c>
      <x:c r="Z2381" s="30" t="n">
        <x:v>46554</x:v>
      </x:c>
    </x:row>
    <x:row r="2382" ht="18" customHeight="1">
      <x:c r="A2382" s="22" t="str">
        <x:f>"138685c3-267f-4963-84de-2f58b3d72792"</x:f>
        <x:v>138685c3-267f-4963-84de-2f58b3d72792</x:v>
      </x:c>
      <x:c r="B2382" s="23" t="str">
        <x:v>LUCIMAR GOMES HARTHCOPF</x:v>
      </x:c>
      <x:c r="C2382" s="23" t="str">
        <x:v>lucimar gomes harthcopf</x:v>
      </x:c>
      <x:c r="D2382" s="22" t="str">
        <x:f>"63.293.236/0001-74"</x:f>
        <x:v>63.293.236/0001-74</x:v>
      </x:c>
      <x:c r="E2382" s="22" t="str">
        <x:f>"63293236000174"</x:f>
        <x:v>63293236000174</x:v>
      </x:c>
      <x:c r="F2382" s="22" t="str">
        <x:f>"05084051145"</x:f>
        <x:v>05084051145</x:v>
      </x:c>
      <x:c r="G2382" s="22" t="str">
        <x:f>"05084051145"</x:f>
        <x:v>05084051145</x:v>
      </x:c>
      <x:c r="H2382" s="23" t="str">
        <x:v>lucimar_harthcopf@hotmail.com</x:v>
      </x:c>
      <x:c r="I2382" s="22" t="str">
        <x:f>"65984050346"</x:f>
        <x:v>65984050346</x:v>
      </x:c>
      <x:c r="J2382" s="23" t="str">
        <x:v>SPOT</x:v>
      </x:c>
      <x:c r="K2382" s="23" t="str">
        <x:v>favored_only</x:v>
      </x:c>
      <x:c r="L2382" s="24" t="b">
        <x:v>1</x:v>
      </x:c>
      <x:c r="M2382" s="23" t="n">
        <x:v>1</x:v>
      </x:c>
      <x:c r="N2382" s="28" t="n">
        <x:v>46203.92188238426</x:v>
      </x:c>
      <x:c r="O2382" s="28" t="n">
        <x:v>46203.92188238426</x:v>
      </x:c>
      <x:c r="P2382" s="23" t="str"/>
      <x:c r="Q2382" s="30" t="str"/>
      <x:c r="R2382" s="22" t="str"/>
      <x:c r="S2382" s="23" t="str"/>
      <x:c r="T2382" s="22" t="str"/>
      <x:c r="U2382" s="23" t="str">
        <x:v>LUCIMAR GOMES HARTHCOPF</x:v>
      </x:c>
      <x:c r="V2382" s="22" t="str">
        <x:f>"05084051145"</x:f>
        <x:v>05084051145</x:v>
      </x:c>
      <x:c r="W2382" s="22" t="str">
        <x:f>"05084051145"</x:f>
        <x:v>05084051145</x:v>
      </x:c>
      <x:c r="X2382" s="23" t="str">
        <x:v>lucimar_harthcopf@hotmail.com</x:v>
      </x:c>
      <x:c r="Y2382" s="22" t="str">
        <x:f>"65984050346"</x:f>
        <x:v>65984050346</x:v>
      </x:c>
      <x:c r="Z2382" s="30" t="str"/>
    </x:row>
    <x:row r="2383" ht="18" customHeight="1">
      <x:c r="A2383" s="22" t="str">
        <x:f>"dde73e75-777b-474a-af66-5182ee73e2ef"</x:f>
        <x:v>dde73e75-777b-474a-af66-5182ee73e2ef</x:v>
      </x:c>
      <x:c r="B2383" s="23" t="str">
        <x:v>LUCIMAR GOMES HARTHCOPF</x:v>
      </x:c>
      <x:c r="C2383" s="23" t="str">
        <x:v>lucimar gomes harthcopf</x:v>
      </x:c>
      <x:c r="D2383" s="22" t="str">
        <x:f>"63.293.326/0001-74"</x:f>
        <x:v>63.293.326/0001-74</x:v>
      </x:c>
      <x:c r="E2383" s="22" t="str">
        <x:f>"63293326000174"</x:f>
        <x:v>63293326000174</x:v>
      </x:c>
      <x:c r="F2383" s="22" t="str">
        <x:f>"05084051145"</x:f>
        <x:v>05084051145</x:v>
      </x:c>
      <x:c r="G2383" s="22" t="str">
        <x:f>"05084051145"</x:f>
        <x:v>05084051145</x:v>
      </x:c>
      <x:c r="H2383" s="23" t="str">
        <x:v>lucimar_harthcopf@hotmail.com</x:v>
      </x:c>
      <x:c r="I2383" s="22" t="str">
        <x:f>"65 984050346"</x:f>
        <x:v>65 984050346</x:v>
      </x:c>
      <x:c r="J2383" s="23" t="str">
        <x:v>SPOT</x:v>
      </x:c>
      <x:c r="K2383" s="23" t="str">
        <x:v>favored_only</x:v>
      </x:c>
      <x:c r="L2383" s="24" t="b">
        <x:v>1</x:v>
      </x:c>
      <x:c r="M2383" s="23" t="n">
        <x:v>4</x:v>
      </x:c>
      <x:c r="N2383" s="28" t="n">
        <x:v>46203.921887453704</x:v>
      </x:c>
      <x:c r="O2383" s="28" t="n">
        <x:v>46203.921887453704</x:v>
      </x:c>
      <x:c r="P2383" s="23" t="str"/>
      <x:c r="Q2383" s="30" t="str"/>
      <x:c r="R2383" s="22" t="str"/>
      <x:c r="S2383" s="23" t="str"/>
      <x:c r="T2383" s="22" t="str"/>
      <x:c r="U2383" s="23" t="str">
        <x:v>LUCIMAR GOMES HARTHCOPF</x:v>
      </x:c>
      <x:c r="V2383" s="22" t="str">
        <x:f>"050.840.511-45"</x:f>
        <x:v>050.840.511-45</x:v>
      </x:c>
      <x:c r="W2383" s="22" t="str">
        <x:f>"05084051145"</x:f>
        <x:v>05084051145</x:v>
      </x:c>
      <x:c r="X2383" s="23" t="str">
        <x:v>lucimar_harthcopf@hotmail.com</x:v>
      </x:c>
      <x:c r="Y2383" s="22" t="str">
        <x:f>"65 98405-0346"</x:f>
        <x:v>65 98405-0346</x:v>
      </x:c>
      <x:c r="Z2383" s="30" t="str"/>
    </x:row>
    <x:row r="2384" ht="18" customHeight="1">
      <x:c r="A2384" s="22" t="str">
        <x:f>"eca53c62-d3c0-4c86-bdcc-027682cd2549"</x:f>
        <x:v>eca53c62-d3c0-4c86-bdcc-027682cd2549</x:v>
      </x:c>
      <x:c r="B2384" s="23" t="str">
        <x:v>LUCIMEIRE MOREIRA DOS SANTOS</x:v>
      </x:c>
      <x:c r="C2384" s="23" t="str">
        <x:v>lucimeire moreira dos santos</x:v>
      </x:c>
      <x:c r="D2384" s="22" t="str">
        <x:f>"50.472.162/0001-09"</x:f>
        <x:v>50.472.162/0001-09</x:v>
      </x:c>
      <x:c r="E2384" s="22" t="str">
        <x:f>"50472162000109"</x:f>
        <x:v>50472162000109</x:v>
      </x:c>
      <x:c r="F2384" s="22" t="str">
        <x:f>"309.974.948-67"</x:f>
        <x:v>309.974.948-67</x:v>
      </x:c>
      <x:c r="G2384" s="22" t="str">
        <x:f>"30997494867"</x:f>
        <x:v>30997494867</x:v>
      </x:c>
      <x:c r="H2384" s="23" t="str">
        <x:v>mlucimeire53@gmail.com</x:v>
      </x:c>
      <x:c r="I2384" s="22" t="str">
        <x:f>"17996719876"</x:f>
        <x:v>17996719876</x:v>
      </x:c>
      <x:c r="J2384" s="23" t="str">
        <x:v>RENTAL</x:v>
      </x:c>
      <x:c r="K2384" s="23" t="str">
        <x:v>rental_company</x:v>
      </x:c>
      <x:c r="L2384" s="24" t="b">
        <x:v>1</x:v>
      </x:c>
      <x:c r="M2384" s="23" t="n">
        <x:v>1</x:v>
      </x:c>
      <x:c r="N2384" s="28" t="n">
        <x:v>46203.92183017361</x:v>
      </x:c>
      <x:c r="O2384" s="28" t="n">
        <x:v>46219.812988715275</x:v>
      </x:c>
      <x:c r="P2384" s="23" t="str">
        <x:v>JALES</x:v>
      </x:c>
      <x:c r="Q2384" s="30" t="n">
        <x:v>29763</x:v>
      </x:c>
      <x:c r="R2384" s="22" t="str">
        <x:f>"34128044"</x:f>
        <x:v>34128044</x:v>
      </x:c>
      <x:c r="S2384" s="23" t="str">
        <x:v>feminino</x:v>
      </x:c>
      <x:c r="T2384" s="22" t="str"/>
      <x:c r="U2384" s="23" t="str">
        <x:v>LUCIMEIRE MOREIRA DOS SANTOS</x:v>
      </x:c>
      <x:c r="V2384" s="22" t="str">
        <x:f>"309.974.948-67"</x:f>
        <x:v>309.974.948-67</x:v>
      </x:c>
      <x:c r="W2384" s="22" t="str">
        <x:f>"30997494867"</x:f>
        <x:v>30997494867</x:v>
      </x:c>
      <x:c r="X2384" s="23" t="str">
        <x:v>mlucimeire53@gmail.com</x:v>
      </x:c>
      <x:c r="Y2384" s="22" t="str">
        <x:f>"17996719876"</x:f>
        <x:v>17996719876</x:v>
      </x:c>
      <x:c r="Z2384" s="30" t="n">
        <x:v>46317</x:v>
      </x:c>
    </x:row>
    <x:row r="2385" ht="18" customHeight="1">
      <x:c r="A2385" s="22" t="str">
        <x:f>"7547415e-d1ec-48d8-abbd-e29c219f18a5"</x:f>
        <x:v>7547415e-d1ec-48d8-abbd-e29c219f18a5</x:v>
      </x:c>
      <x:c r="B2385" s="23" t="str">
        <x:v>LUCINEIA JORGE NASCIMENTO</x:v>
      </x:c>
      <x:c r="C2385" s="23" t="str">
        <x:v>lucineia jorge nascimento</x:v>
      </x:c>
      <x:c r="D2385" s="22" t="str">
        <x:f>"58.443.039/0001-63"</x:f>
        <x:v>58.443.039/0001-63</x:v>
      </x:c>
      <x:c r="E2385" s="22" t="str">
        <x:f>"58443039000163"</x:f>
        <x:v>58443039000163</x:v>
      </x:c>
      <x:c r="F2385" s="22" t="str">
        <x:f>"29665989804"</x:f>
        <x:v>29665989804</x:v>
      </x:c>
      <x:c r="G2385" s="22" t="str">
        <x:f>"29665989804"</x:f>
        <x:v>29665989804</x:v>
      </x:c>
      <x:c r="H2385" s="23" t="str">
        <x:v>lujnascimento2007@hotmail.com</x:v>
      </x:c>
      <x:c r="I2385" s="22" t="str">
        <x:f>"31997301200"</x:f>
        <x:v>31997301200</x:v>
      </x:c>
      <x:c r="J2385" s="23" t="str">
        <x:v>SPOT</x:v>
      </x:c>
      <x:c r="K2385" s="23" t="str">
        <x:v>favored_only</x:v>
      </x:c>
      <x:c r="L2385" s="24" t="b">
        <x:v>1</x:v>
      </x:c>
      <x:c r="M2385" s="23" t="n">
        <x:v>1</x:v>
      </x:c>
      <x:c r="N2385" s="28" t="n">
        <x:v>46203.92188238426</x:v>
      </x:c>
      <x:c r="O2385" s="28" t="n">
        <x:v>46220.50399664352</x:v>
      </x:c>
      <x:c r="P2385" s="23" t="str">
        <x:v>CONCEIÇÃO DO MATO DENTRO</x:v>
      </x:c>
      <x:c r="Q2385" s="30" t="str"/>
      <x:c r="R2385" s="22" t="str"/>
      <x:c r="S2385" s="23" t="str"/>
      <x:c r="T2385" s="22" t="str"/>
      <x:c r="U2385" s="23" t="str">
        <x:v>LUCINEIA JORGE NASCIMENTO</x:v>
      </x:c>
      <x:c r="V2385" s="22" t="str">
        <x:f>"29665989804"</x:f>
        <x:v>29665989804</x:v>
      </x:c>
      <x:c r="W2385" s="22" t="str">
        <x:f>"29665989804"</x:f>
        <x:v>29665989804</x:v>
      </x:c>
      <x:c r="X2385" s="23" t="str">
        <x:v>lujnascimento2007@hotmail.com</x:v>
      </x:c>
      <x:c r="Y2385" s="22" t="str">
        <x:f>"31997301200"</x:f>
        <x:v>31997301200</x:v>
      </x:c>
      <x:c r="Z2385" s="30" t="str"/>
    </x:row>
    <x:row r="2386" ht="18" customHeight="1">
      <x:c r="A2386" s="22" t="str">
        <x:f>"eb3e02d9-d9bd-4ed0-a7d6-782ddd1f37a8"</x:f>
        <x:v>eb3e02d9-d9bd-4ed0-a7d6-782ddd1f37a8</x:v>
      </x:c>
      <x:c r="B2386" s="23" t="str">
        <x:v>LUCINEIA SILVA SANTOS XAVIER</x:v>
      </x:c>
      <x:c r="C2386" s="23" t="str">
        <x:v>lucineia silva santos xavier</x:v>
      </x:c>
      <x:c r="D2386" s="22" t="str">
        <x:f>"62.671.621/0001-54"</x:f>
        <x:v>62.671.621/0001-54</x:v>
      </x:c>
      <x:c r="E2386" s="22" t="str">
        <x:f>"62671621000154"</x:f>
        <x:v>62671621000154</x:v>
      </x:c>
      <x:c r="F2386" s="22" t="str">
        <x:f>"043.586.928-00"</x:f>
        <x:v>043.586.928-00</x:v>
      </x:c>
      <x:c r="G2386" s="22" t="str">
        <x:f>"04358692800"</x:f>
        <x:v>04358692800</x:v>
      </x:c>
      <x:c r="H2386" s="23" t="str">
        <x:v>xaviereurico989@gmail.com</x:v>
      </x:c>
      <x:c r="I2386" s="22" t="str">
        <x:f>"18 99650-2258"</x:f>
        <x:v>18 99650-2258</x:v>
      </x:c>
      <x:c r="J2386" s="23" t="str">
        <x:v>SPOT</x:v>
      </x:c>
      <x:c r="K2386" s="23" t="str">
        <x:v>favored_only</x:v>
      </x:c>
      <x:c r="L2386" s="24" t="b">
        <x:v>1</x:v>
      </x:c>
      <x:c r="M2386" s="23" t="n">
        <x:v>1</x:v>
      </x:c>
      <x:c r="N2386" s="28" t="n">
        <x:v>46203.92188238426</x:v>
      </x:c>
      <x:c r="O2386" s="28" t="n">
        <x:v>46203.92188238426</x:v>
      </x:c>
      <x:c r="P2386" s="23" t="str"/>
      <x:c r="Q2386" s="30" t="str"/>
      <x:c r="R2386" s="22" t="str"/>
      <x:c r="S2386" s="23" t="str"/>
      <x:c r="T2386" s="22" t="str"/>
      <x:c r="U2386" s="23" t="str">
        <x:v>LUCINEIA SILVA SANTOS XAVIER</x:v>
      </x:c>
      <x:c r="V2386" s="22" t="str">
        <x:f>"043.586.928-00"</x:f>
        <x:v>043.586.928-00</x:v>
      </x:c>
      <x:c r="W2386" s="22" t="str">
        <x:f>"04358692800"</x:f>
        <x:v>04358692800</x:v>
      </x:c>
      <x:c r="X2386" s="23" t="str">
        <x:v>xaviereurico989@gmail.com</x:v>
      </x:c>
      <x:c r="Y2386" s="22" t="str">
        <x:f>"18 99650-2258"</x:f>
        <x:v>18 99650-2258</x:v>
      </x:c>
      <x:c r="Z2386" s="30" t="str"/>
    </x:row>
    <x:row r="2387" ht="18" customHeight="1">
      <x:c r="A2387" s="22" t="str">
        <x:f>"9cc7c7f5-e470-4ea6-bee5-8092deb47d49"</x:f>
        <x:v>9cc7c7f5-e470-4ea6-bee5-8092deb47d49</x:v>
      </x:c>
      <x:c r="B2387" s="23" t="str">
        <x:v>LUCIO JOSE CAETANO</x:v>
      </x:c>
      <x:c r="C2387" s="23" t="str">
        <x:v>lucio jose caetano</x:v>
      </x:c>
      <x:c r="D2387" s="22" t="str">
        <x:f>"57.857.491/0001-09"</x:f>
        <x:v>57.857.491/0001-09</x:v>
      </x:c>
      <x:c r="E2387" s="22" t="str">
        <x:f>"57857491000109"</x:f>
        <x:v>57857491000109</x:v>
      </x:c>
      <x:c r="F2387" s="22" t="str">
        <x:f>"083.314.436-75"</x:f>
        <x:v>083.314.436-75</x:v>
      </x:c>
      <x:c r="G2387" s="22" t="str">
        <x:f>"08331443675"</x:f>
        <x:v>08331443675</x:v>
      </x:c>
      <x:c r="H2387" s="23" t="str">
        <x:v>luciocaetano04@gmail.com</x:v>
      </x:c>
      <x:c r="I2387" s="22" t="str">
        <x:f>"31972320341"</x:f>
        <x:v>31972320341</x:v>
      </x:c>
      <x:c r="J2387" s="23" t="str">
        <x:v>RENTAL</x:v>
      </x:c>
      <x:c r="K2387" s="23" t="str">
        <x:v>rental_company</x:v>
      </x:c>
      <x:c r="L2387" s="24" t="b">
        <x:v>1</x:v>
      </x:c>
      <x:c r="M2387" s="23" t="n">
        <x:v>1</x:v>
      </x:c>
      <x:c r="N2387" s="28" t="n">
        <x:v>46203.92183017361</x:v>
      </x:c>
      <x:c r="O2387" s="28" t="n">
        <x:v>46219.812988715275</x:v>
      </x:c>
      <x:c r="P2387" s="23" t="str">
        <x:v>IPATINGA</x:v>
      </x:c>
      <x:c r="Q2387" s="30" t="n">
        <x:v>31588</x:v>
      </x:c>
      <x:c r="R2387" s="22" t="str">
        <x:f>"14746477"</x:f>
        <x:v>14746477</x:v>
      </x:c>
      <x:c r="S2387" s="23" t="str">
        <x:v>masculino</x:v>
      </x:c>
      <x:c r="T2387" s="22" t="str"/>
      <x:c r="U2387" s="23" t="str">
        <x:v>LUCIO JOSE CAETANO</x:v>
      </x:c>
      <x:c r="V2387" s="22" t="str">
        <x:f>"083.314.436-75"</x:f>
        <x:v>083.314.436-75</x:v>
      </x:c>
      <x:c r="W2387" s="22" t="str">
        <x:f>"08331443675"</x:f>
        <x:v>08331443675</x:v>
      </x:c>
      <x:c r="X2387" s="23" t="str">
        <x:v>luciocaetano04@gmail.com</x:v>
      </x:c>
      <x:c r="Y2387" s="22" t="str">
        <x:f>"31972320341"</x:f>
        <x:v>31972320341</x:v>
      </x:c>
      <x:c r="Z2387" s="30" t="n">
        <x:v>46294</x:v>
      </x:c>
    </x:row>
    <x:row r="2388" ht="18" customHeight="1">
      <x:c r="A2388" s="22" t="str">
        <x:f>"9e2d1747-f6a7-4df2-a406-0448441ed612"</x:f>
        <x:v>9e2d1747-f6a7-4df2-a406-0448441ed612</x:v>
      </x:c>
      <x:c r="B2388" s="23" t="str">
        <x:v>LUDIO DA SILVA MENDES</x:v>
      </x:c>
      <x:c r="C2388" s="23" t="str">
        <x:v>ludio da silva mendes</x:v>
      </x:c>
      <x:c r="D2388" s="22" t="str">
        <x:f>"62.414.542/0001-68"</x:f>
        <x:v>62.414.542/0001-68</x:v>
      </x:c>
      <x:c r="E2388" s="22" t="str">
        <x:f>"62414542000168"</x:f>
        <x:v>62414542000168</x:v>
      </x:c>
      <x:c r="F2388" s="22" t="str">
        <x:f>"460.396.701-72"</x:f>
        <x:v>460.396.701-72</x:v>
      </x:c>
      <x:c r="G2388" s="22" t="str">
        <x:f>"46039670172"</x:f>
        <x:v>46039670172</x:v>
      </x:c>
      <x:c r="H2388" s="23" t="str">
        <x:v>ludio.life@gmail.com</x:v>
      </x:c>
      <x:c r="I2388" s="22" t="str">
        <x:f>"65992930004"</x:f>
        <x:v>65992930004</x:v>
      </x:c>
      <x:c r="J2388" s="23" t="str">
        <x:v>RENTAL</x:v>
      </x:c>
      <x:c r="K2388" s="23" t="str">
        <x:v>rental_company</x:v>
      </x:c>
      <x:c r="L2388" s="24" t="b">
        <x:v>1</x:v>
      </x:c>
      <x:c r="M2388" s="23" t="n">
        <x:v>1</x:v>
      </x:c>
      <x:c r="N2388" s="28" t="n">
        <x:v>46203.9218771875</x:v>
      </x:c>
      <x:c r="O2388" s="28" t="n">
        <x:v>46219.812988715275</x:v>
      </x:c>
      <x:c r="P2388" s="23" t="str">
        <x:v>CUIABA</x:v>
      </x:c>
      <x:c r="Q2388" s="30" t="n">
        <x:v>26165</x:v>
      </x:c>
      <x:c r="R2388" s="22" t="str">
        <x:f>"6842801"</x:f>
        <x:v>6842801</x:v>
      </x:c>
      <x:c r="S2388" s="23" t="str">
        <x:v>masculino</x:v>
      </x:c>
      <x:c r="T2388" s="22" t="str"/>
      <x:c r="U2388" s="23" t="str">
        <x:v>LUDIO DA SILVA MENDES</x:v>
      </x:c>
      <x:c r="V2388" s="22" t="str">
        <x:f>"460.396.701-72"</x:f>
        <x:v>460.396.701-72</x:v>
      </x:c>
      <x:c r="W2388" s="22" t="str">
        <x:f>"46039670172"</x:f>
        <x:v>46039670172</x:v>
      </x:c>
      <x:c r="X2388" s="23" t="str">
        <x:v>ludio.life@gmail.com</x:v>
      </x:c>
      <x:c r="Y2388" s="22" t="str">
        <x:f>"65992930004"</x:f>
        <x:v>65992930004</x:v>
      </x:c>
      <x:c r="Z2388" s="30" t="n">
        <x:v>46308</x:v>
      </x:c>
    </x:row>
    <x:row r="2389" ht="18" customHeight="1">
      <x:c r="A2389" s="22" t="str">
        <x:f>"2f926020-1cc8-44da-a657-a22b2a460493"</x:f>
        <x:v>2f926020-1cc8-44da-a657-a22b2a460493</x:v>
      </x:c>
      <x:c r="B2389" s="23" t="str">
        <x:v>Ludmila de Sales Abreu França</x:v>
      </x:c>
      <x:c r="C2389" s="23" t="str">
        <x:v>ludmila de sales abreu franca</x:v>
      </x:c>
      <x:c r="D2389" s="22" t="str">
        <x:f>"57.259.701/0001-67"</x:f>
        <x:v>57.259.701/0001-67</x:v>
      </x:c>
      <x:c r="E2389" s="22" t="str">
        <x:f>"57259701000167"</x:f>
        <x:v>57259701000167</x:v>
      </x:c>
      <x:c r="F2389" s="22" t="str">
        <x:f>"091.725.747-20"</x:f>
        <x:v>091.725.747-20</x:v>
      </x:c>
      <x:c r="G2389" s="22" t="str">
        <x:f>"09172574720"</x:f>
        <x:v>09172574720</x:v>
      </x:c>
      <x:c r="H2389" s="23" t="str">
        <x:v>Leofranca100@gmail.com</x:v>
      </x:c>
      <x:c r="I2389" s="22" t="str">
        <x:f>"22996101064"</x:f>
        <x:v>22996101064</x:v>
      </x:c>
      <x:c r="J2389" s="23" t="str">
        <x:v>SPOT</x:v>
      </x:c>
      <x:c r="K2389" s="23" t="str">
        <x:v>favored_only</x:v>
      </x:c>
      <x:c r="L2389" s="24" t="b">
        <x:v>1</x:v>
      </x:c>
      <x:c r="M2389" s="23" t="n">
        <x:v>1</x:v>
      </x:c>
      <x:c r="N2389" s="28" t="n">
        <x:v>46203.92189349537</x:v>
      </x:c>
      <x:c r="O2389" s="28" t="n">
        <x:v>46203.92189349537</x:v>
      </x:c>
      <x:c r="P2389" s="23" t="str"/>
      <x:c r="Q2389" s="30" t="str"/>
      <x:c r="R2389" s="22" t="str"/>
      <x:c r="S2389" s="23" t="str"/>
      <x:c r="T2389" s="22" t="str"/>
      <x:c r="U2389" s="23" t="str">
        <x:v>Ludmila de Sales Abreu França</x:v>
      </x:c>
      <x:c r="V2389" s="22" t="str">
        <x:f>"091.725.747-20"</x:f>
        <x:v>091.725.747-20</x:v>
      </x:c>
      <x:c r="W2389" s="22" t="str">
        <x:f>"09172574720"</x:f>
        <x:v>09172574720</x:v>
      </x:c>
      <x:c r="X2389" s="23" t="str">
        <x:v>Leofranca100@gmail.com</x:v>
      </x:c>
      <x:c r="Y2389" s="22" t="str">
        <x:f>"22996101064"</x:f>
        <x:v>22996101064</x:v>
      </x:c>
      <x:c r="Z2389" s="30" t="str"/>
    </x:row>
    <x:row r="2390" ht="18" customHeight="1">
      <x:c r="A2390" s="22" t="str">
        <x:f>"c67c57a9-8377-41a6-a3f7-6cc046853146"</x:f>
        <x:v>c67c57a9-8377-41a6-a3f7-6cc046853146</x:v>
      </x:c>
      <x:c r="B2390" s="23" t="str">
        <x:v>LUIS ANTONIO GERONYMO</x:v>
      </x:c>
      <x:c r="C2390" s="23" t="str">
        <x:v>luis antonio geronymo</x:v>
      </x:c>
      <x:c r="D2390" s="22" t="str">
        <x:f>"67.606.615/0001-37"</x:f>
        <x:v>67.606.615/0001-37</x:v>
      </x:c>
      <x:c r="E2390" s="22" t="str">
        <x:f>"67606615000137"</x:f>
        <x:v>67606615000137</x:v>
      </x:c>
      <x:c r="F2390" s="22" t="str">
        <x:f>"005.458.788-54"</x:f>
        <x:v>005.458.788-54</x:v>
      </x:c>
      <x:c r="G2390" s="22" t="str">
        <x:f>"00545878854"</x:f>
        <x:v>00545878854</x:v>
      </x:c>
      <x:c r="H2390" s="23" t="str">
        <x:v>geronymovoador@gmail.com</x:v>
      </x:c>
      <x:c r="I2390" s="22" t="str">
        <x:f>"+55 14 99722-4346"</x:f>
        <x:v>+55 14 99722-4346</x:v>
      </x:c>
      <x:c r="J2390" s="23" t="str">
        <x:v>SPOT</x:v>
      </x:c>
      <x:c r="K2390" s="23" t="str">
        <x:v>favored_only</x:v>
      </x:c>
      <x:c r="L2390" s="24" t="b">
        <x:v>1</x:v>
      </x:c>
      <x:c r="M2390" s="23" t="n">
        <x:v>1</x:v>
      </x:c>
      <x:c r="N2390" s="28" t="n">
        <x:v>46219.812988715275</x:v>
      </x:c>
      <x:c r="O2390" s="28" t="n">
        <x:v>46219.812988715275</x:v>
      </x:c>
      <x:c r="P2390" s="23" t="str">
        <x:v>MARILIA</x:v>
      </x:c>
      <x:c r="Q2390" s="30" t="n">
        <x:v>22292</x:v>
      </x:c>
      <x:c r="R2390" s="22" t="str">
        <x:f>"12868950"</x:f>
        <x:v>12868950</x:v>
      </x:c>
      <x:c r="S2390" s="23" t="str">
        <x:v>masculino</x:v>
      </x:c>
      <x:c r="T2390" s="22" t="str">
        <x:f>"EXK8G63"</x:f>
        <x:v>EXK8G63</x:v>
      </x:c>
      <x:c r="U2390" s="23" t="str">
        <x:v>LUIS ANTONIO GERONYMO</x:v>
      </x:c>
      <x:c r="V2390" s="22" t="str">
        <x:f>"005.458.788-54"</x:f>
        <x:v>005.458.788-54</x:v>
      </x:c>
      <x:c r="W2390" s="22" t="str">
        <x:f>"00545878854"</x:f>
        <x:v>00545878854</x:v>
      </x:c>
      <x:c r="X2390" s="23" t="str">
        <x:v>geronymovoador@gmail.com</x:v>
      </x:c>
      <x:c r="Y2390" s="22" t="str">
        <x:f>"+55 14 99722-4346"</x:f>
        <x:v>+55 14 99722-4346</x:v>
      </x:c>
      <x:c r="Z2390" s="30" t="n">
        <x:v>46563</x:v>
      </x:c>
    </x:row>
    <x:row r="2391" ht="18" customHeight="1">
      <x:c r="A2391" s="22" t="str">
        <x:f>"21684a3f-29b6-47c0-8235-531343ef5d85"</x:f>
        <x:v>21684a3f-29b6-47c0-8235-531343ef5d85</x:v>
      </x:c>
      <x:c r="B2391" s="23" t="str">
        <x:v>LUIS CARLOS DA CRUZ</x:v>
      </x:c>
      <x:c r="C2391" s="23" t="str">
        <x:v>luis carlos da cruz</x:v>
      </x:c>
      <x:c r="D2391" s="22" t="str">
        <x:f>"41.479.302/0001-71"</x:f>
        <x:v>41.479.302/0001-71</x:v>
      </x:c>
      <x:c r="E2391" s="22" t="str">
        <x:f>"41479302000171"</x:f>
        <x:v>41479302000171</x:v>
      </x:c>
      <x:c r="F2391" s="22" t="str">
        <x:f>"042.647.021-43"</x:f>
        <x:v>042.647.021-43</x:v>
      </x:c>
      <x:c r="G2391" s="22" t="str">
        <x:f>"04264702143"</x:f>
        <x:v>04264702143</x:v>
      </x:c>
      <x:c r="H2391" s="23" t="str">
        <x:v>lccruz4512@gmail.com</x:v>
      </x:c>
      <x:c r="I2391" s="22" t="str">
        <x:f>"66 9281-2478"</x:f>
        <x:v>66 9281-2478</x:v>
      </x:c>
      <x:c r="J2391" s="23" t="str">
        <x:v>SPOT</x:v>
      </x:c>
      <x:c r="K2391" s="23" t="str">
        <x:v>favored_only</x:v>
      </x:c>
      <x:c r="L2391" s="24" t="b">
        <x:v>1</x:v>
      </x:c>
      <x:c r="M2391" s="23" t="n">
        <x:v>1</x:v>
      </x:c>
      <x:c r="N2391" s="28" t="n">
        <x:v>46203.9219084375</x:v>
      </x:c>
      <x:c r="O2391" s="28" t="n">
        <x:v>46219.812988715275</x:v>
      </x:c>
      <x:c r="P2391" s="23" t="str">
        <x:v>SINOP</x:v>
      </x:c>
      <x:c r="Q2391" s="30" t="n">
        <x:v>34255</x:v>
      </x:c>
      <x:c r="R2391" s="22" t="str">
        <x:f>"23269685"</x:f>
        <x:v>23269685</x:v>
      </x:c>
      <x:c r="S2391" s="23" t="str">
        <x:v>masculino</x:v>
      </x:c>
      <x:c r="T2391" s="22" t="str">
        <x:f>"OBM1D64"</x:f>
        <x:v>OBM1D64</x:v>
      </x:c>
      <x:c r="U2391" s="23" t="str">
        <x:v>LUIS CARLOS DA SILVA</x:v>
      </x:c>
      <x:c r="V2391" s="22" t="str">
        <x:f>"042.647.021-43"</x:f>
        <x:v>042.647.021-43</x:v>
      </x:c>
      <x:c r="W2391" s="22" t="str">
        <x:f>"04264702143"</x:f>
        <x:v>04264702143</x:v>
      </x:c>
      <x:c r="X2391" s="23" t="str">
        <x:v>lccruz4512@gmail.com</x:v>
      </x:c>
      <x:c r="Y2391" s="22" t="str">
        <x:f>"66 9281-2478"</x:f>
        <x:v>66 9281-2478</x:v>
      </x:c>
      <x:c r="Z2391" s="30" t="n">
        <x:v>46402</x:v>
      </x:c>
    </x:row>
    <x:row r="2392" ht="18" customHeight="1">
      <x:c r="A2392" s="22" t="str">
        <x:f>"847549b3-3cb8-4dd5-bc2b-385ba9cd9ba2"</x:f>
        <x:v>847549b3-3cb8-4dd5-bc2b-385ba9cd9ba2</x:v>
      </x:c>
      <x:c r="B2392" s="23" t="str">
        <x:v>LUIS CESAR JACINTO CARRION</x:v>
      </x:c>
      <x:c r="C2392" s="23" t="str">
        <x:v>luis cesar jacinto carrion</x:v>
      </x:c>
      <x:c r="D2392" s="22" t="str">
        <x:f>"62.507.668/0001-87"</x:f>
        <x:v>62.507.668/0001-87</x:v>
      </x:c>
      <x:c r="E2392" s="22" t="str">
        <x:f>"62507668000187"</x:f>
        <x:v>62507668000187</x:v>
      </x:c>
      <x:c r="F2392" s="22" t="str">
        <x:f>"305.651.688-94"</x:f>
        <x:v>305.651.688-94</x:v>
      </x:c>
      <x:c r="G2392" s="22" t="str">
        <x:f>"30565168894"</x:f>
        <x:v>30565168894</x:v>
      </x:c>
      <x:c r="H2392" s="23" t="str">
        <x:v>dyde606@gmail.com</x:v>
      </x:c>
      <x:c r="I2392" s="22" t="str">
        <x:f>"18 997267848"</x:f>
        <x:v>18 997267848</x:v>
      </x:c>
      <x:c r="J2392" s="23" t="str">
        <x:v>RENTAL</x:v>
      </x:c>
      <x:c r="K2392" s="23" t="str">
        <x:v>rental_company</x:v>
      </x:c>
      <x:c r="L2392" s="24" t="b">
        <x:v>1</x:v>
      </x:c>
      <x:c r="M2392" s="23" t="n">
        <x:v>1</x:v>
      </x:c>
      <x:c r="N2392" s="28" t="n">
        <x:v>46203.92189349537</x:v>
      </x:c>
      <x:c r="O2392" s="28" t="n">
        <x:v>46219.812988715275</x:v>
      </x:c>
      <x:c r="P2392" s="23" t="str">
        <x:v>PRESIDENTE PRUDENTE</x:v>
      </x:c>
      <x:c r="Q2392" s="30" t="n">
        <x:v>30161</x:v>
      </x:c>
      <x:c r="R2392" s="22" t="str">
        <x:f>"34.297.954-1"</x:f>
        <x:v>34.297.954-1</x:v>
      </x:c>
      <x:c r="S2392" s="23" t="str">
        <x:v>masculino</x:v>
      </x:c>
      <x:c r="T2392" s="22" t="str"/>
      <x:c r="U2392" s="23" t="str">
        <x:v>LUIS CESAR JACINTO CARRION</x:v>
      </x:c>
      <x:c r="V2392" s="22" t="str">
        <x:f>"305.651.688-94"</x:f>
        <x:v>305.651.688-94</x:v>
      </x:c>
      <x:c r="W2392" s="22" t="str">
        <x:f>"30565168894"</x:f>
        <x:v>30565168894</x:v>
      </x:c>
      <x:c r="X2392" s="23" t="str">
        <x:v>dyde606@gmail.com</x:v>
      </x:c>
      <x:c r="Y2392" s="22" t="str">
        <x:f>"18 997267848"</x:f>
        <x:v>18 997267848</x:v>
      </x:c>
      <x:c r="Z2392" s="30" t="n">
        <x:v>46336</x:v>
      </x:c>
    </x:row>
    <x:row r="2393" ht="18" customHeight="1">
      <x:c r="A2393" s="22" t="str">
        <x:f>"34b16dd2-dde2-404e-bd4c-5921e99a09ec"</x:f>
        <x:v>34b16dd2-dde2-404e-bd4c-5921e99a09ec</x:v>
      </x:c>
      <x:c r="B2393" s="23" t="str">
        <x:v>LUIS CLAUDIO CORREA DE CAMPOS</x:v>
      </x:c>
      <x:c r="C2393" s="23" t="str">
        <x:v>luis claudio correa de campos</x:v>
      </x:c>
      <x:c r="D2393" s="22" t="str">
        <x:f>"37.823.997/0001-90"</x:f>
        <x:v>37.823.997/0001-90</x:v>
      </x:c>
      <x:c r="E2393" s="22" t="str">
        <x:f>"37823997000190"</x:f>
        <x:v>37823997000190</x:v>
      </x:c>
      <x:c r="F2393" s="22" t="str">
        <x:f>"432.783.101-87"</x:f>
        <x:v>432.783.101-87</x:v>
      </x:c>
      <x:c r="G2393" s="22" t="str">
        <x:f>"43278310187"</x:f>
        <x:v>43278310187</x:v>
      </x:c>
      <x:c r="H2393" s="23" t="str">
        <x:v>luiscampos0303@gmail.com</x:v>
      </x:c>
      <x:c r="I2393" s="22" t="str">
        <x:f>"65 9660-3621"</x:f>
        <x:v>65 9660-3621</x:v>
      </x:c>
      <x:c r="J2393" s="23" t="str">
        <x:v>SPOT</x:v>
      </x:c>
      <x:c r="K2393" s="23" t="str">
        <x:v>favored_only</x:v>
      </x:c>
      <x:c r="L2393" s="24" t="b">
        <x:v>1</x:v>
      </x:c>
      <x:c r="M2393" s="23" t="n">
        <x:v>1</x:v>
      </x:c>
      <x:c r="N2393" s="28" t="n">
        <x:v>46205.60648958333</x:v>
      </x:c>
      <x:c r="O2393" s="28" t="n">
        <x:v>46219.812988715275</x:v>
      </x:c>
      <x:c r="P2393" s="23" t="str">
        <x:v>PONTES E LACERDA</x:v>
      </x:c>
      <x:c r="Q2393" s="30" t="n">
        <x:v>26361</x:v>
      </x:c>
      <x:c r="R2393" s="22" t="str">
        <x:f>"6039499"</x:f>
        <x:v>6039499</x:v>
      </x:c>
      <x:c r="S2393" s="23" t="str">
        <x:v>masculino</x:v>
      </x:c>
      <x:c r="T2393" s="22" t="str">
        <x:f>"NPM2E40"</x:f>
        <x:v>NPM2E40</x:v>
      </x:c>
      <x:c r="U2393" s="23" t="str">
        <x:v>DANILLO BACIEL ALMEIDA</x:v>
      </x:c>
      <x:c r="V2393" s="22" t="str">
        <x:f>"038.768.901-01"</x:f>
        <x:v>038.768.901-01</x:v>
      </x:c>
      <x:c r="W2393" s="22" t="str">
        <x:f>"03876890101"</x:f>
        <x:v>03876890101</x:v>
      </x:c>
      <x:c r="X2393" s="23" t="str">
        <x:v>rtp.cargas@gmail.com</x:v>
      </x:c>
      <x:c r="Y2393" s="22" t="str">
        <x:f>"62991277279"</x:f>
        <x:v>62991277279</x:v>
      </x:c>
      <x:c r="Z2393" s="30" t="n">
        <x:v>46360</x:v>
      </x:c>
    </x:row>
    <x:row r="2394" ht="18" customHeight="1">
      <x:c r="A2394" s="22" t="str">
        <x:f>"a4036cc7-38bf-4a10-a83f-65a7e9750ec0"</x:f>
        <x:v>a4036cc7-38bf-4a10-a83f-65a7e9750ec0</x:v>
      </x:c>
      <x:c r="B2394" s="23" t="str">
        <x:v>LUIS EDUARDO DE SOUZA CHRISTIANO</x:v>
      </x:c>
      <x:c r="C2394" s="23" t="str">
        <x:v>luis eduardo de souza christiano</x:v>
      </x:c>
      <x:c r="D2394" s="22" t="str">
        <x:f>"52.263.760/0001-95"</x:f>
        <x:v>52.263.760/0001-95</x:v>
      </x:c>
      <x:c r="E2394" s="22" t="str">
        <x:f>"52263760000195"</x:f>
        <x:v>52263760000195</x:v>
      </x:c>
      <x:c r="F2394" s="22" t="str">
        <x:f>"127.705.396-04"</x:f>
        <x:v>127.705.396-04</x:v>
      </x:c>
      <x:c r="G2394" s="22" t="str">
        <x:f>"12770539604"</x:f>
        <x:v>12770539604</x:v>
      </x:c>
      <x:c r="H2394" s="23" t="str">
        <x:v>eduardosouza1903@hotmail.com</x:v>
      </x:c>
      <x:c r="I2394" s="22" t="str">
        <x:f>"35991248434"</x:f>
        <x:v>35991248434</x:v>
      </x:c>
      <x:c r="J2394" s="23" t="str">
        <x:v>RENTAL</x:v>
      </x:c>
      <x:c r="K2394" s="23" t="str">
        <x:v>rental_company</x:v>
      </x:c>
      <x:c r="L2394" s="24" t="b">
        <x:v>1</x:v>
      </x:c>
      <x:c r="M2394" s="23" t="n">
        <x:v>1</x:v>
      </x:c>
      <x:c r="N2394" s="28" t="n">
        <x:v>46219.812988715275</x:v>
      </x:c>
      <x:c r="O2394" s="28" t="n">
        <x:v>46219.812988715275</x:v>
      </x:c>
      <x:c r="P2394" s="23" t="str">
        <x:v>POUSO ALEGRE</x:v>
      </x:c>
      <x:c r="Q2394" s="30" t="n">
        <x:v>35923</x:v>
      </x:c>
      <x:c r="R2394" s="22" t="str">
        <x:f>"19229881"</x:f>
        <x:v>19229881</x:v>
      </x:c>
      <x:c r="S2394" s="23" t="str">
        <x:v>masculino</x:v>
      </x:c>
      <x:c r="T2394" s="22" t="str"/>
      <x:c r="U2394" s="23" t="str">
        <x:v>LUIS EDUARDO DE SOUZA CHRISTIANO</x:v>
      </x:c>
      <x:c r="V2394" s="22" t="str">
        <x:f>"127.705.396-04"</x:f>
        <x:v>127.705.396-04</x:v>
      </x:c>
      <x:c r="W2394" s="22" t="str">
        <x:f>"12770539604"</x:f>
        <x:v>12770539604</x:v>
      </x:c>
      <x:c r="X2394" s="23" t="str">
        <x:v>eduardosouza1903@hotmail.com</x:v>
      </x:c>
      <x:c r="Y2394" s="22" t="str">
        <x:f>"35991248434"</x:f>
        <x:v>35991248434</x:v>
      </x:c>
      <x:c r="Z2394" s="30" t="n">
        <x:v>46536</x:v>
      </x:c>
    </x:row>
    <x:row r="2395" ht="18" customHeight="1">
      <x:c r="A2395" s="22" t="str">
        <x:f>"d9f7ba8a-9350-448a-ba0e-0b5c69133780"</x:f>
        <x:v>d9f7ba8a-9350-448a-ba0e-0b5c69133780</x:v>
      </x:c>
      <x:c r="B2395" s="23" t="str">
        <x:v>LUIS EDUARDO MORAL CASAGRANDE</x:v>
      </x:c>
      <x:c r="C2395" s="23" t="str">
        <x:v>luis eduardo moral casagrande</x:v>
      </x:c>
      <x:c r="D2395" s="22" t="str">
        <x:f>"54.566.258/0001-89"</x:f>
        <x:v>54.566.258/0001-89</x:v>
      </x:c>
      <x:c r="E2395" s="22" t="str">
        <x:f>"54566258000189"</x:f>
        <x:v>54566258000189</x:v>
      </x:c>
      <x:c r="F2395" s="22" t="str">
        <x:f>"411.482.328-00"</x:f>
        <x:v>411.482.328-00</x:v>
      </x:c>
      <x:c r="G2395" s="22" t="str">
        <x:f>"41148232800"</x:f>
        <x:v>41148232800</x:v>
      </x:c>
      <x:c r="H2395" s="23" t="str">
        <x:v>moralcasagrande@gmail.com</x:v>
      </x:c>
      <x:c r="I2395" s="22" t="str">
        <x:f>"14996591589"</x:f>
        <x:v>14996591589</x:v>
      </x:c>
      <x:c r="J2395" s="23" t="str">
        <x:v>RENTAL</x:v>
      </x:c>
      <x:c r="K2395" s="23" t="str">
        <x:v>rental_company</x:v>
      </x:c>
      <x:c r="L2395" s="24" t="b">
        <x:v>1</x:v>
      </x:c>
      <x:c r="M2395" s="23" t="n">
        <x:v>1</x:v>
      </x:c>
      <x:c r="N2395" s="28" t="n">
        <x:v>46219.812988715275</x:v>
      </x:c>
      <x:c r="O2395" s="28" t="n">
        <x:v>46219.812988715275</x:v>
      </x:c>
      <x:c r="P2395" s="23" t="str">
        <x:v>MARILIA</x:v>
      </x:c>
      <x:c r="Q2395" s="30" t="n">
        <x:v>38305</x:v>
      </x:c>
      <x:c r="R2395" s="22" t="str">
        <x:f>"591793192"</x:f>
        <x:v>591793192</x:v>
      </x:c>
      <x:c r="S2395" s="23" t="str">
        <x:v>masculino</x:v>
      </x:c>
      <x:c r="T2395" s="22" t="str"/>
      <x:c r="U2395" s="23" t="str">
        <x:v>LUIS EDUARDO MORAL CASAGRANDE</x:v>
      </x:c>
      <x:c r="V2395" s="22" t="str">
        <x:f>"411.482.328-00"</x:f>
        <x:v>411.482.328-00</x:v>
      </x:c>
      <x:c r="W2395" s="22" t="str">
        <x:f>"41148232800"</x:f>
        <x:v>41148232800</x:v>
      </x:c>
      <x:c r="X2395" s="23" t="str">
        <x:v>moralcasagrande@gmail.com</x:v>
      </x:c>
      <x:c r="Y2395" s="22" t="str">
        <x:f>"14996591589"</x:f>
        <x:v>14996591589</x:v>
      </x:c>
      <x:c r="Z2395" s="30" t="n">
        <x:v>46534</x:v>
      </x:c>
    </x:row>
    <x:row r="2396" ht="18" customHeight="1">
      <x:c r="A2396" s="22" t="str">
        <x:f>"8219c670-84b3-4c23-b965-578e8f78a002"</x:f>
        <x:v>8219c670-84b3-4c23-b965-578e8f78a002</x:v>
      </x:c>
      <x:c r="B2396" s="23" t="str">
        <x:v>LUIS EDUARDO RODRIGUES DA SILVA</x:v>
      </x:c>
      <x:c r="C2396" s="23" t="str">
        <x:v>luis eduardo rodrigues da silva</x:v>
      </x:c>
      <x:c r="D2396" s="22" t="str">
        <x:f>"63.366.004/0001-08"</x:f>
        <x:v>63.366.004/0001-08</x:v>
      </x:c>
      <x:c r="E2396" s="22" t="str">
        <x:f>"63366004000108"</x:f>
        <x:v>63366004000108</x:v>
      </x:c>
      <x:c r="F2396" s="22" t="str">
        <x:f>"361.809.636-49"</x:f>
        <x:v>361.809.636-49</x:v>
      </x:c>
      <x:c r="G2396" s="22" t="str">
        <x:f>"36180963649"</x:f>
        <x:v>36180963649</x:v>
      </x:c>
      <x:c r="H2396" s="23" t="str">
        <x:v>entregas@gmail.com</x:v>
      </x:c>
      <x:c r="I2396" s="22" t="str">
        <x:f>"34991692392"</x:f>
        <x:v>34991692392</x:v>
      </x:c>
      <x:c r="J2396" s="23" t="str">
        <x:v>SPOT</x:v>
      </x:c>
      <x:c r="K2396" s="23" t="str">
        <x:v>favored_only</x:v>
      </x:c>
      <x:c r="L2396" s="24" t="b">
        <x:v>1</x:v>
      </x:c>
      <x:c r="M2396" s="23" t="n">
        <x:v>1</x:v>
      </x:c>
      <x:c r="N2396" s="28" t="n">
        <x:v>46205.6055828125</x:v>
      </x:c>
      <x:c r="O2396" s="28" t="n">
        <x:v>46219.812988715275</x:v>
      </x:c>
      <x:c r="P2396" s="23" t="str">
        <x:v>UBERABA</x:v>
      </x:c>
      <x:c r="Q2396" s="30" t="n">
        <x:v>21122</x:v>
      </x:c>
      <x:c r="R2396" s="22" t="str">
        <x:f>"3138165"</x:f>
        <x:v>3138165</x:v>
      </x:c>
      <x:c r="S2396" s="23" t="str">
        <x:v>masculino</x:v>
      </x:c>
      <x:c r="T2396" s="22" t="str">
        <x:f>"JKB3I82"</x:f>
        <x:v>JKB3I82</x:v>
      </x:c>
      <x:c r="U2396" s="23" t="str">
        <x:v>LETICIA TIAGO RODRIGUES DA SILVA</x:v>
      </x:c>
      <x:c r="V2396" s="22" t="str">
        <x:f>"015.497.646-67"</x:f>
        <x:v>015.497.646-67</x:v>
      </x:c>
      <x:c r="W2396" s="22" t="str">
        <x:f>"01549764667"</x:f>
        <x:v>01549764667</x:v>
      </x:c>
      <x:c r="X2396" s="23" t="str">
        <x:v>rhleticiatiago@gmail.com</x:v>
      </x:c>
      <x:c r="Y2396" s="22" t="str">
        <x:f>"(34) 9 9221 5388"</x:f>
        <x:v>(34) 9 9221 5388</x:v>
      </x:c>
      <x:c r="Z2396" s="30" t="n">
        <x:v>46326</x:v>
      </x:c>
    </x:row>
    <x:row r="2397" ht="18" customHeight="1">
      <x:c r="A2397" s="22" t="str">
        <x:f>"1431f1df-6fd5-44b3-aa87-b395ce58ab5c"</x:f>
        <x:v>1431f1df-6fd5-44b3-aa87-b395ce58ab5c</x:v>
      </x:c>
      <x:c r="B2397" s="23" t="str">
        <x:v>LUIS FELIPE CAMPOS ALVES</x:v>
      </x:c>
      <x:c r="C2397" s="23" t="str">
        <x:v>luis felipe campos alves</x:v>
      </x:c>
      <x:c r="D2397" s="22" t="str">
        <x:f>"65.517.125/0001-39"</x:f>
        <x:v>65.517.125/0001-39</x:v>
      </x:c>
      <x:c r="E2397" s="22" t="str">
        <x:f>"65517125000139"</x:f>
        <x:v>65517125000139</x:v>
      </x:c>
      <x:c r="F2397" s="22" t="str">
        <x:f>"435.769.648-86"</x:f>
        <x:v>435.769.648-86</x:v>
      </x:c>
      <x:c r="G2397" s="22" t="str">
        <x:f>"43576964886"</x:f>
        <x:v>43576964886</x:v>
      </x:c>
      <x:c r="H2397" s="23" t="str">
        <x:v>campsgroupofc@gmail.com</x:v>
      </x:c>
      <x:c r="I2397" s="22" t="str">
        <x:f>"(14) 98821-3600"</x:f>
        <x:v>(14) 98821-3600</x:v>
      </x:c>
      <x:c r="J2397" s="23" t="str">
        <x:v>SPOT</x:v>
      </x:c>
      <x:c r="K2397" s="23" t="str">
        <x:v>favored_only</x:v>
      </x:c>
      <x:c r="L2397" s="24" t="b">
        <x:v>1</x:v>
      </x:c>
      <x:c r="M2397" s="23" t="n">
        <x:v>1</x:v>
      </x:c>
      <x:c r="N2397" s="28" t="n">
        <x:v>46219.812988715275</x:v>
      </x:c>
      <x:c r="O2397" s="28" t="n">
        <x:v>46219.812988715275</x:v>
      </x:c>
      <x:c r="P2397" s="23" t="str">
        <x:v>MARILIA</x:v>
      </x:c>
      <x:c r="Q2397" s="30" t="n">
        <x:v>38408</x:v>
      </x:c>
      <x:c r="R2397" s="22" t="str">
        <x:f>"548428414"</x:f>
        <x:v>548428414</x:v>
      </x:c>
      <x:c r="S2397" s="23" t="str">
        <x:v>masculino</x:v>
      </x:c>
      <x:c r="T2397" s="22" t="str">
        <x:f>"GCG6E17"</x:f>
        <x:v>GCG6E17</x:v>
      </x:c>
      <x:c r="U2397" s="23" t="str">
        <x:v>LUIS FELIPE CAMPOS ALVES</x:v>
      </x:c>
      <x:c r="V2397" s="22" t="str">
        <x:f>"435.769.648-86"</x:f>
        <x:v>435.769.648-86</x:v>
      </x:c>
      <x:c r="W2397" s="22" t="str">
        <x:f>"43576964886"</x:f>
        <x:v>43576964886</x:v>
      </x:c>
      <x:c r="X2397" s="23" t="str">
        <x:v>campsgroupofc@gmail.com</x:v>
      </x:c>
      <x:c r="Y2397" s="22" t="str">
        <x:f>"(14) 98821-3600"</x:f>
        <x:v>(14) 98821-3600</x:v>
      </x:c>
      <x:c r="Z2397" s="30" t="n">
        <x:v>46558</x:v>
      </x:c>
    </x:row>
    <x:row r="2398" ht="18" customHeight="1">
      <x:c r="A2398" s="22" t="str">
        <x:f>"9e69978a-c709-489f-9645-962b5cd83859"</x:f>
        <x:v>9e69978a-c709-489f-9645-962b5cd83859</x:v>
      </x:c>
      <x:c r="B2398" s="23" t="str">
        <x:v>LUIS FELIPE DANTAS MUNIZ DE SOUZA</x:v>
      </x:c>
      <x:c r="C2398" s="23" t="str">
        <x:v>luis felipe dantas muniz de souza</x:v>
      </x:c>
      <x:c r="D2398" s="22" t="str">
        <x:f>"61.709.825/0001-74"</x:f>
        <x:v>61.709.825/0001-74</x:v>
      </x:c>
      <x:c r="E2398" s="22" t="str">
        <x:f>"61709825000174"</x:f>
        <x:v>61709825000174</x:v>
      </x:c>
      <x:c r="F2398" s="22" t="str">
        <x:f>"571.785.378-50"</x:f>
        <x:v>571.785.378-50</x:v>
      </x:c>
      <x:c r="G2398" s="22" t="str">
        <x:f>"57178537850"</x:f>
        <x:v>57178537850</x:v>
      </x:c>
      <x:c r="H2398" s="23" t="str">
        <x:v>Felipedantas1601@gmail.com</x:v>
      </x:c>
      <x:c r="I2398" s="22" t="str">
        <x:f>"14997507465"</x:f>
        <x:v>14997507465</x:v>
      </x:c>
      <x:c r="J2398" s="23" t="str">
        <x:v>rental</x:v>
      </x:c>
      <x:c r="K2398" s="23" t="str">
        <x:v>rental_company</x:v>
      </x:c>
      <x:c r="L2398" s="24" t="b">
        <x:v>1</x:v>
      </x:c>
      <x:c r="M2398" s="23" t="n">
        <x:v>1</x:v>
      </x:c>
      <x:c r="N2398" s="28" t="n">
        <x:v>46219.812988715275</x:v>
      </x:c>
      <x:c r="O2398" s="28" t="n">
        <x:v>46219.812988715275</x:v>
      </x:c>
      <x:c r="P2398" s="23" t="str">
        <x:v>MARILIA</x:v>
      </x:c>
      <x:c r="Q2398" s="30" t="n">
        <x:v>38003</x:v>
      </x:c>
      <x:c r="R2398" s="22" t="str">
        <x:f>"65834552"</x:f>
        <x:v>65834552</x:v>
      </x:c>
      <x:c r="S2398" s="23" t="str">
        <x:v>masculino</x:v>
      </x:c>
      <x:c r="T2398" s="22" t="str"/>
      <x:c r="U2398" s="23" t="str">
        <x:v>LUIS FELIPE DANTAS MUNIZ DE SOUZA</x:v>
      </x:c>
      <x:c r="V2398" s="22" t="str">
        <x:f>"571.785.378-50"</x:f>
        <x:v>571.785.378-50</x:v>
      </x:c>
      <x:c r="W2398" s="22" t="str">
        <x:f>"57178537850"</x:f>
        <x:v>57178537850</x:v>
      </x:c>
      <x:c r="X2398" s="23" t="str">
        <x:v>Felipedantas1601@gmail.com</x:v>
      </x:c>
      <x:c r="Y2398" s="22" t="str">
        <x:f>"14997507465"</x:f>
        <x:v>14997507465</x:v>
      </x:c>
      <x:c r="Z2398" s="30" t="n">
        <x:v>46534</x:v>
      </x:c>
    </x:row>
    <x:row r="2399" ht="18" customHeight="1">
      <x:c r="A2399" s="22" t="str">
        <x:f>"9cdaa3bd-65a6-4777-b8e6-b2846b396d3e"</x:f>
        <x:v>9cdaa3bd-65a6-4777-b8e6-b2846b396d3e</x:v>
      </x:c>
      <x:c r="B2399" s="23" t="str">
        <x:v>LUIS FELIPE DA SILVA</x:v>
      </x:c>
      <x:c r="C2399" s="23" t="str">
        <x:v>luis felipe da silva</x:v>
      </x:c>
      <x:c r="D2399" s="22" t="str">
        <x:f>"63.204.565/0001-00"</x:f>
        <x:v>63.204.565/0001-00</x:v>
      </x:c>
      <x:c r="E2399" s="22" t="str">
        <x:f>"63204565000100"</x:f>
        <x:v>63204565000100</x:v>
      </x:c>
      <x:c r="F2399" s="22" t="str">
        <x:f>"175.891.536-64"</x:f>
        <x:v>175.891.536-64</x:v>
      </x:c>
      <x:c r="G2399" s="22" t="str">
        <x:f>"17589153664"</x:f>
        <x:v>17589153664</x:v>
      </x:c>
      <x:c r="H2399" s="23" t="str">
        <x:v>Luisfelipe02052005@gmail.com</x:v>
      </x:c>
      <x:c r="I2399" s="22" t="str">
        <x:f>"31971754882"</x:f>
        <x:v>31971754882</x:v>
      </x:c>
      <x:c r="J2399" s="23" t="str">
        <x:v>SPOT</x:v>
      </x:c>
      <x:c r="K2399" s="23" t="str">
        <x:v>favored_only</x:v>
      </x:c>
      <x:c r="L2399" s="24" t="b">
        <x:v>1</x:v>
      </x:c>
      <x:c r="M2399" s="23" t="n">
        <x:v>1</x:v>
      </x:c>
      <x:c r="N2399" s="28" t="n">
        <x:v>46203.92188238426</x:v>
      </x:c>
      <x:c r="O2399" s="28" t="n">
        <x:v>46219.812988715275</x:v>
      </x:c>
      <x:c r="P2399" s="23" t="str">
        <x:v>CONCEIÇÃO DO MATO DENTRO</x:v>
      </x:c>
      <x:c r="Q2399" s="30" t="n">
        <x:v>38474</x:v>
      </x:c>
      <x:c r="R2399" s="22" t="str">
        <x:f>"MG-22023011"</x:f>
        <x:v>MG-22023011</x:v>
      </x:c>
      <x:c r="S2399" s="23" t="str">
        <x:v>masculino</x:v>
      </x:c>
      <x:c r="T2399" s="22" t="str">
        <x:f>"ERS9A03"</x:f>
        <x:v>ERS9A03</x:v>
      </x:c>
      <x:c r="U2399" s="23" t="str">
        <x:v>LUIS FELIPE DA SILVA</x:v>
      </x:c>
      <x:c r="V2399" s="22" t="str">
        <x:f>"175.891.536-64"</x:f>
        <x:v>175.891.536-64</x:v>
      </x:c>
      <x:c r="W2399" s="22" t="str">
        <x:f>"17589153664"</x:f>
        <x:v>17589153664</x:v>
      </x:c>
      <x:c r="X2399" s="23" t="str">
        <x:v>Luisfelipe02052005@gmail.com</x:v>
      </x:c>
      <x:c r="Y2399" s="22" t="str">
        <x:f>"31971754882"</x:f>
        <x:v>31971754882</x:v>
      </x:c>
      <x:c r="Z2399" s="30" t="n">
        <x:v>46325</x:v>
      </x:c>
    </x:row>
    <x:row r="2400" ht="18" customHeight="1">
      <x:c r="A2400" s="22" t="str">
        <x:f>"e2474207-5818-4bc8-b7f1-b66b5da4059a"</x:f>
        <x:v>e2474207-5818-4bc8-b7f1-b66b5da4059a</x:v>
      </x:c>
      <x:c r="B2400" s="23" t="str">
        <x:v>LUIS FELIPE DA SILVA BATISTA</x:v>
      </x:c>
      <x:c r="C2400" s="23" t="str">
        <x:v>luis felipe da silva batista</x:v>
      </x:c>
      <x:c r="D2400" s="22" t="str">
        <x:f>"62.670.317/0001-92"</x:f>
        <x:v>62.670.317/0001-92</x:v>
      </x:c>
      <x:c r="E2400" s="22" t="str">
        <x:f>"62670317000192"</x:f>
        <x:v>62670317000192</x:v>
      </x:c>
      <x:c r="F2400" s="22" t="str">
        <x:f>"140.527.427-10"</x:f>
        <x:v>140.527.427-10</x:v>
      </x:c>
      <x:c r="G2400" s="22" t="str">
        <x:f>"14052742710"</x:f>
        <x:v>14052742710</x:v>
      </x:c>
      <x:c r="H2400" s="23" t="str">
        <x:v>batistalfs@gmail.com</x:v>
      </x:c>
      <x:c r="I2400" s="22" t="str">
        <x:f>"2299735990"</x:f>
        <x:v>2299735990</x:v>
      </x:c>
      <x:c r="J2400" s="23" t="str">
        <x:v>spot</x:v>
      </x:c>
      <x:c r="K2400" s="23" t="str">
        <x:v>favored_only</x:v>
      </x:c>
      <x:c r="L2400" s="24" t="b">
        <x:v>1</x:v>
      </x:c>
      <x:c r="M2400" s="23" t="n">
        <x:v>1</x:v>
      </x:c>
      <x:c r="N2400" s="28" t="n">
        <x:v>46219.812988715275</x:v>
      </x:c>
      <x:c r="O2400" s="28" t="n">
        <x:v>46219.812988715275</x:v>
      </x:c>
      <x:c r="P2400" s="23" t="str">
        <x:v>CAMPOS DOS GOYTACAZES</x:v>
      </x:c>
      <x:c r="Q2400" s="30" t="n">
        <x:v>35990</x:v>
      </x:c>
      <x:c r="R2400" s="22" t="str">
        <x:f>"309209815"</x:f>
        <x:v>309209815</x:v>
      </x:c>
      <x:c r="S2400" s="23" t="str">
        <x:v>masculino</x:v>
      </x:c>
      <x:c r="T2400" s="22" t="str">
        <x:f>"EZP0D89"</x:f>
        <x:v>EZP0D89</x:v>
      </x:c>
      <x:c r="U2400" s="23" t="str">
        <x:v>SUZANNA DIAS GOMES</x:v>
      </x:c>
      <x:c r="V2400" s="22" t="str">
        <x:f>"145.684.097-56"</x:f>
        <x:v>145.684.097-56</x:v>
      </x:c>
      <x:c r="W2400" s="22" t="str">
        <x:f>"14568409756"</x:f>
        <x:v>14568409756</x:v>
      </x:c>
      <x:c r="X2400" s="23" t="str">
        <x:v>Suzannadgomesz@gmail.com</x:v>
      </x:c>
      <x:c r="Y2400" s="22" t="str">
        <x:f>"22999662050"</x:f>
        <x:v>22999662050</x:v>
      </x:c>
      <x:c r="Z2400" s="30" t="n">
        <x:v>46462</x:v>
      </x:c>
    </x:row>
    <x:row r="2401" ht="18" customHeight="1">
      <x:c r="A2401" s="22" t="str">
        <x:f>"5914ea1f-5546-4bd2-8956-d8caf2b07b78"</x:f>
        <x:v>5914ea1f-5546-4bd2-8956-d8caf2b07b78</x:v>
      </x:c>
      <x:c r="B2401" s="23" t="str">
        <x:v>LUIS FELIPE MOTA DE SOUSA</x:v>
      </x:c>
      <x:c r="C2401" s="23" t="str">
        <x:v>luis felipe mota de sousa</x:v>
      </x:c>
      <x:c r="D2401" s="22" t="str">
        <x:f>"65.063.214/0001-52"</x:f>
        <x:v>65.063.214/0001-52</x:v>
      </x:c>
      <x:c r="E2401" s="22" t="str">
        <x:f>"65063214000152"</x:f>
        <x:v>65063214000152</x:v>
      </x:c>
      <x:c r="F2401" s="22" t="str">
        <x:f>"700.722.416-40"</x:f>
        <x:v>700.722.416-40</x:v>
      </x:c>
      <x:c r="G2401" s="22" t="str">
        <x:f>"70072241640"</x:f>
        <x:v>70072241640</x:v>
      </x:c>
      <x:c r="H2401" s="23" t="str">
        <x:v>felipemotadesousa10@gmail.com</x:v>
      </x:c>
      <x:c r="I2401" s="22" t="str">
        <x:f>"34999694032"</x:f>
        <x:v>34999694032</x:v>
      </x:c>
      <x:c r="J2401" s="23" t="str">
        <x:v>spot</x:v>
      </x:c>
      <x:c r="K2401" s="23" t="str">
        <x:v>favored_only</x:v>
      </x:c>
      <x:c r="L2401" s="24" t="b">
        <x:v>1</x:v>
      </x:c>
      <x:c r="M2401" s="23" t="n">
        <x:v>1</x:v>
      </x:c>
      <x:c r="N2401" s="28" t="n">
        <x:v>46219.812988715275</x:v>
      </x:c>
      <x:c r="O2401" s="28" t="n">
        <x:v>46219.812988715275</x:v>
      </x:c>
      <x:c r="P2401" s="23" t="str">
        <x:v>UBERLANDIA</x:v>
      </x:c>
      <x:c r="Q2401" s="30" t="n">
        <x:v>38857</x:v>
      </x:c>
      <x:c r="R2401" s="22" t="str">
        <x:f>"211222960"</x:f>
        <x:v>211222960</x:v>
      </x:c>
      <x:c r="S2401" s="23" t="str">
        <x:v>masculino</x:v>
      </x:c>
      <x:c r="T2401" s="22" t="str">
        <x:f>"PNO4A09"</x:f>
        <x:v>PNO4A09</x:v>
      </x:c>
      <x:c r="U2401" s="23" t="str">
        <x:v>LUIS FELIPE MOTA DE SOUSA</x:v>
      </x:c>
      <x:c r="V2401" s="22" t="str">
        <x:f>"700.722.416-40"</x:f>
        <x:v>700.722.416-40</x:v>
      </x:c>
      <x:c r="W2401" s="22" t="str">
        <x:f>"70072241640"</x:f>
        <x:v>70072241640</x:v>
      </x:c>
      <x:c r="X2401" s="23" t="str">
        <x:v>felipemotadesousa10@gmail.com</x:v>
      </x:c>
      <x:c r="Y2401" s="22" t="str">
        <x:f>"34999694032"</x:f>
        <x:v>34999694032</x:v>
      </x:c>
      <x:c r="Z2401" s="30" t="n">
        <x:v>46542</x:v>
      </x:c>
    </x:row>
    <x:row r="2402" ht="18" customHeight="1">
      <x:c r="A2402" s="22" t="str">
        <x:f>"09150d07-4070-40b2-822a-0c3d573a08ab"</x:f>
        <x:v>09150d07-4070-40b2-822a-0c3d573a08ab</x:v>
      </x:c>
      <x:c r="B2402" s="23" t="str">
        <x:v>LUIS FELYPE DANTAS CHAGAS</x:v>
      </x:c>
      <x:c r="C2402" s="23" t="str">
        <x:v>luis felype dantas chagas</x:v>
      </x:c>
      <x:c r="D2402" s="22" t="str">
        <x:f>"59.657.252/0001-30"</x:f>
        <x:v>59.657.252/0001-30</x:v>
      </x:c>
      <x:c r="E2402" s="22" t="str">
        <x:f>"59657252000130"</x:f>
        <x:v>59657252000130</x:v>
      </x:c>
      <x:c r="F2402" s="22" t="str">
        <x:f>"113.555.776-40"</x:f>
        <x:v>113.555.776-40</x:v>
      </x:c>
      <x:c r="G2402" s="22" t="str">
        <x:f>"11355577640"</x:f>
        <x:v>11355577640</x:v>
      </x:c>
      <x:c r="H2402" s="23" t="str">
        <x:v>felypedantas123456@gmail.com</x:v>
      </x:c>
      <x:c r="I2402" s="22" t="str">
        <x:f>"34997690617"</x:f>
        <x:v>34997690617</x:v>
      </x:c>
      <x:c r="J2402" s="23" t="str">
        <x:v>RENTAL</x:v>
      </x:c>
      <x:c r="K2402" s="23" t="str">
        <x:v>rental_company</x:v>
      </x:c>
      <x:c r="L2402" s="24" t="b">
        <x:v>1</x:v>
      </x:c>
      <x:c r="M2402" s="23" t="n">
        <x:v>1</x:v>
      </x:c>
      <x:c r="N2402" s="28" t="n">
        <x:v>46219.812988715275</x:v>
      </x:c>
      <x:c r="O2402" s="28" t="n">
        <x:v>46219.812988715275</x:v>
      </x:c>
      <x:c r="P2402" s="23" t="str">
        <x:v>UBERLANDIA</x:v>
      </x:c>
      <x:c r="Q2402" s="30" t="n">
        <x:v>38529</x:v>
      </x:c>
      <x:c r="R2402" s="22" t="str">
        <x:f>"20693491"</x:f>
        <x:v>20693491</x:v>
      </x:c>
      <x:c r="S2402" s="23" t="str">
        <x:v>masculino</x:v>
      </x:c>
      <x:c r="T2402" s="22" t="str"/>
      <x:c r="U2402" s="23" t="str">
        <x:v>LUIS FELYPE DANTAS CHAGAS</x:v>
      </x:c>
      <x:c r="V2402" s="22" t="str">
        <x:f>"113.555.776-40"</x:f>
        <x:v>113.555.776-40</x:v>
      </x:c>
      <x:c r="W2402" s="22" t="str">
        <x:f>"11355577640"</x:f>
        <x:v>11355577640</x:v>
      </x:c>
      <x:c r="X2402" s="23" t="str">
        <x:v>felypedantas123456@gmail.com</x:v>
      </x:c>
      <x:c r="Y2402" s="22" t="str">
        <x:f>"34997690617"</x:f>
        <x:v>34997690617</x:v>
      </x:c>
      <x:c r="Z2402" s="30" t="n">
        <x:v>46518</x:v>
      </x:c>
    </x:row>
    <x:row r="2403" ht="18" customHeight="1">
      <x:c r="A2403" s="22" t="str">
        <x:f>"312a87a7-e224-4848-a33b-c499d8740cbd"</x:f>
        <x:v>312a87a7-e224-4848-a33b-c499d8740cbd</x:v>
      </x:c>
      <x:c r="B2403" s="23" t="str">
        <x:v>LUIS FERNANDO AVELAR DAMACENO</x:v>
      </x:c>
      <x:c r="C2403" s="23" t="str">
        <x:v>luis fernando avelar damaceno</x:v>
      </x:c>
      <x:c r="D2403" s="22" t="str">
        <x:f>"63.876.107/0001-18"</x:f>
        <x:v>63.876.107/0001-18</x:v>
      </x:c>
      <x:c r="E2403" s="22" t="str">
        <x:f>"63876107000118"</x:f>
        <x:v>63876107000118</x:v>
      </x:c>
      <x:c r="F2403" s="22" t="str">
        <x:f>"476.193.138-85"</x:f>
        <x:v>476.193.138-85</x:v>
      </x:c>
      <x:c r="G2403" s="22" t="str">
        <x:f>"47619313885"</x:f>
        <x:v>47619313885</x:v>
      </x:c>
      <x:c r="H2403" s="23" t="str">
        <x:v>luisfernandoavelardamaceno@gmail.com</x:v>
      </x:c>
      <x:c r="I2403" s="22" t="str">
        <x:f>"18 99732-5954"</x:f>
        <x:v>18 99732-5954</x:v>
      </x:c>
      <x:c r="J2403" s="23" t="str">
        <x:v>RENTAL</x:v>
      </x:c>
      <x:c r="K2403" s="23" t="str">
        <x:v>rental_company</x:v>
      </x:c>
      <x:c r="L2403" s="24" t="b">
        <x:v>1</x:v>
      </x:c>
      <x:c r="M2403" s="23" t="n">
        <x:v>1</x:v>
      </x:c>
      <x:c r="N2403" s="28" t="n">
        <x:v>46219.812988715275</x:v>
      </x:c>
      <x:c r="O2403" s="28" t="n">
        <x:v>46219.812988715275</x:v>
      </x:c>
      <x:c r="P2403" s="23" t="str">
        <x:v>PRESIDENTE PRUDENTE</x:v>
      </x:c>
      <x:c r="Q2403" s="30" t="n">
        <x:v>35849</x:v>
      </x:c>
      <x:c r="R2403" s="22" t="str">
        <x:f>"580411229"</x:f>
        <x:v>580411229</x:v>
      </x:c>
      <x:c r="S2403" s="23" t="str">
        <x:v>masculino</x:v>
      </x:c>
      <x:c r="T2403" s="22" t="str"/>
      <x:c r="U2403" s="23" t="str">
        <x:v>LUIS FERNANDO AVELAR DAMACENO</x:v>
      </x:c>
      <x:c r="V2403" s="22" t="str">
        <x:f>"476.193.138-85"</x:f>
        <x:v>476.193.138-85</x:v>
      </x:c>
      <x:c r="W2403" s="22" t="str">
        <x:f>"47619313885"</x:f>
        <x:v>47619313885</x:v>
      </x:c>
      <x:c r="X2403" s="23" t="str">
        <x:v>luisfernandoavelardamaceno@gmail.com</x:v>
      </x:c>
      <x:c r="Y2403" s="22" t="str">
        <x:f>"18 99732-5954"</x:f>
        <x:v>18 99732-5954</x:v>
      </x:c>
      <x:c r="Z2403" s="30" t="n">
        <x:v>46582</x:v>
      </x:c>
    </x:row>
    <x:row r="2404" ht="18" customHeight="1">
      <x:c r="A2404" s="22" t="str">
        <x:f>"cb25aa44-024c-4b09-85f8-4819fc36998c"</x:f>
        <x:v>cb25aa44-024c-4b09-85f8-4819fc36998c</x:v>
      </x:c>
      <x:c r="B2404" s="23" t="str">
        <x:v>LUIS FERNANDO LAVEZO</x:v>
      </x:c>
      <x:c r="C2404" s="23" t="str">
        <x:v>luis fernando lavezo</x:v>
      </x:c>
      <x:c r="D2404" s="22" t="str">
        <x:f>"59.364.563/0001-01"</x:f>
        <x:v>59.364.563/0001-01</x:v>
      </x:c>
      <x:c r="E2404" s="22" t="str">
        <x:f>"59364563000101"</x:f>
        <x:v>59364563000101</x:v>
      </x:c>
      <x:c r="F2404" s="22" t="str">
        <x:f>"110.849.846-95"</x:f>
        <x:v>110.849.846-95</x:v>
      </x:c>
      <x:c r="G2404" s="22" t="str">
        <x:f>"11084984695"</x:f>
        <x:v>11084984695</x:v>
      </x:c>
      <x:c r="H2404" s="23" t="str">
        <x:v>LUISFERNANDOLAVEZO@GMAIL.COM</x:v>
      </x:c>
      <x:c r="I2404" s="22" t="str">
        <x:f>"34991575743"</x:f>
        <x:v>34991575743</x:v>
      </x:c>
      <x:c r="J2404" s="23" t="str">
        <x:v>RENTAL</x:v>
      </x:c>
      <x:c r="K2404" s="23" t="str">
        <x:v>rental_company</x:v>
      </x:c>
      <x:c r="L2404" s="24" t="b">
        <x:v>1</x:v>
      </x:c>
      <x:c r="M2404" s="23" t="n">
        <x:v>1</x:v>
      </x:c>
      <x:c r="N2404" s="28" t="n">
        <x:v>46219.812988715275</x:v>
      </x:c>
      <x:c r="O2404" s="28" t="n">
        <x:v>46219.812988715275</x:v>
      </x:c>
      <x:c r="P2404" s="23" t="str">
        <x:v>UBERLANDIA</x:v>
      </x:c>
      <x:c r="Q2404" s="30" t="n">
        <x:v>33500</x:v>
      </x:c>
      <x:c r="R2404" s="22" t="str">
        <x:f>"197754744"</x:f>
        <x:v>197754744</x:v>
      </x:c>
      <x:c r="S2404" s="23" t="str">
        <x:v>masculino</x:v>
      </x:c>
      <x:c r="T2404" s="22" t="str"/>
      <x:c r="U2404" s="23" t="str">
        <x:v>LUIS FERNANDO LAVEZO</x:v>
      </x:c>
      <x:c r="V2404" s="22" t="str">
        <x:f>"110.849.846-95"</x:f>
        <x:v>110.849.846-95</x:v>
      </x:c>
      <x:c r="W2404" s="22" t="str">
        <x:f>"11084984695"</x:f>
        <x:v>11084984695</x:v>
      </x:c>
      <x:c r="X2404" s="23" t="str">
        <x:v>LUISFERNANDOLAVEZO@GMAIL.COM</x:v>
      </x:c>
      <x:c r="Y2404" s="22" t="str">
        <x:f>"34991575743"</x:f>
        <x:v>34991575743</x:v>
      </x:c>
      <x:c r="Z2404" s="30" t="n">
        <x:v>46540</x:v>
      </x:c>
    </x:row>
    <x:row r="2405" ht="18" customHeight="1">
      <x:c r="A2405" s="22" t="str">
        <x:f>"9686bd5a-5f80-4d47-a002-e94822bbf9d4"</x:f>
        <x:v>9686bd5a-5f80-4d47-a002-e94822bbf9d4</x:v>
      </x:c>
      <x:c r="B2405" s="23" t="str">
        <x:v>LUIS FERNANDO NEVES DE OLIVEIRA</x:v>
      </x:c>
      <x:c r="C2405" s="23" t="str">
        <x:v>luis fernando neves de oliveira</x:v>
      </x:c>
      <x:c r="D2405" s="22" t="str">
        <x:f>"58.435.770/0001-47"</x:f>
        <x:v>58.435.770/0001-47</x:v>
      </x:c>
      <x:c r="E2405" s="22" t="str">
        <x:f>"58435770000147"</x:f>
        <x:v>58435770000147</x:v>
      </x:c>
      <x:c r="F2405" s="22" t="str">
        <x:f>"342.897.978-81"</x:f>
        <x:v>342.897.978-81</x:v>
      </x:c>
      <x:c r="G2405" s="22" t="str">
        <x:f>"34289797881"</x:f>
        <x:v>34289797881</x:v>
      </x:c>
      <x:c r="H2405" s="23" t="str">
        <x:v>kid.nando@hotmail.com</x:v>
      </x:c>
      <x:c r="I2405" s="22" t="str">
        <x:f>"18 99155-1835"</x:f>
        <x:v>18 99155-1835</x:v>
      </x:c>
      <x:c r="J2405" s="23" t="str">
        <x:v>RENTAL</x:v>
      </x:c>
      <x:c r="K2405" s="23" t="str">
        <x:v>rental_company</x:v>
      </x:c>
      <x:c r="L2405" s="24" t="b">
        <x:v>1</x:v>
      </x:c>
      <x:c r="M2405" s="23" t="n">
        <x:v>1</x:v>
      </x:c>
      <x:c r="N2405" s="28" t="n">
        <x:v>46203.921904421295</x:v>
      </x:c>
      <x:c r="O2405" s="28" t="n">
        <x:v>46219.812988715275</x:v>
      </x:c>
      <x:c r="P2405" s="23" t="str">
        <x:v>PRESIDENTE PRUDENTE</x:v>
      </x:c>
      <x:c r="Q2405" s="30" t="n">
        <x:v>30898</x:v>
      </x:c>
      <x:c r="R2405" s="22" t="str">
        <x:f>"40116402"</x:f>
        <x:v>40116402</x:v>
      </x:c>
      <x:c r="S2405" s="23" t="str">
        <x:v>masculino</x:v>
      </x:c>
      <x:c r="T2405" s="22" t="str"/>
      <x:c r="U2405" s="23" t="str">
        <x:v>LUIS FERNANDO NEVES DE OLIVEIRA</x:v>
      </x:c>
      <x:c r="V2405" s="22" t="str">
        <x:f>"342.897.978-81"</x:f>
        <x:v>342.897.978-81</x:v>
      </x:c>
      <x:c r="W2405" s="22" t="str">
        <x:f>"34289797881"</x:f>
        <x:v>34289797881</x:v>
      </x:c>
      <x:c r="X2405" s="23" t="str">
        <x:v>kid.nando@hotmail.com</x:v>
      </x:c>
      <x:c r="Y2405" s="22" t="str">
        <x:f>"18 99155-1835"</x:f>
        <x:v>18 99155-1835</x:v>
      </x:c>
      <x:c r="Z2405" s="30" t="n">
        <x:v>46379</x:v>
      </x:c>
    </x:row>
    <x:row r="2406" ht="18" customHeight="1">
      <x:c r="A2406" s="22" t="str">
        <x:f>"f0229f27-62aa-4441-b489-0226205f4744"</x:f>
        <x:v>f0229f27-62aa-4441-b489-0226205f4744</x:v>
      </x:c>
      <x:c r="B2406" s="23" t="str">
        <x:v>LUIS FERNANDO SILVA OLIVEIRA</x:v>
      </x:c>
      <x:c r="C2406" s="23" t="str">
        <x:v>luis fernando silva oliveira</x:v>
      </x:c>
      <x:c r="D2406" s="22" t="str">
        <x:f>"52.254.572/0001-09"</x:f>
        <x:v>52.254.572/0001-09</x:v>
      </x:c>
      <x:c r="E2406" s="22" t="str">
        <x:f>"52254572000109"</x:f>
        <x:v>52254572000109</x:v>
      </x:c>
      <x:c r="F2406" s="22" t="str">
        <x:f>"058.214.241-51"</x:f>
        <x:v>058.214.241-51</x:v>
      </x:c>
      <x:c r="G2406" s="22" t="str">
        <x:f>"05821424151"</x:f>
        <x:v>05821424151</x:v>
      </x:c>
      <x:c r="H2406" s="23" t="str">
        <x:v>fernandooliveiraa1402@gmail.com</x:v>
      </x:c>
      <x:c r="I2406" s="22" t="str">
        <x:f>"65 993530004"</x:f>
        <x:v>65 993530004</x:v>
      </x:c>
      <x:c r="J2406" s="23" t="str">
        <x:v>SPOT</x:v>
      </x:c>
      <x:c r="K2406" s="23" t="str">
        <x:v>favored_only</x:v>
      </x:c>
      <x:c r="L2406" s="24" t="b">
        <x:v>1</x:v>
      </x:c>
      <x:c r="M2406" s="23" t="n">
        <x:v>1</x:v>
      </x:c>
      <x:c r="N2406" s="28" t="n">
        <x:v>46203.921840393516</x:v>
      </x:c>
      <x:c r="O2406" s="28" t="n">
        <x:v>46219.812988715275</x:v>
      </x:c>
      <x:c r="P2406" s="23" t="str">
        <x:v>CUIABA</x:v>
      </x:c>
      <x:c r="Q2406" s="30" t="n">
        <x:v>32460</x:v>
      </x:c>
      <x:c r="R2406" s="22" t="str">
        <x:f>"20486898"</x:f>
        <x:v>20486898</x:v>
      </x:c>
      <x:c r="S2406" s="23" t="str">
        <x:v>masculino</x:v>
      </x:c>
      <x:c r="T2406" s="22" t="str">
        <x:f>"SPP7B28"</x:f>
        <x:v>SPP7B28</x:v>
      </x:c>
      <x:c r="U2406" s="23" t="str">
        <x:v>LUIS FERNANDO SILVA OLIVEIRA</x:v>
      </x:c>
      <x:c r="V2406" s="22" t="str">
        <x:f>"058.214.241-51"</x:f>
        <x:v>058.214.241-51</x:v>
      </x:c>
      <x:c r="W2406" s="22" t="str">
        <x:f>"05821424151"</x:f>
        <x:v>05821424151</x:v>
      </x:c>
      <x:c r="X2406" s="23" t="str">
        <x:v>fernandooliveiraa1402@gmail.com</x:v>
      </x:c>
      <x:c r="Y2406" s="22" t="str">
        <x:f>"65 993530004"</x:f>
        <x:v>65 993530004</x:v>
      </x:c>
      <x:c r="Z2406" s="30" t="n">
        <x:v>46214</x:v>
      </x:c>
    </x:row>
    <x:row r="2407" ht="18" customHeight="1">
      <x:c r="A2407" s="22" t="str">
        <x:f>"7d17cd8d-74be-4fb2-b958-1f3b11ec65d7"</x:f>
        <x:v>7d17cd8d-74be-4fb2-b958-1f3b11ec65d7</x:v>
      </x:c>
      <x:c r="B2407" s="23" t="str">
        <x:v>LUIS FILIPE DIAS SOUTO</x:v>
      </x:c>
      <x:c r="C2407" s="23" t="str">
        <x:v>luis filipe dias souto</x:v>
      </x:c>
      <x:c r="D2407" s="22" t="str">
        <x:f>"52.650.549/0001-25"</x:f>
        <x:v>52.650.549/0001-25</x:v>
      </x:c>
      <x:c r="E2407" s="22" t="str">
        <x:f>"52650549000125"</x:f>
        <x:v>52650549000125</x:v>
      </x:c>
      <x:c r="F2407" s="22" t="str">
        <x:f>"145.071.436-67"</x:f>
        <x:v>145.071.436-67</x:v>
      </x:c>
      <x:c r="G2407" s="22" t="str">
        <x:f>"14507143667"</x:f>
        <x:v>14507143667</x:v>
      </x:c>
      <x:c r="H2407" s="23" t="str">
        <x:v>luisfelipeanajr@gmail.com</x:v>
      </x:c>
      <x:c r="I2407" s="22" t="str">
        <x:f>"31973194654"</x:f>
        <x:v>31973194654</x:v>
      </x:c>
      <x:c r="J2407" s="23" t="str">
        <x:v>RENTAL</x:v>
      </x:c>
      <x:c r="K2407" s="23" t="str">
        <x:v>rental_company</x:v>
      </x:c>
      <x:c r="L2407" s="24" t="b">
        <x:v>1</x:v>
      </x:c>
      <x:c r="M2407" s="23" t="n">
        <x:v>1</x:v>
      </x:c>
      <x:c r="N2407" s="28" t="n">
        <x:v>46219.812988715275</x:v>
      </x:c>
      <x:c r="O2407" s="28" t="n">
        <x:v>46219.812988715275</x:v>
      </x:c>
      <x:c r="P2407" s="23" t="str">
        <x:v>CONTAGEM</x:v>
      </x:c>
      <x:c r="Q2407" s="30" t="n">
        <x:v>37260</x:v>
      </x:c>
      <x:c r="R2407" s="22" t="str">
        <x:f>"20798649"</x:f>
        <x:v>20798649</x:v>
      </x:c>
      <x:c r="S2407" s="23" t="str">
        <x:v>masculino</x:v>
      </x:c>
      <x:c r="T2407" s="22" t="str"/>
      <x:c r="U2407" s="23" t="str">
        <x:v>LUIS FILIPE DIAS SOUTO</x:v>
      </x:c>
      <x:c r="V2407" s="22" t="str">
        <x:f>"145.071.436-67"</x:f>
        <x:v>145.071.436-67</x:v>
      </x:c>
      <x:c r="W2407" s="22" t="str">
        <x:f>"14507143667"</x:f>
        <x:v>14507143667</x:v>
      </x:c>
      <x:c r="X2407" s="23" t="str">
        <x:v>luisfelipeanajr@gmail.com</x:v>
      </x:c>
      <x:c r="Y2407" s="22" t="str">
        <x:f>"31973194654"</x:f>
        <x:v>31973194654</x:v>
      </x:c>
      <x:c r="Z2407" s="30" t="n">
        <x:v>46583</x:v>
      </x:c>
    </x:row>
    <x:row r="2408" ht="18" customHeight="1">
      <x:c r="A2408" s="22" t="str">
        <x:f>"e48b7ec5-2c56-46b0-b8b2-a41d277b2e1c"</x:f>
        <x:v>e48b7ec5-2c56-46b0-b8b2-a41d277b2e1c</x:v>
      </x:c>
      <x:c r="B2408" s="23" t="str">
        <x:v>LUIS GUSTAVO DOS SANTOS GOMES</x:v>
      </x:c>
      <x:c r="C2408" s="23" t="str">
        <x:v>luis gustavo dos santos gomes</x:v>
      </x:c>
      <x:c r="D2408" s="22" t="str">
        <x:f>"61.519.519/0001-75"</x:f>
        <x:v>61.519.519/0001-75</x:v>
      </x:c>
      <x:c r="E2408" s="22" t="str">
        <x:f>"61519519000175"</x:f>
        <x:v>61519519000175</x:v>
      </x:c>
      <x:c r="F2408" s="22" t="str">
        <x:f>"034.880.864-02"</x:f>
        <x:v>034.880.864-02</x:v>
      </x:c>
      <x:c r="G2408" s="22" t="str">
        <x:f>"03488086402"</x:f>
        <x:v>03488086402</x:v>
      </x:c>
      <x:c r="H2408" s="23" t="str">
        <x:v>Luisgustavoo8890@gmail.com</x:v>
      </x:c>
      <x:c r="I2408" s="22" t="str">
        <x:f>"+55 11 97204-0812"</x:f>
        <x:v>+55 11 97204-0812</x:v>
      </x:c>
      <x:c r="J2408" s="23" t="str">
        <x:v>SPOT</x:v>
      </x:c>
      <x:c r="K2408" s="23" t="str">
        <x:v>favored_only</x:v>
      </x:c>
      <x:c r="L2408" s="24" t="b">
        <x:v>1</x:v>
      </x:c>
      <x:c r="M2408" s="23" t="n">
        <x:v>1</x:v>
      </x:c>
      <x:c r="N2408" s="28" t="n">
        <x:v>46219.812988715275</x:v>
      </x:c>
      <x:c r="O2408" s="28" t="n">
        <x:v>46219.812988715275</x:v>
      </x:c>
      <x:c r="P2408" s="23" t="str">
        <x:v>GUANHAES</x:v>
      </x:c>
      <x:c r="Q2408" s="30" t="n">
        <x:v>29382</x:v>
      </x:c>
      <x:c r="R2408" s="22" t="str">
        <x:f>"2293018"</x:f>
        <x:v>2293018</x:v>
      </x:c>
      <x:c r="S2408" s="23" t="str">
        <x:v>masculino</x:v>
      </x:c>
      <x:c r="T2408" s="22" t="str">
        <x:f>"rfo2j58"</x:f>
        <x:v>rfo2j58</x:v>
      </x:c>
      <x:c r="U2408" s="23" t="str">
        <x:v>VINICIUS CONRADO DE OLIVEIRA</x:v>
      </x:c>
      <x:c r="V2408" s="22" t="str">
        <x:f>"069.065.716-13"</x:f>
        <x:v>069.065.716-13</x:v>
      </x:c>
      <x:c r="W2408" s="22" t="str">
        <x:f>"06906571613"</x:f>
        <x:v>06906571613</x:v>
      </x:c>
      <x:c r="X2408" s="23" t="str">
        <x:v>medinacont@yahoo.com.br</x:v>
      </x:c>
      <x:c r="Y2408" s="22" t="str">
        <x:f>"31975270529"</x:f>
        <x:v>31975270529</x:v>
      </x:c>
      <x:c r="Z2408" s="30" t="n">
        <x:v>46409</x:v>
      </x:c>
    </x:row>
    <x:row r="2409" ht="18" customHeight="1">
      <x:c r="A2409" s="22" t="str">
        <x:f>"bedb160e-b010-4d4d-96f4-b907cdd380a4"</x:f>
        <x:v>bedb160e-b010-4d4d-96f4-b907cdd380a4</x:v>
      </x:c>
      <x:c r="B2409" s="23" t="str">
        <x:v>LUIS GUSTAVO GONCALVES DE OLIVEIRA</x:v>
      </x:c>
      <x:c r="C2409" s="23" t="str">
        <x:v>luis gustavo goncalves de oliveira</x:v>
      </x:c>
      <x:c r="D2409" s="22" t="str">
        <x:f>"57.434.299/0001-00"</x:f>
        <x:v>57.434.299/0001-00</x:v>
      </x:c>
      <x:c r="E2409" s="22" t="str">
        <x:f>"57434299000100"</x:f>
        <x:v>57434299000100</x:v>
      </x:c>
      <x:c r="F2409" s="22" t="str">
        <x:f>"241.321.638-30"</x:f>
        <x:v>241.321.638-30</x:v>
      </x:c>
      <x:c r="G2409" s="22" t="str">
        <x:f>"24132163830"</x:f>
        <x:v>24132163830</x:v>
      </x:c>
      <x:c r="H2409" s="23" t="str">
        <x:v>luisgustavolg5665@gmail.com</x:v>
      </x:c>
      <x:c r="I2409" s="22" t="str">
        <x:f>"11981306113"</x:f>
        <x:v>11981306113</x:v>
      </x:c>
      <x:c r="J2409" s="23" t="str">
        <x:v>SPOT</x:v>
      </x:c>
      <x:c r="K2409" s="23" t="str">
        <x:v>favored_only</x:v>
      </x:c>
      <x:c r="L2409" s="24" t="b">
        <x:v>1</x:v>
      </x:c>
      <x:c r="M2409" s="23" t="n">
        <x:v>1</x:v>
      </x:c>
      <x:c r="N2409" s="28" t="n">
        <x:v>46219.812988715275</x:v>
      </x:c>
      <x:c r="O2409" s="28" t="n">
        <x:v>46219.812988715275</x:v>
      </x:c>
      <x:c r="P2409" s="23" t="str">
        <x:v>BARUERI</x:v>
      </x:c>
      <x:c r="Q2409" s="30" t="n">
        <x:v>36681</x:v>
      </x:c>
      <x:c r="R2409" s="22" t="str">
        <x:f>"561433963"</x:f>
        <x:v>561433963</x:v>
      </x:c>
      <x:c r="S2409" s="23" t="str">
        <x:v>masculino</x:v>
      </x:c>
      <x:c r="T2409" s="22" t="str">
        <x:f>"EVP5E25"</x:f>
        <x:v>EVP5E25</x:v>
      </x:c>
      <x:c r="U2409" s="23" t="str">
        <x:v>LUIS GUSTAVO GONCALVES DE OLIVEIRA</x:v>
      </x:c>
      <x:c r="V2409" s="22" t="str">
        <x:f>"241.321.638-30"</x:f>
        <x:v>241.321.638-30</x:v>
      </x:c>
      <x:c r="W2409" s="22" t="str">
        <x:f>"24132163830"</x:f>
        <x:v>24132163830</x:v>
      </x:c>
      <x:c r="X2409" s="23" t="str">
        <x:v>luisgustavolg5665@gmail.com</x:v>
      </x:c>
      <x:c r="Y2409" s="22" t="str">
        <x:f>"11981306113"</x:f>
        <x:v>11981306113</x:v>
      </x:c>
      <x:c r="Z2409" s="30" t="n">
        <x:v>46484</x:v>
      </x:c>
    </x:row>
    <x:row r="2410" ht="18" customHeight="1">
      <x:c r="A2410" s="22" t="str">
        <x:f>"c2cd598f-7456-4dc8-befe-8757be997000"</x:f>
        <x:v>c2cd598f-7456-4dc8-befe-8757be997000</x:v>
      </x:c>
      <x:c r="B2410" s="23" t="str">
        <x:v>LUIS HENRIQUE BARRETO GOMES</x:v>
      </x:c>
      <x:c r="C2410" s="23" t="str">
        <x:v>luis henrique barreto gomes</x:v>
      </x:c>
      <x:c r="D2410" s="22" t="str">
        <x:f>"65.861.417/0001-94"</x:f>
        <x:v>65.861.417/0001-94</x:v>
      </x:c>
      <x:c r="E2410" s="22" t="str">
        <x:f>"65861417000194"</x:f>
        <x:v>65861417000194</x:v>
      </x:c>
      <x:c r="F2410" s="22" t="str">
        <x:f>"037.558.317-32"</x:f>
        <x:v>037.558.317-32</x:v>
      </x:c>
      <x:c r="G2410" s="22" t="str">
        <x:f>"03755831732"</x:f>
        <x:v>03755831732</x:v>
      </x:c>
      <x:c r="H2410" s="23" t="str">
        <x:v>luishbg12@yahoo.com.br</x:v>
      </x:c>
      <x:c r="I2410" s="22" t="str">
        <x:f>"21979300270"</x:f>
        <x:v>21979300270</x:v>
      </x:c>
      <x:c r="J2410" s="23" t="str">
        <x:v>SPOT</x:v>
      </x:c>
      <x:c r="K2410" s="23" t="str">
        <x:v>favored_only</x:v>
      </x:c>
      <x:c r="L2410" s="24" t="b">
        <x:v>1</x:v>
      </x:c>
      <x:c r="M2410" s="23" t="n">
        <x:v>1</x:v>
      </x:c>
      <x:c r="N2410" s="28" t="n">
        <x:v>46219.812988715275</x:v>
      </x:c>
      <x:c r="O2410" s="28" t="n">
        <x:v>46219.812988715275</x:v>
      </x:c>
      <x:c r="P2410" s="23" t="str">
        <x:v>CAMPO GRANDE</x:v>
      </x:c>
      <x:c r="Q2410" s="30" t="n">
        <x:v>26131</x:v>
      </x:c>
      <x:c r="R2410" s="22" t="str">
        <x:f>"92630375"</x:f>
        <x:v>92630375</x:v>
      </x:c>
      <x:c r="S2410" s="23" t="str">
        <x:v>masculino</x:v>
      </x:c>
      <x:c r="T2410" s="22" t="str">
        <x:f>"LML8063"</x:f>
        <x:v>LML8063</x:v>
      </x:c>
      <x:c r="U2410" s="23" t="str">
        <x:v>LUIS HENRIQUE BARRETO GOMES</x:v>
      </x:c>
      <x:c r="V2410" s="22" t="str">
        <x:f>"037.558.317-32"</x:f>
        <x:v>037.558.317-32</x:v>
      </x:c>
      <x:c r="W2410" s="22" t="str">
        <x:f>"03755831732"</x:f>
        <x:v>03755831732</x:v>
      </x:c>
      <x:c r="X2410" s="23" t="str">
        <x:v>luishbg12@yahoo.com.br</x:v>
      </x:c>
      <x:c r="Y2410" s="22" t="str">
        <x:f>"21979300270"</x:f>
        <x:v>21979300270</x:v>
      </x:c>
      <x:c r="Z2410" s="30" t="n">
        <x:v>46549</x:v>
      </x:c>
    </x:row>
    <x:row r="2411" ht="18" customHeight="1">
      <x:c r="A2411" s="22" t="str">
        <x:f>"aba26b32-2e39-466a-bc2f-bd2f1fef4ab7"</x:f>
        <x:v>aba26b32-2e39-466a-bc2f-bd2f1fef4ab7</x:v>
      </x:c>
      <x:c r="B2411" s="23" t="str">
        <x:v>LUIS MALTA REIS</x:v>
      </x:c>
      <x:c r="C2411" s="23" t="str">
        <x:v>luis malta reis</x:v>
      </x:c>
      <x:c r="D2411" s="22" t="str">
        <x:f>"67.274.946/0001-17"</x:f>
        <x:v>67.274.946/0001-17</x:v>
      </x:c>
      <x:c r="E2411" s="22" t="str">
        <x:f>"67274946000117"</x:f>
        <x:v>67274946000117</x:v>
      </x:c>
      <x:c r="F2411" s="22" t="str">
        <x:f>"119.216.446-64"</x:f>
        <x:v>119.216.446-64</x:v>
      </x:c>
      <x:c r="G2411" s="22" t="str">
        <x:f>"11921644664"</x:f>
        <x:v>11921644664</x:v>
      </x:c>
      <x:c r="H2411" s="23" t="str">
        <x:v>luismar_malta@hotmail.com</x:v>
      </x:c>
      <x:c r="I2411" s="22" t="str">
        <x:f>"77999513480"</x:f>
        <x:v>77999513480</x:v>
      </x:c>
      <x:c r="J2411" s="23" t="str">
        <x:v>RENTALS</x:v>
      </x:c>
      <x:c r="K2411" s="23" t="str">
        <x:v>rental_company</x:v>
      </x:c>
      <x:c r="L2411" s="24" t="b">
        <x:v>1</x:v>
      </x:c>
      <x:c r="M2411" s="23" t="n">
        <x:v>1</x:v>
      </x:c>
      <x:c r="N2411" s="28" t="n">
        <x:v>46219.812988715275</x:v>
      </x:c>
      <x:c r="O2411" s="28" t="n">
        <x:v>46219.812988715275</x:v>
      </x:c>
      <x:c r="P2411" s="23" t="str">
        <x:v>IPATINGA</x:v>
      </x:c>
      <x:c r="Q2411" s="30" t="n">
        <x:v>34428</x:v>
      </x:c>
      <x:c r="R2411" s="22" t="str">
        <x:f>"SSPMG14423062"</x:f>
        <x:v>SSPMG14423062</x:v>
      </x:c>
      <x:c r="S2411" s="23" t="str">
        <x:v>masculino</x:v>
      </x:c>
      <x:c r="T2411" s="22" t="str"/>
      <x:c r="U2411" s="23" t="str">
        <x:v>LUIS MALTA REIS</x:v>
      </x:c>
      <x:c r="V2411" s="22" t="str">
        <x:f>"119.216.446-64"</x:f>
        <x:v>119.216.446-64</x:v>
      </x:c>
      <x:c r="W2411" s="22" t="str">
        <x:f>"11921644664"</x:f>
        <x:v>11921644664</x:v>
      </x:c>
      <x:c r="X2411" s="23" t="str">
        <x:v>luismar_malta@hotmail.com</x:v>
      </x:c>
      <x:c r="Y2411" s="22" t="str">
        <x:f>"77999513480"</x:f>
        <x:v>77999513480</x:v>
      </x:c>
      <x:c r="Z2411" s="30" t="n">
        <x:v>46553</x:v>
      </x:c>
    </x:row>
    <x:row r="2412" ht="18" customHeight="1">
      <x:c r="A2412" s="22" t="str">
        <x:f>"a21fe602-f296-4b90-b69d-35992fece528"</x:f>
        <x:v>a21fe602-f296-4b90-b69d-35992fece528</x:v>
      </x:c>
      <x:c r="B2412" s="23" t="str">
        <x:v>LUIS MIGUEL MARTINS MACHADO</x:v>
      </x:c>
      <x:c r="C2412" s="23" t="str">
        <x:v>luis miguel martins machado</x:v>
      </x:c>
      <x:c r="D2412" s="22" t="str">
        <x:f>"60.096.912/0001-30"</x:f>
        <x:v>60.096.912/0001-30</x:v>
      </x:c>
      <x:c r="E2412" s="22" t="str">
        <x:f>"60096912000130"</x:f>
        <x:v>60096912000130</x:v>
      </x:c>
      <x:c r="F2412" s="22" t="str">
        <x:f>"491.170.108-02"</x:f>
        <x:v>491.170.108-02</x:v>
      </x:c>
      <x:c r="G2412" s="22" t="str">
        <x:f>"49117010802"</x:f>
        <x:v>49117010802</x:v>
      </x:c>
      <x:c r="H2412" s="23" t="str">
        <x:v>luis.miguel.martins.machado18@gmail.com</x:v>
      </x:c>
      <x:c r="I2412" s="22" t="str">
        <x:f>"(12) 99740-6235"</x:f>
        <x:v>(12) 99740-6235</x:v>
      </x:c>
      <x:c r="J2412" s="23" t="str">
        <x:v>RENTAL</x:v>
      </x:c>
      <x:c r="K2412" s="23" t="str">
        <x:v>rental_company</x:v>
      </x:c>
      <x:c r="L2412" s="24" t="b">
        <x:v>1</x:v>
      </x:c>
      <x:c r="M2412" s="23" t="n">
        <x:v>1</x:v>
      </x:c>
      <x:c r="N2412" s="28" t="n">
        <x:v>46203.921824756944</x:v>
      </x:c>
      <x:c r="O2412" s="28" t="n">
        <x:v>46219.812988715275</x:v>
      </x:c>
      <x:c r="P2412" s="23" t="str">
        <x:v>POUSO ALEGRE</x:v>
      </x:c>
      <x:c r="Q2412" s="30" t="n">
        <x:v>36725</x:v>
      </x:c>
      <x:c r="R2412" s="22" t="str">
        <x:f>"57918447"</x:f>
        <x:v>57918447</x:v>
      </x:c>
      <x:c r="S2412" s="23" t="str">
        <x:v>masculino</x:v>
      </x:c>
      <x:c r="T2412" s="22" t="str"/>
      <x:c r="U2412" s="23" t="str">
        <x:v>LUIS MIGUEL MARTINS MACHADO</x:v>
      </x:c>
      <x:c r="V2412" s="22" t="str">
        <x:f>"491.170.108-02"</x:f>
        <x:v>491.170.108-02</x:v>
      </x:c>
      <x:c r="W2412" s="22" t="str">
        <x:f>"49117010802"</x:f>
        <x:v>49117010802</x:v>
      </x:c>
      <x:c r="X2412" s="23" t="str">
        <x:v>luis.miguel.martins.machado18@gmail.com</x:v>
      </x:c>
      <x:c r="Y2412" s="22" t="str">
        <x:f>"(12) 99740-6235"</x:f>
        <x:v>(12) 99740-6235</x:v>
      </x:c>
      <x:c r="Z2412" s="30" t="n">
        <x:v>46420</x:v>
      </x:c>
    </x:row>
    <x:row r="2413" ht="18" customHeight="1">
      <x:c r="A2413" s="22" t="str">
        <x:f>"ddb5eb89-1094-40dd-83dc-6741ce3d5787"</x:f>
        <x:v>ddb5eb89-1094-40dd-83dc-6741ce3d5787</x:v>
      </x:c>
      <x:c r="B2413" s="23" t="str">
        <x:v>LUIS MIGUEL VEIGAS LIMA</x:v>
      </x:c>
      <x:c r="C2413" s="23" t="str">
        <x:v>luis miguel veigas lima</x:v>
      </x:c>
      <x:c r="D2413" s="22" t="str">
        <x:f>"38464037000143"</x:f>
        <x:v>38464037000143</x:v>
      </x:c>
      <x:c r="E2413" s="22" t="str">
        <x:f>"38464037000143"</x:f>
        <x:v>38464037000143</x:v>
      </x:c>
      <x:c r="F2413" s="22" t="str">
        <x:f>"2834721432"</x:f>
        <x:v>2834721432</x:v>
      </x:c>
      <x:c r="G2413" s="22" t="str">
        <x:f>"2834721432"</x:f>
        <x:v>2834721432</x:v>
      </x:c>
      <x:c r="H2413" s="23" t="str">
        <x:v>veigaslima26@gmail.com</x:v>
      </x:c>
      <x:c r="I2413" s="22" t="str">
        <x:f>"17992133135"</x:f>
        <x:v>17992133135</x:v>
      </x:c>
      <x:c r="J2413" s="23" t="str">
        <x:v>RENTAL</x:v>
      </x:c>
      <x:c r="K2413" s="23" t="str">
        <x:v>rental_company</x:v>
      </x:c>
      <x:c r="L2413" s="24" t="b">
        <x:v>1</x:v>
      </x:c>
      <x:c r="M2413" s="23" t="n">
        <x:v>1</x:v>
      </x:c>
      <x:c r="N2413" s="28" t="n">
        <x:v>46203.921852962965</x:v>
      </x:c>
      <x:c r="O2413" s="28" t="n">
        <x:v>46203.921852962965</x:v>
      </x:c>
      <x:c r="P2413" s="23" t="str"/>
      <x:c r="Q2413" s="30" t="str"/>
      <x:c r="R2413" s="22" t="str"/>
      <x:c r="S2413" s="23" t="str"/>
      <x:c r="T2413" s="22" t="str"/>
      <x:c r="U2413" s="23" t="str">
        <x:v>LUIS MIGUEL VEIGAS LIMA</x:v>
      </x:c>
      <x:c r="V2413" s="22" t="str">
        <x:f>"2834721432"</x:f>
        <x:v>2834721432</x:v>
      </x:c>
      <x:c r="W2413" s="22" t="str">
        <x:f>"2834721432"</x:f>
        <x:v>2834721432</x:v>
      </x:c>
      <x:c r="X2413" s="23" t="str">
        <x:v>veigaslima26@gmail.com</x:v>
      </x:c>
      <x:c r="Y2413" s="22" t="str">
        <x:f>"17992133135"</x:f>
        <x:v>17992133135</x:v>
      </x:c>
      <x:c r="Z2413" s="30" t="str"/>
    </x:row>
    <x:row r="2414" ht="18" customHeight="1">
      <x:c r="A2414" s="22" t="str">
        <x:f>"1c9c4483-5d4a-43fc-bbab-440c1c806cf6"</x:f>
        <x:v>1c9c4483-5d4a-43fc-bbab-440c1c806cf6</x:v>
      </x:c>
      <x:c r="B2414" s="23" t="str">
        <x:v>LUIS MIGUEL VIEGAS DE LIMA</x:v>
      </x:c>
      <x:c r="C2414" s="23" t="str">
        <x:v>luis miguel viegas de lima</x:v>
      </x:c>
      <x:c r="D2414" s="22" t="str">
        <x:f>"62.207.941/0001-58"</x:f>
        <x:v>62.207.941/0001-58</x:v>
      </x:c>
      <x:c r="E2414" s="22" t="str">
        <x:f>"62207941000158"</x:f>
        <x:v>62207941000158</x:v>
      </x:c>
      <x:c r="F2414" s="22" t="str">
        <x:f>"459.550.088-29"</x:f>
        <x:v>459.550.088-29</x:v>
      </x:c>
      <x:c r="G2414" s="22" t="str">
        <x:f>"45955008829"</x:f>
        <x:v>45955008829</x:v>
      </x:c>
      <x:c r="H2414" s="23" t="str">
        <x:v>viegaslima26@gmail.com</x:v>
      </x:c>
      <x:c r="I2414" s="22" t="str">
        <x:f>"17996427706"</x:f>
        <x:v>17996427706</x:v>
      </x:c>
      <x:c r="J2414" s="23" t="str">
        <x:v>SPOT</x:v>
      </x:c>
      <x:c r="K2414" s="23" t="str">
        <x:v>favored_only</x:v>
      </x:c>
      <x:c r="L2414" s="24" t="b">
        <x:v>1</x:v>
      </x:c>
      <x:c r="M2414" s="23" t="n">
        <x:v>1</x:v>
      </x:c>
      <x:c r="N2414" s="28" t="n">
        <x:v>46203.921858726855</x:v>
      </x:c>
      <x:c r="O2414" s="28" t="n">
        <x:v>46203.921858726855</x:v>
      </x:c>
      <x:c r="P2414" s="23" t="str"/>
      <x:c r="Q2414" s="30" t="str"/>
      <x:c r="R2414" s="22" t="str"/>
      <x:c r="S2414" s="23" t="str"/>
      <x:c r="T2414" s="22" t="str"/>
      <x:c r="U2414" s="23" t="str">
        <x:v>LUIS MIGUEL VIEGAS DE LIMA</x:v>
      </x:c>
      <x:c r="V2414" s="22" t="str">
        <x:f>"459.550.088-29"</x:f>
        <x:v>459.550.088-29</x:v>
      </x:c>
      <x:c r="W2414" s="22" t="str">
        <x:f>"45955008829"</x:f>
        <x:v>45955008829</x:v>
      </x:c>
      <x:c r="X2414" s="23" t="str">
        <x:v>viegaslima26@gmail.com</x:v>
      </x:c>
      <x:c r="Y2414" s="22" t="str">
        <x:f>"17996427706"</x:f>
        <x:v>17996427706</x:v>
      </x:c>
      <x:c r="Z2414" s="30" t="str"/>
    </x:row>
    <x:row r="2415" ht="18" customHeight="1">
      <x:c r="A2415" s="22" t="str">
        <x:f>"3c824bd3-a672-448c-8682-9d9fa6c4d789"</x:f>
        <x:v>3c824bd3-a672-448c-8682-9d9fa6c4d789</x:v>
      </x:c>
      <x:c r="B2415" s="23" t="str">
        <x:v>LUIS PAULO MONTES SIQUEIRA</x:v>
      </x:c>
      <x:c r="C2415" s="23" t="str">
        <x:v>luis paulo montes siqueira</x:v>
      </x:c>
      <x:c r="D2415" s="22" t="str">
        <x:f>"64.320.339/0001-58"</x:f>
        <x:v>64.320.339/0001-58</x:v>
      </x:c>
      <x:c r="E2415" s="22" t="str">
        <x:f>"64320339000158"</x:f>
        <x:v>64320339000158</x:v>
      </x:c>
      <x:c r="F2415" s="22" t="str">
        <x:f>"128.880.187-48"</x:f>
        <x:v>128.880.187-48</x:v>
      </x:c>
      <x:c r="G2415" s="22" t="str">
        <x:f>"12888018748"</x:f>
        <x:v>12888018748</x:v>
      </x:c>
      <x:c r="H2415" s="23" t="str">
        <x:v>LUISPAULOMINTESSIQUEIRA@GMAIL.COM</x:v>
      </x:c>
      <x:c r="I2415" s="22" t="str">
        <x:f>"22988108457"</x:f>
        <x:v>22988108457</x:v>
      </x:c>
      <x:c r="J2415" s="23" t="str">
        <x:v>SPOT</x:v>
      </x:c>
      <x:c r="K2415" s="23" t="str">
        <x:v>favored_only</x:v>
      </x:c>
      <x:c r="L2415" s="24" t="b">
        <x:v>1</x:v>
      </x:c>
      <x:c r="M2415" s="23" t="n">
        <x:v>1</x:v>
      </x:c>
      <x:c r="N2415" s="28" t="n">
        <x:v>46205.60704417824</x:v>
      </x:c>
      <x:c r="O2415" s="28" t="n">
        <x:v>46219.812988715275</x:v>
      </x:c>
      <x:c r="P2415" s="23" t="str">
        <x:v>CAMPOS DOS GOYTACAZES</x:v>
      </x:c>
      <x:c r="Q2415" s="30" t="n">
        <x:v>32835</x:v>
      </x:c>
      <x:c r="R2415" s="22" t="str">
        <x:f>"213953672"</x:f>
        <x:v>213953672</x:v>
      </x:c>
      <x:c r="S2415" s="23" t="str">
        <x:v>masculino</x:v>
      </x:c>
      <x:c r="T2415" s="22" t="str">
        <x:f>"KWC8G04"</x:f>
        <x:v>KWC8G04</x:v>
      </x:c>
      <x:c r="U2415" s="23" t="str">
        <x:v>ANNA MARCELLA DA SILVA SANTOS LIMA</x:v>
      </x:c>
      <x:c r="V2415" s="22" t="str">
        <x:f>"220.790.787-20"</x:f>
        <x:v>220.790.787-20</x:v>
      </x:c>
      <x:c r="W2415" s="22" t="str">
        <x:f>"22079078720"</x:f>
        <x:v>22079078720</x:v>
      </x:c>
      <x:c r="X2415" s="23" t="str">
        <x:v>marcellasantos1717@gmail.com</x:v>
      </x:c>
      <x:c r="Y2415" s="22" t="str">
        <x:f>"22 988592405"</x:f>
        <x:v>22 988592405</x:v>
      </x:c>
      <x:c r="Z2415" s="30" t="n">
        <x:v>46395</x:v>
      </x:c>
    </x:row>
    <x:row r="2416" ht="18" customHeight="1">
      <x:c r="A2416" s="22" t="str">
        <x:f>"76aeb3f6-62a0-4438-88b9-56ae17012e6a"</x:f>
        <x:v>76aeb3f6-62a0-4438-88b9-56ae17012e6a</x:v>
      </x:c>
      <x:c r="B2416" s="23" t="str">
        <x:v>LUIS PAULO MONTES SIQUEIRA</x:v>
      </x:c>
      <x:c r="C2416" s="23" t="str">
        <x:v>luis paulo montes siqueira</x:v>
      </x:c>
      <x:c r="D2416" s="22" t="str">
        <x:f>"61.873.241/0001-30"</x:f>
        <x:v>61.873.241/0001-30</x:v>
      </x:c>
      <x:c r="E2416" s="22" t="str">
        <x:f>"61873241000130"</x:f>
        <x:v>61873241000130</x:v>
      </x:c>
      <x:c r="F2416" s="22" t="str">
        <x:f>"128.880.187-48"</x:f>
        <x:v>128.880.187-48</x:v>
      </x:c>
      <x:c r="G2416" s="22" t="str">
        <x:f>"12888018748"</x:f>
        <x:v>12888018748</x:v>
      </x:c>
      <x:c r="H2416" s="23" t="str">
        <x:v>LUISPAULOMINTESSIQUEIRA@GMAIL.COM</x:v>
      </x:c>
      <x:c r="I2416" s="22" t="str">
        <x:f>"22 988108457"</x:f>
        <x:v>22 988108457</x:v>
      </x:c>
      <x:c r="J2416" s="23" t="str">
        <x:v>SPOT</x:v>
      </x:c>
      <x:c r="K2416" s="23" t="str">
        <x:v>favored_only</x:v>
      </x:c>
      <x:c r="L2416" s="24" t="b">
        <x:v>1</x:v>
      </x:c>
      <x:c r="M2416" s="23" t="n">
        <x:v>1</x:v>
      </x:c>
      <x:c r="N2416" s="28" t="n">
        <x:v>46205.606657199074</x:v>
      </x:c>
      <x:c r="O2416" s="28" t="n">
        <x:v>46219.812988715275</x:v>
      </x:c>
      <x:c r="P2416" s="23" t="str">
        <x:v>CAMPOS DOS GOYTACAZES</x:v>
      </x:c>
      <x:c r="Q2416" s="30" t="n">
        <x:v>32835</x:v>
      </x:c>
      <x:c r="R2416" s="22" t="str">
        <x:f>"213953672"</x:f>
        <x:v>213953672</x:v>
      </x:c>
      <x:c r="S2416" s="23" t="str">
        <x:v>masculino</x:v>
      </x:c>
      <x:c r="T2416" s="22" t="str">
        <x:f>"KWC8G04"</x:f>
        <x:v>KWC8G04</x:v>
      </x:c>
      <x:c r="U2416" s="23" t="str">
        <x:v>ALEXANDRE DA SILVA GIVIGIER</x:v>
      </x:c>
      <x:c r="V2416" s="22" t="str">
        <x:f>"124.744.127-00"</x:f>
        <x:v>124.744.127-00</x:v>
      </x:c>
      <x:c r="W2416" s="22" t="str">
        <x:f>"12474412700"</x:f>
        <x:v>12474412700</x:v>
      </x:c>
      <x:c r="X2416" s="23" t="str">
        <x:v>ALEXANDREGIVIGIER5@GMAIL.COM</x:v>
      </x:c>
      <x:c r="Y2416" s="22" t="str">
        <x:f>"22 997076041"</x:f>
        <x:v>22 997076041</x:v>
      </x:c>
      <x:c r="Z2416" s="30" t="n">
        <x:v>46368</x:v>
      </x:c>
    </x:row>
    <x:row r="2417" ht="18" customHeight="1">
      <x:c r="A2417" s="22" t="str">
        <x:f>"25449e18-5e48-4a9a-bc85-c69561138cd3"</x:f>
        <x:v>25449e18-5e48-4a9a-bc85-c69561138cd3</x:v>
      </x:c>
      <x:c r="B2417" s="23" t="str">
        <x:v>LUIS VANDRE FERREIRA LESSA</x:v>
      </x:c>
      <x:c r="C2417" s="23" t="str">
        <x:v>luis vandre ferreira lessa</x:v>
      </x:c>
      <x:c r="D2417" s="22" t="str">
        <x:f>"66.739.976/0001-99"</x:f>
        <x:v>66.739.976/0001-99</x:v>
      </x:c>
      <x:c r="E2417" s="22" t="str">
        <x:f>"66739976000199"</x:f>
        <x:v>66739976000199</x:v>
      </x:c>
      <x:c r="F2417" s="22" t="str">
        <x:f>"145.453.777-93"</x:f>
        <x:v>145.453.777-93</x:v>
      </x:c>
      <x:c r="G2417" s="22" t="str">
        <x:f>"14545377793"</x:f>
        <x:v>14545377793</x:v>
      </x:c>
      <x:c r="H2417" s="23" t="str">
        <x:v>vandrelessa@hotmail.com</x:v>
      </x:c>
      <x:c r="I2417" s="22" t="str">
        <x:f>"(21) 99178-2607"</x:f>
        <x:v>(21) 99178-2607</x:v>
      </x:c>
      <x:c r="J2417" s="23" t="str">
        <x:v>SPOT</x:v>
      </x:c>
      <x:c r="K2417" s="23" t="str">
        <x:v>favored_only</x:v>
      </x:c>
      <x:c r="L2417" s="24" t="b">
        <x:v>1</x:v>
      </x:c>
      <x:c r="M2417" s="23" t="n">
        <x:v>1</x:v>
      </x:c>
      <x:c r="N2417" s="28" t="n">
        <x:v>46219.812988715275</x:v>
      </x:c>
      <x:c r="O2417" s="28" t="n">
        <x:v>46219.812988715275</x:v>
      </x:c>
      <x:c r="P2417" s="23" t="str">
        <x:v>CORDOVIL</x:v>
      </x:c>
      <x:c r="Q2417" s="30" t="n">
        <x:v>35143</x:v>
      </x:c>
      <x:c r="R2417" s="22" t="str">
        <x:f>"28046593-1"</x:f>
        <x:v>28046593-1</x:v>
      </x:c>
      <x:c r="S2417" s="23" t="str">
        <x:v>masculino</x:v>
      </x:c>
      <x:c r="T2417" s="22" t="str">
        <x:f>"KXT5I82"</x:f>
        <x:v>KXT5I82</x:v>
      </x:c>
      <x:c r="U2417" s="23" t="str">
        <x:v>LUIS VANDRE FERREIRA LESSA</x:v>
      </x:c>
      <x:c r="V2417" s="22" t="str">
        <x:f>"145.453.777-93"</x:f>
        <x:v>145.453.777-93</x:v>
      </x:c>
      <x:c r="W2417" s="22" t="str">
        <x:f>"14545377793"</x:f>
        <x:v>14545377793</x:v>
      </x:c>
      <x:c r="X2417" s="23" t="str">
        <x:v>vandrelessa@hotmail.com</x:v>
      </x:c>
      <x:c r="Y2417" s="22" t="str">
        <x:f>"(21) 99178-2607"</x:f>
        <x:v>(21) 99178-2607</x:v>
      </x:c>
      <x:c r="Z2417" s="30" t="n">
        <x:v>46522</x:v>
      </x:c>
    </x:row>
    <x:row r="2418" ht="18" customHeight="1">
      <x:c r="A2418" s="22" t="str">
        <x:f>"56833625-2a3d-4114-966d-004e985d476b"</x:f>
        <x:v>56833625-2a3d-4114-966d-004e985d476b</x:v>
      </x:c>
      <x:c r="B2418" s="23" t="str">
        <x:v>LUIZA FILGUEIRAS FREITAS DOS ANJOS</x:v>
      </x:c>
      <x:c r="C2418" s="23" t="str">
        <x:v>luiza filgueiras freitas dos anjos</x:v>
      </x:c>
      <x:c r="D2418" s="22" t="str">
        <x:f>"63.402.996/0001-81"</x:f>
        <x:v>63.402.996/0001-81</x:v>
      </x:c>
      <x:c r="E2418" s="22" t="str">
        <x:f>"63402996000181"</x:f>
        <x:v>63402996000181</x:v>
      </x:c>
      <x:c r="F2418" s="22" t="str">
        <x:f>"18316729792"</x:f>
        <x:v>18316729792</x:v>
      </x:c>
      <x:c r="G2418" s="22" t="str">
        <x:f>"18316729792"</x:f>
        <x:v>18316729792</x:v>
      </x:c>
      <x:c r="H2418" s="23" t="str">
        <x:v>luizafilgueirasfreitas16@gmail.com</x:v>
      </x:c>
      <x:c r="I2418" s="22" t="str">
        <x:f>"21979072264"</x:f>
        <x:v>21979072264</x:v>
      </x:c>
      <x:c r="J2418" s="23" t="str">
        <x:v>SPOT</x:v>
      </x:c>
      <x:c r="K2418" s="23" t="str">
        <x:v>favored_only</x:v>
      </x:c>
      <x:c r="L2418" s="24" t="b">
        <x:v>1</x:v>
      </x:c>
      <x:c r="M2418" s="23" t="n">
        <x:v>2</x:v>
      </x:c>
      <x:c r="N2418" s="28" t="n">
        <x:v>46203.92189965278</x:v>
      </x:c>
      <x:c r="O2418" s="28" t="n">
        <x:v>46203.92189965278</x:v>
      </x:c>
      <x:c r="P2418" s="23" t="str"/>
      <x:c r="Q2418" s="30" t="str"/>
      <x:c r="R2418" s="22" t="str"/>
      <x:c r="S2418" s="23" t="str"/>
      <x:c r="T2418" s="22" t="str"/>
      <x:c r="U2418" s="23" t="str">
        <x:v>LUIZA FILGUEIRAS FREITAS DOS ANJOS</x:v>
      </x:c>
      <x:c r="V2418" s="22" t="str">
        <x:f>"18316729792"</x:f>
        <x:v>18316729792</x:v>
      </x:c>
      <x:c r="W2418" s="22" t="str">
        <x:f>"18316729792"</x:f>
        <x:v>18316729792</x:v>
      </x:c>
      <x:c r="X2418" s="23" t="str">
        <x:v>luizafilgueirasfreitas16@gmail.com</x:v>
      </x:c>
      <x:c r="Y2418" s="22" t="str">
        <x:f>"21979072264"</x:f>
        <x:v>21979072264</x:v>
      </x:c>
      <x:c r="Z2418" s="30" t="str"/>
    </x:row>
    <x:row r="2419" ht="18" customHeight="1">
      <x:c r="A2419" s="22" t="str">
        <x:f>"c4ffe225-de83-4c7e-90e0-2d847b150db2"</x:f>
        <x:v>c4ffe225-de83-4c7e-90e0-2d847b150db2</x:v>
      </x:c>
      <x:c r="B2419" s="23" t="str">
        <x:v>LUIZ AGUILERA DE MORAES</x:v>
      </x:c>
      <x:c r="C2419" s="23" t="str">
        <x:v>luiz aguilera de moraes</x:v>
      </x:c>
      <x:c r="D2419" s="22" t="str">
        <x:f>"46.591.573/0001-38"</x:f>
        <x:v>46.591.573/0001-38</x:v>
      </x:c>
      <x:c r="E2419" s="22" t="str">
        <x:f>"46591573000138"</x:f>
        <x:v>46591573000138</x:v>
      </x:c>
      <x:c r="F2419" s="22" t="str">
        <x:f>"039289171-96"</x:f>
        <x:v>039289171-96</x:v>
      </x:c>
      <x:c r="G2419" s="22" t="str">
        <x:f>"03928917196"</x:f>
        <x:v>03928917196</x:v>
      </x:c>
      <x:c r="H2419" s="23" t="str">
        <x:v>kadufreitas325@gmail.com</x:v>
      </x:c>
      <x:c r="I2419" s="22" t="str">
        <x:f>"6599918-6662"</x:f>
        <x:v>6599918-6662</x:v>
      </x:c>
      <x:c r="J2419" s="23" t="str">
        <x:v>SPOT</x:v>
      </x:c>
      <x:c r="K2419" s="23" t="str">
        <x:v>favored_only</x:v>
      </x:c>
      <x:c r="L2419" s="24" t="b">
        <x:v>1</x:v>
      </x:c>
      <x:c r="M2419" s="23" t="n">
        <x:v>4</x:v>
      </x:c>
      <x:c r="N2419" s="28" t="n">
        <x:v>46203.92184908565</x:v>
      </x:c>
      <x:c r="O2419" s="28" t="n">
        <x:v>46220.50399894676</x:v>
      </x:c>
      <x:c r="P2419" s="23" t="str">
        <x:v>CÁCERES</x:v>
      </x:c>
      <x:c r="Q2419" s="30" t="str"/>
      <x:c r="R2419" s="22" t="str"/>
      <x:c r="S2419" s="23" t="str"/>
      <x:c r="T2419" s="22" t="str"/>
      <x:c r="U2419" s="23" t="str">
        <x:v>LUIZ AGUILEIRA DE MORAES</x:v>
      </x:c>
      <x:c r="V2419" s="22" t="str">
        <x:f>"03928917196"</x:f>
        <x:v>03928917196</x:v>
      </x:c>
      <x:c r="W2419" s="22" t="str">
        <x:f>"03928917196"</x:f>
        <x:v>03928917196</x:v>
      </x:c>
      <x:c r="X2419" s="23" t="str">
        <x:v>luizdemoraes25@gmail.com</x:v>
      </x:c>
      <x:c r="Y2419" s="22" t="str">
        <x:f>"65992188094"</x:f>
        <x:v>65992188094</x:v>
      </x:c>
      <x:c r="Z2419" s="30" t="str"/>
    </x:row>
    <x:row r="2420" ht="18" customHeight="1">
      <x:c r="A2420" s="22" t="str">
        <x:f>"3369bbcb-944a-4d9d-833f-5c95dbbb80f7"</x:f>
        <x:v>3369bbcb-944a-4d9d-833f-5c95dbbb80f7</x:v>
      </x:c>
      <x:c r="B2420" s="23" t="str">
        <x:v>LUIZ ALBERTO BERTUCHI NETO</x:v>
      </x:c>
      <x:c r="C2420" s="23" t="str">
        <x:v>luiz alberto bertuchi neto</x:v>
      </x:c>
      <x:c r="D2420" s="22" t="str">
        <x:f>"60.444.925/0001-53"</x:f>
        <x:v>60.444.925/0001-53</x:v>
      </x:c>
      <x:c r="E2420" s="22" t="str">
        <x:f>"60444925000153"</x:f>
        <x:v>60444925000153</x:v>
      </x:c>
      <x:c r="F2420" s="22" t="str">
        <x:f>"127.706.386-96"</x:f>
        <x:v>127.706.386-96</x:v>
      </x:c>
      <x:c r="G2420" s="22" t="str">
        <x:f>"12770638696"</x:f>
        <x:v>12770638696</x:v>
      </x:c>
      <x:c r="H2420" s="23" t="str">
        <x:v>luizbertuchin@gmail.com</x:v>
      </x:c>
      <x:c r="I2420" s="22" t="str">
        <x:f>"35997631279"</x:f>
        <x:v>35997631279</x:v>
      </x:c>
      <x:c r="J2420" s="23" t="str">
        <x:v>RENTALS</x:v>
      </x:c>
      <x:c r="K2420" s="23" t="str">
        <x:v>rental_company</x:v>
      </x:c>
      <x:c r="L2420" s="24" t="b">
        <x:v>1</x:v>
      </x:c>
      <x:c r="M2420" s="23" t="n">
        <x:v>1</x:v>
      </x:c>
      <x:c r="N2420" s="28" t="n">
        <x:v>46219.812988715275</x:v>
      </x:c>
      <x:c r="O2420" s="28" t="n">
        <x:v>46219.812988715275</x:v>
      </x:c>
      <x:c r="P2420" s="23" t="str">
        <x:v>POUSO ALEGRE</x:v>
      </x:c>
      <x:c r="Q2420" s="30" t="n">
        <x:v>34422</x:v>
      </x:c>
      <x:c r="R2420" s="22" t="str">
        <x:f>"367200910"</x:f>
        <x:v>367200910</x:v>
      </x:c>
      <x:c r="S2420" s="23" t="str">
        <x:v>masculino</x:v>
      </x:c>
      <x:c r="T2420" s="22" t="str"/>
      <x:c r="U2420" s="23" t="str">
        <x:v>LUIZ ALBERTO BERTUCHI NETO</x:v>
      </x:c>
      <x:c r="V2420" s="22" t="str">
        <x:f>"127.706.386-96"</x:f>
        <x:v>127.706.386-96</x:v>
      </x:c>
      <x:c r="W2420" s="22" t="str">
        <x:f>"12770638696"</x:f>
        <x:v>12770638696</x:v>
      </x:c>
      <x:c r="X2420" s="23" t="str">
        <x:v>luizbertuchin@gmail.com</x:v>
      </x:c>
      <x:c r="Y2420" s="22" t="str">
        <x:f>"35997631279"</x:f>
        <x:v>35997631279</x:v>
      </x:c>
      <x:c r="Z2420" s="30" t="n">
        <x:v>46486</x:v>
      </x:c>
    </x:row>
    <x:row r="2421" ht="18" customHeight="1">
      <x:c r="A2421" s="22" t="str">
        <x:f>"dcc58c8b-c194-4a34-8821-01afb6c78781"</x:f>
        <x:v>dcc58c8b-c194-4a34-8821-01afb6c78781</x:v>
      </x:c>
      <x:c r="B2421" s="23" t="str">
        <x:v>LUIZ ALBERTO DE SOUZA</x:v>
      </x:c>
      <x:c r="C2421" s="23" t="str">
        <x:v>luiz alberto de souza</x:v>
      </x:c>
      <x:c r="D2421" s="22" t="str">
        <x:f>"52.485.249/0001-38"</x:f>
        <x:v>52.485.249/0001-38</x:v>
      </x:c>
      <x:c r="E2421" s="22" t="str">
        <x:f>"52485249000138"</x:f>
        <x:v>52485249000138</x:v>
      </x:c>
      <x:c r="F2421" s="22" t="str">
        <x:f>"136.102.986-26"</x:f>
        <x:v>136.102.986-26</x:v>
      </x:c>
      <x:c r="G2421" s="22" t="str">
        <x:f>"13610298626"</x:f>
        <x:v>13610298626</x:v>
      </x:c>
      <x:c r="H2421" s="23" t="str">
        <x:v>rodrigueschaiene98@gmail.com</x:v>
      </x:c>
      <x:c r="I2421" s="22" t="str">
        <x:f>"(35) 99918-3311"</x:f>
        <x:v>(35) 99918-3311</x:v>
      </x:c>
      <x:c r="J2421" s="23" t="str">
        <x:v>RENTAL</x:v>
      </x:c>
      <x:c r="K2421" s="23" t="str">
        <x:v>rental_company</x:v>
      </x:c>
      <x:c r="L2421" s="24" t="b">
        <x:v>1</x:v>
      </x:c>
      <x:c r="M2421" s="23" t="n">
        <x:v>1</x:v>
      </x:c>
      <x:c r="N2421" s="28" t="n">
        <x:v>46203.92189965278</x:v>
      </x:c>
      <x:c r="O2421" s="28" t="n">
        <x:v>46219.812988715275</x:v>
      </x:c>
      <x:c r="P2421" s="23" t="str">
        <x:v>POUSO ALEGRE</x:v>
      </x:c>
      <x:c r="Q2421" s="30" t="n">
        <x:v>35897</x:v>
      </x:c>
      <x:c r="R2421" s="22" t="str">
        <x:f>"MG21178885 SSP MG"</x:f>
        <x:v>MG21178885 SSP MG</x:v>
      </x:c>
      <x:c r="S2421" s="23" t="str">
        <x:v>masculino</x:v>
      </x:c>
      <x:c r="T2421" s="22" t="str"/>
      <x:c r="U2421" s="23" t="str">
        <x:v>LUIZ ALBERTO DE SOUZA</x:v>
      </x:c>
      <x:c r="V2421" s="22" t="str">
        <x:f>"136.102.986-26"</x:f>
        <x:v>136.102.986-26</x:v>
      </x:c>
      <x:c r="W2421" s="22" t="str">
        <x:f>"13610298626"</x:f>
        <x:v>13610298626</x:v>
      </x:c>
      <x:c r="X2421" s="23" t="str">
        <x:v>rodrigueschaiene98@gmail.com</x:v>
      </x:c>
      <x:c r="Y2421" s="22" t="str">
        <x:f>"(35) 99918-3311"</x:f>
        <x:v>(35) 99918-3311</x:v>
      </x:c>
      <x:c r="Z2421" s="30" t="n">
        <x:v>46348</x:v>
      </x:c>
    </x:row>
    <x:row r="2422" ht="18" customHeight="1">
      <x:c r="A2422" s="22" t="str">
        <x:f>"83359388-14ed-43d7-98c1-37254498e5ce"</x:f>
        <x:v>83359388-14ed-43d7-98c1-37254498e5ce</x:v>
      </x:c>
      <x:c r="B2422" s="23" t="str">
        <x:v>LUIZ ALBERTO GARCIA DE ABREU</x:v>
      </x:c>
      <x:c r="C2422" s="23" t="str">
        <x:v>luiz alberto garcia de abreu</x:v>
      </x:c>
      <x:c r="D2422" s="22" t="str">
        <x:f>"06.675.025/0001-00"</x:f>
        <x:v>06.675.025/0001-00</x:v>
      </x:c>
      <x:c r="E2422" s="22" t="str">
        <x:f>"06675025000100"</x:f>
        <x:v>06675025000100</x:v>
      </x:c>
      <x:c r="F2422" s="22" t="str">
        <x:f>"092.096.216-54"</x:f>
        <x:v>092.096.216-54</x:v>
      </x:c>
      <x:c r="G2422" s="22" t="str">
        <x:f>"09209621654"</x:f>
        <x:v>09209621654</x:v>
      </x:c>
      <x:c r="H2422" s="23" t="str">
        <x:v>luizalberto.pessoal1989@gmail.com</x:v>
      </x:c>
      <x:c r="I2422" s="22" t="str">
        <x:f>"31 98389-9097"</x:f>
        <x:v>31 98389-9097</x:v>
      </x:c>
      <x:c r="J2422" s="23" t="str">
        <x:v>rental</x:v>
      </x:c>
      <x:c r="K2422" s="23" t="str">
        <x:v>rental_company</x:v>
      </x:c>
      <x:c r="L2422" s="24" t="b">
        <x:v>1</x:v>
      </x:c>
      <x:c r="M2422" s="23" t="n">
        <x:v>1</x:v>
      </x:c>
      <x:c r="N2422" s="28" t="n">
        <x:v>46219.812988715275</x:v>
      </x:c>
      <x:c r="O2422" s="28" t="n">
        <x:v>46219.812988715275</x:v>
      </x:c>
      <x:c r="P2422" s="23" t="str">
        <x:v>CONTAGEM</x:v>
      </x:c>
      <x:c r="Q2422" s="30" t="n">
        <x:v>32698</x:v>
      </x:c>
      <x:c r="R2422" s="22" t="str">
        <x:f>"15696023"</x:f>
        <x:v>15696023</x:v>
      </x:c>
      <x:c r="S2422" s="23" t="str">
        <x:v>masculino</x:v>
      </x:c>
      <x:c r="T2422" s="22" t="str"/>
      <x:c r="U2422" s="23" t="str">
        <x:v>LUIZ ALBERTO GARCIA DE ABREU</x:v>
      </x:c>
      <x:c r="V2422" s="22" t="str">
        <x:f>"092.096.216-54"</x:f>
        <x:v>092.096.216-54</x:v>
      </x:c>
      <x:c r="W2422" s="22" t="str">
        <x:f>"09209621654"</x:f>
        <x:v>09209621654</x:v>
      </x:c>
      <x:c r="X2422" s="23" t="str">
        <x:v>luizalberto.pessoal1989@gmail.com</x:v>
      </x:c>
      <x:c r="Y2422" s="22" t="str">
        <x:f>"31 98389-9097"</x:f>
        <x:v>31 98389-9097</x:v>
      </x:c>
      <x:c r="Z2422" s="30" t="n">
        <x:v>46564</x:v>
      </x:c>
    </x:row>
    <x:row r="2423" ht="18" customHeight="1">
      <x:c r="A2423" s="22" t="str">
        <x:f>"aef6b29b-2fbb-495b-8167-2b345dd93f4f"</x:f>
        <x:v>aef6b29b-2fbb-495b-8167-2b345dd93f4f</x:v>
      </x:c>
      <x:c r="B2423" s="23" t="str">
        <x:v>LUIZ ANDRE AZEVEDO MARTINS</x:v>
      </x:c>
      <x:c r="C2423" s="23" t="str">
        <x:v>luiz andre azevedo martins</x:v>
      </x:c>
      <x:c r="D2423" s="22" t="str">
        <x:f>"32.468.703/0001-35"</x:f>
        <x:v>32.468.703/0001-35</x:v>
      </x:c>
      <x:c r="E2423" s="22" t="str">
        <x:f>"32468703000135"</x:f>
        <x:v>32468703000135</x:v>
      </x:c>
      <x:c r="F2423" s="22" t="str">
        <x:f>"165.686.047-39"</x:f>
        <x:v>165.686.047-39</x:v>
      </x:c>
      <x:c r="G2423" s="22" t="str">
        <x:f>"16568604739"</x:f>
        <x:v>16568604739</x:v>
      </x:c>
      <x:c r="H2423" s="23" t="str">
        <x:v>Luizandre21091997@gmail.com</x:v>
      </x:c>
      <x:c r="I2423" s="22" t="str">
        <x:f>"21964482673"</x:f>
        <x:v>21964482673</x:v>
      </x:c>
      <x:c r="J2423" s="23" t="str">
        <x:v>SPOT</x:v>
      </x:c>
      <x:c r="K2423" s="23" t="str">
        <x:v>favored_only</x:v>
      </x:c>
      <x:c r="L2423" s="24" t="b">
        <x:v>1</x:v>
      </x:c>
      <x:c r="M2423" s="23" t="n">
        <x:v>1</x:v>
      </x:c>
      <x:c r="N2423" s="28" t="n">
        <x:v>46219.812988715275</x:v>
      </x:c>
      <x:c r="O2423" s="28" t="n">
        <x:v>46219.812988715275</x:v>
      </x:c>
      <x:c r="P2423" s="23" t="str">
        <x:v>CORDOVIL</x:v>
      </x:c>
      <x:c r="Q2423" s="30" t="n">
        <x:v>35694</x:v>
      </x:c>
      <x:c r="R2423" s="22" t="str">
        <x:f>"271429680"</x:f>
        <x:v>271429680</x:v>
      </x:c>
      <x:c r="S2423" s="23" t="str">
        <x:v>masculino</x:v>
      </x:c>
      <x:c r="T2423" s="22" t="str">
        <x:f>"RVC6A71"</x:f>
        <x:v>RVC6A71</x:v>
      </x:c>
      <x:c r="U2423" s="23" t="str">
        <x:v>VANESSA LIMA DA SILVA</x:v>
      </x:c>
      <x:c r="V2423" s="22" t="str">
        <x:f>"170.565.597-19"</x:f>
        <x:v>170.565.597-19</x:v>
      </x:c>
      <x:c r="W2423" s="22" t="str">
        <x:f>"17056559719"</x:f>
        <x:v>17056559719</x:v>
      </x:c>
      <x:c r="X2423" s="23" t="str">
        <x:v>vanessalima.up@gmail.com</x:v>
      </x:c>
      <x:c r="Y2423" s="22" t="str">
        <x:f>"21 96740-2387"</x:f>
        <x:v>21 96740-2387</x:v>
      </x:c>
      <x:c r="Z2423" s="30" t="n">
        <x:v>46438</x:v>
      </x:c>
    </x:row>
    <x:row r="2424" ht="18" customHeight="1">
      <x:c r="A2424" s="22" t="str">
        <x:f>"1c98cab7-7689-405e-ac00-f3e274557a7b"</x:f>
        <x:v>1c98cab7-7689-405e-ac00-f3e274557a7b</x:v>
      </x:c>
      <x:c r="B2424" s="23" t="str">
        <x:v>LUIZ ANTONIO DIAS TROVANI</x:v>
      </x:c>
      <x:c r="C2424" s="23" t="str">
        <x:v>luiz antonio dias trovani</x:v>
      </x:c>
      <x:c r="D2424" s="22" t="str">
        <x:f>"40.840.202/0001-66"</x:f>
        <x:v>40.840.202/0001-66</x:v>
      </x:c>
      <x:c r="E2424" s="22" t="str">
        <x:f>"40840202000166"</x:f>
        <x:v>40840202000166</x:v>
      </x:c>
      <x:c r="F2424" s="22" t="str">
        <x:f>"405.665.758-09"</x:f>
        <x:v>405.665.758-09</x:v>
      </x:c>
      <x:c r="G2424" s="22" t="str">
        <x:f>"40566575809"</x:f>
        <x:v>40566575809</x:v>
      </x:c>
      <x:c r="H2424" s="23" t="str">
        <x:v>luiztrovani3@gmail.com</x:v>
      </x:c>
      <x:c r="I2424" s="22" t="str">
        <x:f>"18996731102"</x:f>
        <x:v>18996731102</x:v>
      </x:c>
      <x:c r="J2424" s="23" t="str">
        <x:v>RENTAL</x:v>
      </x:c>
      <x:c r="K2424" s="23" t="str">
        <x:v>rental_company</x:v>
      </x:c>
      <x:c r="L2424" s="24" t="b">
        <x:v>1</x:v>
      </x:c>
      <x:c r="M2424" s="23" t="n">
        <x:v>1</x:v>
      </x:c>
      <x:c r="N2424" s="28" t="n">
        <x:v>46219.812988715275</x:v>
      </x:c>
      <x:c r="O2424" s="28" t="n">
        <x:v>46219.812988715275</x:v>
      </x:c>
      <x:c r="P2424" s="23" t="str">
        <x:v>PRESIDENTE PRUDENTE</x:v>
      </x:c>
      <x:c r="Q2424" s="30" t="n">
        <x:v>33672</x:v>
      </x:c>
      <x:c r="R2424" s="22" t="str">
        <x:f>"48464755-6"</x:f>
        <x:v>48464755-6</x:v>
      </x:c>
      <x:c r="S2424" s="23" t="str">
        <x:v>masculino</x:v>
      </x:c>
      <x:c r="T2424" s="22" t="str"/>
      <x:c r="U2424" s="23" t="str">
        <x:v>LUIZ ANTONIO DIAS TROVANI</x:v>
      </x:c>
      <x:c r="V2424" s="22" t="str">
        <x:f>"405.665.758-09"</x:f>
        <x:v>405.665.758-09</x:v>
      </x:c>
      <x:c r="W2424" s="22" t="str">
        <x:f>"40566575809"</x:f>
        <x:v>40566575809</x:v>
      </x:c>
      <x:c r="X2424" s="23" t="str">
        <x:v>luiztrovani3@gmail.com</x:v>
      </x:c>
      <x:c r="Y2424" s="22" t="str">
        <x:f>"18996731102"</x:f>
        <x:v>18996731102</x:v>
      </x:c>
      <x:c r="Z2424" s="30" t="n">
        <x:v>46497</x:v>
      </x:c>
    </x:row>
    <x:row r="2425" ht="18" customHeight="1">
      <x:c r="A2425" s="22" t="str">
        <x:f>"09a344f2-9c25-4f37-b30b-6bedf1022067"</x:f>
        <x:v>09a344f2-9c25-4f37-b30b-6bedf1022067</x:v>
      </x:c>
      <x:c r="B2425" s="23" t="str">
        <x:v>LUIZ ANTONIO MOÇO DA SILVA</x:v>
      </x:c>
      <x:c r="C2425" s="23" t="str">
        <x:v>luiz antonio moco da silva</x:v>
      </x:c>
      <x:c r="D2425" s="22" t="str">
        <x:f>"36.157.172/0001-10"</x:f>
        <x:v>36.157.172/0001-10</x:v>
      </x:c>
      <x:c r="E2425" s="22" t="str">
        <x:f>"36157172000110"</x:f>
        <x:v>36157172000110</x:v>
      </x:c>
      <x:c r="F2425" s="22" t="str">
        <x:f>"104.604.007-38"</x:f>
        <x:v>104.604.007-38</x:v>
      </x:c>
      <x:c r="G2425" s="22" t="str">
        <x:f>"10460400738"</x:f>
        <x:v>10460400738</x:v>
      </x:c>
      <x:c r="H2425" s="23" t="str">
        <x:v>luizantoniomoco@hotmail.com</x:v>
      </x:c>
      <x:c r="I2425" s="22" t="str">
        <x:f>"22 997882723"</x:f>
        <x:v>22 997882723</x:v>
      </x:c>
      <x:c r="J2425" s="23" t="str">
        <x:v>SPOT</x:v>
      </x:c>
      <x:c r="K2425" s="23" t="str">
        <x:v>favored_only</x:v>
      </x:c>
      <x:c r="L2425" s="24" t="b">
        <x:v>1</x:v>
      </x:c>
      <x:c r="M2425" s="23" t="n">
        <x:v>1</x:v>
      </x:c>
      <x:c r="N2425" s="28" t="n">
        <x:v>46203.9218771875</x:v>
      </x:c>
      <x:c r="O2425" s="28" t="n">
        <x:v>46203.9218771875</x:v>
      </x:c>
      <x:c r="P2425" s="23" t="str"/>
      <x:c r="Q2425" s="30" t="str"/>
      <x:c r="R2425" s="22" t="str"/>
      <x:c r="S2425" s="23" t="str"/>
      <x:c r="T2425" s="22" t="str"/>
      <x:c r="U2425" s="23" t="str">
        <x:v>LUIZ ANTONIO MOÇO DA SILVA</x:v>
      </x:c>
      <x:c r="V2425" s="22" t="str">
        <x:f>"104.604.007-38"</x:f>
        <x:v>104.604.007-38</x:v>
      </x:c>
      <x:c r="W2425" s="22" t="str">
        <x:f>"10460400738"</x:f>
        <x:v>10460400738</x:v>
      </x:c>
      <x:c r="X2425" s="23" t="str">
        <x:v>luizantoniomoco@hotmail.com</x:v>
      </x:c>
      <x:c r="Y2425" s="22" t="str">
        <x:f>"22 997882723"</x:f>
        <x:v>22 997882723</x:v>
      </x:c>
      <x:c r="Z2425" s="30" t="str"/>
    </x:row>
    <x:row r="2426" ht="18" customHeight="1">
      <x:c r="A2426" s="22" t="str">
        <x:f>"6a2225e1-4485-4386-a027-4dde1f05c80b"</x:f>
        <x:v>6a2225e1-4485-4386-a027-4dde1f05c80b</x:v>
      </x:c>
      <x:c r="B2426" s="23" t="str">
        <x:v>LUIZ AUGUSTO ARRUDA SANTOS</x:v>
      </x:c>
      <x:c r="C2426" s="23" t="str">
        <x:v>luiz augusto arruda santos</x:v>
      </x:c>
      <x:c r="D2426" s="22" t="str">
        <x:f>"66.457.905/0001-01"</x:f>
        <x:v>66.457.905/0001-01</x:v>
      </x:c>
      <x:c r="E2426" s="22" t="str">
        <x:f>"66457905000101"</x:f>
        <x:v>66457905000101</x:v>
      </x:c>
      <x:c r="F2426" s="22" t="str">
        <x:f>"495.701.088-94"</x:f>
        <x:v>495.701.088-94</x:v>
      </x:c>
      <x:c r="G2426" s="22" t="str">
        <x:f>"49570108894"</x:f>
        <x:v>49570108894</x:v>
      </x:c>
      <x:c r="H2426" s="23" t="str">
        <x:v>luiz.augusto310504@gmail.com</x:v>
      </x:c>
      <x:c r="I2426" s="22" t="str">
        <x:f>"18997675437"</x:f>
        <x:v>18997675437</x:v>
      </x:c>
      <x:c r="J2426" s="23" t="str">
        <x:v>RENTAL</x:v>
      </x:c>
      <x:c r="K2426" s="23" t="str">
        <x:v>rental_company</x:v>
      </x:c>
      <x:c r="L2426" s="24" t="b">
        <x:v>1</x:v>
      </x:c>
      <x:c r="M2426" s="23" t="n">
        <x:v>1</x:v>
      </x:c>
      <x:c r="N2426" s="28" t="n">
        <x:v>46219.812988715275</x:v>
      </x:c>
      <x:c r="O2426" s="28" t="n">
        <x:v>46219.812988715275</x:v>
      </x:c>
      <x:c r="P2426" s="23" t="str">
        <x:v>PRESIDENTE PRUDENTE</x:v>
      </x:c>
      <x:c r="Q2426" s="30" t="n">
        <x:v>38138</x:v>
      </x:c>
      <x:c r="R2426" s="22" t="str">
        <x:f>"60365518x"</x:f>
        <x:v>60365518x</x:v>
      </x:c>
      <x:c r="S2426" s="23" t="str">
        <x:v>masculino</x:v>
      </x:c>
      <x:c r="T2426" s="22" t="str"/>
      <x:c r="U2426" s="23" t="str">
        <x:v>LUIZ AUGUSTO ARRUDA SANTOS</x:v>
      </x:c>
      <x:c r="V2426" s="22" t="str">
        <x:f>"495.701.088-94"</x:f>
        <x:v>495.701.088-94</x:v>
      </x:c>
      <x:c r="W2426" s="22" t="str">
        <x:f>"49570108894"</x:f>
        <x:v>49570108894</x:v>
      </x:c>
      <x:c r="X2426" s="23" t="str">
        <x:v>luiz.augusto310504@gmail.com</x:v>
      </x:c>
      <x:c r="Y2426" s="22" t="str">
        <x:f>"18997675437"</x:f>
        <x:v>18997675437</x:v>
      </x:c>
      <x:c r="Z2426" s="30" t="n">
        <x:v>46504</x:v>
      </x:c>
    </x:row>
    <x:row r="2427" ht="18" customHeight="1">
      <x:c r="A2427" s="22" t="str">
        <x:f>"13ac2f38-b729-4dfa-a3f6-67ec11fae228"</x:f>
        <x:v>13ac2f38-b729-4dfa-a3f6-67ec11fae228</x:v>
      </x:c>
      <x:c r="B2427" s="23" t="str">
        <x:v>LUIZ CARLOS ALVES FILHO</x:v>
      </x:c>
      <x:c r="C2427" s="23" t="str">
        <x:v>luiz carlos alves filho</x:v>
      </x:c>
      <x:c r="D2427" s="22" t="str">
        <x:f>"60.588.278/0001-53"</x:f>
        <x:v>60.588.278/0001-53</x:v>
      </x:c>
      <x:c r="E2427" s="22" t="str">
        <x:f>"60588278000153"</x:f>
        <x:v>60588278000153</x:v>
      </x:c>
      <x:c r="F2427" s="22" t="str">
        <x:f>"412.173.368-18"</x:f>
        <x:v>412.173.368-18</x:v>
      </x:c>
      <x:c r="G2427" s="22" t="str">
        <x:f>"41217336818"</x:f>
        <x:v>41217336818</x:v>
      </x:c>
      <x:c r="H2427" s="23" t="str">
        <x:v>luiz1011alves@gmail.com</x:v>
      </x:c>
      <x:c r="I2427" s="22" t="str">
        <x:f>"14920021639"</x:f>
        <x:v>14920021639</x:v>
      </x:c>
      <x:c r="J2427" s="23" t="str">
        <x:v>RENTAL</x:v>
      </x:c>
      <x:c r="K2427" s="23" t="str">
        <x:v>rental_company</x:v>
      </x:c>
      <x:c r="L2427" s="24" t="b">
        <x:v>1</x:v>
      </x:c>
      <x:c r="M2427" s="23" t="n">
        <x:v>1</x:v>
      </x:c>
      <x:c r="N2427" s="28" t="n">
        <x:v>46203.9218771875</x:v>
      </x:c>
      <x:c r="O2427" s="28" t="n">
        <x:v>46219.812988715275</x:v>
      </x:c>
      <x:c r="P2427" s="23" t="str">
        <x:v>MARILIA</x:v>
      </x:c>
      <x:c r="Q2427" s="30" t="n">
        <x:v>33639</x:v>
      </x:c>
      <x:c r="R2427" s="22" t="str">
        <x:f>"48677545"</x:f>
        <x:v>48677545</x:v>
      </x:c>
      <x:c r="S2427" s="23" t="str">
        <x:v>masculino</x:v>
      </x:c>
      <x:c r="T2427" s="22" t="str"/>
      <x:c r="U2427" s="23" t="str">
        <x:v>LUIZ CARLOS ALVES FILHO</x:v>
      </x:c>
      <x:c r="V2427" s="22" t="str">
        <x:f>"412.173.368-18"</x:f>
        <x:v>412.173.368-18</x:v>
      </x:c>
      <x:c r="W2427" s="22" t="str">
        <x:f>"41217336818"</x:f>
        <x:v>41217336818</x:v>
      </x:c>
      <x:c r="X2427" s="23" t="str">
        <x:v>luiz1011alves@gmail.com</x:v>
      </x:c>
      <x:c r="Y2427" s="22" t="str">
        <x:f>"14920021639"</x:f>
        <x:v>14920021639</x:v>
      </x:c>
      <x:c r="Z2427" s="30" t="n">
        <x:v>46315</x:v>
      </x:c>
    </x:row>
    <x:row r="2428" ht="18" customHeight="1">
      <x:c r="A2428" s="22" t="str">
        <x:f>"c4c02bbb-c979-4f3a-a1a0-19ad1a333af0"</x:f>
        <x:v>c4c02bbb-c979-4f3a-a1a0-19ad1a333af0</x:v>
      </x:c>
      <x:c r="B2428" s="23" t="str">
        <x:v>LUIZ CARLOS DE SANT ANNA BATISTA</x:v>
      </x:c>
      <x:c r="C2428" s="23" t="str">
        <x:v>luiz carlos de sant anna batista</x:v>
      </x:c>
      <x:c r="D2428" s="22" t="str">
        <x:f>"51.582.287/0001-46"</x:f>
        <x:v>51.582.287/0001-46</x:v>
      </x:c>
      <x:c r="E2428" s="22" t="str">
        <x:f>"51582287000146"</x:f>
        <x:v>51582287000146</x:v>
      </x:c>
      <x:c r="F2428" s="22" t="str">
        <x:f>"147.017.127-95"</x:f>
        <x:v>147.017.127-95</x:v>
      </x:c>
      <x:c r="G2428" s="22" t="str">
        <x:f>"14701712795"</x:f>
        <x:v>14701712795</x:v>
      </x:c>
      <x:c r="H2428" s="23" t="str">
        <x:v>temtudobar13@gmail.com</x:v>
      </x:c>
      <x:c r="I2428" s="22" t="str">
        <x:f>"+55 21 96014-7704"</x:f>
        <x:v>+55 21 96014-7704</x:v>
      </x:c>
      <x:c r="J2428" s="23" t="str">
        <x:v>SPOT</x:v>
      </x:c>
      <x:c r="K2428" s="23" t="str">
        <x:v>favored_only</x:v>
      </x:c>
      <x:c r="L2428" s="24" t="b">
        <x:v>1</x:v>
      </x:c>
      <x:c r="M2428" s="23" t="n">
        <x:v>1</x:v>
      </x:c>
      <x:c r="N2428" s="28" t="n">
        <x:v>46219.812988715275</x:v>
      </x:c>
      <x:c r="O2428" s="28" t="n">
        <x:v>46219.812988715275</x:v>
      </x:c>
      <x:c r="P2428" s="23" t="str">
        <x:v>CAMPO GRANDE</x:v>
      </x:c>
      <x:c r="Q2428" s="30" t="n">
        <x:v>33999</x:v>
      </x:c>
      <x:c r="R2428" s="22" t="str">
        <x:f>"14701712795"</x:f>
        <x:v>14701712795</x:v>
      </x:c>
      <x:c r="S2428" s="23" t="str">
        <x:v>masculino</x:v>
      </x:c>
      <x:c r="T2428" s="22" t="str">
        <x:f>"KPA3A89"</x:f>
        <x:v>KPA3A89</x:v>
      </x:c>
      <x:c r="U2428" s="23" t="str">
        <x:v>LUIZ CARLOS DE SANT ANNA BATISTA</x:v>
      </x:c>
      <x:c r="V2428" s="22" t="str">
        <x:f>"147.017.127-95"</x:f>
        <x:v>147.017.127-95</x:v>
      </x:c>
      <x:c r="W2428" s="22" t="str">
        <x:f>"14701712795"</x:f>
        <x:v>14701712795</x:v>
      </x:c>
      <x:c r="X2428" s="23" t="str">
        <x:v>temtudobar13@gmail.com</x:v>
      </x:c>
      <x:c r="Y2428" s="22" t="str">
        <x:f>"+55 21 96014-7704"</x:f>
        <x:v>+55 21 96014-7704</x:v>
      </x:c>
      <x:c r="Z2428" s="30" t="n">
        <x:v>46415</x:v>
      </x:c>
    </x:row>
    <x:row r="2429" ht="18" customHeight="1">
      <x:c r="A2429" s="22" t="str">
        <x:f>"d86b78be-594f-4ccc-8d2d-3ffd2a085f49"</x:f>
        <x:v>d86b78be-594f-4ccc-8d2d-3ffd2a085f49</x:v>
      </x:c>
      <x:c r="B2429" s="23" t="str">
        <x:v>LUIZ CLAUDIO DOS SANTOS SILVA</x:v>
      </x:c>
      <x:c r="C2429" s="23" t="str">
        <x:v>luiz claudio dos santos silva</x:v>
      </x:c>
      <x:c r="D2429" s="22" t="str">
        <x:f>"55.407.314/0001-03"</x:f>
        <x:v>55.407.314/0001-03</x:v>
      </x:c>
      <x:c r="E2429" s="22" t="str">
        <x:f>"55407314000103"</x:f>
        <x:v>55407314000103</x:v>
      </x:c>
      <x:c r="F2429" s="22" t="str">
        <x:f>"118.835.237-70"</x:f>
        <x:v>118.835.237-70</x:v>
      </x:c>
      <x:c r="G2429" s="22" t="str">
        <x:f>"11883523770"</x:f>
        <x:v>11883523770</x:v>
      </x:c>
      <x:c r="H2429" s="23" t="str">
        <x:v>APRIGIOECALDAAS@OUTLOOK.COM</x:v>
      </x:c>
      <x:c r="I2429" s="22" t="str">
        <x:f>"22 99600-0076"</x:f>
        <x:v>22 99600-0076</x:v>
      </x:c>
      <x:c r="J2429" s="23" t="str">
        <x:v>SPOT</x:v>
      </x:c>
      <x:c r="K2429" s="23" t="str">
        <x:v>favored_only</x:v>
      </x:c>
      <x:c r="L2429" s="24" t="b">
        <x:v>1</x:v>
      </x:c>
      <x:c r="M2429" s="23" t="n">
        <x:v>1</x:v>
      </x:c>
      <x:c r="N2429" s="28" t="n">
        <x:v>46219.812988715275</x:v>
      </x:c>
      <x:c r="O2429" s="28" t="n">
        <x:v>46219.812988715275</x:v>
      </x:c>
      <x:c r="P2429" s="23" t="str">
        <x:v>CAMPOS DOS GOYTACAZES</x:v>
      </x:c>
      <x:c r="Q2429" s="30" t="n">
        <x:v>32222</x:v>
      </x:c>
      <x:c r="R2429" s="22" t="str">
        <x:f>"206548877"</x:f>
        <x:v>206548877</x:v>
      </x:c>
      <x:c r="S2429" s="23" t="str">
        <x:v>masculino</x:v>
      </x:c>
      <x:c r="T2429" s="22" t="str">
        <x:f>"FFT2H74"</x:f>
        <x:v>FFT2H74</x:v>
      </x:c>
      <x:c r="U2429" s="23" t="str">
        <x:v>APRIGIO &amp; CALDAS LOCACOES E SERVICOS LTDA</x:v>
      </x:c>
      <x:c r="V2429" s="22" t="str">
        <x:f>"153.652.327-55"</x:f>
        <x:v>153.652.327-55</x:v>
      </x:c>
      <x:c r="W2429" s="22" t="str">
        <x:f>"15365232755"</x:f>
        <x:v>15365232755</x:v>
      </x:c>
      <x:c r="X2429" s="23" t="str">
        <x:v>APRIGIOECALDAAS@OUTLOOK.COM</x:v>
      </x:c>
      <x:c r="Y2429" s="22" t="str">
        <x:f>"22 99780576"</x:f>
        <x:v>22 99780576</x:v>
      </x:c>
      <x:c r="Z2429" s="30" t="n">
        <x:v>46550</x:v>
      </x:c>
    </x:row>
    <x:row r="2430" ht="18" customHeight="1">
      <x:c r="A2430" s="22" t="str">
        <x:f>"b6917ec2-b484-4c30-aeb3-1bbbaac366cf"</x:f>
        <x:v>b6917ec2-b484-4c30-aeb3-1bbbaac366cf</x:v>
      </x:c>
      <x:c r="B2430" s="23" t="str">
        <x:v>LUIZ CLAUDIO GOMES DE CARVALHO</x:v>
      </x:c>
      <x:c r="C2430" s="23" t="str">
        <x:v>luiz claudio gomes de carvalho</x:v>
      </x:c>
      <x:c r="D2430" s="22" t="str">
        <x:f>"45.940.330/0001-03"</x:f>
        <x:v>45.940.330/0001-03</x:v>
      </x:c>
      <x:c r="E2430" s="22" t="str">
        <x:f>"45940330000103"</x:f>
        <x:v>45940330000103</x:v>
      </x:c>
      <x:c r="F2430" s="22" t="str">
        <x:f>"810.335.327-20"</x:f>
        <x:v>810.335.327-20</x:v>
      </x:c>
      <x:c r="G2430" s="22" t="str">
        <x:f>"81033532720"</x:f>
        <x:v>81033532720</x:v>
      </x:c>
      <x:c r="H2430" s="23" t="str">
        <x:v>luizcascatinhasantos@gmail.com</x:v>
      </x:c>
      <x:c r="I2430" s="22" t="str">
        <x:f>"22988489650"</x:f>
        <x:v>22988489650</x:v>
      </x:c>
      <x:c r="J2430" s="23" t="str">
        <x:v>SPOT</x:v>
      </x:c>
      <x:c r="K2430" s="23" t="str">
        <x:v>favored_only</x:v>
      </x:c>
      <x:c r="L2430" s="24" t="b">
        <x:v>1</x:v>
      </x:c>
      <x:c r="M2430" s="23" t="n">
        <x:v>1</x:v>
      </x:c>
      <x:c r="N2430" s="28" t="n">
        <x:v>46219.812988715275</x:v>
      </x:c>
      <x:c r="O2430" s="28" t="n">
        <x:v>46219.812988715275</x:v>
      </x:c>
      <x:c r="P2430" s="23" t="str">
        <x:v>CAMPOS DOS GOYTACAZES</x:v>
      </x:c>
      <x:c r="Q2430" s="30" t="n">
        <x:v>23455</x:v>
      </x:c>
      <x:c r="R2430" s="22" t="str">
        <x:f>"1832961"</x:f>
        <x:v>1832961</x:v>
      </x:c>
      <x:c r="S2430" s="23" t="str">
        <x:v>masculino</x:v>
      </x:c>
      <x:c r="T2430" s="22" t="str">
        <x:f>"LQQ8J38"</x:f>
        <x:v>LQQ8J38</x:v>
      </x:c>
      <x:c r="U2430" s="23" t="str">
        <x:v>CARLOS JEAN BARRETO PRIMO</x:v>
      </x:c>
      <x:c r="V2430" s="22" t="str">
        <x:f>"111.354.967-06"</x:f>
        <x:v>111.354.967-06</x:v>
      </x:c>
      <x:c r="W2430" s="22" t="str">
        <x:f>"11135496706"</x:f>
        <x:v>11135496706</x:v>
      </x:c>
      <x:c r="X2430" s="23" t="str">
        <x:v>barretoltda@outlook.com</x:v>
      </x:c>
      <x:c r="Y2430" s="22" t="str">
        <x:f>"22991050761"</x:f>
        <x:v>22991050761</x:v>
      </x:c>
      <x:c r="Z2430" s="30" t="n">
        <x:v>46541</x:v>
      </x:c>
    </x:row>
    <x:row r="2431" ht="18" customHeight="1">
      <x:c r="A2431" s="22" t="str">
        <x:f>"d9803d46-c9f3-46bb-99d9-5f4f7f4bc933"</x:f>
        <x:v>d9803d46-c9f3-46bb-99d9-5f4f7f4bc933</x:v>
      </x:c>
      <x:c r="B2431" s="23" t="str">
        <x:v>LUIZ CLAUDIO MORGADO DE LIMA</x:v>
      </x:c>
      <x:c r="C2431" s="23" t="str">
        <x:v>luiz claudio morgado de lima</x:v>
      </x:c>
      <x:c r="D2431" s="22" t="str">
        <x:f>"65.313.225/0001-43"</x:f>
        <x:v>65.313.225/0001-43</x:v>
      </x:c>
      <x:c r="E2431" s="22" t="str">
        <x:f>"65313225000143"</x:f>
        <x:v>65313225000143</x:v>
      </x:c>
      <x:c r="F2431" s="22" t="str">
        <x:f>"015.987.427-01"</x:f>
        <x:v>015.987.427-01</x:v>
      </x:c>
      <x:c r="G2431" s="22" t="str">
        <x:f>"01598742701"</x:f>
        <x:v>01598742701</x:v>
      </x:c>
      <x:c r="H2431" s="23" t="str">
        <x:v>morgadoluizclaudio@gmail.com</x:v>
      </x:c>
      <x:c r="I2431" s="22" t="str">
        <x:f>"21970265481"</x:f>
        <x:v>21970265481</x:v>
      </x:c>
      <x:c r="J2431" s="23" t="str">
        <x:v>SPOT</x:v>
      </x:c>
      <x:c r="K2431" s="23" t="str">
        <x:v>favored_only</x:v>
      </x:c>
      <x:c r="L2431" s="24" t="b">
        <x:v>1</x:v>
      </x:c>
      <x:c r="M2431" s="23" t="n">
        <x:v>1</x:v>
      </x:c>
      <x:c r="N2431" s="28" t="n">
        <x:v>46219.812988715275</x:v>
      </x:c>
      <x:c r="O2431" s="28" t="n">
        <x:v>46219.812988715275</x:v>
      </x:c>
      <x:c r="P2431" s="23" t="str">
        <x:v>SÃO JOAO DE MERITI</x:v>
      </x:c>
      <x:c r="Q2431" s="30" t="n">
        <x:v>25560</x:v>
      </x:c>
      <x:c r="R2431" s="22" t="str">
        <x:f>"80256894"</x:f>
        <x:v>80256894</x:v>
      </x:c>
      <x:c r="S2431" s="23" t="str">
        <x:v>masculino</x:v>
      </x:c>
      <x:c r="T2431" s="22" t="str">
        <x:f>"KZL1E90"</x:f>
        <x:v>KZL1E90</x:v>
      </x:c>
      <x:c r="U2431" s="23" t="str">
        <x:v>LUIZ CLAUDIO MORGADO DE LIMA</x:v>
      </x:c>
      <x:c r="V2431" s="22" t="str">
        <x:f>"015.987.427-01"</x:f>
        <x:v>015.987.427-01</x:v>
      </x:c>
      <x:c r="W2431" s="22" t="str">
        <x:f>"01598742701"</x:f>
        <x:v>01598742701</x:v>
      </x:c>
      <x:c r="X2431" s="23" t="str">
        <x:v>morgadoluizclaudio@gmail.com</x:v>
      </x:c>
      <x:c r="Y2431" s="22" t="str">
        <x:f>"21970265481"</x:f>
        <x:v>21970265481</x:v>
      </x:c>
      <x:c r="Z2431" s="30" t="n">
        <x:v>46493</x:v>
      </x:c>
    </x:row>
    <x:row r="2432" ht="18" customHeight="1">
      <x:c r="A2432" s="22" t="str">
        <x:f>"90531083-f739-43eb-ba55-955b872b556c"</x:f>
        <x:v>90531083-f739-43eb-ba55-955b872b556c</x:v>
      </x:c>
      <x:c r="B2432" s="23" t="str">
        <x:v>LUIZ EDUARDO CHAVES</x:v>
      </x:c>
      <x:c r="C2432" s="23" t="str">
        <x:v>luiz eduardo chaves</x:v>
      </x:c>
      <x:c r="D2432" s="22" t="str">
        <x:f>"64.624.593/0001-40"</x:f>
        <x:v>64.624.593/0001-40</x:v>
      </x:c>
      <x:c r="E2432" s="22" t="str">
        <x:f>"64624593000140"</x:f>
        <x:v>64624593000140</x:v>
      </x:c>
      <x:c r="F2432" s="22" t="str">
        <x:f>"026.450.831-96"</x:f>
        <x:v>026.450.831-96</x:v>
      </x:c>
      <x:c r="G2432" s="22" t="str">
        <x:f>"02645083196"</x:f>
        <x:v>02645083196</x:v>
      </x:c>
      <x:c r="H2432" s="23" t="str">
        <x:v>luizedukevin@gmail.com</x:v>
      </x:c>
      <x:c r="I2432" s="22" t="str">
        <x:f>"65999511746"</x:f>
        <x:v>65999511746</x:v>
      </x:c>
      <x:c r="J2432" s="23" t="str">
        <x:v>SPOT</x:v>
      </x:c>
      <x:c r="K2432" s="23" t="str">
        <x:v>favored_only</x:v>
      </x:c>
      <x:c r="L2432" s="24" t="b">
        <x:v>1</x:v>
      </x:c>
      <x:c r="M2432" s="23" t="n">
        <x:v>1</x:v>
      </x:c>
      <x:c r="N2432" s="28" t="n">
        <x:v>46219.812988715275</x:v>
      </x:c>
      <x:c r="O2432" s="28" t="n">
        <x:v>46219.812988715275</x:v>
      </x:c>
      <x:c r="P2432" s="23" t="str">
        <x:v>CÁCERES</x:v>
      </x:c>
      <x:c r="Q2432" s="30" t="n">
        <x:v>31936</x:v>
      </x:c>
      <x:c r="R2432" s="22" t="str">
        <x:f>"16224396"</x:f>
        <x:v>16224396</x:v>
      </x:c>
      <x:c r="S2432" s="23" t="str">
        <x:v>masculino</x:v>
      </x:c>
      <x:c r="T2432" s="22" t="str">
        <x:f>"OQH1182"</x:f>
        <x:v>OQH1182</x:v>
      </x:c>
      <x:c r="U2432" s="23" t="str">
        <x:v>LUDICEIA CHAVES DE LIMA</x:v>
      </x:c>
      <x:c r="V2432" s="22" t="str">
        <x:f>"396.444.641-68"</x:f>
        <x:v>396.444.641-68</x:v>
      </x:c>
      <x:c r="W2432" s="22" t="str">
        <x:f>"39644464168"</x:f>
        <x:v>39644464168</x:v>
      </x:c>
      <x:c r="X2432" s="23" t="str">
        <x:v>ludiceiachaveslima69@gmail.com</x:v>
      </x:c>
      <x:c r="Y2432" s="22" t="str">
        <x:f>"65998091872"</x:f>
        <x:v>65998091872</x:v>
      </x:c>
      <x:c r="Z2432" s="30" t="n">
        <x:v>46410</x:v>
      </x:c>
    </x:row>
    <x:row r="2433" ht="18" customHeight="1">
      <x:c r="A2433" s="22" t="str">
        <x:f>"0dafa523-0943-40c6-8a7a-7f4e6d5d8426"</x:f>
        <x:v>0dafa523-0943-40c6-8a7a-7f4e6d5d8426</x:v>
      </x:c>
      <x:c r="B2433" s="23" t="str">
        <x:v>LUIZ FELIPE GARCIA ARAUJO</x:v>
      </x:c>
      <x:c r="C2433" s="23" t="str">
        <x:v>luiz felipe garcia araujo</x:v>
      </x:c>
      <x:c r="D2433" s="22" t="str">
        <x:f>"37.624.531/0001-65"</x:f>
        <x:v>37.624.531/0001-65</x:v>
      </x:c>
      <x:c r="E2433" s="22" t="str">
        <x:f>"37624531000165"</x:f>
        <x:v>37624531000165</x:v>
      </x:c>
      <x:c r="F2433" s="22" t="str">
        <x:f>"033.806.131-26"</x:f>
        <x:v>033.806.131-26</x:v>
      </x:c>
      <x:c r="G2433" s="22" t="str">
        <x:f>"03380613126"</x:f>
        <x:v>03380613126</x:v>
      </x:c>
      <x:c r="H2433" s="23" t="str">
        <x:v>felipe_wath@hoail.com</x:v>
      </x:c>
      <x:c r="I2433" s="22" t="str">
        <x:f>"+55 65 9298-6344"</x:f>
        <x:v>+55 65 9298-6344</x:v>
      </x:c>
      <x:c r="J2433" s="23" t="str">
        <x:v>SPOT</x:v>
      </x:c>
      <x:c r="K2433" s="23" t="str">
        <x:v>favored_only</x:v>
      </x:c>
      <x:c r="L2433" s="24" t="b">
        <x:v>1</x:v>
      </x:c>
      <x:c r="M2433" s="23" t="n">
        <x:v>1</x:v>
      </x:c>
      <x:c r="N2433" s="28" t="n">
        <x:v>46219.812988715275</x:v>
      </x:c>
      <x:c r="O2433" s="28" t="n">
        <x:v>46219.812988715275</x:v>
      </x:c>
      <x:c r="P2433" s="23" t="str">
        <x:v>PONTES E LACERDA</x:v>
      </x:c>
      <x:c r="Q2433" s="30" t="n">
        <x:v>34563</x:v>
      </x:c>
      <x:c r="R2433" s="22" t="str">
        <x:f>"542705199"</x:f>
        <x:v>542705199</x:v>
      </x:c>
      <x:c r="S2433" s="23" t="str">
        <x:v>masculino</x:v>
      </x:c>
      <x:c r="T2433" s="22" t="str">
        <x:f>"OOS7I91"</x:f>
        <x:v>OOS7I91</x:v>
      </x:c>
      <x:c r="U2433" s="23" t="str">
        <x:v>OLDAIR JOSE RIBEIRO MATOS</x:v>
      </x:c>
      <x:c r="V2433" s="22" t="str">
        <x:f>"901.012.430-49"</x:f>
        <x:v>901.012.430-49</x:v>
      </x:c>
      <x:c r="W2433" s="22" t="str">
        <x:f>"90101243049"</x:f>
        <x:v>90101243049</x:v>
      </x:c>
      <x:c r="X2433" s="23" t="str">
        <x:v>oldairmatos73@gmail.com</x:v>
      </x:c>
      <x:c r="Y2433" s="22" t="str">
        <x:f>"+55 65 9298-6344"</x:f>
        <x:v>+55 65 9298-6344</x:v>
      </x:c>
      <x:c r="Z2433" s="30" t="n">
        <x:v>46457</x:v>
      </x:c>
    </x:row>
    <x:row r="2434" ht="18" customHeight="1">
      <x:c r="A2434" s="22" t="str">
        <x:f>"b875228a-0b25-4f15-a5c6-0076b1bf64d3"</x:f>
        <x:v>b875228a-0b25-4f15-a5c6-0076b1bf64d3</x:v>
      </x:c>
      <x:c r="B2434" s="23" t="str">
        <x:v>LUIZ FELIPE JUSTINO DE SOUSA</x:v>
      </x:c>
      <x:c r="C2434" s="23" t="str">
        <x:v>luiz felipe justino de sousa</x:v>
      </x:c>
      <x:c r="D2434" s="22" t="str">
        <x:f>"62.579.475/0001-31"</x:f>
        <x:v>62.579.475/0001-31</x:v>
      </x:c>
      <x:c r="E2434" s="22" t="str">
        <x:f>"62579475000131"</x:f>
        <x:v>62579475000131</x:v>
      </x:c>
      <x:c r="F2434" s="22" t="str">
        <x:f>"517.714.458-58"</x:f>
        <x:v>517.714.458-58</x:v>
      </x:c>
      <x:c r="G2434" s="22" t="str">
        <x:f>"51771445858"</x:f>
        <x:v>51771445858</x:v>
      </x:c>
      <x:c r="H2434" s="23" t="str">
        <x:v>lf949426@gmail.com</x:v>
      </x:c>
      <x:c r="I2434" s="22" t="str">
        <x:f>"(16)99747-5101"</x:f>
        <x:v>(16)99747-5101</x:v>
      </x:c>
      <x:c r="J2434" s="23" t="str">
        <x:v>SPOT</x:v>
      </x:c>
      <x:c r="K2434" s="23" t="str">
        <x:v>favored_only</x:v>
      </x:c>
      <x:c r="L2434" s="24" t="b">
        <x:v>1</x:v>
      </x:c>
      <x:c r="M2434" s="23" t="n">
        <x:v>1</x:v>
      </x:c>
      <x:c r="N2434" s="28" t="n">
        <x:v>46205.604894525466</x:v>
      </x:c>
      <x:c r="O2434" s="28" t="n">
        <x:v>46219.812988715275</x:v>
      </x:c>
      <x:c r="P2434" s="23" t="str">
        <x:v>SÃO CARLOS</x:v>
      </x:c>
      <x:c r="Q2434" s="30" t="n">
        <x:v>37567</x:v>
      </x:c>
      <x:c r="R2434" s="22" t="str">
        <x:f>"627847183"</x:f>
        <x:v>627847183</x:v>
      </x:c>
      <x:c r="S2434" s="23" t="str">
        <x:v>masculino</x:v>
      </x:c>
      <x:c r="T2434" s="22" t="str">
        <x:f>"OPF6F62"</x:f>
        <x:v>OPF6F62</x:v>
      </x:c>
      <x:c r="U2434" s="23" t="str">
        <x:v>VINICIUS LUCHON</x:v>
      </x:c>
      <x:c r="V2434" s="22" t="str">
        <x:f>"553.565.168-76"</x:f>
        <x:v>553.565.168-76</x:v>
      </x:c>
      <x:c r="W2434" s="22" t="str">
        <x:f>"55356516876"</x:f>
        <x:v>55356516876</x:v>
      </x:c>
      <x:c r="X2434" s="23" t="str">
        <x:v>vini.luchon9@gmail.com</x:v>
      </x:c>
      <x:c r="Y2434" s="22" t="str">
        <x:f>"(16)99768-0747"</x:f>
        <x:v>(16)99768-0747</x:v>
      </x:c>
      <x:c r="Z2434" s="30" t="n">
        <x:v>46302</x:v>
      </x:c>
    </x:row>
    <x:row r="2435" ht="18" customHeight="1">
      <x:c r="A2435" s="22" t="str">
        <x:f>"7e378721-ca6b-4ade-ac1f-6a400da384e0"</x:f>
        <x:v>7e378721-ca6b-4ade-ac1f-6a400da384e0</x:v>
      </x:c>
      <x:c r="B2435" s="23" t="str">
        <x:v>LUIZ FELIPE MOREIRA</x:v>
      </x:c>
      <x:c r="C2435" s="23" t="str">
        <x:v>luiz felipe moreira</x:v>
      </x:c>
      <x:c r="D2435" s="22" t="str">
        <x:f>"64.895.332/0001-64"</x:f>
        <x:v>64.895.332/0001-64</x:v>
      </x:c>
      <x:c r="E2435" s="22" t="str">
        <x:f>"64895332000164"</x:f>
        <x:v>64895332000164</x:v>
      </x:c>
      <x:c r="F2435" s="22" t="str">
        <x:f>"476.362.098-37"</x:f>
        <x:v>476.362.098-37</x:v>
      </x:c>
      <x:c r="G2435" s="22" t="str">
        <x:f>"47636209837"</x:f>
        <x:v>47636209837</x:v>
      </x:c>
      <x:c r="H2435" s="23" t="str">
        <x:v>lipeletras13@gmail.com</x:v>
      </x:c>
      <x:c r="I2435" s="22" t="str">
        <x:f>"16981047271"</x:f>
        <x:v>16981047271</x:v>
      </x:c>
      <x:c r="J2435" s="23" t="str">
        <x:v>spot</x:v>
      </x:c>
      <x:c r="K2435" s="23" t="str">
        <x:v>favored_only</x:v>
      </x:c>
      <x:c r="L2435" s="24" t="b">
        <x:v>1</x:v>
      </x:c>
      <x:c r="M2435" s="23" t="n">
        <x:v>1</x:v>
      </x:c>
      <x:c r="N2435" s="28" t="n">
        <x:v>46219.812988715275</x:v>
      </x:c>
      <x:c r="O2435" s="28" t="n">
        <x:v>46219.812988715275</x:v>
      </x:c>
      <x:c r="P2435" s="23" t="str">
        <x:v>RIBEIRAO PRETO</x:v>
      </x:c>
      <x:c r="Q2435" s="30" t="n">
        <x:v>37233</x:v>
      </x:c>
      <x:c r="R2435" s="22" t="str">
        <x:f>"580762713"</x:f>
        <x:v>580762713</x:v>
      </x:c>
      <x:c r="S2435" s="23" t="str">
        <x:v>masculino</x:v>
      </x:c>
      <x:c r="T2435" s="22" t="str">
        <x:f>"DQV3J99"</x:f>
        <x:v>DQV3J99</x:v>
      </x:c>
      <x:c r="U2435" s="23" t="str">
        <x:v>DANILO HENRIQUE DE MACEDO</x:v>
      </x:c>
      <x:c r="V2435" s="22" t="str">
        <x:f>"455.408.648-83"</x:f>
        <x:v>455.408.648-83</x:v>
      </x:c>
      <x:c r="W2435" s="22" t="str">
        <x:f>"45540864883"</x:f>
        <x:v>45540864883</x:v>
      </x:c>
      <x:c r="X2435" s="23" t="str">
        <x:v>danilohenriquemac19@gmail.com</x:v>
      </x:c>
      <x:c r="Y2435" s="22" t="str">
        <x:f>"16994010519"</x:f>
        <x:v>16994010519</x:v>
      </x:c>
      <x:c r="Z2435" s="30" t="n">
        <x:v>46563</x:v>
      </x:c>
    </x:row>
    <x:row r="2436" ht="18" customHeight="1">
      <x:c r="A2436" s="22" t="str">
        <x:f>"e6b0617c-d362-45ef-bc6f-44c8d75abf44"</x:f>
        <x:v>e6b0617c-d362-45ef-bc6f-44c8d75abf44</x:v>
      </x:c>
      <x:c r="B2436" s="23" t="str">
        <x:v>LUIZ FELLIPE AZEVEDO MARTINS</x:v>
      </x:c>
      <x:c r="C2436" s="23" t="str">
        <x:v>luiz fellipe azevedo martins</x:v>
      </x:c>
      <x:c r="D2436" s="22" t="str">
        <x:f>"56.978.314/0001-18"</x:f>
        <x:v>56.978.314/0001-18</x:v>
      </x:c>
      <x:c r="E2436" s="22" t="str">
        <x:f>"56978314000118"</x:f>
        <x:v>56978314000118</x:v>
      </x:c>
      <x:c r="F2436" s="22" t="str">
        <x:f>"155.855.727-09"</x:f>
        <x:v>155.855.727-09</x:v>
      </x:c>
      <x:c r="G2436" s="22" t="str">
        <x:f>"15585572709"</x:f>
        <x:v>15585572709</x:v>
      </x:c>
      <x:c r="H2436" s="23" t="str">
        <x:v>fellipe-30@live.com</x:v>
      </x:c>
      <x:c r="I2436" s="22" t="str">
        <x:f>"21983910685"</x:f>
        <x:v>21983910685</x:v>
      </x:c>
      <x:c r="J2436" s="23" t="str">
        <x:v>SPOT</x:v>
      </x:c>
      <x:c r="K2436" s="23" t="str">
        <x:v>favored_only</x:v>
      </x:c>
      <x:c r="L2436" s="24" t="b">
        <x:v>1</x:v>
      </x:c>
      <x:c r="M2436" s="23" t="n">
        <x:v>1</x:v>
      </x:c>
      <x:c r="N2436" s="28" t="n">
        <x:v>46203.921904421295</x:v>
      </x:c>
      <x:c r="O2436" s="28" t="n">
        <x:v>46219.812988715275</x:v>
      </x:c>
      <x:c r="P2436" s="23" t="str">
        <x:v>CORDOVIL</x:v>
      </x:c>
      <x:c r="Q2436" s="30" t="n">
        <x:v>35187</x:v>
      </x:c>
      <x:c r="R2436" s="22" t="str">
        <x:f>"268464740"</x:f>
        <x:v>268464740</x:v>
      </x:c>
      <x:c r="S2436" s="23" t="str">
        <x:v>masculino</x:v>
      </x:c>
      <x:c r="T2436" s="22" t="str">
        <x:f>"FBW3E78"</x:f>
        <x:v>FBW3E78</x:v>
      </x:c>
      <x:c r="U2436" s="23" t="str">
        <x:v>LUIZ FELLIPE AZEVEDO MARTINS</x:v>
      </x:c>
      <x:c r="V2436" s="22" t="str">
        <x:f>"155.855.727-09"</x:f>
        <x:v>155.855.727-09</x:v>
      </x:c>
      <x:c r="W2436" s="22" t="str">
        <x:f>"15585572709"</x:f>
        <x:v>15585572709</x:v>
      </x:c>
      <x:c r="X2436" s="23" t="str">
        <x:v>fellipe-30@live.com</x:v>
      </x:c>
      <x:c r="Y2436" s="22" t="str">
        <x:f>"21983910685"</x:f>
        <x:v>21983910685</x:v>
      </x:c>
      <x:c r="Z2436" s="30" t="n">
        <x:v>46365</x:v>
      </x:c>
    </x:row>
    <x:row r="2437" ht="18" customHeight="1">
      <x:c r="A2437" s="22" t="str">
        <x:f>"584ab1d3-b9a9-4e77-90d8-7c4fc20fcd18"</x:f>
        <x:v>584ab1d3-b9a9-4e77-90d8-7c4fc20fcd18</x:v>
      </x:c>
      <x:c r="B2437" s="23" t="str">
        <x:v>LUIZ FERNANDO BARROSO DOS SANTOS E SILVA</x:v>
      </x:c>
      <x:c r="C2437" s="23" t="str">
        <x:v>luiz fernando barroso dos santos e silva</x:v>
      </x:c>
      <x:c r="D2437" s="22" t="str">
        <x:f>"62.201.201/0001-04"</x:f>
        <x:v>62.201.201/0001-04</x:v>
      </x:c>
      <x:c r="E2437" s="22" t="str">
        <x:f>"62201201000104"</x:f>
        <x:v>62201201000104</x:v>
      </x:c>
      <x:c r="F2437" s="22" t="str">
        <x:f>"194.656.787-67"</x:f>
        <x:v>194.656.787-67</x:v>
      </x:c>
      <x:c r="G2437" s="22" t="str">
        <x:f>"19465678767"</x:f>
        <x:v>19465678767</x:v>
      </x:c>
      <x:c r="H2437" s="23" t="str">
        <x:v>luizfernando7silva@gmail.com</x:v>
      </x:c>
      <x:c r="I2437" s="22" t="str">
        <x:f>"21974249131"</x:f>
        <x:v>21974249131</x:v>
      </x:c>
      <x:c r="J2437" s="23" t="str">
        <x:v>SPOT</x:v>
      </x:c>
      <x:c r="K2437" s="23" t="str">
        <x:v>favored_only</x:v>
      </x:c>
      <x:c r="L2437" s="24" t="b">
        <x:v>1</x:v>
      </x:c>
      <x:c r="M2437" s="23" t="n">
        <x:v>1</x:v>
      </x:c>
      <x:c r="N2437" s="28" t="n">
        <x:v>46203.92188238426</x:v>
      </x:c>
      <x:c r="O2437" s="28" t="n">
        <x:v>46219.812988715275</x:v>
      </x:c>
      <x:c r="P2437" s="23" t="str">
        <x:v>CORDOVIL</x:v>
      </x:c>
      <x:c r="Q2437" s="30" t="n">
        <x:v>36680</x:v>
      </x:c>
      <x:c r="R2437" s="22" t="str">
        <x:f>"319178406"</x:f>
        <x:v>319178406</x:v>
      </x:c>
      <x:c r="S2437" s="23" t="str">
        <x:v>masculino</x:v>
      </x:c>
      <x:c r="T2437" s="22" t="str">
        <x:f>"KXK4D40"</x:f>
        <x:v>KXK4D40</x:v>
      </x:c>
      <x:c r="U2437" s="23" t="str">
        <x:v>LUIZ FERNANDO BARROSO DOS SANTOS E SILVA</x:v>
      </x:c>
      <x:c r="V2437" s="22" t="str">
        <x:f>"194.656.787-67"</x:f>
        <x:v>194.656.787-67</x:v>
      </x:c>
      <x:c r="W2437" s="22" t="str">
        <x:f>"19465678767"</x:f>
        <x:v>19465678767</x:v>
      </x:c>
      <x:c r="X2437" s="23" t="str">
        <x:v>luizfernando7silva@gmail.com</x:v>
      </x:c>
      <x:c r="Y2437" s="22" t="str">
        <x:f>"21974249131"</x:f>
        <x:v>21974249131</x:v>
      </x:c>
      <x:c r="Z2437" s="30" t="n">
        <x:v>46318</x:v>
      </x:c>
    </x:row>
    <x:row r="2438" ht="18" customHeight="1">
      <x:c r="A2438" s="22" t="str">
        <x:f>"505e97a3-e47d-426a-b219-cb397ee44b83"</x:f>
        <x:v>505e97a3-e47d-426a-b219-cb397ee44b83</x:v>
      </x:c>
      <x:c r="B2438" s="23" t="str">
        <x:v>LUIZ FERNANDO DA COSTA FERNANDES HENRIQUE</x:v>
      </x:c>
      <x:c r="C2438" s="23" t="str">
        <x:v>luiz fernando da costa fernandes henrique</x:v>
      </x:c>
      <x:c r="D2438" s="22" t="str">
        <x:f>"64.904.761/0001-50"</x:f>
        <x:v>64.904.761/0001-50</x:v>
      </x:c>
      <x:c r="E2438" s="22" t="str">
        <x:f>"64904761000150"</x:f>
        <x:v>64904761000150</x:v>
      </x:c>
      <x:c r="F2438" s="22" t="str">
        <x:f>"144.947.767-42"</x:f>
        <x:v>144.947.767-42</x:v>
      </x:c>
      <x:c r="G2438" s="22" t="str">
        <x:f>"14494776742"</x:f>
        <x:v>14494776742</x:v>
      </x:c>
      <x:c r="H2438" s="23" t="str">
        <x:v>lfcosta.henri@gmail.com</x:v>
      </x:c>
      <x:c r="I2438" s="22" t="str">
        <x:f>"21 981942267"</x:f>
        <x:v>21 981942267</x:v>
      </x:c>
      <x:c r="J2438" s="23" t="str">
        <x:v>spot</x:v>
      </x:c>
      <x:c r="K2438" s="23" t="str">
        <x:v>favored_only</x:v>
      </x:c>
      <x:c r="L2438" s="24" t="b">
        <x:v>1</x:v>
      </x:c>
      <x:c r="M2438" s="23" t="n">
        <x:v>1</x:v>
      </x:c>
      <x:c r="N2438" s="28" t="n">
        <x:v>46219.812988715275</x:v>
      </x:c>
      <x:c r="O2438" s="28" t="n">
        <x:v>46219.812988715275</x:v>
      </x:c>
      <x:c r="P2438" s="23" t="str">
        <x:v>CORDOVIL</x:v>
      </x:c>
      <x:c r="Q2438" s="30" t="n">
        <x:v>34670</x:v>
      </x:c>
      <x:c r="R2438" s="22" t="str">
        <x:f>"247875297"</x:f>
        <x:v>247875297</x:v>
      </x:c>
      <x:c r="S2438" s="23" t="str">
        <x:v>masculino</x:v>
      </x:c>
      <x:c r="T2438" s="22" t="str">
        <x:f>"FSN3F36"</x:f>
        <x:v>FSN3F36</x:v>
      </x:c>
      <x:c r="U2438" s="23" t="str">
        <x:v>MARCIA KARLA DA COSTA FERNANDES HENRIQUE</x:v>
      </x:c>
      <x:c r="V2438" s="22" t="str">
        <x:f>"028.385.307-71"</x:f>
        <x:v>028.385.307-71</x:v>
      </x:c>
      <x:c r="W2438" s="22" t="str">
        <x:f>"02838530771"</x:f>
        <x:v>02838530771</x:v>
      </x:c>
      <x:c r="X2438" s="23" t="str">
        <x:v>karlacosta.henri@gmail.com</x:v>
      </x:c>
      <x:c r="Y2438" s="22" t="str">
        <x:f>"21994239553"</x:f>
        <x:v>21994239553</x:v>
      </x:c>
      <x:c r="Z2438" s="30" t="n">
        <x:v>46560</x:v>
      </x:c>
    </x:row>
    <x:row r="2439" ht="18" customHeight="1">
      <x:c r="A2439" s="22" t="str">
        <x:f>"bec9ef23-d933-4155-9064-429ddb6e77e5"</x:f>
        <x:v>bec9ef23-d933-4155-9064-429ddb6e77e5</x:v>
      </x:c>
      <x:c r="B2439" s="23" t="str">
        <x:v>LUIZ FERNANDO DA SILVA MENDES</x:v>
      </x:c>
      <x:c r="C2439" s="23" t="str">
        <x:v>luiz fernando da silva mendes</x:v>
      </x:c>
      <x:c r="D2439" s="22" t="str">
        <x:f>"46.591.573/0001-38"</x:f>
        <x:v>46.591.573/0001-38</x:v>
      </x:c>
      <x:c r="E2439" s="22" t="str">
        <x:f>"46591573000138"</x:f>
        <x:v>46591573000138</x:v>
      </x:c>
      <x:c r="F2439" s="22" t="str">
        <x:f>"048.956.281-75"</x:f>
        <x:v>048.956.281-75</x:v>
      </x:c>
      <x:c r="G2439" s="22" t="str">
        <x:f>"04895628175"</x:f>
        <x:v>04895628175</x:v>
      </x:c>
      <x:c r="H2439" s="23" t="str">
        <x:v>evandrotransportes1098@gmail.com</x:v>
      </x:c>
      <x:c r="I2439" s="22" t="str">
        <x:f>"65992188094"</x:f>
        <x:v>65992188094</x:v>
      </x:c>
      <x:c r="J2439" s="23" t="str">
        <x:v>SPOT</x:v>
      </x:c>
      <x:c r="K2439" s="23" t="str">
        <x:v>favored_only</x:v>
      </x:c>
      <x:c r="L2439" s="24" t="b">
        <x:v>1</x:v>
      </x:c>
      <x:c r="M2439" s="23" t="n">
        <x:v>1</x:v>
      </x:c>
      <x:c r="N2439" s="28" t="n">
        <x:v>46205.604569641204</x:v>
      </x:c>
      <x:c r="O2439" s="28" t="n">
        <x:v>46219.812988715275</x:v>
      </x:c>
      <x:c r="P2439" s="23" t="str">
        <x:v>CÁCERES</x:v>
      </x:c>
      <x:c r="Q2439" s="30" t="n">
        <x:v>35159</x:v>
      </x:c>
      <x:c r="R2439" s="22" t="str">
        <x:f>"21586527"</x:f>
        <x:v>21586527</x:v>
      </x:c>
      <x:c r="S2439" s="23" t="str">
        <x:v>masculino</x:v>
      </x:c>
      <x:c r="T2439" s="22" t="str">
        <x:f>"AXR7H38"</x:f>
        <x:v>AXR7H38</x:v>
      </x:c>
      <x:c r="U2439" s="23" t="str">
        <x:v>LUIZ AGUILERA DE MORAES</x:v>
      </x:c>
      <x:c r="V2439" s="22" t="str">
        <x:f>"039.289.171-96"</x:f>
        <x:v>039.289.171-96</x:v>
      </x:c>
      <x:c r="W2439" s="22" t="str">
        <x:f>"03928917196"</x:f>
        <x:v>03928917196</x:v>
      </x:c>
      <x:c r="X2439" s="23" t="str">
        <x:v>luizdemoraes25@gmail.com</x:v>
      </x:c>
      <x:c r="Y2439" s="22" t="str">
        <x:f>"65999186662"</x:f>
        <x:v>65999186662</x:v>
      </x:c>
      <x:c r="Z2439" s="30" t="n">
        <x:v>46283</x:v>
      </x:c>
    </x:row>
    <x:row r="2440" ht="18" customHeight="1">
      <x:c r="A2440" s="22" t="str">
        <x:f>"288767c3-d8e1-4b24-be03-4f20ed98f1a9"</x:f>
        <x:v>288767c3-d8e1-4b24-be03-4f20ed98f1a9</x:v>
      </x:c>
      <x:c r="B2440" s="23" t="str">
        <x:v>LUIZ FERNANDO DE SOUZA LIMA JUNIOR</x:v>
      </x:c>
      <x:c r="C2440" s="23" t="str">
        <x:v>luiz fernando de souza lima junior</x:v>
      </x:c>
      <x:c r="D2440" s="22" t="str">
        <x:f>"65.909.554/0001-51"</x:f>
        <x:v>65.909.554/0001-51</x:v>
      </x:c>
      <x:c r="E2440" s="22" t="str">
        <x:f>"65909554000151"</x:f>
        <x:v>65909554000151</x:v>
      </x:c>
      <x:c r="F2440" s="22" t="str">
        <x:f>"394.723.048-69"</x:f>
        <x:v>394.723.048-69</x:v>
      </x:c>
      <x:c r="G2440" s="22" t="str">
        <x:f>"39472304869"</x:f>
        <x:v>39472304869</x:v>
      </x:c>
      <x:c r="H2440" s="23" t="str">
        <x:v>luizfernandodesouzalimajunior@gmail.com</x:v>
      </x:c>
      <x:c r="I2440" s="22" t="str">
        <x:f>"11994493637"</x:f>
        <x:v>11994493637</x:v>
      </x:c>
      <x:c r="J2440" s="23" t="str">
        <x:v>RENTALS</x:v>
      </x:c>
      <x:c r="K2440" s="23" t="str">
        <x:v>rental_company</x:v>
      </x:c>
      <x:c r="L2440" s="24" t="b">
        <x:v>1</x:v>
      </x:c>
      <x:c r="M2440" s="23" t="n">
        <x:v>1</x:v>
      </x:c>
      <x:c r="N2440" s="28" t="n">
        <x:v>46219.812988715275</x:v>
      </x:c>
      <x:c r="O2440" s="28" t="n">
        <x:v>46219.812988715275</x:v>
      </x:c>
      <x:c r="P2440" s="23" t="str">
        <x:v>BARUERI</x:v>
      </x:c>
      <x:c r="Q2440" s="30" t="n">
        <x:v>32833</x:v>
      </x:c>
      <x:c r="R2440" s="22" t="str">
        <x:f>"5602389911"</x:f>
        <x:v>5602389911</x:v>
      </x:c>
      <x:c r="S2440" s="23" t="str">
        <x:v>masculino</x:v>
      </x:c>
      <x:c r="T2440" s="22" t="str"/>
      <x:c r="U2440" s="23" t="str">
        <x:v>LUIZ FERNANDO DE SOUZA LIMA JUNIOR</x:v>
      </x:c>
      <x:c r="V2440" s="22" t="str">
        <x:f>"394.723.048-69"</x:f>
        <x:v>394.723.048-69</x:v>
      </x:c>
      <x:c r="W2440" s="22" t="str">
        <x:f>"39472304869"</x:f>
        <x:v>39472304869</x:v>
      </x:c>
      <x:c r="X2440" s="23" t="str">
        <x:v>luizfernandodesouzalimajunior@gmail.com</x:v>
      </x:c>
      <x:c r="Y2440" s="22" t="str">
        <x:f>"11994493637"</x:f>
        <x:v>11994493637</x:v>
      </x:c>
      <x:c r="Z2440" s="30" t="n">
        <x:v>46478</x:v>
      </x:c>
    </x:row>
    <x:row r="2441" ht="18" customHeight="1">
      <x:c r="A2441" s="22" t="str">
        <x:f>"e4391b29-0897-41a4-a4c0-08658e72e1ac"</x:f>
        <x:v>e4391b29-0897-41a4-a4c0-08658e72e1ac</x:v>
      </x:c>
      <x:c r="B2441" s="23" t="str">
        <x:v>LUIZ FERNANDO DOS SANTOS RODRIGUES FERREIRA</x:v>
      </x:c>
      <x:c r="C2441" s="23" t="str">
        <x:v>luiz fernando dos santos rodrigues ferreira</x:v>
      </x:c>
      <x:c r="D2441" s="22" t="str">
        <x:f>"45.176.323/0001-79"</x:f>
        <x:v>45.176.323/0001-79</x:v>
      </x:c>
      <x:c r="E2441" s="22" t="str">
        <x:f>"45176323000179"</x:f>
        <x:v>45176323000179</x:v>
      </x:c>
      <x:c r="F2441" s="22" t="str">
        <x:f>"504.929.958-69"</x:f>
        <x:v>504.929.958-69</x:v>
      </x:c>
      <x:c r="G2441" s="22" t="str">
        <x:f>"50492995869"</x:f>
        <x:v>50492995869</x:v>
      </x:c>
      <x:c r="H2441" s="23" t="str">
        <x:v>Luizfernandos4ntos@gmail.com</x:v>
      </x:c>
      <x:c r="I2441" s="22" t="str">
        <x:f>"16997402566"</x:f>
        <x:v>16997402566</x:v>
      </x:c>
      <x:c r="J2441" s="23" t="str">
        <x:v>SPOT</x:v>
      </x:c>
      <x:c r="K2441" s="23" t="str">
        <x:v>favored_only</x:v>
      </x:c>
      <x:c r="L2441" s="24" t="b">
        <x:v>1</x:v>
      </x:c>
      <x:c r="M2441" s="23" t="n">
        <x:v>1</x:v>
      </x:c>
      <x:c r="N2441" s="28" t="n">
        <x:v>46219.812988715275</x:v>
      </x:c>
      <x:c r="O2441" s="28" t="n">
        <x:v>46219.812988715275</x:v>
      </x:c>
      <x:c r="P2441" s="23" t="str">
        <x:v>SÃO CARLOS</x:v>
      </x:c>
      <x:c r="Q2441" s="30" t="n">
        <x:v>35812</x:v>
      </x:c>
      <x:c r="R2441" s="22" t="str">
        <x:f>"531714147"</x:f>
        <x:v>531714147</x:v>
      </x:c>
      <x:c r="S2441" s="23" t="str">
        <x:v>masculino</x:v>
      </x:c>
      <x:c r="T2441" s="22" t="str">
        <x:f>"DXF8C08"</x:f>
        <x:v>DXF8C08</x:v>
      </x:c>
      <x:c r="U2441" s="23" t="str">
        <x:v>LUIZ FERNANDO DOS SANTOS RODRIGUES FERREIRA</x:v>
      </x:c>
      <x:c r="V2441" s="22" t="str">
        <x:f>"504.929.958-69"</x:f>
        <x:v>504.929.958-69</x:v>
      </x:c>
      <x:c r="W2441" s="22" t="str">
        <x:f>"50492995869"</x:f>
        <x:v>50492995869</x:v>
      </x:c>
      <x:c r="X2441" s="23" t="str">
        <x:v>Luizfernandos4ntos@gmail.com</x:v>
      </x:c>
      <x:c r="Y2441" s="22" t="str">
        <x:f>"16997402566"</x:f>
        <x:v>16997402566</x:v>
      </x:c>
      <x:c r="Z2441" s="30" t="n">
        <x:v>46549</x:v>
      </x:c>
    </x:row>
    <x:row r="2442" ht="18" customHeight="1">
      <x:c r="A2442" s="22" t="str">
        <x:f>"5702fa7e-1900-4a8c-bc45-c33e862c01b6"</x:f>
        <x:v>5702fa7e-1900-4a8c-bc45-c33e862c01b6</x:v>
      </x:c>
      <x:c r="B2442" s="23" t="str">
        <x:v>LUIZ FERNANDO FERNANDES MARTIN</x:v>
      </x:c>
      <x:c r="C2442" s="23" t="str">
        <x:v>luiz fernando fernandes martin</x:v>
      </x:c>
      <x:c r="D2442" s="22" t="str">
        <x:f>"58.365.821/0001-01"</x:f>
        <x:v>58.365.821/0001-01</x:v>
      </x:c>
      <x:c r="E2442" s="22" t="str">
        <x:f>"58365821000101"</x:f>
        <x:v>58365821000101</x:v>
      </x:c>
      <x:c r="F2442" s="22" t="str">
        <x:f>"439.845.968-55"</x:f>
        <x:v>439.845.968-55</x:v>
      </x:c>
      <x:c r="G2442" s="22" t="str">
        <x:f>"43984596855"</x:f>
        <x:v>43984596855</x:v>
      </x:c>
      <x:c r="H2442" s="23" t="str">
        <x:v>luiz-fernando-fernando@hotmail.com</x:v>
      </x:c>
      <x:c r="I2442" s="22" t="str">
        <x:f>"18981532089"</x:f>
        <x:v>18981532089</x:v>
      </x:c>
      <x:c r="J2442" s="23" t="str">
        <x:v>RENTAL</x:v>
      </x:c>
      <x:c r="K2442" s="23" t="str">
        <x:v>rental_company</x:v>
      </x:c>
      <x:c r="L2442" s="24" t="b">
        <x:v>1</x:v>
      </x:c>
      <x:c r="M2442" s="23" t="n">
        <x:v>1</x:v>
      </x:c>
      <x:c r="N2442" s="28" t="n">
        <x:v>46203.921904421295</x:v>
      </x:c>
      <x:c r="O2442" s="28" t="n">
        <x:v>46219.812988715275</x:v>
      </x:c>
      <x:c r="P2442" s="23" t="str">
        <x:v>PRESIDENTE PRUDENTE</x:v>
      </x:c>
      <x:c r="Q2442" s="30" t="n">
        <x:v>34992</x:v>
      </x:c>
      <x:c r="R2442" s="22" t="str">
        <x:f>"451215059"</x:f>
        <x:v>451215059</x:v>
      </x:c>
      <x:c r="S2442" s="23" t="str">
        <x:v>masculino</x:v>
      </x:c>
      <x:c r="T2442" s="22" t="str"/>
      <x:c r="U2442" s="23" t="str">
        <x:v>LUIZ FERNANDO FERNANDES MARTIN</x:v>
      </x:c>
      <x:c r="V2442" s="22" t="str">
        <x:f>"439.845.968-55"</x:f>
        <x:v>439.845.968-55</x:v>
      </x:c>
      <x:c r="W2442" s="22" t="str">
        <x:f>"43984596855"</x:f>
        <x:v>43984596855</x:v>
      </x:c>
      <x:c r="X2442" s="23" t="str">
        <x:v>luiz-fernando-fernando@hotmail.com</x:v>
      </x:c>
      <x:c r="Y2442" s="22" t="str">
        <x:f>"18981532089"</x:f>
        <x:v>18981532089</x:v>
      </x:c>
      <x:c r="Z2442" s="30" t="n">
        <x:v>46360</x:v>
      </x:c>
    </x:row>
    <x:row r="2443" ht="18" customHeight="1">
      <x:c r="A2443" s="22" t="str">
        <x:f>"a3c5d4e8-0e70-43e6-8139-0e17cfddf8fa"</x:f>
        <x:v>a3c5d4e8-0e70-43e6-8139-0e17cfddf8fa</x:v>
      </x:c>
      <x:c r="B2443" s="23" t="str">
        <x:v>LUIZ FERNANDO MATEUS MACHADO</x:v>
      </x:c>
      <x:c r="C2443" s="23" t="str">
        <x:v>luiz fernando mateus machado</x:v>
      </x:c>
      <x:c r="D2443" s="22" t="str">
        <x:f>"35.311.351/0001-06"</x:f>
        <x:v>35.311.351/0001-06</x:v>
      </x:c>
      <x:c r="E2443" s="22" t="str">
        <x:f>"35311351000106"</x:f>
        <x:v>35311351000106</x:v>
      </x:c>
      <x:c r="F2443" s="22" t="str">
        <x:f>"083.218.717-80"</x:f>
        <x:v>083.218.717-80</x:v>
      </x:c>
      <x:c r="G2443" s="22" t="str">
        <x:f>"08321871780"</x:f>
        <x:v>08321871780</x:v>
      </x:c>
      <x:c r="H2443" s="23" t="str">
        <x:v>ifmachadotransportes@gmail.com</x:v>
      </x:c>
      <x:c r="I2443" s="22" t="str">
        <x:f>"22998856112"</x:f>
        <x:v>22998856112</x:v>
      </x:c>
      <x:c r="J2443" s="23" t="str">
        <x:v>SPOT</x:v>
      </x:c>
      <x:c r="K2443" s="23" t="str">
        <x:v>favored_only</x:v>
      </x:c>
      <x:c r="L2443" s="24" t="b">
        <x:v>1</x:v>
      </x:c>
      <x:c r="M2443" s="23" t="n">
        <x:v>1</x:v>
      </x:c>
      <x:c r="N2443" s="28" t="n">
        <x:v>46203.921858726855</x:v>
      </x:c>
      <x:c r="O2443" s="28" t="n">
        <x:v>46219.812988715275</x:v>
      </x:c>
      <x:c r="P2443" s="23" t="str">
        <x:v>CAMPOS DOS GOYTACAZES</x:v>
      </x:c>
      <x:c r="Q2443" s="30" t="n">
        <x:v>28772</x:v>
      </x:c>
      <x:c r="R2443" s="22" t="str">
        <x:f>"120804190"</x:f>
        <x:v>120804190</x:v>
      </x:c>
      <x:c r="S2443" s="23" t="str">
        <x:v>masculino</x:v>
      </x:c>
      <x:c r="T2443" s="22" t="str">
        <x:f>"QWV0E08"</x:f>
        <x:v>QWV0E08</x:v>
      </x:c>
      <x:c r="U2443" s="23" t="str">
        <x:v>LUIZ FERNANDO MATEUS MACHADO</x:v>
      </x:c>
      <x:c r="V2443" s="22" t="str">
        <x:f>"083.218.717-80"</x:f>
        <x:v>083.218.717-80</x:v>
      </x:c>
      <x:c r="W2443" s="22" t="str">
        <x:f>"08321871780"</x:f>
        <x:v>08321871780</x:v>
      </x:c>
      <x:c r="X2443" s="23" t="str">
        <x:v>ifmachadotransportes@gmail.com</x:v>
      </x:c>
      <x:c r="Y2443" s="22" t="str">
        <x:f>"22998856112"</x:f>
        <x:v>22998856112</x:v>
      </x:c>
      <x:c r="Z2443" s="30" t="n">
        <x:v>46267</x:v>
      </x:c>
    </x:row>
    <x:row r="2444" ht="18" customHeight="1">
      <x:c r="A2444" s="22" t="str">
        <x:f>"a5a2baae-beee-41ae-89fa-03bd2d70c827"</x:f>
        <x:v>a5a2baae-beee-41ae-89fa-03bd2d70c827</x:v>
      </x:c>
      <x:c r="B2444" s="23" t="str">
        <x:v>LUIZ FERNANDO RAMOS BRAS</x:v>
      </x:c>
      <x:c r="C2444" s="23" t="str">
        <x:v>luiz fernando ramos bras</x:v>
      </x:c>
      <x:c r="D2444" s="22" t="str">
        <x:f>"41.345.268/0001-42"</x:f>
        <x:v>41.345.268/0001-42</x:v>
      </x:c>
      <x:c r="E2444" s="22" t="str">
        <x:f>"41345268000142"</x:f>
        <x:v>41345268000142</x:v>
      </x:c>
      <x:c r="F2444" s="22" t="str">
        <x:f>"106.627.046-57"</x:f>
        <x:v>106.627.046-57</x:v>
      </x:c>
      <x:c r="G2444" s="22" t="str">
        <x:f>"10662704657"</x:f>
        <x:v>10662704657</x:v>
      </x:c>
      <x:c r="H2444" s="23" t="str">
        <x:v>LUIZFERNANDOBRAS559@GMAIL.COM</x:v>
      </x:c>
      <x:c r="I2444" s="22" t="str">
        <x:f>"11978512941"</x:f>
        <x:v>11978512941</x:v>
      </x:c>
      <x:c r="J2444" s="23" t="str">
        <x:v>RENTAL</x:v>
      </x:c>
      <x:c r="K2444" s="23" t="str">
        <x:v>rental_company</x:v>
      </x:c>
      <x:c r="L2444" s="24" t="b">
        <x:v>1</x:v>
      </x:c>
      <x:c r="M2444" s="23" t="n">
        <x:v>1</x:v>
      </x:c>
      <x:c r="N2444" s="28" t="n">
        <x:v>46203.92183332176</x:v>
      </x:c>
      <x:c r="O2444" s="28" t="n">
        <x:v>46205.60477232639</x:v>
      </x:c>
      <x:c r="P2444" s="23" t="str">
        <x:v>MADEIRA MADEIRA</x:v>
      </x:c>
      <x:c r="Q2444" s="30" t="n">
        <x:v>32256</x:v>
      </x:c>
      <x:c r="R2444" s="22" t="str">
        <x:f>"63981863"</x:f>
        <x:v>63981863</x:v>
      </x:c>
      <x:c r="S2444" s="23" t="str">
        <x:v>Masculino</x:v>
      </x:c>
      <x:c r="T2444" s="22" t="str"/>
      <x:c r="U2444" s="23" t="str">
        <x:v>LUIZ FERNANDO RAMOS BRAS</x:v>
      </x:c>
      <x:c r="V2444" s="22" t="str">
        <x:f>"1066270457"</x:f>
        <x:v>1066270457</x:v>
      </x:c>
      <x:c r="W2444" s="22" t="str">
        <x:f>"1066270457"</x:f>
        <x:v>1066270457</x:v>
      </x:c>
      <x:c r="X2444" s="23" t="str">
        <x:v>LUIZFERNANDOBRAS559@GMAIL.COM</x:v>
      </x:c>
      <x:c r="Y2444" s="22" t="str">
        <x:f>"11978512941"</x:f>
        <x:v>11978512941</x:v>
      </x:c>
      <x:c r="Z2444" s="30" t="n">
        <x:v>46212</x:v>
      </x:c>
    </x:row>
    <x:row r="2445" ht="18" customHeight="1">
      <x:c r="A2445" s="22" t="str">
        <x:f>"5edb0a5a-1b67-4d7d-a8bf-24fc3f668f20"</x:f>
        <x:v>5edb0a5a-1b67-4d7d-a8bf-24fc3f668f20</x:v>
      </x:c>
      <x:c r="B2445" s="23" t="str">
        <x:v>LUIZ FERNANDO VINCLES DOS SANTOS</x:v>
      </x:c>
      <x:c r="C2445" s="23" t="str">
        <x:v>luiz fernando vincles dos santos</x:v>
      </x:c>
      <x:c r="D2445" s="22" t="str">
        <x:f>"51.483.727/0001-08"</x:f>
        <x:v>51.483.727/0001-08</x:v>
      </x:c>
      <x:c r="E2445" s="22" t="str">
        <x:f>"51483727000108"</x:f>
        <x:v>51483727000108</x:v>
      </x:c>
      <x:c r="F2445" s="22" t="str">
        <x:f>"162.082.277-63"</x:f>
        <x:v>162.082.277-63</x:v>
      </x:c>
      <x:c r="G2445" s="22" t="str">
        <x:f>"16208227763"</x:f>
        <x:v>16208227763</x:v>
      </x:c>
      <x:c r="H2445" s="23" t="str">
        <x:v>fernandovincles@gmail.com</x:v>
      </x:c>
      <x:c r="I2445" s="22" t="str">
        <x:f>"21964605120"</x:f>
        <x:v>21964605120</x:v>
      </x:c>
      <x:c r="J2445" s="23" t="str">
        <x:v>spot</x:v>
      </x:c>
      <x:c r="K2445" s="23" t="str">
        <x:v>favored_only</x:v>
      </x:c>
      <x:c r="L2445" s="24" t="b">
        <x:v>1</x:v>
      </x:c>
      <x:c r="M2445" s="23" t="n">
        <x:v>3</x:v>
      </x:c>
      <x:c r="N2445" s="28" t="n">
        <x:v>46203.921887453704</x:v>
      </x:c>
      <x:c r="O2445" s="28" t="n">
        <x:v>46219.812988715275</x:v>
      </x:c>
      <x:c r="P2445" s="23" t="str">
        <x:v>CORDOVIL</x:v>
      </x:c>
      <x:c r="Q2445" s="30" t="n">
        <x:v>35243</x:v>
      </x:c>
      <x:c r="R2445" s="22" t="str">
        <x:f>"281967489"</x:f>
        <x:v>281967489</x:v>
      </x:c>
      <x:c r="S2445" s="23" t="str">
        <x:v>masculino</x:v>
      </x:c>
      <x:c r="T2445" s="22" t="str">
        <x:f>"KVX8B37"</x:f>
        <x:v>KVX8B37</x:v>
      </x:c>
      <x:c r="U2445" s="23" t="str">
        <x:v>LUIZ FERNANDO VINCLES DOS SANTOS</x:v>
      </x:c>
      <x:c r="V2445" s="22" t="str">
        <x:f>"162.082.277-63"</x:f>
        <x:v>162.082.277-63</x:v>
      </x:c>
      <x:c r="W2445" s="22" t="str">
        <x:f>"16208227763"</x:f>
        <x:v>16208227763</x:v>
      </x:c>
      <x:c r="X2445" s="23" t="str">
        <x:v>fernandovincles@gmail.com</x:v>
      </x:c>
      <x:c r="Y2445" s="22" t="str">
        <x:f>"21964605120"</x:f>
        <x:v>21964605120</x:v>
      </x:c>
      <x:c r="Z2445" s="30" t="n">
        <x:v>46553</x:v>
      </x:c>
    </x:row>
    <x:row r="2446" ht="18" customHeight="1">
      <x:c r="A2446" s="22" t="str">
        <x:f>"12a85c92-63a7-4d29-8b39-de0d52837dec"</x:f>
        <x:v>12a85c92-63a7-4d29-8b39-de0d52837dec</x:v>
      </x:c>
      <x:c r="B2446" s="23" t="str">
        <x:v>LUIZ FILIPE VITORIO ROMUALDO</x:v>
      </x:c>
      <x:c r="C2446" s="23" t="str">
        <x:v>luiz filipe vitorio romualdo</x:v>
      </x:c>
      <x:c r="D2446" s="22" t="str">
        <x:f>"65.660.349/0001-03"</x:f>
        <x:v>65.660.349/0001-03</x:v>
      </x:c>
      <x:c r="E2446" s="22" t="str">
        <x:f>"65660349000103"</x:f>
        <x:v>65660349000103</x:v>
      </x:c>
      <x:c r="F2446" s="22" t="str">
        <x:f>"155.215.736-90"</x:f>
        <x:v>155.215.736-90</x:v>
      </x:c>
      <x:c r="G2446" s="22" t="str">
        <x:f>"15521573690"</x:f>
        <x:v>15521573690</x:v>
      </x:c>
      <x:c r="H2446" s="23" t="str">
        <x:v>vitorioluiz86@gmail.com</x:v>
      </x:c>
      <x:c r="I2446" s="22" t="str">
        <x:f>"31996485507"</x:f>
        <x:v>31996485507</x:v>
      </x:c>
      <x:c r="J2446" s="23" t="str">
        <x:v>SPOT</x:v>
      </x:c>
      <x:c r="K2446" s="23" t="str">
        <x:v>favored_only</x:v>
      </x:c>
      <x:c r="L2446" s="24" t="b">
        <x:v>1</x:v>
      </x:c>
      <x:c r="M2446" s="23" t="n">
        <x:v>1</x:v>
      </x:c>
      <x:c r="N2446" s="28" t="n">
        <x:v>46219.812988715275</x:v>
      </x:c>
      <x:c r="O2446" s="28" t="n">
        <x:v>46219.812988715275</x:v>
      </x:c>
      <x:c r="P2446" s="23" t="str">
        <x:v>VESPASIANO</x:v>
      </x:c>
      <x:c r="Q2446" s="30" t="n">
        <x:v>37566</x:v>
      </x:c>
      <x:c r="R2446" s="22" t="str">
        <x:f>"RG: MG-21.187.548"</x:f>
        <x:v>RG: MG-21.187.548</x:v>
      </x:c>
      <x:c r="S2446" s="23" t="str">
        <x:v>masculino</x:v>
      </x:c>
      <x:c r="T2446" s="22" t="str">
        <x:f>"PAR4H52"</x:f>
        <x:v>PAR4H52</x:v>
      </x:c>
      <x:c r="U2446" s="23" t="str">
        <x:v>LUIZ FILIPE VITORIO ROMUALDO</x:v>
      </x:c>
      <x:c r="V2446" s="22" t="str">
        <x:f>"155.215.736-90"</x:f>
        <x:v>155.215.736-90</x:v>
      </x:c>
      <x:c r="W2446" s="22" t="str">
        <x:f>"15521573690"</x:f>
        <x:v>15521573690</x:v>
      </x:c>
      <x:c r="X2446" s="23" t="str">
        <x:v>vitorioluiz86@gmail.com</x:v>
      </x:c>
      <x:c r="Y2446" s="22" t="str">
        <x:f>"31996485507"</x:f>
        <x:v>31996485507</x:v>
      </x:c>
      <x:c r="Z2446" s="30" t="n">
        <x:v>46460</x:v>
      </x:c>
    </x:row>
    <x:row r="2447" ht="18" customHeight="1">
      <x:c r="A2447" s="22" t="str">
        <x:f>"3ae6a82b-8fe2-4a52-bd68-e81b4f19d9a6"</x:f>
        <x:v>3ae6a82b-8fe2-4a52-bd68-e81b4f19d9a6</x:v>
      </x:c>
      <x:c r="B2447" s="23" t="str">
        <x:v>LUIZ FRANCISCO BIHEGA</x:v>
      </x:c>
      <x:c r="C2447" s="23" t="str">
        <x:v>luiz francisco bihega</x:v>
      </x:c>
      <x:c r="D2447" s="22" t="str">
        <x:f>"62.925.301/0001-83"</x:f>
        <x:v>62.925.301/0001-83</x:v>
      </x:c>
      <x:c r="E2447" s="22" t="str">
        <x:f>"62925301000183"</x:f>
        <x:v>62925301000183</x:v>
      </x:c>
      <x:c r="F2447" s="22" t="str">
        <x:f>"075.747.018-14"</x:f>
        <x:v>075.747.018-14</x:v>
      </x:c>
      <x:c r="G2447" s="22" t="str">
        <x:f>"07574701814"</x:f>
        <x:v>07574701814</x:v>
      </x:c>
      <x:c r="H2447" s="23" t="str">
        <x:v>hidroobihega@gmail.com</x:v>
      </x:c>
      <x:c r="I2447" s="22" t="str">
        <x:f>"(17)997551706"</x:f>
        <x:v>(17)997551706</x:v>
      </x:c>
      <x:c r="J2447" s="23" t="str">
        <x:v>RENTAL</x:v>
      </x:c>
      <x:c r="K2447" s="23" t="str">
        <x:v>rental_company</x:v>
      </x:c>
      <x:c r="L2447" s="24" t="b">
        <x:v>1</x:v>
      </x:c>
      <x:c r="M2447" s="23" t="n">
        <x:v>1</x:v>
      </x:c>
      <x:c r="N2447" s="28" t="n">
        <x:v>46203.92186888889</x:v>
      </x:c>
      <x:c r="O2447" s="28" t="n">
        <x:v>46219.812988715275</x:v>
      </x:c>
      <x:c r="P2447" s="23" t="str">
        <x:v>SÃO JOSE DO RIO PRETO</x:v>
      </x:c>
      <x:c r="Q2447" s="30" t="n">
        <x:v>23767</x:v>
      </x:c>
      <x:c r="R2447" s="22" t="str">
        <x:f>"18737889"</x:f>
        <x:v>18737889</x:v>
      </x:c>
      <x:c r="S2447" s="23" t="str">
        <x:v>masculino</x:v>
      </x:c>
      <x:c r="T2447" s="22" t="str"/>
      <x:c r="U2447" s="23" t="str">
        <x:v>LUIZ FRANCISCO BIHEGA</x:v>
      </x:c>
      <x:c r="V2447" s="22" t="str">
        <x:f>"075.747.018-14"</x:f>
        <x:v>075.747.018-14</x:v>
      </x:c>
      <x:c r="W2447" s="22" t="str">
        <x:f>"07574701814"</x:f>
        <x:v>07574701814</x:v>
      </x:c>
      <x:c r="X2447" s="23" t="str">
        <x:v>hidroobihega@gmail.com</x:v>
      </x:c>
      <x:c r="Y2447" s="22" t="str">
        <x:f>"(17)997551706"</x:f>
        <x:v>(17)997551706</x:v>
      </x:c>
      <x:c r="Z2447" s="30" t="n">
        <x:v>46296</x:v>
      </x:c>
    </x:row>
    <x:row r="2448" ht="18" customHeight="1">
      <x:c r="A2448" s="22" t="str">
        <x:f>"8a71ef16-1c7d-4984-85fd-20d011ca76b0"</x:f>
        <x:v>8a71ef16-1c7d-4984-85fd-20d011ca76b0</x:v>
      </x:c>
      <x:c r="B2448" s="23" t="str">
        <x:v>LUIZ GUILHERME SILVA ILDEFONSO</x:v>
      </x:c>
      <x:c r="C2448" s="23" t="str">
        <x:v>luiz guilherme silva ildefonso</x:v>
      </x:c>
      <x:c r="D2448" s="22" t="str">
        <x:f>"63.390.159/0001-80"</x:f>
        <x:v>63.390.159/0001-80</x:v>
      </x:c>
      <x:c r="E2448" s="22" t="str">
        <x:f>"63390159000180"</x:f>
        <x:v>63390159000180</x:v>
      </x:c>
      <x:c r="F2448" s="22" t="str">
        <x:f>"156.688.336-90"</x:f>
        <x:v>156.688.336-90</x:v>
      </x:c>
      <x:c r="G2448" s="22" t="str">
        <x:f>"15668833690"</x:f>
        <x:v>15668833690</x:v>
      </x:c>
      <x:c r="H2448" s="23" t="str">
        <x:v>guisilvaidelfonso@gmail.com</x:v>
      </x:c>
      <x:c r="I2448" s="22" t="str">
        <x:f>"(11) 914306375"</x:f>
        <x:v>(11) 914306375</x:v>
      </x:c>
      <x:c r="J2448" s="23" t="str">
        <x:v>RENTAL</x:v>
      </x:c>
      <x:c r="K2448" s="23" t="str">
        <x:v>rental_company</x:v>
      </x:c>
      <x:c r="L2448" s="24" t="b">
        <x:v>1</x:v>
      </x:c>
      <x:c r="M2448" s="23" t="n">
        <x:v>1</x:v>
      </x:c>
      <x:c r="N2448" s="28" t="n">
        <x:v>46203.92188238426</x:v>
      </x:c>
      <x:c r="O2448" s="28" t="n">
        <x:v>46219.812988715275</x:v>
      </x:c>
      <x:c r="P2448" s="23" t="str">
        <x:v>POUSO ALEGRE</x:v>
      </x:c>
      <x:c r="Q2448" s="30" t="n">
        <x:v>37519</x:v>
      </x:c>
      <x:c r="R2448" s="22" t="str">
        <x:f>"670926413 SSP SP"</x:f>
        <x:v>670926413 SSP SP</x:v>
      </x:c>
      <x:c r="S2448" s="23" t="str">
        <x:v>masculino</x:v>
      </x:c>
      <x:c r="T2448" s="22" t="str"/>
      <x:c r="U2448" s="23" t="str">
        <x:v>LUIZ GUILHERME SILVA ILDEFONSO</x:v>
      </x:c>
      <x:c r="V2448" s="22" t="str">
        <x:f>"156.688.336-90"</x:f>
        <x:v>156.688.336-90</x:v>
      </x:c>
      <x:c r="W2448" s="22" t="str">
        <x:f>"15668833690"</x:f>
        <x:v>15668833690</x:v>
      </x:c>
      <x:c r="X2448" s="23" t="str">
        <x:v>guisilvaidelfonso@gmail.com</x:v>
      </x:c>
      <x:c r="Y2448" s="22" t="str">
        <x:f>"(11) 914306375"</x:f>
        <x:v>(11) 914306375</x:v>
      </x:c>
      <x:c r="Z2448" s="30" t="n">
        <x:v>46324</x:v>
      </x:c>
    </x:row>
    <x:row r="2449" ht="18" customHeight="1">
      <x:c r="A2449" s="22" t="str">
        <x:f>"5ae032cc-7a70-4482-bb5a-e006b4e38fb5"</x:f>
        <x:v>5ae032cc-7a70-4482-bb5a-e006b4e38fb5</x:v>
      </x:c>
      <x:c r="B2449" s="23" t="str">
        <x:v>Luiz Gustavo Alves de Macedo</x:v>
      </x:c>
      <x:c r="C2449" s="23" t="str">
        <x:v>luiz gustavo alves de macedo</x:v>
      </x:c>
      <x:c r="D2449" s="22" t="str">
        <x:f>"33780724000154"</x:f>
        <x:v>33780724000154</x:v>
      </x:c>
      <x:c r="E2449" s="22" t="str">
        <x:f>"33780724000154"</x:f>
        <x:v>33780724000154</x:v>
      </x:c>
      <x:c r="F2449" s="22" t="str">
        <x:f>"06574870666"</x:f>
        <x:v>06574870666</x:v>
      </x:c>
      <x:c r="G2449" s="22" t="str">
        <x:f>"06574870666"</x:f>
        <x:v>06574870666</x:v>
      </x:c>
      <x:c r="H2449" s="23" t="str">
        <x:v>emporiocaicarabh@gmail.com</x:v>
      </x:c>
      <x:c r="I2449" s="22" t="str">
        <x:f>"31996421113"</x:f>
        <x:v>31996421113</x:v>
      </x:c>
      <x:c r="J2449" s="23" t="str">
        <x:v>SPOT</x:v>
      </x:c>
      <x:c r="K2449" s="23" t="str">
        <x:v>favored_only</x:v>
      </x:c>
      <x:c r="L2449" s="24" t="b">
        <x:v>1</x:v>
      </x:c>
      <x:c r="M2449" s="23" t="n">
        <x:v>1</x:v>
      </x:c>
      <x:c r="N2449" s="28" t="n">
        <x:v>46203.92186462963</x:v>
      </x:c>
      <x:c r="O2449" s="28" t="n">
        <x:v>46203.92186462963</x:v>
      </x:c>
      <x:c r="P2449" s="23" t="str"/>
      <x:c r="Q2449" s="30" t="str"/>
      <x:c r="R2449" s="22" t="str"/>
      <x:c r="S2449" s="23" t="str"/>
      <x:c r="T2449" s="22" t="str"/>
      <x:c r="U2449" s="23" t="str">
        <x:v>Luiz Gustavo Alves de Macedo</x:v>
      </x:c>
      <x:c r="V2449" s="22" t="str">
        <x:f>"06574870666"</x:f>
        <x:v>06574870666</x:v>
      </x:c>
      <x:c r="W2449" s="22" t="str">
        <x:f>"06574870666"</x:f>
        <x:v>06574870666</x:v>
      </x:c>
      <x:c r="X2449" s="23" t="str">
        <x:v>emporiocaicarabh@gmail.com</x:v>
      </x:c>
      <x:c r="Y2449" s="22" t="str">
        <x:f>"31996421113"</x:f>
        <x:v>31996421113</x:v>
      </x:c>
      <x:c r="Z2449" s="30" t="str"/>
    </x:row>
    <x:row r="2450" ht="18" customHeight="1">
      <x:c r="A2450" s="22" t="str">
        <x:f>"1101d15e-52a7-4514-aa67-37af380db19d"</x:f>
        <x:v>1101d15e-52a7-4514-aa67-37af380db19d</x:v>
      </x:c>
      <x:c r="B2450" s="23" t="str">
        <x:v>LUIZ GUSTAVO MUNIZ ESTEVES</x:v>
      </x:c>
      <x:c r="C2450" s="23" t="str">
        <x:v>luiz gustavo muniz esteves</x:v>
      </x:c>
      <x:c r="D2450" s="22" t="str">
        <x:f>"62.278.666/0001-63"</x:f>
        <x:v>62.278.666/0001-63</x:v>
      </x:c>
      <x:c r="E2450" s="22" t="str">
        <x:f>"62278666000163"</x:f>
        <x:v>62278666000163</x:v>
      </x:c>
      <x:c r="F2450" s="22" t="str">
        <x:f>"376.580.658-70"</x:f>
        <x:v>376.580.658-70</x:v>
      </x:c>
      <x:c r="G2450" s="22" t="str">
        <x:f>"37658065870"</x:f>
        <x:v>37658065870</x:v>
      </x:c>
      <x:c r="H2450" s="23" t="str">
        <x:v>luizgustavo1940@hotmail.com</x:v>
      </x:c>
      <x:c r="I2450" s="22" t="str">
        <x:f>"17 99243-7378"</x:f>
        <x:v>17 99243-7378</x:v>
      </x:c>
      <x:c r="J2450" s="23" t="str">
        <x:v>SPOT</x:v>
      </x:c>
      <x:c r="K2450" s="23" t="str">
        <x:v>favored_only</x:v>
      </x:c>
      <x:c r="L2450" s="24" t="b">
        <x:v>1</x:v>
      </x:c>
      <x:c r="M2450" s="23" t="n">
        <x:v>1</x:v>
      </x:c>
      <x:c r="N2450" s="28" t="n">
        <x:v>46219.812988715275</x:v>
      </x:c>
      <x:c r="O2450" s="28" t="n">
        <x:v>46219.812988715275</x:v>
      </x:c>
      <x:c r="P2450" s="23" t="str">
        <x:v>SÃO JOSE DO RIO PRETO</x:v>
      </x:c>
      <x:c r="Q2450" s="30" t="n">
        <x:v>32488</x:v>
      </x:c>
      <x:c r="R2450" s="22" t="str">
        <x:f>"44634795"</x:f>
        <x:v>44634795</x:v>
      </x:c>
      <x:c r="S2450" s="23" t="str">
        <x:v>masculino</x:v>
      </x:c>
      <x:c r="T2450" s="22" t="str">
        <x:f>"EZA0H18"</x:f>
        <x:v>EZA0H18</x:v>
      </x:c>
      <x:c r="U2450" s="23" t="str">
        <x:v>LETICIA DE OLIVEIRA SANTOS</x:v>
      </x:c>
      <x:c r="V2450" s="22" t="str">
        <x:f>"237.119.348-89"</x:f>
        <x:v>237.119.348-89</x:v>
      </x:c>
      <x:c r="W2450" s="22" t="str">
        <x:f>"23711934889"</x:f>
        <x:v>23711934889</x:v>
      </x:c>
      <x:c r="X2450" s="23" t="str">
        <x:v>luizgustavo1940@hotmail.com</x:v>
      </x:c>
      <x:c r="Y2450" s="22" t="str">
        <x:f>"17 99243-7378"</x:f>
        <x:v>17 99243-7378</x:v>
      </x:c>
      <x:c r="Z2450" s="30" t="n">
        <x:v>46544</x:v>
      </x:c>
    </x:row>
    <x:row r="2451" ht="18" customHeight="1">
      <x:c r="A2451" s="22" t="str">
        <x:f>"5b17a950-f500-4f64-aeb4-70d201c29d54"</x:f>
        <x:v>5b17a950-f500-4f64-aeb4-70d201c29d54</x:v>
      </x:c>
      <x:c r="B2451" s="23" t="str">
        <x:v>LUIZ GUSTAVO PALADINO</x:v>
      </x:c>
      <x:c r="C2451" s="23" t="str">
        <x:v>luiz gustavo paladino</x:v>
      </x:c>
      <x:c r="D2451" s="22" t="str">
        <x:f>"66.301.315/0001-87"</x:f>
        <x:v>66.301.315/0001-87</x:v>
      </x:c>
      <x:c r="E2451" s="22" t="str">
        <x:f>"66301315000187"</x:f>
        <x:v>66301315000187</x:v>
      </x:c>
      <x:c r="F2451" s="22" t="str">
        <x:f>"442.814.728-78"</x:f>
        <x:v>442.814.728-78</x:v>
      </x:c>
      <x:c r="G2451" s="22" t="str">
        <x:f>"44281472878"</x:f>
        <x:v>44281472878</x:v>
      </x:c>
      <x:c r="H2451" s="23" t="str">
        <x:v>luizpaladino99@gmail.com</x:v>
      </x:c>
      <x:c r="I2451" s="22" t="str">
        <x:f>"34997089990"</x:f>
        <x:v>34997089990</x:v>
      </x:c>
      <x:c r="J2451" s="23" t="str">
        <x:v>SPOT</x:v>
      </x:c>
      <x:c r="K2451" s="23" t="str">
        <x:v>favored_only</x:v>
      </x:c>
      <x:c r="L2451" s="24" t="b">
        <x:v>1</x:v>
      </x:c>
      <x:c r="M2451" s="23" t="n">
        <x:v>1</x:v>
      </x:c>
      <x:c r="N2451" s="28" t="n">
        <x:v>46219.812988715275</x:v>
      </x:c>
      <x:c r="O2451" s="28" t="n">
        <x:v>46219.812988715275</x:v>
      </x:c>
      <x:c r="P2451" s="23" t="str">
        <x:v>PATOS DE MINAS</x:v>
      </x:c>
      <x:c r="Q2451" s="30" t="n">
        <x:v>36299</x:v>
      </x:c>
      <x:c r="R2451" s="22" t="str">
        <x:f>"37271853 SSP"</x:f>
        <x:v>37271853 SSP</x:v>
      </x:c>
      <x:c r="S2451" s="23" t="str">
        <x:v>masculino</x:v>
      </x:c>
      <x:c r="T2451" s="22" t="str">
        <x:f>"QUK0I99"</x:f>
        <x:v>QUK0I99</x:v>
      </x:c>
      <x:c r="U2451" s="23" t="str">
        <x:v>LUIZ GUSTAVO PALADINO</x:v>
      </x:c>
      <x:c r="V2451" s="22" t="str">
        <x:f>"442.814.728-78"</x:f>
        <x:v>442.814.728-78</x:v>
      </x:c>
      <x:c r="W2451" s="22" t="str">
        <x:f>"44281472878"</x:f>
        <x:v>44281472878</x:v>
      </x:c>
      <x:c r="X2451" s="23" t="str">
        <x:v>luizpaladino99@gmail.com</x:v>
      </x:c>
      <x:c r="Y2451" s="22" t="str">
        <x:f>"34997089990"</x:f>
        <x:v>34997089990</x:v>
      </x:c>
      <x:c r="Z2451" s="30" t="n">
        <x:v>46519</x:v>
      </x:c>
    </x:row>
    <x:row r="2452" ht="18" customHeight="1">
      <x:c r="A2452" s="22" t="str">
        <x:f>"9fb39428-5cd1-4cbf-955c-279f79744472"</x:f>
        <x:v>9fb39428-5cd1-4cbf-955c-279f79744472</x:v>
      </x:c>
      <x:c r="B2452" s="23" t="str">
        <x:v>LUIZ GUSTAVO RIBEIRO DA SILVA</x:v>
      </x:c>
      <x:c r="C2452" s="23" t="str">
        <x:v>luiz gustavo ribeiro da silva</x:v>
      </x:c>
      <x:c r="D2452" s="22" t="str">
        <x:f>"58.244.194/0001-50"</x:f>
        <x:v>58.244.194/0001-50</x:v>
      </x:c>
      <x:c r="E2452" s="22" t="str">
        <x:f>"58244194000150"</x:f>
        <x:v>58244194000150</x:v>
      </x:c>
      <x:c r="F2452" s="22" t="str">
        <x:f>"105.185.456-36"</x:f>
        <x:v>105.185.456-36</x:v>
      </x:c>
      <x:c r="G2452" s="22" t="str">
        <x:f>"10518545636"</x:f>
        <x:v>10518545636</x:v>
      </x:c>
      <x:c r="H2452" s="23" t="str">
        <x:v>lzgustavo89.lg@gmail.com</x:v>
      </x:c>
      <x:c r="I2452" s="22" t="str">
        <x:f>"3599181-5620"</x:f>
        <x:v>3599181-5620</x:v>
      </x:c>
      <x:c r="J2452" s="23" t="str">
        <x:v>spot</x:v>
      </x:c>
      <x:c r="K2452" s="23" t="str">
        <x:v>rental_company</x:v>
      </x:c>
      <x:c r="L2452" s="24" t="b">
        <x:v>1</x:v>
      </x:c>
      <x:c r="M2452" s="23" t="n">
        <x:v>2</x:v>
      </x:c>
      <x:c r="N2452" s="28" t="n">
        <x:v>46203.921824756944</x:v>
      </x:c>
      <x:c r="O2452" s="28" t="n">
        <x:v>46219.812988715275</x:v>
      </x:c>
      <x:c r="P2452" s="23" t="str">
        <x:v>POUSO ALEGRE</x:v>
      </x:c>
      <x:c r="Q2452" s="30" t="n">
        <x:v>32636</x:v>
      </x:c>
      <x:c r="R2452" s="22" t="str">
        <x:f>"16792403"</x:f>
        <x:v>16792403</x:v>
      </x:c>
      <x:c r="S2452" s="23" t="str">
        <x:v>masculino</x:v>
      </x:c>
      <x:c r="T2452" s="22" t="str"/>
      <x:c r="U2452" s="23" t="str">
        <x:v>LUIZ GUSTAVO RIBEIRO DA SILVA</x:v>
      </x:c>
      <x:c r="V2452" s="22" t="str">
        <x:f>"105.185.456-36"</x:f>
        <x:v>105.185.456-36</x:v>
      </x:c>
      <x:c r="W2452" s="22" t="str">
        <x:f>"10518545636"</x:f>
        <x:v>10518545636</x:v>
      </x:c>
      <x:c r="X2452" s="23" t="str">
        <x:v>lzgustavo89.lg@gmail.com</x:v>
      </x:c>
      <x:c r="Y2452" s="22" t="str">
        <x:f>"3599181-5620"</x:f>
        <x:v>3599181-5620</x:v>
      </x:c>
      <x:c r="Z2452" s="30" t="n">
        <x:v>46540</x:v>
      </x:c>
    </x:row>
    <x:row r="2453" ht="18" customHeight="1">
      <x:c r="A2453" s="22" t="str">
        <x:f>"904aeb7f-5672-40fb-956f-b18f07c922ea"</x:f>
        <x:v>904aeb7f-5672-40fb-956f-b18f07c922ea</x:v>
      </x:c>
      <x:c r="B2453" s="23" t="str">
        <x:v>LUIZ HENRIQUE CONCEICAO DA COSTA</x:v>
      </x:c>
      <x:c r="C2453" s="23" t="str">
        <x:v>luiz henrique conceicao da costa</x:v>
      </x:c>
      <x:c r="D2453" s="22" t="str">
        <x:f>"62.309.502/0001-56"</x:f>
        <x:v>62.309.502/0001-56</x:v>
      </x:c>
      <x:c r="E2453" s="22" t="str">
        <x:f>"62309502000156"</x:f>
        <x:v>62309502000156</x:v>
      </x:c>
      <x:c r="F2453" s="22" t="str">
        <x:f>"038.969.881-40"</x:f>
        <x:v>038.969.881-40</x:v>
      </x:c>
      <x:c r="G2453" s="22" t="str">
        <x:f>"03896988140"</x:f>
        <x:v>03896988140</x:v>
      </x:c>
      <x:c r="H2453" s="23" t="str">
        <x:v>henriqueluizhenrique2702@gmail.com</x:v>
      </x:c>
      <x:c r="I2453" s="22" t="str">
        <x:f>"65 98414-4280"</x:f>
        <x:v>65 98414-4280</x:v>
      </x:c>
      <x:c r="J2453" s="23" t="str">
        <x:v>SPOT</x:v>
      </x:c>
      <x:c r="K2453" s="23" t="str">
        <x:v>favored_only</x:v>
      </x:c>
      <x:c r="L2453" s="24" t="b">
        <x:v>1</x:v>
      </x:c>
      <x:c r="M2453" s="23" t="n">
        <x:v>1</x:v>
      </x:c>
      <x:c r="N2453" s="28" t="n">
        <x:v>46203.921858726855</x:v>
      </x:c>
      <x:c r="O2453" s="28" t="n">
        <x:v>46219.812988715275</x:v>
      </x:c>
      <x:c r="P2453" s="23" t="str">
        <x:v>CUIABA</x:v>
      </x:c>
      <x:c r="Q2453" s="30" t="n">
        <x:v>33661</x:v>
      </x:c>
      <x:c r="R2453" s="22" t="str">
        <x:f>"22530371"</x:f>
        <x:v>22530371</x:v>
      </x:c>
      <x:c r="S2453" s="23" t="str">
        <x:v>masculino</x:v>
      </x:c>
      <x:c r="T2453" s="22" t="str">
        <x:f>"SPD9I92"</x:f>
        <x:v>SPD9I92</x:v>
      </x:c>
      <x:c r="U2453" s="23" t="str">
        <x:v>LUIZ HENRIQUE CONCEICAO DA COSTA</x:v>
      </x:c>
      <x:c r="V2453" s="22" t="str">
        <x:f>"038.969.881-40"</x:f>
        <x:v>038.969.881-40</x:v>
      </x:c>
      <x:c r="W2453" s="22" t="str">
        <x:f>"03896988140"</x:f>
        <x:v>03896988140</x:v>
      </x:c>
      <x:c r="X2453" s="23" t="str">
        <x:v>henriqueluizhenrique2702@gmail.com</x:v>
      </x:c>
      <x:c r="Y2453" s="22" t="str">
        <x:f>"65 98414-4280"</x:f>
        <x:v>65 98414-4280</x:v>
      </x:c>
      <x:c r="Z2453" s="30" t="n">
        <x:v>46261</x:v>
      </x:c>
    </x:row>
    <x:row r="2454" ht="18" customHeight="1">
      <x:c r="A2454" s="22" t="str">
        <x:f>"fb397db7-d2c5-4beb-bc6d-049ad1d9901b"</x:f>
        <x:v>fb397db7-d2c5-4beb-bc6d-049ad1d9901b</x:v>
      </x:c>
      <x:c r="B2454" s="23" t="str">
        <x:v>LUIZ HENRIQUE FRANCA DE MARINS</x:v>
      </x:c>
      <x:c r="C2454" s="23" t="str">
        <x:v>luiz henrique franca de marins</x:v>
      </x:c>
      <x:c r="D2454" s="22" t="str">
        <x:f>"56.143.062/0001-07"</x:f>
        <x:v>56.143.062/0001-07</x:v>
      </x:c>
      <x:c r="E2454" s="22" t="str">
        <x:f>"56143062000107"</x:f>
        <x:v>56143062000107</x:v>
      </x:c>
      <x:c r="F2454" s="22" t="str">
        <x:f>"185.771.347-84"</x:f>
        <x:v>185.771.347-84</x:v>
      </x:c>
      <x:c r="G2454" s="22" t="str">
        <x:f>"18577134784"</x:f>
        <x:v>18577134784</x:v>
      </x:c>
      <x:c r="H2454" s="23" t="str">
        <x:v>LUIZHENRIQUEFRANCA312@GMAIL.COM</x:v>
      </x:c>
      <x:c r="I2454" s="22" t="str">
        <x:f>"21970455115"</x:f>
        <x:v>21970455115</x:v>
      </x:c>
      <x:c r="J2454" s="23" t="str">
        <x:v>spot</x:v>
      </x:c>
      <x:c r="K2454" s="23" t="str">
        <x:v>favored_only</x:v>
      </x:c>
      <x:c r="L2454" s="24" t="b">
        <x:v>1</x:v>
      </x:c>
      <x:c r="M2454" s="23" t="n">
        <x:v>1</x:v>
      </x:c>
      <x:c r="N2454" s="28" t="n">
        <x:v>46219.812988715275</x:v>
      </x:c>
      <x:c r="O2454" s="28" t="n">
        <x:v>46219.812988715275</x:v>
      </x:c>
      <x:c r="P2454" s="23" t="str">
        <x:v>CORDOVIL</x:v>
      </x:c>
      <x:c r="Q2454" s="30" t="n">
        <x:v>36247</x:v>
      </x:c>
      <x:c r="R2454" s="22" t="str">
        <x:f>"8185994173"</x:f>
        <x:v>8185994173</x:v>
      </x:c>
      <x:c r="S2454" s="23" t="str">
        <x:v>masculino</x:v>
      </x:c>
      <x:c r="T2454" s="22" t="str">
        <x:f>"LOY5D30"</x:f>
        <x:v>LOY5D30</x:v>
      </x:c>
      <x:c r="U2454" s="23" t="str">
        <x:v>LUIZ HENRIQUE FRANCA DE MARINS</x:v>
      </x:c>
      <x:c r="V2454" s="22" t="str">
        <x:f>"185.771.347-84"</x:f>
        <x:v>185.771.347-84</x:v>
      </x:c>
      <x:c r="W2454" s="22" t="str">
        <x:f>"18577134784"</x:f>
        <x:v>18577134784</x:v>
      </x:c>
      <x:c r="X2454" s="23" t="str">
        <x:v>LUIZHENRIQUEFRANCA312@GMAIL.COM</x:v>
      </x:c>
      <x:c r="Y2454" s="22" t="str">
        <x:f>"21970455115"</x:f>
        <x:v>21970455115</x:v>
      </x:c>
      <x:c r="Z2454" s="30" t="n">
        <x:v>46528</x:v>
      </x:c>
    </x:row>
    <x:row r="2455" ht="18" customHeight="1">
      <x:c r="A2455" s="22" t="str">
        <x:f>"b4813e28-40c1-4acb-9675-c3bb3a1f1ee9"</x:f>
        <x:v>b4813e28-40c1-4acb-9675-c3bb3a1f1ee9</x:v>
      </x:c>
      <x:c r="B2455" s="23" t="str">
        <x:v>LUIZ HENRIQUE FREITAS CORNELIO</x:v>
      </x:c>
      <x:c r="C2455" s="23" t="str">
        <x:v>luiz henrique freitas cornelio</x:v>
      </x:c>
      <x:c r="D2455" s="22" t="str">
        <x:f>"60.477.615/0001-35"</x:f>
        <x:v>60.477.615/0001-35</x:v>
      </x:c>
      <x:c r="E2455" s="22" t="str">
        <x:f>"60477615000135"</x:f>
        <x:v>60477615000135</x:v>
      </x:c>
      <x:c r="F2455" s="22" t="str">
        <x:f>"152.847.576-37"</x:f>
        <x:v>152.847.576-37</x:v>
      </x:c>
      <x:c r="G2455" s="22" t="str">
        <x:f>"15284757637"</x:f>
        <x:v>15284757637</x:v>
      </x:c>
      <x:c r="H2455" s="23" t="str">
        <x:v>luizhenrique.f8919@gmail.com</x:v>
      </x:c>
      <x:c r="I2455" s="22" t="str">
        <x:f>"31 986947789"</x:f>
        <x:v>31 986947789</x:v>
      </x:c>
      <x:c r="J2455" s="23" t="str">
        <x:v>SPOT</x:v>
      </x:c>
      <x:c r="K2455" s="23" t="str">
        <x:v>favored_only</x:v>
      </x:c>
      <x:c r="L2455" s="24" t="b">
        <x:v>1</x:v>
      </x:c>
      <x:c r="M2455" s="23" t="n">
        <x:v>1</x:v>
      </x:c>
      <x:c r="N2455" s="28" t="n">
        <x:v>46203.921904421295</x:v>
      </x:c>
      <x:c r="O2455" s="28" t="n">
        <x:v>46219.812988715275</x:v>
      </x:c>
      <x:c r="P2455" s="23" t="str">
        <x:v>CONTAGEM</x:v>
      </x:c>
      <x:c r="Q2455" s="30" t="n">
        <x:v>38369</x:v>
      </x:c>
      <x:c r="R2455" s="22" t="str">
        <x:f>"22538526"</x:f>
        <x:v>22538526</x:v>
      </x:c>
      <x:c r="S2455" s="23" t="str">
        <x:v>masculino</x:v>
      </x:c>
      <x:c r="T2455" s="22" t="str">
        <x:f>"SHW6H95"</x:f>
        <x:v>SHW6H95</x:v>
      </x:c>
      <x:c r="U2455" s="23" t="str">
        <x:v>LUIZ HENRIQUE FREITAS CORNELIO</x:v>
      </x:c>
      <x:c r="V2455" s="22" t="str">
        <x:f>"152.847.576-37"</x:f>
        <x:v>152.847.576-37</x:v>
      </x:c>
      <x:c r="W2455" s="22" t="str">
        <x:f>"15284757637"</x:f>
        <x:v>15284757637</x:v>
      </x:c>
      <x:c r="X2455" s="23" t="str">
        <x:v>luizhenrique.f8919@gmail.com</x:v>
      </x:c>
      <x:c r="Y2455" s="22" t="str">
        <x:f>"31986947789"</x:f>
        <x:v>31986947789</x:v>
      </x:c>
      <x:c r="Z2455" s="30" t="n">
        <x:v>46368</x:v>
      </x:c>
    </x:row>
    <x:row r="2456" ht="18" customHeight="1">
      <x:c r="A2456" s="22" t="str">
        <x:f>"b6482e40-cd38-44da-a2b5-42de3b92a137"</x:f>
        <x:v>b6482e40-cd38-44da-a2b5-42de3b92a137</x:v>
      </x:c>
      <x:c r="B2456" s="23" t="str">
        <x:v>LUIZ HENRIQUE RODRIGUES FRANCO</x:v>
      </x:c>
      <x:c r="C2456" s="23" t="str">
        <x:v>luiz henrique rodrigues franco</x:v>
      </x:c>
      <x:c r="D2456" s="22" t="str">
        <x:f>"61.406.355/0001-70"</x:f>
        <x:v>61.406.355/0001-70</x:v>
      </x:c>
      <x:c r="E2456" s="22" t="str">
        <x:f>"61406355000170"</x:f>
        <x:v>61406355000170</x:v>
      </x:c>
      <x:c r="F2456" s="22" t="str">
        <x:f>"700.899.436-27"</x:f>
        <x:v>700.899.436-27</x:v>
      </x:c>
      <x:c r="G2456" s="22" t="str">
        <x:f>"70089943627"</x:f>
        <x:v>70089943627</x:v>
      </x:c>
      <x:c r="H2456" s="23" t="str">
        <x:v>lh6641323@gmail.com</x:v>
      </x:c>
      <x:c r="I2456" s="22" t="str">
        <x:f>"31995961947"</x:f>
        <x:v>31995961947</x:v>
      </x:c>
      <x:c r="J2456" s="23" t="str">
        <x:v>SPOT</x:v>
      </x:c>
      <x:c r="K2456" s="23" t="str">
        <x:v>favored_only</x:v>
      </x:c>
      <x:c r="L2456" s="24" t="b">
        <x:v>1</x:v>
      </x:c>
      <x:c r="M2456" s="23" t="n">
        <x:v>1</x:v>
      </x:c>
      <x:c r="N2456" s="28" t="n">
        <x:v>46219.812988715275</x:v>
      </x:c>
      <x:c r="O2456" s="28" t="n">
        <x:v>46219.812988715275</x:v>
      </x:c>
      <x:c r="P2456" s="23" t="str">
        <x:v>CONTAGEM</x:v>
      </x:c>
      <x:c r="Q2456" s="30" t="n">
        <x:v>38403</x:v>
      </x:c>
      <x:c r="R2456" s="22" t="str">
        <x:f>"21275334"</x:f>
        <x:v>21275334</x:v>
      </x:c>
      <x:c r="S2456" s="23" t="str">
        <x:v>masculino</x:v>
      </x:c>
      <x:c r="T2456" s="22" t="str">
        <x:f>"QOZ0G97"</x:f>
        <x:v>QOZ0G97</x:v>
      </x:c>
      <x:c r="U2456" s="23" t="str">
        <x:v>LUIZ HENRIQUE RODRIGUES FRANCO</x:v>
      </x:c>
      <x:c r="V2456" s="22" t="str">
        <x:f>"700.899.436-27"</x:f>
        <x:v>700.899.436-27</x:v>
      </x:c>
      <x:c r="W2456" s="22" t="str">
        <x:f>"70089943627"</x:f>
        <x:v>70089943627</x:v>
      </x:c>
      <x:c r="X2456" s="23" t="str">
        <x:v>lh6641323@gmail.com</x:v>
      </x:c>
      <x:c r="Y2456" s="22" t="str">
        <x:f>"31995961947"</x:f>
        <x:v>31995961947</x:v>
      </x:c>
      <x:c r="Z2456" s="30" t="n">
        <x:v>46458</x:v>
      </x:c>
    </x:row>
    <x:row r="2457" ht="18" customHeight="1">
      <x:c r="A2457" s="22" t="str">
        <x:f>"6a9e83dc-af1d-470b-9e02-5e1cc6ca8b12"</x:f>
        <x:v>6a9e83dc-af1d-470b-9e02-5e1cc6ca8b12</x:v>
      </x:c>
      <x:c r="B2457" s="23" t="str">
        <x:v>LUIZ OTAVIO SOARES PEREIRA</x:v>
      </x:c>
      <x:c r="C2457" s="23" t="str">
        <x:v>luiz otavio soares pereira</x:v>
      </x:c>
      <x:c r="D2457" s="22" t="str">
        <x:f>"59.874.445/0001-43"</x:f>
        <x:v>59.874.445/0001-43</x:v>
      </x:c>
      <x:c r="E2457" s="22" t="str">
        <x:f>"59874445000143"</x:f>
        <x:v>59874445000143</x:v>
      </x:c>
      <x:c r="F2457" s="22" t="str">
        <x:f>"115.303.026-84"</x:f>
        <x:v>115.303.026-84</x:v>
      </x:c>
      <x:c r="G2457" s="22" t="str">
        <x:f>"11530302684"</x:f>
        <x:v>11530302684</x:v>
      </x:c>
      <x:c r="H2457" s="23" t="str">
        <x:v>otavio.84@hotmail.com</x:v>
      </x:c>
      <x:c r="I2457" s="22" t="str">
        <x:f>"31984386771"</x:f>
        <x:v>31984386771</x:v>
      </x:c>
      <x:c r="J2457" s="23" t="str">
        <x:v>RENTAL</x:v>
      </x:c>
      <x:c r="K2457" s="23" t="str">
        <x:v>favored_only</x:v>
      </x:c>
      <x:c r="L2457" s="24" t="b">
        <x:v>1</x:v>
      </x:c>
      <x:c r="M2457" s="23" t="n">
        <x:v>2</x:v>
      </x:c>
      <x:c r="N2457" s="28" t="n">
        <x:v>46219.79396105324</x:v>
      </x:c>
      <x:c r="O2457" s="28" t="n">
        <x:v>46219.812988715275</x:v>
      </x:c>
      <x:c r="P2457" s="23" t="str">
        <x:v>GUANHAES</x:v>
      </x:c>
      <x:c r="Q2457" s="30" t="n">
        <x:v>36222</x:v>
      </x:c>
      <x:c r="R2457" s="22" t="str">
        <x:f>"16546185"</x:f>
        <x:v>16546185</x:v>
      </x:c>
      <x:c r="S2457" s="23" t="str">
        <x:v>masculino</x:v>
      </x:c>
      <x:c r="T2457" s="22" t="str">
        <x:f>"LQY9B42"</x:f>
        <x:v>LQY9B42</x:v>
      </x:c>
      <x:c r="U2457" s="23" t="str">
        <x:v>LUIZ OTAVIO SOARES PEREIRA</x:v>
      </x:c>
      <x:c r="V2457" s="22" t="str">
        <x:f>"115.303.026-84"</x:f>
        <x:v>115.303.026-84</x:v>
      </x:c>
      <x:c r="W2457" s="22" t="str">
        <x:f>"11530302684"</x:f>
        <x:v>11530302684</x:v>
      </x:c>
      <x:c r="X2457" s="23" t="str">
        <x:v>otavio.84@hotmail.com</x:v>
      </x:c>
      <x:c r="Y2457" s="22" t="str">
        <x:f>"31984386771"</x:f>
        <x:v>31984386771</x:v>
      </x:c>
      <x:c r="Z2457" s="30" t="n">
        <x:v>46504</x:v>
      </x:c>
    </x:row>
    <x:row r="2458" ht="18" customHeight="1">
      <x:c r="A2458" s="22" t="str">
        <x:f>"a6e87676-150e-4e85-8726-4b643e329341"</x:f>
        <x:v>a6e87676-150e-4e85-8726-4b643e329341</x:v>
      </x:c>
      <x:c r="B2458" s="23" t="str">
        <x:v>LUIZ PAULO PEREIRA</x:v>
      </x:c>
      <x:c r="C2458" s="23" t="str">
        <x:v>luiz paulo pereira</x:v>
      </x:c>
      <x:c r="D2458" s="22" t="str">
        <x:f>"62.675.876/0001-95"</x:f>
        <x:v>62.675.876/0001-95</x:v>
      </x:c>
      <x:c r="E2458" s="22" t="str">
        <x:f>"62675876000195"</x:f>
        <x:v>62675876000195</x:v>
      </x:c>
      <x:c r="F2458" s="22" t="str">
        <x:f>"097.265.936-62"</x:f>
        <x:v>097.265.936-62</x:v>
      </x:c>
      <x:c r="G2458" s="22" t="str">
        <x:f>"09726593662"</x:f>
        <x:v>09726593662</x:v>
      </x:c>
      <x:c r="H2458" s="23" t="str">
        <x:v>Luizpaulop508@gmail.com</x:v>
      </x:c>
      <x:c r="I2458" s="22" t="str">
        <x:f>"35 91002-3513"</x:f>
        <x:v>35 91002-3513</x:v>
      </x:c>
      <x:c r="J2458" s="23" t="str">
        <x:v>DESCONHECIDO</x:v>
      </x:c>
      <x:c r="K2458" s="23" t="str">
        <x:v>favored_only</x:v>
      </x:c>
      <x:c r="L2458" s="24" t="b">
        <x:v>1</x:v>
      </x:c>
      <x:c r="M2458" s="23" t="n">
        <x:v>1</x:v>
      </x:c>
      <x:c r="N2458" s="28" t="n">
        <x:v>46203.92186888889</x:v>
      </x:c>
      <x:c r="O2458" s="28" t="n">
        <x:v>46219.812988715275</x:v>
      </x:c>
      <x:c r="P2458" s="23" t="str">
        <x:v>GUAXUPE</x:v>
      </x:c>
      <x:c r="Q2458" s="30" t="str"/>
      <x:c r="R2458" s="22" t="str">
        <x:f>"16320406"</x:f>
        <x:v>16320406</x:v>
      </x:c>
      <x:c r="S2458" s="23" t="str">
        <x:v>masculino</x:v>
      </x:c>
      <x:c r="T2458" s="22" t="str">
        <x:f>"QQV0F81"</x:f>
        <x:v>QQV0F81</x:v>
      </x:c>
      <x:c r="U2458" s="23" t="str">
        <x:v>LUIZ PAULO PEREIRA</x:v>
      </x:c>
      <x:c r="V2458" s="22" t="str">
        <x:f>"097.265.936-62"</x:f>
        <x:v>097.265.936-62</x:v>
      </x:c>
      <x:c r="W2458" s="22" t="str">
        <x:f>"09726593662"</x:f>
        <x:v>09726593662</x:v>
      </x:c>
      <x:c r="X2458" s="23" t="str">
        <x:v>Luizpaulop508@gmail.com</x:v>
      </x:c>
      <x:c r="Y2458" s="22" t="str">
        <x:f>"35 91002-3513"</x:f>
        <x:v>35 91002-3513</x:v>
      </x:c>
      <x:c r="Z2458" s="30" t="n">
        <x:v>46304</x:v>
      </x:c>
    </x:row>
    <x:row r="2459" ht="18" customHeight="1">
      <x:c r="A2459" s="22" t="str">
        <x:f>"b5556cf7-b3a7-4e47-adf3-69ba1f171fa3"</x:f>
        <x:v>b5556cf7-b3a7-4e47-adf3-69ba1f171fa3</x:v>
      </x:c>
      <x:c r="B2459" s="23" t="str">
        <x:v>LUIZ PEDRO ALBINO DE OLIVEIRA</x:v>
      </x:c>
      <x:c r="C2459" s="23" t="str">
        <x:v>luiz pedro albino de oliveira</x:v>
      </x:c>
      <x:c r="D2459" s="22" t="str">
        <x:f>"28.371.142/0001-84"</x:f>
        <x:v>28.371.142/0001-84</x:v>
      </x:c>
      <x:c r="E2459" s="22" t="str">
        <x:f>"28371142000184"</x:f>
        <x:v>28371142000184</x:v>
      </x:c>
      <x:c r="F2459" s="22" t="str">
        <x:f>"478.259.478-00"</x:f>
        <x:v>478.259.478-00</x:v>
      </x:c>
      <x:c r="G2459" s="22" t="str">
        <x:f>"47825947800"</x:f>
        <x:v>47825947800</x:v>
      </x:c>
      <x:c r="H2459" s="23" t="str">
        <x:v>luizpedro011@hotmail.com</x:v>
      </x:c>
      <x:c r="I2459" s="22" t="str">
        <x:f>"(17)99110-3043"</x:f>
        <x:v>(17)99110-3043</x:v>
      </x:c>
      <x:c r="J2459" s="23" t="str">
        <x:v>SPOT</x:v>
      </x:c>
      <x:c r="K2459" s="23" t="str">
        <x:v>favored_only</x:v>
      </x:c>
      <x:c r="L2459" s="24" t="b">
        <x:v>1</x:v>
      </x:c>
      <x:c r="M2459" s="23" t="n">
        <x:v>1</x:v>
      </x:c>
      <x:c r="N2459" s="28" t="n">
        <x:v>46205.60604532407</x:v>
      </x:c>
      <x:c r="O2459" s="28" t="n">
        <x:v>46219.812988715275</x:v>
      </x:c>
      <x:c r="P2459" s="23" t="str">
        <x:v>BARRETOS</x:v>
      </x:c>
      <x:c r="Q2459" s="30" t="n">
        <x:v>37388</x:v>
      </x:c>
      <x:c r="R2459" s="22" t="str">
        <x:f>"584131227"</x:f>
        <x:v>584131227</x:v>
      </x:c>
      <x:c r="S2459" s="23" t="str">
        <x:v>masculino</x:v>
      </x:c>
      <x:c r="T2459" s="22" t="str">
        <x:f>"DVS5A95"</x:f>
        <x:v>DVS5A95</x:v>
      </x:c>
      <x:c r="U2459" s="23" t="str">
        <x:v>WILLIAM CORONA DE OLIVEIRA</x:v>
      </x:c>
      <x:c r="V2459" s="22" t="str">
        <x:f>"108.918.198-19"</x:f>
        <x:v>108.918.198-19</x:v>
      </x:c>
      <x:c r="W2459" s="22" t="str">
        <x:f>"10891819819"</x:f>
        <x:v>10891819819</x:v>
      </x:c>
      <x:c r="X2459" s="23" t="str">
        <x:v>will.corona@hotmail.com</x:v>
      </x:c>
      <x:c r="Y2459" s="22" t="str">
        <x:f>"17 99721-3553"</x:f>
        <x:v>17 99721-3553</x:v>
      </x:c>
      <x:c r="Z2459" s="30" t="n">
        <x:v>46340</x:v>
      </x:c>
    </x:row>
    <x:row r="2460" ht="18" customHeight="1">
      <x:c r="A2460" s="22" t="str">
        <x:f>"4b981e83-f702-46b0-973c-cad5ef1fb854"</x:f>
        <x:v>4b981e83-f702-46b0-973c-cad5ef1fb854</x:v>
      </x:c>
      <x:c r="B2460" s="23" t="str">
        <x:v>LUIZ RICARDO BISPO ALVES</x:v>
      </x:c>
      <x:c r="C2460" s="23" t="str">
        <x:v>luiz ricardo bispo alves</x:v>
      </x:c>
      <x:c r="D2460" s="22" t="str">
        <x:f>"59.081.942/0001-94"</x:f>
        <x:v>59.081.942/0001-94</x:v>
      </x:c>
      <x:c r="E2460" s="22" t="str">
        <x:f>"59081942000194"</x:f>
        <x:v>59081942000194</x:v>
      </x:c>
      <x:c r="F2460" s="22" t="str">
        <x:f>"074.286.466-93"</x:f>
        <x:v>074.286.466-93</x:v>
      </x:c>
      <x:c r="G2460" s="22" t="str">
        <x:f>"07428646693"</x:f>
        <x:v>07428646693</x:v>
      </x:c>
      <x:c r="H2460" s="23" t="str">
        <x:v>cadurico02@gmail.com</x:v>
      </x:c>
      <x:c r="I2460" s="22" t="str">
        <x:f>"31 984945274"</x:f>
        <x:v>31 984945274</x:v>
      </x:c>
      <x:c r="J2460" s="23" t="str">
        <x:v>RENTAL</x:v>
      </x:c>
      <x:c r="K2460" s="23" t="str">
        <x:v>rental_company</x:v>
      </x:c>
      <x:c r="L2460" s="24" t="b">
        <x:v>1</x:v>
      </x:c>
      <x:c r="M2460" s="23" t="n">
        <x:v>1</x:v>
      </x:c>
      <x:c r="N2460" s="28" t="n">
        <x:v>46219.812988715275</x:v>
      </x:c>
      <x:c r="O2460" s="28" t="n">
        <x:v>46219.812988715275</x:v>
      </x:c>
      <x:c r="P2460" s="23" t="str">
        <x:v>CONTAGEM</x:v>
      </x:c>
      <x:c r="Q2460" s="30" t="n">
        <x:v>31361</x:v>
      </x:c>
      <x:c r="R2460" s="22" t="str">
        <x:f>"11120535"</x:f>
        <x:v>11120535</x:v>
      </x:c>
      <x:c r="S2460" s="23" t="str">
        <x:v>masculino</x:v>
      </x:c>
      <x:c r="T2460" s="22" t="str"/>
      <x:c r="U2460" s="23" t="str">
        <x:v>LUIZ RICARDO BISPO ALVES</x:v>
      </x:c>
      <x:c r="V2460" s="22" t="str">
        <x:f>"074.286.466-93"</x:f>
        <x:v>074.286.466-93</x:v>
      </x:c>
      <x:c r="W2460" s="22" t="str">
        <x:f>"07428646693"</x:f>
        <x:v>07428646693</x:v>
      </x:c>
      <x:c r="X2460" s="23" t="str">
        <x:v>cadurico02@gmail.com</x:v>
      </x:c>
      <x:c r="Y2460" s="22" t="str">
        <x:f>"31 984945274"</x:f>
        <x:v>31 984945274</x:v>
      </x:c>
      <x:c r="Z2460" s="30" t="n">
        <x:v>46303</x:v>
      </x:c>
    </x:row>
    <x:row r="2461" ht="18" customHeight="1">
      <x:c r="A2461" s="22" t="str">
        <x:f>"89b15a96-95fa-42d1-a8ce-9ec309ba0972"</x:f>
        <x:v>89b15a96-95fa-42d1-a8ce-9ec309ba0972</x:v>
      </x:c>
      <x:c r="B2461" s="23" t="str">
        <x:v>LUIZ RICARDO FERNANDES DO NASCIMENTO</x:v>
      </x:c>
      <x:c r="C2461" s="23" t="str">
        <x:v>luiz ricardo fernandes do nascimento</x:v>
      </x:c>
      <x:c r="D2461" s="22" t="str">
        <x:f>"63.857.843/0001-29"</x:f>
        <x:v>63.857.843/0001-29</x:v>
      </x:c>
      <x:c r="E2461" s="22" t="str">
        <x:f>"63857843000129"</x:f>
        <x:v>63857843000129</x:v>
      </x:c>
      <x:c r="F2461" s="22" t="str">
        <x:f>"330.932.448-62"</x:f>
        <x:v>330.932.448-62</x:v>
      </x:c>
      <x:c r="G2461" s="22" t="str">
        <x:f>"33093244862"</x:f>
        <x:v>33093244862</x:v>
      </x:c>
      <x:c r="H2461" s="23" t="str">
        <x:v>ricclaudiaa@gmail.com</x:v>
      </x:c>
      <x:c r="I2461" s="22" t="str">
        <x:f>"(18)998016185"</x:f>
        <x:v>(18)998016185</x:v>
      </x:c>
      <x:c r="J2461" s="23" t="str">
        <x:v>RENTAL</x:v>
      </x:c>
      <x:c r="K2461" s="23" t="str">
        <x:v>rental_company</x:v>
      </x:c>
      <x:c r="L2461" s="24" t="b">
        <x:v>1</x:v>
      </x:c>
      <x:c r="M2461" s="23" t="n">
        <x:v>1</x:v>
      </x:c>
      <x:c r="N2461" s="28" t="n">
        <x:v>46203.92189965278</x:v>
      </x:c>
      <x:c r="O2461" s="28" t="n">
        <x:v>46219.812988715275</x:v>
      </x:c>
      <x:c r="P2461" s="23" t="str">
        <x:v>PRESIDENTE PRUDENTE</x:v>
      </x:c>
      <x:c r="Q2461" s="30" t="n">
        <x:v>30898</x:v>
      </x:c>
      <x:c r="R2461" s="22" t="str">
        <x:f>"40360873"</x:f>
        <x:v>40360873</x:v>
      </x:c>
      <x:c r="S2461" s="23" t="str">
        <x:v>masculino</x:v>
      </x:c>
      <x:c r="T2461" s="22" t="str"/>
      <x:c r="U2461" s="23" t="str">
        <x:v>LUIZ RICARDO FERNANDES DO NASCIMENTO</x:v>
      </x:c>
      <x:c r="V2461" s="22" t="str">
        <x:f>"330.932.448-62"</x:f>
        <x:v>330.932.448-62</x:v>
      </x:c>
      <x:c r="W2461" s="22" t="str">
        <x:f>"33093244862"</x:f>
        <x:v>33093244862</x:v>
      </x:c>
      <x:c r="X2461" s="23" t="str">
        <x:v>ricclaudiaa@gmail.com</x:v>
      </x:c>
      <x:c r="Y2461" s="22" t="str">
        <x:f>"(18)998016185"</x:f>
        <x:v>(18)998016185</x:v>
      </x:c>
      <x:c r="Z2461" s="30" t="n">
        <x:v>46358</x:v>
      </x:c>
    </x:row>
    <x:row r="2462" ht="18" customHeight="1">
      <x:c r="A2462" s="22" t="str">
        <x:f>"dddd4d32-b2a2-49ca-8439-e6fd338848aa"</x:f>
        <x:v>dddd4d32-b2a2-49ca-8439-e6fd338848aa</x:v>
      </x:c>
      <x:c r="B2462" s="23" t="str">
        <x:v>LUIZ SANTOS RIBEIRO</x:v>
      </x:c>
      <x:c r="C2462" s="23" t="str">
        <x:v>luiz santos ribeiro</x:v>
      </x:c>
      <x:c r="D2462" s="22" t="str">
        <x:f>"53.376.189/0001-88"</x:f>
        <x:v>53.376.189/0001-88</x:v>
      </x:c>
      <x:c r="E2462" s="22" t="str">
        <x:f>"53376189000188"</x:f>
        <x:v>53376189000188</x:v>
      </x:c>
      <x:c r="F2462" s="22" t="str">
        <x:f>"059.698.107-46"</x:f>
        <x:v>059.698.107-46</x:v>
      </x:c>
      <x:c r="G2462" s="22" t="str">
        <x:f>"05969810746"</x:f>
        <x:v>05969810746</x:v>
      </x:c>
      <x:c r="H2462" s="23" t="str">
        <x:v>negobrinquedos@gmail.com</x:v>
      </x:c>
      <x:c r="I2462" s="22" t="str">
        <x:f>"35 9841-9505"</x:f>
        <x:v>35 9841-9505</x:v>
      </x:c>
      <x:c r="J2462" s="23" t="str">
        <x:v>SPOT</x:v>
      </x:c>
      <x:c r="K2462" s="23" t="str">
        <x:v>favored_only</x:v>
      </x:c>
      <x:c r="L2462" s="24" t="b">
        <x:v>1</x:v>
      </x:c>
      <x:c r="M2462" s="23" t="n">
        <x:v>1</x:v>
      </x:c>
      <x:c r="N2462" s="28" t="n">
        <x:v>46205.60509810185</x:v>
      </x:c>
      <x:c r="O2462" s="28" t="n">
        <x:v>46219.812988715275</x:v>
      </x:c>
      <x:c r="P2462" s="23" t="str">
        <x:v>GUAXUPE</x:v>
      </x:c>
      <x:c r="Q2462" s="30" t="n">
        <x:v>29732</x:v>
      </x:c>
      <x:c r="R2462" s="22" t="str">
        <x:f>"366840484"</x:f>
        <x:v>366840484</x:v>
      </x:c>
      <x:c r="S2462" s="23" t="str">
        <x:v>masculino</x:v>
      </x:c>
      <x:c r="T2462" s="22" t="str">
        <x:f>"FGN5J77"</x:f>
        <x:v>FGN5J77</x:v>
      </x:c>
      <x:c r="U2462" s="23" t="str">
        <x:v>DEVANI DAVID SOARES</x:v>
      </x:c>
      <x:c r="V2462" s="22" t="str">
        <x:f>"314.343.801-06"</x:f>
        <x:v>314.343.801-06</x:v>
      </x:c>
      <x:c r="W2462" s="22" t="str">
        <x:f>"31434380106"</x:f>
        <x:v>31434380106</x:v>
      </x:c>
      <x:c r="X2462" s="23" t="str">
        <x:v>devanildavid812@gmail.com</x:v>
      </x:c>
      <x:c r="Y2462" s="22" t="str">
        <x:f>"19 99224-7000"</x:f>
        <x:v>19 99224-7000</x:v>
      </x:c>
      <x:c r="Z2462" s="30" t="n">
        <x:v>46310</x:v>
      </x:c>
    </x:row>
    <x:row r="2463" ht="18" customHeight="1">
      <x:c r="A2463" s="22" t="str">
        <x:f>"5f0971a9-5f61-4aee-9714-ebb8b47c0b48"</x:f>
        <x:v>5f0971a9-5f61-4aee-9714-ebb8b47c0b48</x:v>
      </x:c>
      <x:c r="B2463" s="23" t="str">
        <x:v>LURDIMAR MASAY FERNANDES</x:v>
      </x:c>
      <x:c r="C2463" s="23" t="str">
        <x:v>lurdimar masay fernandes</x:v>
      </x:c>
      <x:c r="D2463" s="22" t="str">
        <x:f>"58.773.835/0001-64"</x:f>
        <x:v>58.773.835/0001-64</x:v>
      </x:c>
      <x:c r="E2463" s="22" t="str">
        <x:f>"58773835000164"</x:f>
        <x:v>58773835000164</x:v>
      </x:c>
      <x:c r="F2463" s="22" t="str">
        <x:f>"053.728.081-28"</x:f>
        <x:v>053.728.081-28</x:v>
      </x:c>
      <x:c r="G2463" s="22" t="str">
        <x:f>"05372808128"</x:f>
        <x:v>05372808128</x:v>
      </x:c>
      <x:c r="H2463" s="23" t="str">
        <x:v>lurdimarfernandes@gmail.com</x:v>
      </x:c>
      <x:c r="I2463" s="22" t="str">
        <x:f>"65 99321-1044"</x:f>
        <x:v>65 99321-1044</x:v>
      </x:c>
      <x:c r="J2463" s="23" t="str">
        <x:v>RENTAL</x:v>
      </x:c>
      <x:c r="K2463" s="23" t="str">
        <x:v>favored_only</x:v>
      </x:c>
      <x:c r="L2463" s="24" t="b">
        <x:v>1</x:v>
      </x:c>
      <x:c r="M2463" s="23" t="n">
        <x:v>2</x:v>
      </x:c>
      <x:c r="N2463" s="28" t="n">
        <x:v>46203.921852962965</x:v>
      </x:c>
      <x:c r="O2463" s="28" t="n">
        <x:v>46219.812988715275</x:v>
      </x:c>
      <x:c r="P2463" s="23" t="str">
        <x:v>CUIABA</x:v>
      </x:c>
      <x:c r="Q2463" s="30" t="n">
        <x:v>34932</x:v>
      </x:c>
      <x:c r="R2463" s="22" t="str">
        <x:f>"24471437"</x:f>
        <x:v>24471437</x:v>
      </x:c>
      <x:c r="S2463" s="23" t="str">
        <x:v>feminino</x:v>
      </x:c>
      <x:c r="T2463" s="22" t="str">
        <x:f>"RVC5G98"</x:f>
        <x:v>RVC5G98</x:v>
      </x:c>
      <x:c r="U2463" s="23" t="str">
        <x:v>LURDIMAR MASAY FERNANDES</x:v>
      </x:c>
      <x:c r="V2463" s="22" t="str">
        <x:f>"053.728.081-28"</x:f>
        <x:v>053.728.081-28</x:v>
      </x:c>
      <x:c r="W2463" s="22" t="str">
        <x:f>"05372808128"</x:f>
        <x:v>05372808128</x:v>
      </x:c>
      <x:c r="X2463" s="23" t="str">
        <x:v>lurdimarfernandes@gmail.com</x:v>
      </x:c>
      <x:c r="Y2463" s="22" t="str">
        <x:f>"65 99321-1044"</x:f>
        <x:v>65 99321-1044</x:v>
      </x:c>
      <x:c r="Z2463" s="30" t="n">
        <x:v>46437</x:v>
      </x:c>
    </x:row>
    <x:row r="2464" ht="18" customHeight="1">
      <x:c r="A2464" s="22" t="str">
        <x:f>"dd946fa4-099d-4007-bd22-13be714416a9"</x:f>
        <x:v>dd946fa4-099d-4007-bd22-13be714416a9</x:v>
      </x:c>
      <x:c r="B2464" s="23" t="str">
        <x:v>LUZIA ROSA CASTRO MINOT</x:v>
      </x:c>
      <x:c r="C2464" s="23" t="str">
        <x:v>luzia rosa castro minot</x:v>
      </x:c>
      <x:c r="D2464" s="22" t="str">
        <x:f>"56.201.648/0001-80"</x:f>
        <x:v>56.201.648/0001-80</x:v>
      </x:c>
      <x:c r="E2464" s="22" t="str">
        <x:f>"56201648000180"</x:f>
        <x:v>56201648000180</x:v>
      </x:c>
      <x:c r="F2464" s="22" t="str">
        <x:f>"171.627.691-87"</x:f>
        <x:v>171.627.691-87</x:v>
      </x:c>
      <x:c r="G2464" s="22" t="str">
        <x:f>"17162769187"</x:f>
        <x:v>17162769187</x:v>
      </x:c>
      <x:c r="H2464" s="23" t="str">
        <x:v>luziaminot58@gmail.com</x:v>
      </x:c>
      <x:c r="I2464" s="22" t="str">
        <x:f>"65999890907"</x:f>
        <x:v>65999890907</x:v>
      </x:c>
      <x:c r="J2464" s="23" t="str">
        <x:v>SPOT</x:v>
      </x:c>
      <x:c r="K2464" s="23" t="str">
        <x:v>favored_only</x:v>
      </x:c>
      <x:c r="L2464" s="24" t="b">
        <x:v>1</x:v>
      </x:c>
      <x:c r="M2464" s="23" t="n">
        <x:v>1</x:v>
      </x:c>
      <x:c r="N2464" s="28" t="n">
        <x:v>46205.60596434028</x:v>
      </x:c>
      <x:c r="O2464" s="28" t="n">
        <x:v>46219.812988715275</x:v>
      </x:c>
      <x:c r="P2464" s="23" t="str">
        <x:v>CÁCERES</x:v>
      </x:c>
      <x:c r="Q2464" s="30" t="n">
        <x:v>21341</x:v>
      </x:c>
      <x:c r="R2464" s="22" t="str">
        <x:f>"1176021"</x:f>
        <x:v>1176021</x:v>
      </x:c>
      <x:c r="S2464" s="23" t="str">
        <x:v>feminino</x:v>
      </x:c>
      <x:c r="T2464" s="22" t="str">
        <x:f>"NUD0665"</x:f>
        <x:v>NUD0665</x:v>
      </x:c>
      <x:c r="U2464" s="23" t="str">
        <x:v>ADRIANA ROSA CASTRO</x:v>
      </x:c>
      <x:c r="V2464" s="22" t="str">
        <x:f>"631.913.501-87"</x:f>
        <x:v>631.913.501-87</x:v>
      </x:c>
      <x:c r="W2464" s="22" t="str">
        <x:f>"63191350187"</x:f>
        <x:v>63191350187</x:v>
      </x:c>
      <x:c r="X2464" s="23" t="str">
        <x:v>adrianaprof410@gmail.com</x:v>
      </x:c>
      <x:c r="Y2464" s="22" t="str">
        <x:f>"65996407089"</x:f>
        <x:v>65996407089</x:v>
      </x:c>
      <x:c r="Z2464" s="30" t="n">
        <x:v>46338</x:v>
      </x:c>
    </x:row>
    <x:row r="2465" ht="18" customHeight="1">
      <x:c r="A2465" s="22" t="str">
        <x:f>"dd060db8-7191-48a2-9355-45b0142c480a"</x:f>
        <x:v>dd060db8-7191-48a2-9355-45b0142c480a</x:v>
      </x:c>
      <x:c r="B2465" s="23" t="str">
        <x:v>LYLLYAN YOMARA FAGUNDES VIANA</x:v>
      </x:c>
      <x:c r="C2465" s="23" t="str">
        <x:v>lyllyan yomara fagundes viana</x:v>
      </x:c>
      <x:c r="D2465" s="22" t="str">
        <x:f>"66.606.556/0001-34"</x:f>
        <x:v>66.606.556/0001-34</x:v>
      </x:c>
      <x:c r="E2465" s="22" t="str">
        <x:f>"66606556000134"</x:f>
        <x:v>66606556000134</x:v>
      </x:c>
      <x:c r="F2465" s="22" t="str">
        <x:f>"097.691.956-77"</x:f>
        <x:v>097.691.956-77</x:v>
      </x:c>
      <x:c r="G2465" s="22" t="str">
        <x:f>"09769195677"</x:f>
        <x:v>09769195677</x:v>
      </x:c>
      <x:c r="H2465" s="23" t="str">
        <x:v>LYLLYANVIANA@HOTMAIL.COM</x:v>
      </x:c>
      <x:c r="I2465" s="22" t="str">
        <x:f>"35999343350"</x:f>
        <x:v>35999343350</x:v>
      </x:c>
      <x:c r="J2465" s="23" t="str">
        <x:v>RENTAL</x:v>
      </x:c>
      <x:c r="K2465" s="23" t="str">
        <x:v>rental_company</x:v>
      </x:c>
      <x:c r="L2465" s="24" t="b">
        <x:v>1</x:v>
      </x:c>
      <x:c r="M2465" s="23" t="n">
        <x:v>1</x:v>
      </x:c>
      <x:c r="N2465" s="28" t="n">
        <x:v>46219.812988715275</x:v>
      </x:c>
      <x:c r="O2465" s="28" t="n">
        <x:v>46219.812988715275</x:v>
      </x:c>
      <x:c r="P2465" s="23" t="str">
        <x:v>POUSO ALEGRE</x:v>
      </x:c>
      <x:c r="Q2465" s="30" t="n">
        <x:v>32416</x:v>
      </x:c>
      <x:c r="R2465" s="22" t="str">
        <x:f>"16441396"</x:f>
        <x:v>16441396</x:v>
      </x:c>
      <x:c r="S2465" s="23" t="str">
        <x:v>feminino</x:v>
      </x:c>
      <x:c r="T2465" s="22" t="str"/>
      <x:c r="U2465" s="23" t="str">
        <x:v>LYLLYAN YOMARA FAGUNDES VIANA</x:v>
      </x:c>
      <x:c r="V2465" s="22" t="str">
        <x:f>"097.691.956-77"</x:f>
        <x:v>097.691.956-77</x:v>
      </x:c>
      <x:c r="W2465" s="22" t="str">
        <x:f>"09769195677"</x:f>
        <x:v>09769195677</x:v>
      </x:c>
      <x:c r="X2465" s="23" t="str">
        <x:v>LYLLYANVIANA@HOTMAIL.COM</x:v>
      </x:c>
      <x:c r="Y2465" s="22" t="str">
        <x:f>"35999343350"</x:f>
        <x:v>35999343350</x:v>
      </x:c>
      <x:c r="Z2465" s="30" t="n">
        <x:v>46582</x:v>
      </x:c>
    </x:row>
    <x:row r="2466" ht="18" customHeight="1">
      <x:c r="A2466" s="22" t="str">
        <x:f>"8ae008a8-b1e3-42fb-bcea-41c2d46ff656"</x:f>
        <x:v>8ae008a8-b1e3-42fb-bcea-41c2d46ff656</x:v>
      </x:c>
      <x:c r="B2466" s="23" t="str">
        <x:v>LYNCON GABRIEL SOUZA VORCONTE</x:v>
      </x:c>
      <x:c r="C2466" s="23" t="str">
        <x:v>lyncon gabriel souza vorconte</x:v>
      </x:c>
      <x:c r="D2466" s="22" t="str">
        <x:f>"50.381.298/0001-03"</x:f>
        <x:v>50.381.298/0001-03</x:v>
      </x:c>
      <x:c r="E2466" s="22" t="str">
        <x:f>"50381298000103"</x:f>
        <x:v>50381298000103</x:v>
      </x:c>
      <x:c r="F2466" s="22" t="str">
        <x:f>"040.175.571-12"</x:f>
        <x:v>040.175.571-12</x:v>
      </x:c>
      <x:c r="G2466" s="22" t="str">
        <x:f>"04017557112"</x:f>
        <x:v>04017557112</x:v>
      </x:c>
      <x:c r="H2466" s="23" t="str">
        <x:v>lynconvorconte@gmail.com</x:v>
      </x:c>
      <x:c r="I2466" s="22" t="str">
        <x:f>"+55 65 9362-8266"</x:f>
        <x:v>+55 65 9362-8266</x:v>
      </x:c>
      <x:c r="J2466" s="23" t="str">
        <x:v>SPOT</x:v>
      </x:c>
      <x:c r="K2466" s="23" t="str">
        <x:v>favored_only</x:v>
      </x:c>
      <x:c r="L2466" s="24" t="b">
        <x:v>1</x:v>
      </x:c>
      <x:c r="M2466" s="23" t="n">
        <x:v>1</x:v>
      </x:c>
      <x:c r="N2466" s="28" t="n">
        <x:v>46219.812988715275</x:v>
      </x:c>
      <x:c r="O2466" s="28" t="n">
        <x:v>46219.812988715275</x:v>
      </x:c>
      <x:c r="P2466" s="23" t="str">
        <x:v>PONTES E LACERDA</x:v>
      </x:c>
      <x:c r="Q2466" s="30" t="n">
        <x:v>37741</x:v>
      </x:c>
      <x:c r="R2466" s="22" t="str">
        <x:f>"32150920"</x:f>
        <x:v>32150920</x:v>
      </x:c>
      <x:c r="S2466" s="23" t="str">
        <x:v>masculino</x:v>
      </x:c>
      <x:c r="T2466" s="22" t="str">
        <x:f>"OOK8F63"</x:f>
        <x:v>OOK8F63</x:v>
      </x:c>
      <x:c r="U2466" s="23" t="str">
        <x:v>LYNCON GABRIEL SOUZA VORCONTE</x:v>
      </x:c>
      <x:c r="V2466" s="22" t="str">
        <x:f>"040.175.571-12"</x:f>
        <x:v>040.175.571-12</x:v>
      </x:c>
      <x:c r="W2466" s="22" t="str">
        <x:f>"04017557112"</x:f>
        <x:v>04017557112</x:v>
      </x:c>
      <x:c r="X2466" s="23" t="str">
        <x:v>lynconvorconte@gmail.com</x:v>
      </x:c>
      <x:c r="Y2466" s="22" t="str">
        <x:f>"+55 65 9362-8266"</x:f>
        <x:v>+55 65 9362-8266</x:v>
      </x:c>
      <x:c r="Z2466" s="30" t="n">
        <x:v>46500</x:v>
      </x:c>
    </x:row>
    <x:row r="2467" ht="18" customHeight="1">
      <x:c r="A2467" s="22" t="str">
        <x:f>"c6181067-4d22-42d5-a9da-d51edfe24786"</x:f>
        <x:v>c6181067-4d22-42d5-a9da-d51edfe24786</x:v>
      </x:c>
      <x:c r="B2467" s="23" t="str">
        <x:v>MAELSON FRANCISCO SOARES BARBOSA</x:v>
      </x:c>
      <x:c r="C2467" s="23" t="str">
        <x:v>maelson francisco soares barbosa</x:v>
      </x:c>
      <x:c r="D2467" s="22" t="str">
        <x:f>"60.593.095/0001-26"</x:f>
        <x:v>60.593.095/0001-26</x:v>
      </x:c>
      <x:c r="E2467" s="22" t="str">
        <x:f>"60593095000126"</x:f>
        <x:v>60593095000126</x:v>
      </x:c>
      <x:c r="F2467" s="22" t="str">
        <x:f>"111.131.646-54"</x:f>
        <x:v>111.131.646-54</x:v>
      </x:c>
      <x:c r="G2467" s="22" t="str">
        <x:f>"11113164654"</x:f>
        <x:v>11113164654</x:v>
      </x:c>
      <x:c r="H2467" s="23" t="str">
        <x:v>maelsonsoares2018@gmail.com</x:v>
      </x:c>
      <x:c r="I2467" s="22" t="str">
        <x:f>"11967856207"</x:f>
        <x:v>11967856207</x:v>
      </x:c>
      <x:c r="J2467" s="23" t="str">
        <x:v>RENTAL</x:v>
      </x:c>
      <x:c r="K2467" s="23" t="str">
        <x:v>rental_company</x:v>
      </x:c>
      <x:c r="L2467" s="24" t="b">
        <x:v>1</x:v>
      </x:c>
      <x:c r="M2467" s="23" t="n">
        <x:v>1</x:v>
      </x:c>
      <x:c r="N2467" s="28" t="n">
        <x:v>46203.921904421295</x:v>
      </x:c>
      <x:c r="O2467" s="28" t="n">
        <x:v>46219.812988715275</x:v>
      </x:c>
      <x:c r="P2467" s="23" t="str">
        <x:v>BARUERI</x:v>
      </x:c>
      <x:c r="Q2467" s="30" t="n">
        <x:v>33052</x:v>
      </x:c>
      <x:c r="R2467" s="22" t="str">
        <x:f>"46157456"</x:f>
        <x:v>46157456</x:v>
      </x:c>
      <x:c r="S2467" s="23" t="str">
        <x:v>masculino</x:v>
      </x:c>
      <x:c r="T2467" s="22" t="str"/>
      <x:c r="U2467" s="23" t="str">
        <x:v>MAELSON FRANCISCO SOARES BARBOSA</x:v>
      </x:c>
      <x:c r="V2467" s="22" t="str">
        <x:f>"111.131.646-54"</x:f>
        <x:v>111.131.646-54</x:v>
      </x:c>
      <x:c r="W2467" s="22" t="str">
        <x:f>"11113164654"</x:f>
        <x:v>11113164654</x:v>
      </x:c>
      <x:c r="X2467" s="23" t="str">
        <x:v>maelsonsoares2018@gmail.com</x:v>
      </x:c>
      <x:c r="Y2467" s="22" t="str">
        <x:f>"11967856207"</x:f>
        <x:v>11967856207</x:v>
      </x:c>
      <x:c r="Z2467" s="30" t="n">
        <x:v>46360</x:v>
      </x:c>
    </x:row>
    <x:row r="2468" ht="18" customHeight="1">
      <x:c r="A2468" s="22" t="str">
        <x:f>"8c496f82-8bad-41cd-8aa3-cfdbc7a91ea8"</x:f>
        <x:v>8c496f82-8bad-41cd-8aa3-cfdbc7a91ea8</x:v>
      </x:c>
      <x:c r="B2468" s="23" t="str">
        <x:v>MAGALI APARECIDA PEREIRA CESAR</x:v>
      </x:c>
      <x:c r="C2468" s="23" t="str">
        <x:v>magali aparecida pereira cesar</x:v>
      </x:c>
      <x:c r="D2468" s="22" t="str">
        <x:f>"49.699.543/0001-38"</x:f>
        <x:v>49.699.543/0001-38</x:v>
      </x:c>
      <x:c r="E2468" s="22" t="str">
        <x:f>"49699543000138"</x:f>
        <x:v>49699543000138</x:v>
      </x:c>
      <x:c r="F2468" s="22" t="str">
        <x:f>"351.158.548-13"</x:f>
        <x:v>351.158.548-13</x:v>
      </x:c>
      <x:c r="G2468" s="22" t="str">
        <x:f>"35115854813"</x:f>
        <x:v>35115854813</x:v>
      </x:c>
      <x:c r="H2468" s="23" t="str">
        <x:v>magalipereira00@gmail.com</x:v>
      </x:c>
      <x:c r="I2468" s="22" t="str">
        <x:f>"(11)9 71010355"</x:f>
        <x:v>(11)9 71010355</x:v>
      </x:c>
      <x:c r="J2468" s="23" t="str">
        <x:v>SPOT</x:v>
      </x:c>
      <x:c r="K2468" s="23" t="str">
        <x:v>favored_only</x:v>
      </x:c>
      <x:c r="L2468" s="24" t="b">
        <x:v>1</x:v>
      </x:c>
      <x:c r="M2468" s="23" t="n">
        <x:v>2</x:v>
      </x:c>
      <x:c r="N2468" s="28" t="n">
        <x:v>46203.921858726855</x:v>
      </x:c>
      <x:c r="O2468" s="28" t="n">
        <x:v>46219.812988715275</x:v>
      </x:c>
      <x:c r="P2468" s="23" t="str">
        <x:v>BARUERI</x:v>
      </x:c>
      <x:c r="Q2468" s="30" t="n">
        <x:v>32628</x:v>
      </x:c>
      <x:c r="R2468" s="22" t="str">
        <x:f>"45026947"</x:f>
        <x:v>45026947</x:v>
      </x:c>
      <x:c r="S2468" s="23" t="str">
        <x:v>feminino</x:v>
      </x:c>
      <x:c r="T2468" s="22" t="str">
        <x:f>"FCP0F93"</x:f>
        <x:v>FCP0F93</x:v>
      </x:c>
      <x:c r="U2468" s="23" t="str">
        <x:v>MAGALI APARECIDA PEREIRA CESAR</x:v>
      </x:c>
      <x:c r="V2468" s="22" t="str">
        <x:f>"351.158.548-13"</x:f>
        <x:v>351.158.548-13</x:v>
      </x:c>
      <x:c r="W2468" s="22" t="str">
        <x:f>"35115854813"</x:f>
        <x:v>35115854813</x:v>
      </x:c>
      <x:c r="X2468" s="23" t="str">
        <x:v>magalipereira00@gmail.com</x:v>
      </x:c>
      <x:c r="Y2468" s="22" t="str">
        <x:f>"(11)9 71010355"</x:f>
        <x:v>(11)9 71010355</x:v>
      </x:c>
      <x:c r="Z2468" s="30" t="n">
        <x:v>46534</x:v>
      </x:c>
    </x:row>
    <x:row r="2469" ht="18" customHeight="1">
      <x:c r="A2469" s="22" t="str">
        <x:f>"bab820e1-05e5-4f9a-83d7-46365dfa78ee"</x:f>
        <x:v>bab820e1-05e5-4f9a-83d7-46365dfa78ee</x:v>
      </x:c>
      <x:c r="B2469" s="23" t="str">
        <x:v>MAGALI NANCI CARNIELO</x:v>
      </x:c>
      <x:c r="C2469" s="23" t="str">
        <x:v>magali nanci carnielo</x:v>
      </x:c>
      <x:c r="D2469" s="22" t="str">
        <x:f>"61.900.003/0001-76"</x:f>
        <x:v>61.900.003/0001-76</x:v>
      </x:c>
      <x:c r="E2469" s="22" t="str">
        <x:f>"61900003000176"</x:f>
        <x:v>61900003000176</x:v>
      </x:c>
      <x:c r="F2469" s="22" t="str">
        <x:f>"025.535.531-96"</x:f>
        <x:v>025.535.531-96</x:v>
      </x:c>
      <x:c r="G2469" s="22" t="str">
        <x:f>"02553553196"</x:f>
        <x:v>02553553196</x:v>
      </x:c>
      <x:c r="H2469" s="23" t="str">
        <x:v>magalicarnielo16@gmail.com</x:v>
      </x:c>
      <x:c r="I2469" s="22" t="str">
        <x:f>"65 999169029"</x:f>
        <x:v>65 999169029</x:v>
      </x:c>
      <x:c r="J2469" s="23" t="str">
        <x:v>SPOT</x:v>
      </x:c>
      <x:c r="K2469" s="23" t="str">
        <x:v>favored_only</x:v>
      </x:c>
      <x:c r="L2469" s="24" t="b">
        <x:v>1</x:v>
      </x:c>
      <x:c r="M2469" s="23" t="n">
        <x:v>1</x:v>
      </x:c>
      <x:c r="N2469" s="28" t="n">
        <x:v>46205.60364046296</x:v>
      </x:c>
      <x:c r="O2469" s="28" t="n">
        <x:v>46219.812988715275</x:v>
      </x:c>
      <x:c r="P2469" s="23" t="str">
        <x:v>ARAPUTANGA</x:v>
      </x:c>
      <x:c r="Q2469" s="30" t="n">
        <x:v>32005</x:v>
      </x:c>
      <x:c r="R2469" s="22" t="str">
        <x:f>"16510020 SSP MT"</x:f>
        <x:v>16510020 SSP MT</x:v>
      </x:c>
      <x:c r="S2469" s="23" t="str">
        <x:v>feminino</x:v>
      </x:c>
      <x:c r="T2469" s="22" t="str">
        <x:f>"NJE0B14"</x:f>
        <x:v>NJE0B14</x:v>
      </x:c>
      <x:c r="U2469" s="23" t="str">
        <x:v>CARLOS EDUARDO FREIRE DOS SANTOS</x:v>
      </x:c>
      <x:c r="V2469" s="22" t="str">
        <x:f>"012.801.271-47"</x:f>
        <x:v>012.801.271-47</x:v>
      </x:c>
      <x:c r="W2469" s="22" t="str">
        <x:f>"01280127147"</x:f>
        <x:v>01280127147</x:v>
      </x:c>
      <x:c r="X2469" s="23" t="str">
        <x:v>carlosfreiresantos16@gmail.com</x:v>
      </x:c>
      <x:c r="Y2469" s="22" t="str">
        <x:f>"65 999169029"</x:f>
        <x:v>65 999169029</x:v>
      </x:c>
      <x:c r="Z2469" s="30" t="n">
        <x:v>46232</x:v>
      </x:c>
    </x:row>
    <x:row r="2470" ht="18" customHeight="1">
      <x:c r="A2470" s="22" t="str">
        <x:f>"f7946376-4423-4b93-b549-b08970897d85"</x:f>
        <x:v>f7946376-4423-4b93-b549-b08970897d85</x:v>
      </x:c>
      <x:c r="B2470" s="23" t="str">
        <x:v>MAGNO CESAR RIBEIRO</x:v>
      </x:c>
      <x:c r="C2470" s="23" t="str">
        <x:v>magno cesar ribeiro</x:v>
      </x:c>
      <x:c r="D2470" s="22" t="str">
        <x:f>"61.535.297/0001-84"</x:f>
        <x:v>61.535.297/0001-84</x:v>
      </x:c>
      <x:c r="E2470" s="22" t="str">
        <x:f>"61535297000184"</x:f>
        <x:v>61535297000184</x:v>
      </x:c>
      <x:c r="F2470" s="22" t="str">
        <x:f>"093.887.196-03"</x:f>
        <x:v>093.887.196-03</x:v>
      </x:c>
      <x:c r="G2470" s="22" t="str">
        <x:f>"09388719603"</x:f>
        <x:v>09388719603</x:v>
      </x:c>
      <x:c r="H2470" s="23" t="str">
        <x:v>magnosw2@gmail.com</x:v>
      </x:c>
      <x:c r="I2470" s="22" t="str">
        <x:f>"31 92009-7184"</x:f>
        <x:v>31 92009-7184</x:v>
      </x:c>
      <x:c r="J2470" s="23" t="str">
        <x:v>SPOT</x:v>
      </x:c>
      <x:c r="K2470" s="23" t="str">
        <x:v>favored_only</x:v>
      </x:c>
      <x:c r="L2470" s="24" t="b">
        <x:v>1</x:v>
      </x:c>
      <x:c r="M2470" s="23" t="n">
        <x:v>1</x:v>
      </x:c>
      <x:c r="N2470" s="28" t="n">
        <x:v>46219.812988715275</x:v>
      </x:c>
      <x:c r="O2470" s="28" t="n">
        <x:v>46219.812988715275</x:v>
      </x:c>
      <x:c r="P2470" s="23" t="str">
        <x:v>CONTAGEM</x:v>
      </x:c>
      <x:c r="Q2470" s="30" t="n">
        <x:v>32442</x:v>
      </x:c>
      <x:c r="R2470" s="22" t="str">
        <x:f>"MG13402064"</x:f>
        <x:v>MG13402064</x:v>
      </x:c>
      <x:c r="S2470" s="23" t="str">
        <x:v>feminino</x:v>
      </x:c>
      <x:c r="T2470" s="22" t="str">
        <x:f>"TEP6H07"</x:f>
        <x:v>TEP6H07</x:v>
      </x:c>
      <x:c r="U2470" s="23" t="str">
        <x:v>MAGNO CESAR RIBEIRO</x:v>
      </x:c>
      <x:c r="V2470" s="22" t="str">
        <x:f>"093.887.196-03"</x:f>
        <x:v>093.887.196-03</x:v>
      </x:c>
      <x:c r="W2470" s="22" t="str">
        <x:f>"09388719603"</x:f>
        <x:v>09388719603</x:v>
      </x:c>
      <x:c r="X2470" s="23" t="str">
        <x:v>magnosw2@gmail.com</x:v>
      </x:c>
      <x:c r="Y2470" s="22" t="str">
        <x:f>"31 92009-7184"</x:f>
        <x:v>31 92009-7184</x:v>
      </x:c>
      <x:c r="Z2470" s="30" t="n">
        <x:v>46338</x:v>
      </x:c>
    </x:row>
    <x:row r="2471" ht="18" customHeight="1">
      <x:c r="A2471" s="22" t="str">
        <x:f>"c3c1a451-26d8-4082-9c50-cf1ee2dfda52"</x:f>
        <x:v>c3c1a451-26d8-4082-9c50-cf1ee2dfda52</x:v>
      </x:c>
      <x:c r="B2471" s="23" t="str">
        <x:v>MAICON CIRINO DA SILVA</x:v>
      </x:c>
      <x:c r="C2471" s="23" t="str">
        <x:v>maicon cirino da silva</x:v>
      </x:c>
      <x:c r="D2471" s="22" t="str">
        <x:f>"30.214.478/0001-85"</x:f>
        <x:v>30.214.478/0001-85</x:v>
      </x:c>
      <x:c r="E2471" s="22" t="str">
        <x:f>"30214478000185"</x:f>
        <x:v>30214478000185</x:v>
      </x:c>
      <x:c r="F2471" s="22" t="str">
        <x:f>"112.311.176-64"</x:f>
        <x:v>112.311.176-64</x:v>
      </x:c>
      <x:c r="G2471" s="22" t="str">
        <x:f>"11231117664"</x:f>
        <x:v>11231117664</x:v>
      </x:c>
      <x:c r="H2471" s="23" t="str">
        <x:v>maiconmotorista3@gmail.com</x:v>
      </x:c>
      <x:c r="I2471" s="22" t="str">
        <x:f>"31981180008"</x:f>
        <x:v>31981180008</x:v>
      </x:c>
      <x:c r="J2471" s="23" t="str">
        <x:v>RENTAL</x:v>
      </x:c>
      <x:c r="K2471" s="23" t="str">
        <x:v>rental_company</x:v>
      </x:c>
      <x:c r="L2471" s="24" t="b">
        <x:v>1</x:v>
      </x:c>
      <x:c r="M2471" s="23" t="n">
        <x:v>2</x:v>
      </x:c>
      <x:c r="N2471" s="28" t="n">
        <x:v>46203.9218771875</x:v>
      </x:c>
      <x:c r="O2471" s="28" t="n">
        <x:v>46219.812988715275</x:v>
      </x:c>
      <x:c r="P2471" s="23" t="str">
        <x:v>NOVA LIMA</x:v>
      </x:c>
      <x:c r="Q2471" s="30" t="n">
        <x:v>33985</x:v>
      </x:c>
      <x:c r="R2471" s="22" t="str">
        <x:f>"15900925"</x:f>
        <x:v>15900925</x:v>
      </x:c>
      <x:c r="S2471" s="23" t="str">
        <x:v>masculino</x:v>
      </x:c>
      <x:c r="T2471" s="22" t="str"/>
      <x:c r="U2471" s="23" t="str">
        <x:v>MAICON CIRINO DA SILVA</x:v>
      </x:c>
      <x:c r="V2471" s="22" t="str">
        <x:f>"112.311.176-64"</x:f>
        <x:v>112.311.176-64</x:v>
      </x:c>
      <x:c r="W2471" s="22" t="str">
        <x:f>"11231117664"</x:f>
        <x:v>11231117664</x:v>
      </x:c>
      <x:c r="X2471" s="23" t="str">
        <x:v>maiconmotorista3@gmail.com</x:v>
      </x:c>
      <x:c r="Y2471" s="22" t="str">
        <x:f>"31981180008"</x:f>
        <x:v>31981180008</x:v>
      </x:c>
      <x:c r="Z2471" s="30" t="n">
        <x:v>46400</x:v>
      </x:c>
    </x:row>
    <x:row r="2472" ht="18" customHeight="1">
      <x:c r="A2472" s="22" t="str">
        <x:f>"0ee4607f-365f-488f-b939-152bc5dfffec"</x:f>
        <x:v>0ee4607f-365f-488f-b939-152bc5dfffec</x:v>
      </x:c>
      <x:c r="B2472" s="23" t="str">
        <x:v>MAICON DA SILVA OLIVEIRA</x:v>
      </x:c>
      <x:c r="C2472" s="23" t="str">
        <x:v>maicon da silva oliveira</x:v>
      </x:c>
      <x:c r="D2472" s="22" t="str">
        <x:f>"45.455.580/0001-40"</x:f>
        <x:v>45.455.580/0001-40</x:v>
      </x:c>
      <x:c r="E2472" s="22" t="str">
        <x:f>"45455580000140"</x:f>
        <x:v>45455580000140</x:v>
      </x:c>
      <x:c r="F2472" s="22" t="str">
        <x:f>"124.066.397-89"</x:f>
        <x:v>124.066.397-89</x:v>
      </x:c>
      <x:c r="G2472" s="22" t="str">
        <x:f>"12406639789"</x:f>
        <x:v>12406639789</x:v>
      </x:c>
      <x:c r="H2472" s="23" t="str">
        <x:v>maiconsoliveira2@gmail.com</x:v>
      </x:c>
      <x:c r="I2472" s="22" t="str">
        <x:f>"21973768578"</x:f>
        <x:v>21973768578</x:v>
      </x:c>
      <x:c r="J2472" s="23" t="str">
        <x:v>SPOT</x:v>
      </x:c>
      <x:c r="K2472" s="23" t="str">
        <x:v>favored_only</x:v>
      </x:c>
      <x:c r="L2472" s="24" t="b">
        <x:v>1</x:v>
      </x:c>
      <x:c r="M2472" s="23" t="n">
        <x:v>1</x:v>
      </x:c>
      <x:c r="N2472" s="28" t="n">
        <x:v>46219.812988715275</x:v>
      </x:c>
      <x:c r="O2472" s="28" t="n">
        <x:v>46219.812988715275</x:v>
      </x:c>
      <x:c r="P2472" s="23" t="str">
        <x:v>QUEIMADOS</x:v>
      </x:c>
      <x:c r="Q2472" s="30" t="n">
        <x:v>32508</x:v>
      </x:c>
      <x:c r="R2472" s="22" t="str">
        <x:f>"211885819"</x:f>
        <x:v>211885819</x:v>
      </x:c>
      <x:c r="S2472" s="23" t="str">
        <x:v>masculino</x:v>
      </x:c>
      <x:c r="T2472" s="22" t="str">
        <x:f>"LPY6H64"</x:f>
        <x:v>LPY6H64</x:v>
      </x:c>
      <x:c r="U2472" s="23" t="str">
        <x:v>MILTON MULINA GARCIA JUNIOR</x:v>
      </x:c>
      <x:c r="V2472" s="22" t="str">
        <x:f>"157.475.337-11"</x:f>
        <x:v>157.475.337-11</x:v>
      </x:c>
      <x:c r="W2472" s="22" t="str">
        <x:f>"15747533711"</x:f>
        <x:v>15747533711</x:v>
      </x:c>
      <x:c r="X2472" s="23" t="str">
        <x:v>jrpipo790@gmail.com</x:v>
      </x:c>
      <x:c r="Y2472" s="22" t="str">
        <x:f>"21975033485"</x:f>
        <x:v>21975033485</x:v>
      </x:c>
      <x:c r="Z2472" s="30" t="n">
        <x:v>46470</x:v>
      </x:c>
    </x:row>
    <x:row r="2473" ht="18" customHeight="1">
      <x:c r="A2473" s="22" t="str">
        <x:f>"84269c60-8095-437c-8aac-3b144c1d9fd2"</x:f>
        <x:v>84269c60-8095-437c-8aac-3b144c1d9fd2</x:v>
      </x:c>
      <x:c r="B2473" s="23" t="str">
        <x:v>MAICON DA SILVA OLIVEIRA</x:v>
      </x:c>
      <x:c r="C2473" s="23" t="str">
        <x:v>maicon da silva oliveira</x:v>
      </x:c>
      <x:c r="D2473" s="22" t="str">
        <x:f>"48.318.538/0001-75"</x:f>
        <x:v>48.318.538/0001-75</x:v>
      </x:c>
      <x:c r="E2473" s="22" t="str">
        <x:f>"48318538000175"</x:f>
        <x:v>48318538000175</x:v>
      </x:c>
      <x:c r="F2473" s="22" t="str">
        <x:f>"124.066.397-89"</x:f>
        <x:v>124.066.397-89</x:v>
      </x:c>
      <x:c r="G2473" s="22" t="str">
        <x:f>"12406639789"</x:f>
        <x:v>12406639789</x:v>
      </x:c>
      <x:c r="H2473" s="23" t="str">
        <x:v>Maiconsoliveira2@gmail.com</x:v>
      </x:c>
      <x:c r="I2473" s="22" t="str">
        <x:f>"21973768578"</x:f>
        <x:v>21973768578</x:v>
      </x:c>
      <x:c r="J2473" s="23" t="str">
        <x:v>SPOT</x:v>
      </x:c>
      <x:c r="K2473" s="23" t="str">
        <x:v>favored_only</x:v>
      </x:c>
      <x:c r="L2473" s="24" t="b">
        <x:v>1</x:v>
      </x:c>
      <x:c r="M2473" s="23" t="n">
        <x:v>1</x:v>
      </x:c>
      <x:c r="N2473" s="28" t="n">
        <x:v>46203.92189349537</x:v>
      </x:c>
      <x:c r="O2473" s="28" t="n">
        <x:v>46219.812988715275</x:v>
      </x:c>
      <x:c r="P2473" s="23" t="str">
        <x:v>QUEIMADOS</x:v>
      </x:c>
      <x:c r="Q2473" s="30" t="n">
        <x:v>32508</x:v>
      </x:c>
      <x:c r="R2473" s="22" t="str">
        <x:f>"211885819"</x:f>
        <x:v>211885819</x:v>
      </x:c>
      <x:c r="S2473" s="23" t="str">
        <x:v>masculino</x:v>
      </x:c>
      <x:c r="T2473" s="22" t="str">
        <x:f>"KVR8D81"</x:f>
        <x:v>KVR8D81</x:v>
      </x:c>
      <x:c r="U2473" s="23" t="str">
        <x:v>MAICON DA SILVA OLIVEIRA</x:v>
      </x:c>
      <x:c r="V2473" s="22" t="str">
        <x:f>"124.066.397-89"</x:f>
        <x:v>124.066.397-89</x:v>
      </x:c>
      <x:c r="W2473" s="22" t="str">
        <x:f>"12406639789"</x:f>
        <x:v>12406639789</x:v>
      </x:c>
      <x:c r="X2473" s="23" t="str">
        <x:v>Maiconsoliveira2@gmail.com</x:v>
      </x:c>
      <x:c r="Y2473" s="22" t="str">
        <x:f>"21973768578"</x:f>
        <x:v>21973768578</x:v>
      </x:c>
      <x:c r="Z2473" s="30" t="n">
        <x:v>46343</x:v>
      </x:c>
    </x:row>
    <x:row r="2474" ht="18" customHeight="1">
      <x:c r="A2474" s="22" t="str">
        <x:f>"26d21526-0f07-4eb9-83d9-d39388204809"</x:f>
        <x:v>26d21526-0f07-4eb9-83d9-d39388204809</x:v>
      </x:c>
      <x:c r="B2474" s="23" t="str">
        <x:v>MAICON FELIX SANTOS</x:v>
      </x:c>
      <x:c r="C2474" s="23" t="str">
        <x:v>maicon felix santos</x:v>
      </x:c>
      <x:c r="D2474" s="22" t="str">
        <x:f>"57.358.653/0001-64"</x:f>
        <x:v>57.358.653/0001-64</x:v>
      </x:c>
      <x:c r="E2474" s="22" t="str">
        <x:f>"57358653000164"</x:f>
        <x:v>57358653000164</x:v>
      </x:c>
      <x:c r="F2474" s="22" t="str">
        <x:f>"548.611.888-06"</x:f>
        <x:v>548.611.888-06</x:v>
      </x:c>
      <x:c r="G2474" s="22" t="str">
        <x:f>"54861188806"</x:f>
        <x:v>54861188806</x:v>
      </x:c>
      <x:c r="H2474" s="23" t="str">
        <x:v>maiconmilgrau16@gmail.com</x:v>
      </x:c>
      <x:c r="I2474" s="22" t="str">
        <x:f>"11914834759"</x:f>
        <x:v>11914834759</x:v>
      </x:c>
      <x:c r="J2474" s="23" t="str">
        <x:v>SPOT</x:v>
      </x:c>
      <x:c r="K2474" s="23" t="str">
        <x:v>favored_only</x:v>
      </x:c>
      <x:c r="L2474" s="24" t="b">
        <x:v>1</x:v>
      </x:c>
      <x:c r="M2474" s="23" t="n">
        <x:v>1</x:v>
      </x:c>
      <x:c r="N2474" s="28" t="n">
        <x:v>46203.921858726855</x:v>
      </x:c>
      <x:c r="O2474" s="28" t="n">
        <x:v>46219.812988715275</x:v>
      </x:c>
      <x:c r="P2474" s="23" t="str">
        <x:v>BARUERI</x:v>
      </x:c>
      <x:c r="Q2474" s="30" t="n">
        <x:v>37676</x:v>
      </x:c>
      <x:c r="R2474" s="22" t="str">
        <x:f>"533560913"</x:f>
        <x:v>533560913</x:v>
      </x:c>
      <x:c r="S2474" s="23" t="str">
        <x:v>masculino</x:v>
      </x:c>
      <x:c r="T2474" s="22" t="str">
        <x:f>"FVQ1H09"</x:f>
        <x:v>FVQ1H09</x:v>
      </x:c>
      <x:c r="U2474" s="23" t="str">
        <x:v>MAICON FELIX SANTOS</x:v>
      </x:c>
      <x:c r="V2474" s="22" t="str">
        <x:f>"548.611.888-06"</x:f>
        <x:v>548.611.888-06</x:v>
      </x:c>
      <x:c r="W2474" s="22" t="str">
        <x:f>"54861188806"</x:f>
        <x:v>54861188806</x:v>
      </x:c>
      <x:c r="X2474" s="23" t="str">
        <x:v>maiconmilgrau16@gmail.com</x:v>
      </x:c>
      <x:c r="Y2474" s="22" t="str">
        <x:f>"11914834759"</x:f>
        <x:v>11914834759</x:v>
      </x:c>
      <x:c r="Z2474" s="30" t="n">
        <x:v>46375</x:v>
      </x:c>
    </x:row>
    <x:row r="2475" ht="18" customHeight="1">
      <x:c r="A2475" s="22" t="str">
        <x:f>"682ab8ff-fa6b-4f49-8129-6ef9eb052be4"</x:f>
        <x:v>682ab8ff-fa6b-4f49-8129-6ef9eb052be4</x:v>
      </x:c>
      <x:c r="B2475" s="23" t="str">
        <x:v>MAICON LOPES DE CASTRO</x:v>
      </x:c>
      <x:c r="C2475" s="23" t="str">
        <x:v>maicon lopes de castro</x:v>
      </x:c>
      <x:c r="D2475" s="22" t="str">
        <x:f>"65.787.623/0001-00"</x:f>
        <x:v>65.787.623/0001-00</x:v>
      </x:c>
      <x:c r="E2475" s="22" t="str">
        <x:f>"65787623000100"</x:f>
        <x:v>65787623000100</x:v>
      </x:c>
      <x:c r="F2475" s="22" t="str">
        <x:f>"384.363.488-26"</x:f>
        <x:v>384.363.488-26</x:v>
      </x:c>
      <x:c r="G2475" s="22" t="str">
        <x:f>"38436348826"</x:f>
        <x:v>38436348826</x:v>
      </x:c>
      <x:c r="H2475" s="23" t="str">
        <x:v>maicon_lopes2011@hotmail.com</x:v>
      </x:c>
      <x:c r="I2475" s="22" t="str">
        <x:f>"16993301166"</x:f>
        <x:v>16993301166</x:v>
      </x:c>
      <x:c r="J2475" s="23" t="str">
        <x:v>RENTAL</x:v>
      </x:c>
      <x:c r="K2475" s="23" t="str">
        <x:v>rental_company</x:v>
      </x:c>
      <x:c r="L2475" s="24" t="b">
        <x:v>1</x:v>
      </x:c>
      <x:c r="M2475" s="23" t="n">
        <x:v>1</x:v>
      </x:c>
      <x:c r="N2475" s="28" t="n">
        <x:v>46219.812988715275</x:v>
      </x:c>
      <x:c r="O2475" s="28" t="n">
        <x:v>46219.812988715275</x:v>
      </x:c>
      <x:c r="P2475" s="23" t="str">
        <x:v>RIBEIRAO PRETO</x:v>
      </x:c>
      <x:c r="Q2475" s="30" t="n">
        <x:v>35250</x:v>
      </x:c>
      <x:c r="R2475" s="22" t="str">
        <x:f>"49763976"</x:f>
        <x:v>49763976</x:v>
      </x:c>
      <x:c r="S2475" s="23" t="str">
        <x:v>masculino</x:v>
      </x:c>
      <x:c r="T2475" s="22" t="str"/>
      <x:c r="U2475" s="23" t="str">
        <x:v>MAICON LOPES DE CASTRO</x:v>
      </x:c>
      <x:c r="V2475" s="22" t="str">
        <x:f>"384.363.488-26"</x:f>
        <x:v>384.363.488-26</x:v>
      </x:c>
      <x:c r="W2475" s="22" t="str">
        <x:f>"38436348826"</x:f>
        <x:v>38436348826</x:v>
      </x:c>
      <x:c r="X2475" s="23" t="str">
        <x:v>maicon_lopes2011@hotmail.com</x:v>
      </x:c>
      <x:c r="Y2475" s="22" t="str">
        <x:f>"16993301166"</x:f>
        <x:v>16993301166</x:v>
      </x:c>
      <x:c r="Z2475" s="30" t="n">
        <x:v>46466</x:v>
      </x:c>
    </x:row>
    <x:row r="2476" ht="18" customHeight="1">
      <x:c r="A2476" s="22" t="str">
        <x:f>"1e672154-d186-46e5-ba8e-45c4a23a4b5a"</x:f>
        <x:v>1e672154-d186-46e5-ba8e-45c4a23a4b5a</x:v>
      </x:c>
      <x:c r="B2476" s="23" t="str">
        <x:v>MAICON PEREIRA VALERIO</x:v>
      </x:c>
      <x:c r="C2476" s="23" t="str">
        <x:v>maicon pereira valerio</x:v>
      </x:c>
      <x:c r="D2476" s="22" t="str">
        <x:f>"65.323.132/0001-08"</x:f>
        <x:v>65.323.132/0001-08</x:v>
      </x:c>
      <x:c r="E2476" s="22" t="str">
        <x:f>"65323132000108"</x:f>
        <x:v>65323132000108</x:v>
      </x:c>
      <x:c r="F2476" s="22" t="str">
        <x:f>"115.513.546-67"</x:f>
        <x:v>115.513.546-67</x:v>
      </x:c>
      <x:c r="G2476" s="22" t="str">
        <x:f>"11551354667"</x:f>
        <x:v>11551354667</x:v>
      </x:c>
      <x:c r="H2476" s="23" t="str">
        <x:v>maiconcmd8@gmail.com</x:v>
      </x:c>
      <x:c r="I2476" s="22" t="str">
        <x:f>"31994338610"</x:f>
        <x:v>31994338610</x:v>
      </x:c>
      <x:c r="J2476" s="23" t="str">
        <x:v>SPOT</x:v>
      </x:c>
      <x:c r="K2476" s="23" t="str">
        <x:v>favored_only</x:v>
      </x:c>
      <x:c r="L2476" s="24" t="b">
        <x:v>1</x:v>
      </x:c>
      <x:c r="M2476" s="23" t="n">
        <x:v>1</x:v>
      </x:c>
      <x:c r="N2476" s="28" t="n">
        <x:v>46219.812988715275</x:v>
      </x:c>
      <x:c r="O2476" s="28" t="n">
        <x:v>46219.812988715275</x:v>
      </x:c>
      <x:c r="P2476" s="23" t="str">
        <x:v>CONCEIÇÃO DO MATO DENTRO</x:v>
      </x:c>
      <x:c r="Q2476" s="30" t="n">
        <x:v>35877</x:v>
      </x:c>
      <x:c r="R2476" s="22" t="str">
        <x:f>"MG19768069"</x:f>
        <x:v>MG19768069</x:v>
      </x:c>
      <x:c r="S2476" s="23" t="str">
        <x:v>masculino</x:v>
      </x:c>
      <x:c r="T2476" s="22" t="str">
        <x:f>"ITI4C10"</x:f>
        <x:v>ITI4C10</x:v>
      </x:c>
      <x:c r="U2476" s="23" t="str">
        <x:v>MAICON PEREIRA VALERIO</x:v>
      </x:c>
      <x:c r="V2476" s="22" t="str">
        <x:f>"115.513.546-67"</x:f>
        <x:v>115.513.546-67</x:v>
      </x:c>
      <x:c r="W2476" s="22" t="str">
        <x:f>"11551354667"</x:f>
        <x:v>11551354667</x:v>
      </x:c>
      <x:c r="X2476" s="23" t="str">
        <x:v>maiconcmd8@gmail.com</x:v>
      </x:c>
      <x:c r="Y2476" s="22" t="str">
        <x:f>"31994338610"</x:f>
        <x:v>31994338610</x:v>
      </x:c>
      <x:c r="Z2476" s="30" t="n">
        <x:v>46464</x:v>
      </x:c>
    </x:row>
    <x:row r="2477" ht="18" customHeight="1">
      <x:c r="A2477" s="22" t="str">
        <x:f>"13e38eb8-7100-4cb1-b470-cb22fa6f4b89"</x:f>
        <x:v>13e38eb8-7100-4cb1-b470-cb22fa6f4b89</x:v>
      </x:c>
      <x:c r="B2477" s="23" t="str">
        <x:v>MAICON VINICIUS OLIVEIRA FERREIRA</x:v>
      </x:c>
      <x:c r="C2477" s="23" t="str">
        <x:v>maicon vinicius oliveira ferreira</x:v>
      </x:c>
      <x:c r="D2477" s="22" t="str">
        <x:f>"49.620.320/0001-33"</x:f>
        <x:v>49.620.320/0001-33</x:v>
      </x:c>
      <x:c r="E2477" s="22" t="str">
        <x:f>"49620320000133"</x:f>
        <x:v>49620320000133</x:v>
      </x:c>
      <x:c r="F2477" s="22" t="str">
        <x:f>"432.561.448-61"</x:f>
        <x:v>432.561.448-61</x:v>
      </x:c>
      <x:c r="G2477" s="22" t="str">
        <x:f>"43256144861"</x:f>
        <x:v>43256144861</x:v>
      </x:c>
      <x:c r="H2477" s="23" t="str">
        <x:v>Maicklove1996@gmail.com</x:v>
      </x:c>
      <x:c r="I2477" s="22" t="str">
        <x:f>"(17) 996707821"</x:f>
        <x:v>(17) 996707821</x:v>
      </x:c>
      <x:c r="J2477" s="23" t="str">
        <x:v>SPOT</x:v>
      </x:c>
      <x:c r="K2477" s="23" t="str">
        <x:v>favored_only</x:v>
      </x:c>
      <x:c r="L2477" s="24" t="b">
        <x:v>1</x:v>
      </x:c>
      <x:c r="M2477" s="23" t="n">
        <x:v>1</x:v>
      </x:c>
      <x:c r="N2477" s="28" t="n">
        <x:v>46219.812988715275</x:v>
      </x:c>
      <x:c r="O2477" s="28" t="n">
        <x:v>46219.812988715275</x:v>
      </x:c>
      <x:c r="P2477" s="23" t="str">
        <x:v>JALES</x:v>
      </x:c>
      <x:c r="Q2477" s="30" t="n">
        <x:v>35066</x:v>
      </x:c>
      <x:c r="R2477" s="22" t="str">
        <x:f>"44344861"</x:f>
        <x:v>44344861</x:v>
      </x:c>
      <x:c r="S2477" s="23" t="str">
        <x:v>masculino</x:v>
      </x:c>
      <x:c r="T2477" s="22" t="str">
        <x:f>"FKG6G88"</x:f>
        <x:v>FKG6G88</x:v>
      </x:c>
      <x:c r="U2477" s="23" t="str">
        <x:v>MAICON VINICIUS OLIVEIRA FERREIRA</x:v>
      </x:c>
      <x:c r="V2477" s="22" t="str">
        <x:f>"432.561.448-61"</x:f>
        <x:v>432.561.448-61</x:v>
      </x:c>
      <x:c r="W2477" s="22" t="str">
        <x:f>"43256144861"</x:f>
        <x:v>43256144861</x:v>
      </x:c>
      <x:c r="X2477" s="23" t="str">
        <x:v>Maicklove1996@gmail.com</x:v>
      </x:c>
      <x:c r="Y2477" s="22" t="str">
        <x:f>"(17) 996707821"</x:f>
        <x:v>(17) 996707821</x:v>
      </x:c>
      <x:c r="Z2477" s="30" t="n">
        <x:v>46492</x:v>
      </x:c>
    </x:row>
    <x:row r="2478" ht="18" customHeight="1">
      <x:c r="A2478" s="22" t="str">
        <x:f>"aeb2f77d-dfa2-4601-a676-42191a00ddb9"</x:f>
        <x:v>aeb2f77d-dfa2-4601-a676-42191a00ddb9</x:v>
      </x:c>
      <x:c r="B2478" s="23" t="str">
        <x:v>MAIKE SULLIVAN COSTA SANTOS</x:v>
      </x:c>
      <x:c r="C2478" s="23" t="str">
        <x:v>maike sullivan costa santos</x:v>
      </x:c>
      <x:c r="D2478" s="22" t="str">
        <x:f>"59.607.180/0001-17"</x:f>
        <x:v>59.607.180/0001-17</x:v>
      </x:c>
      <x:c r="E2478" s="22" t="str">
        <x:f>"59607180000117"</x:f>
        <x:v>59607180000117</x:v>
      </x:c>
      <x:c r="F2478" s="22" t="str">
        <x:f>"110.267.976-32"</x:f>
        <x:v>110.267.976-32</x:v>
      </x:c>
      <x:c r="G2478" s="22" t="str">
        <x:f>"11026797632"</x:f>
        <x:v>11026797632</x:v>
      </x:c>
      <x:c r="H2478" s="23" t="str">
        <x:v>maikesullivan.contratos@gmail.com</x:v>
      </x:c>
      <x:c r="I2478" s="22" t="str">
        <x:f>"33 8459-9994"</x:f>
        <x:v>33 8459-9994</x:v>
      </x:c>
      <x:c r="J2478" s="23" t="str">
        <x:v>RENTAL</x:v>
      </x:c>
      <x:c r="K2478" s="23" t="str">
        <x:v>rental_company</x:v>
      </x:c>
      <x:c r="L2478" s="24" t="b">
        <x:v>1</x:v>
      </x:c>
      <x:c r="M2478" s="23" t="n">
        <x:v>1</x:v>
      </x:c>
      <x:c r="N2478" s="28" t="n">
        <x:v>46219.812988715275</x:v>
      </x:c>
      <x:c r="O2478" s="28" t="n">
        <x:v>46219.812988715275</x:v>
      </x:c>
      <x:c r="P2478" s="23" t="str">
        <x:v>TEOFILO OTONI</x:v>
      </x:c>
      <x:c r="Q2478" s="30" t="n">
        <x:v>33919</x:v>
      </x:c>
      <x:c r="R2478" s="22" t="str">
        <x:f>"16012283"</x:f>
        <x:v>16012283</x:v>
      </x:c>
      <x:c r="S2478" s="23" t="str">
        <x:v>masculino</x:v>
      </x:c>
      <x:c r="T2478" s="22" t="str"/>
      <x:c r="U2478" s="23" t="str">
        <x:v>MAIKE SULLIVAN COSTA SANTOS</x:v>
      </x:c>
      <x:c r="V2478" s="22" t="str">
        <x:f>"110.267.976-32"</x:f>
        <x:v>110.267.976-32</x:v>
      </x:c>
      <x:c r="W2478" s="22" t="str">
        <x:f>"11026797632"</x:f>
        <x:v>11026797632</x:v>
      </x:c>
      <x:c r="X2478" s="23" t="str">
        <x:v>maikesullivan.contratos@gmail.com</x:v>
      </x:c>
      <x:c r="Y2478" s="22" t="str">
        <x:f>"33 8459-9994"</x:f>
        <x:v>33 8459-9994</x:v>
      </x:c>
      <x:c r="Z2478" s="30" t="n">
        <x:v>46539</x:v>
      </x:c>
    </x:row>
    <x:row r="2479" ht="18" customHeight="1">
      <x:c r="A2479" s="22" t="str">
        <x:f>"5ef1807a-845f-4bf9-aafe-473ef8c22176"</x:f>
        <x:v>5ef1807a-845f-4bf9-aafe-473ef8c22176</x:v>
      </x:c>
      <x:c r="B2479" s="23" t="str">
        <x:v>MAIKON BERA MORAIS</x:v>
      </x:c>
      <x:c r="C2479" s="23" t="str">
        <x:v>maikon bera morais</x:v>
      </x:c>
      <x:c r="D2479" s="22" t="str">
        <x:f>"36.728.266/0001-00"</x:f>
        <x:v>36.728.266/0001-00</x:v>
      </x:c>
      <x:c r="E2479" s="22" t="str">
        <x:f>"36728266000100"</x:f>
        <x:v>36728266000100</x:v>
      </x:c>
      <x:c r="F2479" s="22" t="str">
        <x:f>"416.597.298-31"</x:f>
        <x:v>416.597.298-31</x:v>
      </x:c>
      <x:c r="G2479" s="22" t="str">
        <x:f>"41659729831"</x:f>
        <x:v>41659729831</x:v>
      </x:c>
      <x:c r="H2479" s="23" t="str">
        <x:v>maikon.interative.nv@gmail.com</x:v>
      </x:c>
      <x:c r="I2479" s="22" t="str">
        <x:f>"19974282816"</x:f>
        <x:v>19974282816</x:v>
      </x:c>
      <x:c r="J2479" s="23" t="str">
        <x:v>RENTAL</x:v>
      </x:c>
      <x:c r="K2479" s="23" t="str">
        <x:v>rental_company</x:v>
      </x:c>
      <x:c r="L2479" s="24" t="b">
        <x:v>1</x:v>
      </x:c>
      <x:c r="M2479" s="23" t="n">
        <x:v>1</x:v>
      </x:c>
      <x:c r="N2479" s="28" t="n">
        <x:v>46203.92189965278</x:v>
      </x:c>
      <x:c r="O2479" s="28" t="n">
        <x:v>46219.812988715275</x:v>
      </x:c>
      <x:c r="P2479" s="23" t="str">
        <x:v>MADEIRA MADEIRA</x:v>
      </x:c>
      <x:c r="Q2479" s="30" t="n">
        <x:v>33498</x:v>
      </x:c>
      <x:c r="R2479" s="22" t="str">
        <x:f>"476912751"</x:f>
        <x:v>476912751</x:v>
      </x:c>
      <x:c r="S2479" s="23" t="str">
        <x:v>masculino</x:v>
      </x:c>
      <x:c r="T2479" s="22" t="str"/>
      <x:c r="U2479" s="23" t="str">
        <x:v>MAIKON BERA MORAIS</x:v>
      </x:c>
      <x:c r="V2479" s="22" t="str">
        <x:f>"416.597.298-31"</x:f>
        <x:v>416.597.298-31</x:v>
      </x:c>
      <x:c r="W2479" s="22" t="str">
        <x:f>"41659729831"</x:f>
        <x:v>41659729831</x:v>
      </x:c>
      <x:c r="X2479" s="23" t="str">
        <x:v>maikon.interative.nv@gmail.com</x:v>
      </x:c>
      <x:c r="Y2479" s="22" t="str">
        <x:f>"19974282816"</x:f>
        <x:v>19974282816</x:v>
      </x:c>
      <x:c r="Z2479" s="30" t="n">
        <x:v>46353</x:v>
      </x:c>
    </x:row>
    <x:row r="2480" ht="18" customHeight="1">
      <x:c r="A2480" s="22" t="str">
        <x:f>"d109863c-7a98-4564-9e7d-8b23e5f314c1"</x:f>
        <x:v>d109863c-7a98-4564-9e7d-8b23e5f314c1</x:v>
      </x:c>
      <x:c r="B2480" s="23" t="str">
        <x:v>MAILA GONCALVES ROSA</x:v>
      </x:c>
      <x:c r="C2480" s="23" t="str">
        <x:v>maila goncalves rosa</x:v>
      </x:c>
      <x:c r="D2480" s="22" t="str">
        <x:f>"58.295.017/0001-01"</x:f>
        <x:v>58.295.017/0001-01</x:v>
      </x:c>
      <x:c r="E2480" s="22" t="str">
        <x:f>"58295017000101"</x:f>
        <x:v>58295017000101</x:v>
      </x:c>
      <x:c r="F2480" s="22" t="str">
        <x:f>"090.917.966-26"</x:f>
        <x:v>090.917.966-26</x:v>
      </x:c>
      <x:c r="G2480" s="22" t="str">
        <x:f>"09091796626"</x:f>
        <x:v>09091796626</x:v>
      </x:c>
      <x:c r="H2480" s="23" t="str">
        <x:v>mailagoncalves29121987@gmail.com</x:v>
      </x:c>
      <x:c r="I2480" s="22" t="str">
        <x:f>"34 9684-3387"</x:f>
        <x:v>34 9684-3387</x:v>
      </x:c>
      <x:c r="J2480" s="23" t="str">
        <x:v>RENTAL</x:v>
      </x:c>
      <x:c r="K2480" s="23" t="str">
        <x:v>rental_company</x:v>
      </x:c>
      <x:c r="L2480" s="24" t="b">
        <x:v>1</x:v>
      </x:c>
      <x:c r="M2480" s="23" t="n">
        <x:v>1</x:v>
      </x:c>
      <x:c r="N2480" s="28" t="n">
        <x:v>46203.921858726855</x:v>
      </x:c>
      <x:c r="O2480" s="28" t="n">
        <x:v>46219.812988715275</x:v>
      </x:c>
      <x:c r="P2480" s="23" t="str">
        <x:v>UBERLANDIA</x:v>
      </x:c>
      <x:c r="Q2480" s="30" t="n">
        <x:v>32141</x:v>
      </x:c>
      <x:c r="R2480" s="22" t="str">
        <x:f>"MG15851284"</x:f>
        <x:v>MG15851284</x:v>
      </x:c>
      <x:c r="S2480" s="23" t="str">
        <x:v>feminino</x:v>
      </x:c>
      <x:c r="T2480" s="22" t="str"/>
      <x:c r="U2480" s="23" t="str">
        <x:v>MAILA GONCALVES ROSA</x:v>
      </x:c>
      <x:c r="V2480" s="22" t="str">
        <x:f>"090.917.966-26"</x:f>
        <x:v>090.917.966-26</x:v>
      </x:c>
      <x:c r="W2480" s="22" t="str">
        <x:f>"09091796626"</x:f>
        <x:v>09091796626</x:v>
      </x:c>
      <x:c r="X2480" s="23" t="str">
        <x:v>mailagoncalves29121987@gmail.com</x:v>
      </x:c>
      <x:c r="Y2480" s="22" t="str">
        <x:f>"34 9684-3387"</x:f>
        <x:v>34 9684-3387</x:v>
      </x:c>
      <x:c r="Z2480" s="30" t="n">
        <x:v>46261</x:v>
      </x:c>
    </x:row>
    <x:row r="2481" ht="18" customHeight="1">
      <x:c r="A2481" s="22" t="str">
        <x:f>"9d32f2dd-d136-47a4-98e7-a4ee22a5ba60"</x:f>
        <x:v>9d32f2dd-d136-47a4-98e7-a4ee22a5ba60</x:v>
      </x:c>
      <x:c r="B2481" s="23" t="str">
        <x:v>MALCO DOS SANTOS PINTO</x:v>
      </x:c>
      <x:c r="C2481" s="23" t="str">
        <x:v>malco dos santos pinto</x:v>
      </x:c>
      <x:c r="D2481" s="22" t="str">
        <x:f>"61.828.807/0001-01"</x:f>
        <x:v>61.828.807/0001-01</x:v>
      </x:c>
      <x:c r="E2481" s="22" t="str">
        <x:f>"61828807000101"</x:f>
        <x:v>61828807000101</x:v>
      </x:c>
      <x:c r="F2481" s="22" t="str">
        <x:f>"014.502.746-50"</x:f>
        <x:v>014.502.746-50</x:v>
      </x:c>
      <x:c r="G2481" s="22" t="str">
        <x:f>"01450274650"</x:f>
        <x:v>01450274650</x:v>
      </x:c>
      <x:c r="H2481" s="23" t="str">
        <x:v>malco.santos83@gmail.com</x:v>
      </x:c>
      <x:c r="I2481" s="22" t="str">
        <x:f>"31 986921675"</x:f>
        <x:v>31 986921675</x:v>
      </x:c>
      <x:c r="J2481" s="23" t="str">
        <x:v>RENTAL</x:v>
      </x:c>
      <x:c r="K2481" s="23" t="str">
        <x:v>rental_company</x:v>
      </x:c>
      <x:c r="L2481" s="24" t="b">
        <x:v>1</x:v>
      </x:c>
      <x:c r="M2481" s="23" t="n">
        <x:v>1</x:v>
      </x:c>
      <x:c r="N2481" s="28" t="n">
        <x:v>46219.812988715275</x:v>
      </x:c>
      <x:c r="O2481" s="28" t="n">
        <x:v>46219.812988715275</x:v>
      </x:c>
      <x:c r="P2481" s="23" t="str">
        <x:v>NOVA LIMA</x:v>
      </x:c>
      <x:c r="Q2481" s="30" t="n">
        <x:v>30536</x:v>
      </x:c>
      <x:c r="R2481" s="22" t="str">
        <x:f>"12910210"</x:f>
        <x:v>12910210</x:v>
      </x:c>
      <x:c r="S2481" s="23" t="str">
        <x:v>masculino</x:v>
      </x:c>
      <x:c r="T2481" s="22" t="str"/>
      <x:c r="U2481" s="23" t="str">
        <x:v>MALCO DOS SANTOS PINTO</x:v>
      </x:c>
      <x:c r="V2481" s="22" t="str">
        <x:f>"014.502.746-50"</x:f>
        <x:v>014.502.746-50</x:v>
      </x:c>
      <x:c r="W2481" s="22" t="str">
        <x:f>"01450274650"</x:f>
        <x:v>01450274650</x:v>
      </x:c>
      <x:c r="X2481" s="23" t="str">
        <x:v>malco.santos83@gmail.com</x:v>
      </x:c>
      <x:c r="Y2481" s="22" t="str">
        <x:f>"31 986921675"</x:f>
        <x:v>31 986921675</x:v>
      </x:c>
      <x:c r="Z2481" s="30" t="n">
        <x:v>46574</x:v>
      </x:c>
    </x:row>
    <x:row r="2482" ht="18" customHeight="1">
      <x:c r="A2482" s="22" t="str">
        <x:f>"175fb4e8-6484-47aa-a9f8-e8657853e39e"</x:f>
        <x:v>175fb4e8-6484-47aa-a9f8-e8657853e39e</x:v>
      </x:c>
      <x:c r="B2482" s="23" t="str">
        <x:v>MANASSES HELIO DA ROCHA</x:v>
      </x:c>
      <x:c r="C2482" s="23" t="str">
        <x:v>manasses helio da rocha</x:v>
      </x:c>
      <x:c r="D2482" s="22" t="str">
        <x:f>"61.417.735/0001-00"</x:f>
        <x:v>61.417.735/0001-00</x:v>
      </x:c>
      <x:c r="E2482" s="22" t="str">
        <x:f>"61417735000100"</x:f>
        <x:v>61417735000100</x:v>
      </x:c>
      <x:c r="F2482" s="22" t="str">
        <x:f>"290.112.508-50"</x:f>
        <x:v>290.112.508-50</x:v>
      </x:c>
      <x:c r="G2482" s="22" t="str">
        <x:f>"29011250850"</x:f>
        <x:v>29011250850</x:v>
      </x:c>
      <x:c r="H2482" s="23" t="str">
        <x:v>Heliolgk9@gmail.com</x:v>
      </x:c>
      <x:c r="I2482" s="22" t="str">
        <x:f>"11968091124"</x:f>
        <x:v>11968091124</x:v>
      </x:c>
      <x:c r="J2482" s="23" t="str">
        <x:v>RENTAL</x:v>
      </x:c>
      <x:c r="K2482" s="23" t="str">
        <x:v>rental_company</x:v>
      </x:c>
      <x:c r="L2482" s="24" t="b">
        <x:v>1</x:v>
      </x:c>
      <x:c r="M2482" s="23" t="n">
        <x:v>1</x:v>
      </x:c>
      <x:c r="N2482" s="28" t="n">
        <x:v>46203.92189349537</x:v>
      </x:c>
      <x:c r="O2482" s="28" t="n">
        <x:v>46219.812988715275</x:v>
      </x:c>
      <x:c r="P2482" s="23" t="str">
        <x:v>BARUERI</x:v>
      </x:c>
      <x:c r="Q2482" s="30" t="n">
        <x:v>29168</x:v>
      </x:c>
      <x:c r="R2482" s="22" t="str">
        <x:f>"30057535"</x:f>
        <x:v>30057535</x:v>
      </x:c>
      <x:c r="S2482" s="23" t="str">
        <x:v>masculino</x:v>
      </x:c>
      <x:c r="T2482" s="22" t="str"/>
      <x:c r="U2482" s="23" t="str">
        <x:v>MANASSES HELIO DA ROCHA</x:v>
      </x:c>
      <x:c r="V2482" s="22" t="str">
        <x:f>"290.112.508-50"</x:f>
        <x:v>290.112.508-50</x:v>
      </x:c>
      <x:c r="W2482" s="22" t="str">
        <x:f>"29011250850"</x:f>
        <x:v>29011250850</x:v>
      </x:c>
      <x:c r="X2482" s="23" t="str">
        <x:v>Heliolgk9@gmail.com</x:v>
      </x:c>
      <x:c r="Y2482" s="22" t="str">
        <x:f>"11968091124"</x:f>
        <x:v>11968091124</x:v>
      </x:c>
      <x:c r="Z2482" s="30" t="n">
        <x:v>46338</x:v>
      </x:c>
    </x:row>
    <x:row r="2483" ht="18" customHeight="1">
      <x:c r="A2483" s="22" t="str">
        <x:f>"63d18cb4-63b7-4e7f-a08f-eedcc6d0cec8"</x:f>
        <x:v>63d18cb4-63b7-4e7f-a08f-eedcc6d0cec8</x:v>
      </x:c>
      <x:c r="B2483" s="23" t="str">
        <x:v>MANOEL DE SOUZA SILVA</x:v>
      </x:c>
      <x:c r="C2483" s="23" t="str">
        <x:v>manoel de souza silva</x:v>
      </x:c>
      <x:c r="D2483" s="22" t="str">
        <x:f>"67.065.239/0001-10"</x:f>
        <x:v>67.065.239/0001-10</x:v>
      </x:c>
      <x:c r="E2483" s="22" t="str">
        <x:f>"67065239000110"</x:f>
        <x:v>67065239000110</x:v>
      </x:c>
      <x:c r="F2483" s="22" t="str">
        <x:f>"649.935.317-53"</x:f>
        <x:v>649.935.317-53</x:v>
      </x:c>
      <x:c r="G2483" s="22" t="str">
        <x:f>"64993531753"</x:f>
        <x:v>64993531753</x:v>
      </x:c>
      <x:c r="H2483" s="23" t="str">
        <x:v>Manoelmotog57@gmail.com</x:v>
      </x:c>
      <x:c r="I2483" s="22" t="str">
        <x:f>"21987370802"</x:f>
        <x:v>21987370802</x:v>
      </x:c>
      <x:c r="J2483" s="23" t="str">
        <x:v>RENTAL</x:v>
      </x:c>
      <x:c r="K2483" s="23" t="str">
        <x:v>rental_company</x:v>
      </x:c>
      <x:c r="L2483" s="24" t="b">
        <x:v>1</x:v>
      </x:c>
      <x:c r="M2483" s="23" t="n">
        <x:v>1</x:v>
      </x:c>
      <x:c r="N2483" s="28" t="n">
        <x:v>46219.812988715275</x:v>
      </x:c>
      <x:c r="O2483" s="28" t="n">
        <x:v>46219.812988715275</x:v>
      </x:c>
      <x:c r="P2483" s="23" t="str">
        <x:v>QUEIMADOS</x:v>
      </x:c>
      <x:c r="Q2483" s="30" t="n">
        <x:v>25132</x:v>
      </x:c>
      <x:c r="R2483" s="22" t="str">
        <x:f>"83490508"</x:f>
        <x:v>83490508</x:v>
      </x:c>
      <x:c r="S2483" s="23" t="str">
        <x:v>masculino</x:v>
      </x:c>
      <x:c r="T2483" s="22" t="str"/>
      <x:c r="U2483" s="23" t="str">
        <x:v>MANOEL DE SOUZA SILVA</x:v>
      </x:c>
      <x:c r="V2483" s="22" t="str">
        <x:f>"649.935.317-53"</x:f>
        <x:v>649.935.317-53</x:v>
      </x:c>
      <x:c r="W2483" s="22" t="str">
        <x:f>"64993531753"</x:f>
        <x:v>64993531753</x:v>
      </x:c>
      <x:c r="X2483" s="23" t="str">
        <x:v>Manoelmotog57@gmail.com</x:v>
      </x:c>
      <x:c r="Y2483" s="22" t="str">
        <x:f>"21987370802"</x:f>
        <x:v>21987370802</x:v>
      </x:c>
      <x:c r="Z2483" s="30" t="n">
        <x:v>46536</x:v>
      </x:c>
    </x:row>
    <x:row r="2484" ht="18" customHeight="1">
      <x:c r="A2484" s="22" t="str">
        <x:f>"f75caad7-1d7a-430c-9f46-14cd77d0a38b"</x:f>
        <x:v>f75caad7-1d7a-430c-9f46-14cd77d0a38b</x:v>
      </x:c>
      <x:c r="B2484" s="23" t="str">
        <x:v>MARA ADRIANA MARCUSSO</x:v>
      </x:c>
      <x:c r="C2484" s="23" t="str">
        <x:v>mara adriana marcusso</x:v>
      </x:c>
      <x:c r="D2484" s="22" t="str">
        <x:f>"30.360.322/0001-02"</x:f>
        <x:v>30.360.322/0001-02</x:v>
      </x:c>
      <x:c r="E2484" s="22" t="str">
        <x:f>"30360322000102"</x:f>
        <x:v>30360322000102</x:v>
      </x:c>
      <x:c r="F2484" s="22" t="str">
        <x:f>"066.612.619-43"</x:f>
        <x:v>066.612.619-43</x:v>
      </x:c>
      <x:c r="G2484" s="22" t="str">
        <x:f>"06661261943"</x:f>
        <x:v>06661261943</x:v>
      </x:c>
      <x:c r="H2484" s="23" t="str">
        <x:v>maramarcusso@gmail.com</x:v>
      </x:c>
      <x:c r="I2484" s="22" t="str">
        <x:f>"+55 43 9984-1399"</x:f>
        <x:v>+55 43 9984-1399</x:v>
      </x:c>
      <x:c r="J2484" s="23" t="str">
        <x:v>SPOT</x:v>
      </x:c>
      <x:c r="K2484" s="23" t="str">
        <x:v>favored_only</x:v>
      </x:c>
      <x:c r="L2484" s="24" t="b">
        <x:v>1</x:v>
      </x:c>
      <x:c r="M2484" s="23" t="n">
        <x:v>1</x:v>
      </x:c>
      <x:c r="N2484" s="28" t="n">
        <x:v>46219.812988715275</x:v>
      </x:c>
      <x:c r="O2484" s="28" t="n">
        <x:v>46219.812988715275</x:v>
      </x:c>
      <x:c r="P2484" s="23" t="str">
        <x:v>MARILIA</x:v>
      </x:c>
      <x:c r="Q2484" s="30" t="n">
        <x:v>32503</x:v>
      </x:c>
      <x:c r="R2484" s="22" t="str">
        <x:f>"86032309"</x:f>
        <x:v>86032309</x:v>
      </x:c>
      <x:c r="S2484" s="23" t="str">
        <x:v>feminino</x:v>
      </x:c>
      <x:c r="T2484" s="22" t="str">
        <x:f>"BRY3D05"</x:f>
        <x:v>BRY3D05</x:v>
      </x:c>
      <x:c r="U2484" s="23" t="str">
        <x:v>MARA ADRIANA MARCUSSO</x:v>
      </x:c>
      <x:c r="V2484" s="22" t="str">
        <x:f>"066.612.619-43"</x:f>
        <x:v>066.612.619-43</x:v>
      </x:c>
      <x:c r="W2484" s="22" t="str">
        <x:f>"06661261943"</x:f>
        <x:v>06661261943</x:v>
      </x:c>
      <x:c r="X2484" s="23" t="str">
        <x:v>maramarcusso@gmail.com</x:v>
      </x:c>
      <x:c r="Y2484" s="22" t="str">
        <x:f>"+55 43 9984-1399"</x:f>
        <x:v>+55 43 9984-1399</x:v>
      </x:c>
      <x:c r="Z2484" s="30" t="n">
        <x:v>46553</x:v>
      </x:c>
    </x:row>
    <x:row r="2485" ht="18" customHeight="1">
      <x:c r="A2485" s="22" t="str">
        <x:f>"70b35f53-6618-40df-a2c2-b0f446aae4f3"</x:f>
        <x:v>70b35f53-6618-40df-a2c2-b0f446aae4f3</x:v>
      </x:c>
      <x:c r="B2485" s="23" t="str">
        <x:v>MARA CRISTINA AGUIAR</x:v>
      </x:c>
      <x:c r="C2485" s="23" t="str">
        <x:v>mara cristina aguiar</x:v>
      </x:c>
      <x:c r="D2485" s="22" t="str">
        <x:f>"62.647.154/0001-27"</x:f>
        <x:v>62.647.154/0001-27</x:v>
      </x:c>
      <x:c r="E2485" s="22" t="str">
        <x:f>"62647154000127"</x:f>
        <x:v>62647154000127</x:v>
      </x:c>
      <x:c r="F2485" s="22" t="str">
        <x:f>"466.021.006-53"</x:f>
        <x:v>466.021.006-53</x:v>
      </x:c>
      <x:c r="G2485" s="22" t="str">
        <x:f>"46602100653"</x:f>
        <x:v>46602100653</x:v>
      </x:c>
      <x:c r="H2485" s="23" t="str">
        <x:v>maraguiar6@hotmail.com</x:v>
      </x:c>
      <x:c r="I2485" s="22" t="str">
        <x:f>"33 99914-1005"</x:f>
        <x:v>33 99914-1005</x:v>
      </x:c>
      <x:c r="J2485" s="23" t="str">
        <x:v>SPOT</x:v>
      </x:c>
      <x:c r="K2485" s="23" t="str">
        <x:v>favored_only</x:v>
      </x:c>
      <x:c r="L2485" s="24" t="b">
        <x:v>1</x:v>
      </x:c>
      <x:c r="M2485" s="23" t="n">
        <x:v>1</x:v>
      </x:c>
      <x:c r="N2485" s="28" t="n">
        <x:v>46205.604445983794</x:v>
      </x:c>
      <x:c r="O2485" s="28" t="n">
        <x:v>46219.812988715275</x:v>
      </x:c>
      <x:c r="P2485" s="23" t="str">
        <x:v>GUANHAES</x:v>
      </x:c>
      <x:c r="Q2485" s="30" t="n">
        <x:v>22776</x:v>
      </x:c>
      <x:c r="R2485" s="22" t="str">
        <x:f>"2417609"</x:f>
        <x:v>2417609</x:v>
      </x:c>
      <x:c r="S2485" s="23" t="str">
        <x:v>feminino</x:v>
      </x:c>
      <x:c r="T2485" s="22" t="str">
        <x:f>"PWJ4960"</x:f>
        <x:v>PWJ4960</x:v>
      </x:c>
      <x:c r="U2485" s="23" t="str">
        <x:v>MARIA CRISTINA AGUIAR</x:v>
      </x:c>
      <x:c r="V2485" s="22" t="str">
        <x:f>"466.021.006-53"</x:f>
        <x:v>466.021.006-53</x:v>
      </x:c>
      <x:c r="W2485" s="22" t="str">
        <x:f>"46602100653"</x:f>
        <x:v>46602100653</x:v>
      </x:c>
      <x:c r="X2485" s="23" t="str">
        <x:v>maraguiar6@hotmail.com</x:v>
      </x:c>
      <x:c r="Y2485" s="22" t="str">
        <x:f>"33 99914-1005"</x:f>
        <x:v>33 99914-1005</x:v>
      </x:c>
      <x:c r="Z2485" s="30" t="n">
        <x:v>46276</x:v>
      </x:c>
    </x:row>
    <x:row r="2486" ht="18" customHeight="1">
      <x:c r="A2486" s="22" t="str">
        <x:f>"752069d1-e0ff-4f7c-b74b-4d70c4db0e56"</x:f>
        <x:v>752069d1-e0ff-4f7c-b74b-4d70c4db0e56</x:v>
      </x:c>
      <x:c r="B2486" s="23" t="str">
        <x:v>MARA CRISTINA AGUIAR</x:v>
      </x:c>
      <x:c r="C2486" s="23" t="str">
        <x:v>mara cristina aguiar</x:v>
      </x:c>
      <x:c r="D2486" s="22" t="str">
        <x:f>"64.570.095/0001-61"</x:f>
        <x:v>64.570.095/0001-61</x:v>
      </x:c>
      <x:c r="E2486" s="22" t="str">
        <x:f>"64570095000161"</x:f>
        <x:v>64570095000161</x:v>
      </x:c>
      <x:c r="F2486" s="22" t="str">
        <x:f>"466.021.006-53"</x:f>
        <x:v>466.021.006-53</x:v>
      </x:c>
      <x:c r="G2486" s="22" t="str">
        <x:f>"46602100653"</x:f>
        <x:v>46602100653</x:v>
      </x:c>
      <x:c r="H2486" s="23" t="str">
        <x:v>maraguiar6@hotmail.com</x:v>
      </x:c>
      <x:c r="I2486" s="22" t="str">
        <x:f>"33 99914-1005"</x:f>
        <x:v>33 99914-1005</x:v>
      </x:c>
      <x:c r="J2486" s="23" t="str">
        <x:v>SPOT</x:v>
      </x:c>
      <x:c r="K2486" s="23" t="str">
        <x:v>favored_only</x:v>
      </x:c>
      <x:c r="L2486" s="24" t="b">
        <x:v>1</x:v>
      </x:c>
      <x:c r="M2486" s="23" t="n">
        <x:v>1</x:v>
      </x:c>
      <x:c r="N2486" s="28" t="n">
        <x:v>46219.812988715275</x:v>
      </x:c>
      <x:c r="O2486" s="28" t="n">
        <x:v>46219.812988715275</x:v>
      </x:c>
      <x:c r="P2486" s="23" t="str">
        <x:v>GUANHAES</x:v>
      </x:c>
      <x:c r="Q2486" s="30" t="n">
        <x:v>22776</x:v>
      </x:c>
      <x:c r="R2486" s="22" t="str">
        <x:f>"2417609"</x:f>
        <x:v>2417609</x:v>
      </x:c>
      <x:c r="S2486" s="23" t="str">
        <x:v>feminino</x:v>
      </x:c>
      <x:c r="T2486" s="22" t="str">
        <x:f>"PWJ4960"</x:f>
        <x:v>PWJ4960</x:v>
      </x:c>
      <x:c r="U2486" s="23" t="str">
        <x:v>MARA CRISTINA AGUIAR</x:v>
      </x:c>
      <x:c r="V2486" s="22" t="str">
        <x:f>"466.021.006-53"</x:f>
        <x:v>466.021.006-53</x:v>
      </x:c>
      <x:c r="W2486" s="22" t="str">
        <x:f>"46602100653"</x:f>
        <x:v>46602100653</x:v>
      </x:c>
      <x:c r="X2486" s="23" t="str">
        <x:v>maraguiar6@hotmail.com</x:v>
      </x:c>
      <x:c r="Y2486" s="22" t="str">
        <x:f>"33 99914-1005"</x:f>
        <x:v>33 99914-1005</x:v>
      </x:c>
      <x:c r="Z2486" s="30" t="n">
        <x:v>46438</x:v>
      </x:c>
    </x:row>
    <x:row r="2487" ht="18" customHeight="1">
      <x:c r="A2487" s="22" t="str">
        <x:f>"c3c2e936-468c-4b56-ade3-b771ea7d31a8"</x:f>
        <x:v>c3c2e936-468c-4b56-ade3-b771ea7d31a8</x:v>
      </x:c>
      <x:c r="B2487" s="23" t="str">
        <x:v>MARC AURELIO DE AMORIM</x:v>
      </x:c>
      <x:c r="C2487" s="23" t="str">
        <x:v>marc aurelio de amorim</x:v>
      </x:c>
      <x:c r="D2487" s="22" t="str">
        <x:f>"30.651.383/0001-29"</x:f>
        <x:v>30.651.383/0001-29</x:v>
      </x:c>
      <x:c r="E2487" s="22" t="str">
        <x:f>"30651383000129"</x:f>
        <x:v>30651383000129</x:v>
      </x:c>
      <x:c r="F2487" s="22" t="str">
        <x:f>"018.696.261-41"</x:f>
        <x:v>018.696.261-41</x:v>
      </x:c>
      <x:c r="G2487" s="22" t="str">
        <x:f>"01869626141"</x:f>
        <x:v>01869626141</x:v>
      </x:c>
      <x:c r="H2487" s="23" t="str">
        <x:v>marcaureliodeamorim@gmail.com</x:v>
      </x:c>
      <x:c r="I2487" s="22" t="str">
        <x:f>"6599361-0442"</x:f>
        <x:v>6599361-0442</x:v>
      </x:c>
      <x:c r="J2487" s="23" t="str">
        <x:v>SPOT</x:v>
      </x:c>
      <x:c r="K2487" s="23" t="str">
        <x:v>favored_only</x:v>
      </x:c>
      <x:c r="L2487" s="24" t="b">
        <x:v>1</x:v>
      </x:c>
      <x:c r="M2487" s="23" t="n">
        <x:v>1</x:v>
      </x:c>
      <x:c r="N2487" s="28" t="n">
        <x:v>46205.60440938657</x:v>
      </x:c>
      <x:c r="O2487" s="28" t="n">
        <x:v>46219.812988715275</x:v>
      </x:c>
      <x:c r="P2487" s="23" t="str">
        <x:v>CUIABA</x:v>
      </x:c>
      <x:c r="Q2487" s="30" t="n">
        <x:v>30955</x:v>
      </x:c>
      <x:c r="R2487" s="22" t="str">
        <x:f>"18374972"</x:f>
        <x:v>18374972</x:v>
      </x:c>
      <x:c r="S2487" s="23" t="str">
        <x:v>masculino</x:v>
      </x:c>
      <x:c r="T2487" s="22" t="str">
        <x:f>"RNP0D59"</x:f>
        <x:v>RNP0D59</x:v>
      </x:c>
      <x:c r="U2487" s="23" t="str">
        <x:v>FABIANE ANICESIO AMORIM</x:v>
      </x:c>
      <x:c r="V2487" s="22" t="str">
        <x:f>"003.110.931-40"</x:f>
        <x:v>003.110.931-40</x:v>
      </x:c>
      <x:c r="W2487" s="22" t="str">
        <x:f>"00311093140"</x:f>
        <x:v>00311093140</x:v>
      </x:c>
      <x:c r="X2487" s="23" t="str">
        <x:v>biaanicesio@gmail.com</x:v>
      </x:c>
      <x:c r="Y2487" s="22" t="str">
        <x:f>"65 99908-8618"</x:f>
        <x:v>65 99908-8618</x:v>
      </x:c>
      <x:c r="Z2487" s="30" t="n">
        <x:v>46273</x:v>
      </x:c>
    </x:row>
    <x:row r="2488" ht="18" customHeight="1">
      <x:c r="A2488" s="22" t="str">
        <x:f>"aeba16ae-5745-4519-b9c6-30131e686bc2"</x:f>
        <x:v>aeba16ae-5745-4519-b9c6-30131e686bc2</x:v>
      </x:c>
      <x:c r="B2488" s="23" t="str">
        <x:v>MARCELA AVELINO FONSECA LEITE</x:v>
      </x:c>
      <x:c r="C2488" s="23" t="str">
        <x:v>marcela avelino fonseca leite</x:v>
      </x:c>
      <x:c r="D2488" s="22" t="str">
        <x:f>"52.494.947/0001-08"</x:f>
        <x:v>52.494.947/0001-08</x:v>
      </x:c>
      <x:c r="E2488" s="22" t="str">
        <x:f>"52494947000108"</x:f>
        <x:v>52494947000108</x:v>
      </x:c>
      <x:c r="F2488" s="22" t="str">
        <x:f>"401.413.848-83"</x:f>
        <x:v>401.413.848-83</x:v>
      </x:c>
      <x:c r="G2488" s="22" t="str">
        <x:f>"40141384883"</x:f>
        <x:v>40141384883</x:v>
      </x:c>
      <x:c r="H2488" s="23" t="str">
        <x:v>Marcelafonsecaleite2012@gmail.com</x:v>
      </x:c>
      <x:c r="I2488" s="22" t="str">
        <x:f>"18997509021"</x:f>
        <x:v>18997509021</x:v>
      </x:c>
      <x:c r="J2488" s="23" t="str">
        <x:v>RENTAL</x:v>
      </x:c>
      <x:c r="K2488" s="23" t="str">
        <x:v>rental_company</x:v>
      </x:c>
      <x:c r="L2488" s="24" t="b">
        <x:v>1</x:v>
      </x:c>
      <x:c r="M2488" s="23" t="n">
        <x:v>1</x:v>
      </x:c>
      <x:c r="N2488" s="28" t="n">
        <x:v>46203.92189965278</x:v>
      </x:c>
      <x:c r="O2488" s="28" t="n">
        <x:v>46219.812988715275</x:v>
      </x:c>
      <x:c r="P2488" s="23" t="str">
        <x:v>PRESIDENTE PRUDENTE</x:v>
      </x:c>
      <x:c r="Q2488" s="30" t="n">
        <x:v>34819</x:v>
      </x:c>
      <x:c r="R2488" s="22" t="str">
        <x:f>"4290214375"</x:f>
        <x:v>4290214375</x:v>
      </x:c>
      <x:c r="S2488" s="23" t="str">
        <x:v>feminino</x:v>
      </x:c>
      <x:c r="T2488" s="22" t="str"/>
      <x:c r="U2488" s="23" t="str">
        <x:v>MARCELA AVELINO FONSECA LEITE</x:v>
      </x:c>
      <x:c r="V2488" s="22" t="str">
        <x:f>"401.413.848-83"</x:f>
        <x:v>401.413.848-83</x:v>
      </x:c>
      <x:c r="W2488" s="22" t="str">
        <x:f>"40141384883"</x:f>
        <x:v>40141384883</x:v>
      </x:c>
      <x:c r="X2488" s="23" t="str">
        <x:v>Marcelafonsecaleite2012@gmail.com</x:v>
      </x:c>
      <x:c r="Y2488" s="22" t="str">
        <x:f>"18997509021"</x:f>
        <x:v>18997509021</x:v>
      </x:c>
      <x:c r="Z2488" s="30" t="n">
        <x:v>46358</x:v>
      </x:c>
    </x:row>
    <x:row r="2489" ht="18" customHeight="1">
      <x:c r="A2489" s="22" t="str">
        <x:f>"e3f78857-4444-4d26-82fe-672ccd0494c4"</x:f>
        <x:v>e3f78857-4444-4d26-82fe-672ccd0494c4</x:v>
      </x:c>
      <x:c r="B2489" s="23" t="str">
        <x:v>MARCELA MARQUES ALVES DE ABREU</x:v>
      </x:c>
      <x:c r="C2489" s="23" t="str">
        <x:v>marcela marques alves de abreu</x:v>
      </x:c>
      <x:c r="D2489" s="22" t="str">
        <x:f>"52.664.355/0001-89"</x:f>
        <x:v>52.664.355/0001-89</x:v>
      </x:c>
      <x:c r="E2489" s="22" t="str">
        <x:f>"52664355000189"</x:f>
        <x:v>52664355000189</x:v>
      </x:c>
      <x:c r="F2489" s="22" t="str">
        <x:f>"158.478.606-09"</x:f>
        <x:v>158.478.606-09</x:v>
      </x:c>
      <x:c r="G2489" s="22" t="str">
        <x:f>"15847860609"</x:f>
        <x:v>15847860609</x:v>
      </x:c>
      <x:c r="H2489" s="23" t="str">
        <x:v>malvesz03@icloud.com</x:v>
      </x:c>
      <x:c r="I2489" s="22" t="str">
        <x:f>"(34) 99826-0061"</x:f>
        <x:v>(34) 99826-0061</x:v>
      </x:c>
      <x:c r="J2489" s="23" t="str">
        <x:v>SPOT</x:v>
      </x:c>
      <x:c r="K2489" s="23" t="str">
        <x:v>favored_only</x:v>
      </x:c>
      <x:c r="L2489" s="24" t="b">
        <x:v>1</x:v>
      </x:c>
      <x:c r="M2489" s="23" t="n">
        <x:v>1</x:v>
      </x:c>
      <x:c r="N2489" s="28" t="n">
        <x:v>46205.60676980324</x:v>
      </x:c>
      <x:c r="O2489" s="28" t="n">
        <x:v>46219.812988715275</x:v>
      </x:c>
      <x:c r="P2489" s="23" t="str">
        <x:v>ARAXÁ</x:v>
      </x:c>
      <x:c r="Q2489" s="30" t="n">
        <x:v>37260</x:v>
      </x:c>
      <x:c r="R2489" s="22" t="str">
        <x:f>"21576217"</x:f>
        <x:v>21576217</x:v>
      </x:c>
      <x:c r="S2489" s="23" t="str">
        <x:v>feminino</x:v>
      </x:c>
      <x:c r="T2489" s="22" t="str">
        <x:f>"PXA7G96"</x:f>
        <x:v>PXA7G96</x:v>
      </x:c>
      <x:c r="U2489" s="23" t="str">
        <x:v>GIVAGO AUGUSTO REZENDE SILVA</x:v>
      </x:c>
      <x:c r="V2489" s="22" t="str">
        <x:f>"101.346.146-07"</x:f>
        <x:v>101.346.146-07</x:v>
      </x:c>
      <x:c r="W2489" s="22" t="str">
        <x:f>"10134614607"</x:f>
        <x:v>10134614607</x:v>
      </x:c>
      <x:c r="X2489" s="23" t="str">
        <x:v>givagoaugusto28@hotmail.com</x:v>
      </x:c>
      <x:c r="Y2489" s="22" t="str">
        <x:f>"34992472640"</x:f>
        <x:v>34992472640</x:v>
      </x:c>
      <x:c r="Z2489" s="30" t="n">
        <x:v>46374</x:v>
      </x:c>
    </x:row>
    <x:row r="2490" ht="18" customHeight="1">
      <x:c r="A2490" s="22" t="str">
        <x:f>"1cd5c23b-d363-43a7-aa29-3292f3b9aad0"</x:f>
        <x:v>1cd5c23b-d363-43a7-aa29-3292f3b9aad0</x:v>
      </x:c>
      <x:c r="B2490" s="23" t="str">
        <x:v>MARCEL GEORGE MORAES BARBOSA</x:v>
      </x:c>
      <x:c r="C2490" s="23" t="str">
        <x:v>marcel george moraes barbosa</x:v>
      </x:c>
      <x:c r="D2490" s="22" t="str">
        <x:f>"37.823.997/0001-90"</x:f>
        <x:v>37.823.997/0001-90</x:v>
      </x:c>
      <x:c r="E2490" s="22" t="str">
        <x:f>"37823997000190"</x:f>
        <x:v>37823997000190</x:v>
      </x:c>
      <x:c r="F2490" s="22" t="str">
        <x:f>"061.121.751-18"</x:f>
        <x:v>061.121.751-18</x:v>
      </x:c>
      <x:c r="G2490" s="22" t="str">
        <x:f>"06112175118"</x:f>
        <x:v>06112175118</x:v>
      </x:c>
      <x:c r="H2490" s="23" t="str">
        <x:v>gs1791021@gmail.com</x:v>
      </x:c>
      <x:c r="I2490" s="22" t="str">
        <x:f>"66996735959"</x:f>
        <x:v>66996735959</x:v>
      </x:c>
      <x:c r="J2490" s="23" t="str">
        <x:v>SPOT</x:v>
      </x:c>
      <x:c r="K2490" s="23" t="str">
        <x:v>favored_only</x:v>
      </x:c>
      <x:c r="L2490" s="24" t="b">
        <x:v>1</x:v>
      </x:c>
      <x:c r="M2490" s="23" t="n">
        <x:v>1</x:v>
      </x:c>
      <x:c r="N2490" s="28" t="n">
        <x:v>46205.60621787037</x:v>
      </x:c>
      <x:c r="O2490" s="28" t="n">
        <x:v>46219.812988715275</x:v>
      </x:c>
      <x:c r="P2490" s="23" t="str">
        <x:v>PONTES E LACERDA</x:v>
      </x:c>
      <x:c r="Q2490" s="30" t="n">
        <x:v>33255</x:v>
      </x:c>
      <x:c r="R2490" s="22" t="str">
        <x:f>"22740520"</x:f>
        <x:v>22740520</x:v>
      </x:c>
      <x:c r="S2490" s="23" t="str">
        <x:v>masculino</x:v>
      </x:c>
      <x:c r="T2490" s="22" t="str">
        <x:f>"NTY7C67"</x:f>
        <x:v>NTY7C67</x:v>
      </x:c>
      <x:c r="U2490" s="23" t="str">
        <x:v>RODOPRIME</x:v>
      </x:c>
      <x:c r="V2490" s="22" t="str">
        <x:f>"962.005.291-91"</x:f>
        <x:v>962.005.291-91</x:v>
      </x:c>
      <x:c r="W2490" s="22" t="str">
        <x:f>"96200529191"</x:f>
        <x:v>96200529191</x:v>
      </x:c>
      <x:c r="X2490" s="23" t="str">
        <x:v>rpt.cargas@gmail.com</x:v>
      </x:c>
      <x:c r="Y2490" s="22" t="str">
        <x:f>"(62) 99661-0607"</x:f>
        <x:v>(62) 99661-0607</x:v>
      </x:c>
      <x:c r="Z2490" s="30" t="n">
        <x:v>46350</x:v>
      </x:c>
    </x:row>
    <x:row r="2491" ht="18" customHeight="1">
      <x:c r="A2491" s="22" t="str">
        <x:f>"7f6c5d74-810a-4eae-bab2-d58f8e6286ce"</x:f>
        <x:v>7f6c5d74-810a-4eae-bab2-d58f8e6286ce</x:v>
      </x:c>
      <x:c r="B2491" s="23" t="str">
        <x:v>MARCELINA DO ROSARIO OLIVEIRA SILVA</x:v>
      </x:c>
      <x:c r="C2491" s="23" t="str">
        <x:v>marcelina do rosario oliveira silva</x:v>
      </x:c>
      <x:c r="D2491" s="22" t="str">
        <x:f>"40.580.259/0001-73"</x:f>
        <x:v>40.580.259/0001-73</x:v>
      </x:c>
      <x:c r="E2491" s="22" t="str">
        <x:f>"40580259000173"</x:f>
        <x:v>40580259000173</x:v>
      </x:c>
      <x:c r="F2491" s="22" t="str">
        <x:f>"022.962.277-16"</x:f>
        <x:v>022.962.277-16</x:v>
      </x:c>
      <x:c r="G2491" s="22" t="str">
        <x:f>"02296227716"</x:f>
        <x:v>02296227716</x:v>
      </x:c>
      <x:c r="H2491" s="23" t="str">
        <x:v>marcelina_oliveira@hotmail.com</x:v>
      </x:c>
      <x:c r="I2491" s="22" t="str">
        <x:f>"21973445000"</x:f>
        <x:v>21973445000</x:v>
      </x:c>
      <x:c r="J2491" s="23" t="str">
        <x:v>SPOT</x:v>
      </x:c>
      <x:c r="K2491" s="23" t="str">
        <x:v>favored_only</x:v>
      </x:c>
      <x:c r="L2491" s="24" t="b">
        <x:v>1</x:v>
      </x:c>
      <x:c r="M2491" s="23" t="n">
        <x:v>1</x:v>
      </x:c>
      <x:c r="N2491" s="28" t="n">
        <x:v>46219.812988715275</x:v>
      </x:c>
      <x:c r="O2491" s="28" t="n">
        <x:v>46219.812988715275</x:v>
      </x:c>
      <x:c r="P2491" s="23" t="str">
        <x:v>QUEIMADOS</x:v>
      </x:c>
      <x:c r="Q2491" s="30" t="n">
        <x:v>27048</x:v>
      </x:c>
      <x:c r="R2491" s="22" t="str">
        <x:f>"88907142"</x:f>
        <x:v>88907142</x:v>
      </x:c>
      <x:c r="S2491" s="23" t="str">
        <x:v>feminino</x:v>
      </x:c>
      <x:c r="T2491" s="22" t="str">
        <x:f>"LPY6H64"</x:f>
        <x:v>LPY6H64</x:v>
      </x:c>
      <x:c r="U2491" s="23" t="str">
        <x:v>MARCELINA DO ROSARIO OLIVEIRA SILVA</x:v>
      </x:c>
      <x:c r="V2491" s="22" t="str">
        <x:f>"022.962.277-16"</x:f>
        <x:v>022.962.277-16</x:v>
      </x:c>
      <x:c r="W2491" s="22" t="str">
        <x:f>"02296227716"</x:f>
        <x:v>02296227716</x:v>
      </x:c>
      <x:c r="X2491" s="23" t="str">
        <x:v>marcelina_oliveira@hotmail.com</x:v>
      </x:c>
      <x:c r="Y2491" s="22" t="str">
        <x:f>"21973445000"</x:f>
        <x:v>21973445000</x:v>
      </x:c>
      <x:c r="Z2491" s="30" t="n">
        <x:v>46467</x:v>
      </x:c>
    </x:row>
    <x:row r="2492" ht="18" customHeight="1">
      <x:c r="A2492" s="22" t="str">
        <x:f>"1bbcbe40-18bb-4a0b-b717-8be8a65c4f88"</x:f>
        <x:v>1bbcbe40-18bb-4a0b-b717-8be8a65c4f88</x:v>
      </x:c>
      <x:c r="B2492" s="23" t="str">
        <x:v>MARCELO ALAN DE OLIVEIRA BORGES.</x:v>
      </x:c>
      <x:c r="C2492" s="23" t="str">
        <x:v>marcelo alan de oliveira borges</x:v>
      </x:c>
      <x:c r="D2492" s="22" t="str">
        <x:f>"40.271.260/0001-16"</x:f>
        <x:v>40.271.260/0001-16</x:v>
      </x:c>
      <x:c r="E2492" s="22" t="str">
        <x:f>"40271260000116"</x:f>
        <x:v>40271260000116</x:v>
      </x:c>
      <x:c r="F2492" s="22" t="str">
        <x:f>"104.822.856-80"</x:f>
        <x:v>104.822.856-80</x:v>
      </x:c>
      <x:c r="G2492" s="22" t="str">
        <x:f>"10482285680"</x:f>
        <x:v>10482285680</x:v>
      </x:c>
      <x:c r="H2492" s="23" t="str">
        <x:v>marcelomaju2019@gmail.com</x:v>
      </x:c>
      <x:c r="I2492" s="22" t="str">
        <x:f>"31971245055"</x:f>
        <x:v>31971245055</x:v>
      </x:c>
      <x:c r="J2492" s="23" t="str">
        <x:v>RENTAL</x:v>
      </x:c>
      <x:c r="K2492" s="23" t="str">
        <x:v>rental_company</x:v>
      </x:c>
      <x:c r="L2492" s="24" t="b">
        <x:v>1</x:v>
      </x:c>
      <x:c r="M2492" s="23" t="n">
        <x:v>1</x:v>
      </x:c>
      <x:c r="N2492" s="28" t="n">
        <x:v>46219.812988715275</x:v>
      </x:c>
      <x:c r="O2492" s="28" t="n">
        <x:v>46219.812988715275</x:v>
      </x:c>
      <x:c r="P2492" s="23" t="str">
        <x:v>NOVA LIMA</x:v>
      </x:c>
      <x:c r="Q2492" s="30" t="n">
        <x:v>32698</x:v>
      </x:c>
      <x:c r="R2492" s="22" t="str">
        <x:f>"14790307"</x:f>
        <x:v>14790307</x:v>
      </x:c>
      <x:c r="S2492" s="23" t="str">
        <x:v>masculino</x:v>
      </x:c>
      <x:c r="T2492" s="22" t="str"/>
      <x:c r="U2492" s="23" t="str">
        <x:v>MARCELO ALAN DE OLIVEIRA BORGES.</x:v>
      </x:c>
      <x:c r="V2492" s="22" t="str">
        <x:f>"104.822.856-80"</x:f>
        <x:v>104.822.856-80</x:v>
      </x:c>
      <x:c r="W2492" s="22" t="str">
        <x:f>"10482285680"</x:f>
        <x:v>10482285680</x:v>
      </x:c>
      <x:c r="X2492" s="23" t="str">
        <x:v>marcelomaju2019@gmail.com</x:v>
      </x:c>
      <x:c r="Y2492" s="22" t="str">
        <x:f>"31971245055"</x:f>
        <x:v>31971245055</x:v>
      </x:c>
      <x:c r="Z2492" s="30" t="n">
        <x:v>46556</x:v>
      </x:c>
    </x:row>
    <x:row r="2493" ht="18" customHeight="1">
      <x:c r="A2493" s="22" t="str">
        <x:f>"5ce70090-4cd2-4635-8b31-e7e2bc8799fe"</x:f>
        <x:v>5ce70090-4cd2-4635-8b31-e7e2bc8799fe</x:v>
      </x:c>
      <x:c r="B2493" s="23" t="str">
        <x:v>MARCELO AUGUSTO MARTINS</x:v>
      </x:c>
      <x:c r="C2493" s="23" t="str">
        <x:v>marcelo augusto martins</x:v>
      </x:c>
      <x:c r="D2493" s="22" t="str">
        <x:f>"51.799.459/0001-38"</x:f>
        <x:v>51.799.459/0001-38</x:v>
      </x:c>
      <x:c r="E2493" s="22" t="str">
        <x:f>"51799459000138"</x:f>
        <x:v>51799459000138</x:v>
      </x:c>
      <x:c r="F2493" s="22" t="str">
        <x:f>"419.561.818-57"</x:f>
        <x:v>419.561.818-57</x:v>
      </x:c>
      <x:c r="G2493" s="22" t="str">
        <x:f>"41956181857"</x:f>
        <x:v>41956181857</x:v>
      </x:c>
      <x:c r="H2493" s="23" t="str">
        <x:v>marcellomatheus1309@gmail.com</x:v>
      </x:c>
      <x:c r="I2493" s="22" t="str">
        <x:f>"17988361261"</x:f>
        <x:v>17988361261</x:v>
      </x:c>
      <x:c r="J2493" s="23" t="str">
        <x:v>SPOT</x:v>
      </x:c>
      <x:c r="K2493" s="23" t="str">
        <x:v>favored_only</x:v>
      </x:c>
      <x:c r="L2493" s="24" t="b">
        <x:v>1</x:v>
      </x:c>
      <x:c r="M2493" s="23" t="n">
        <x:v>1</x:v>
      </x:c>
      <x:c r="N2493" s="28" t="n">
        <x:v>46203.92183332176</x:v>
      </x:c>
      <x:c r="O2493" s="28" t="n">
        <x:v>46205.60473100695</x:v>
      </x:c>
      <x:c r="P2493" s="23" t="str">
        <x:v>SÃO JOSE DO RIO PRETO</x:v>
      </x:c>
      <x:c r="Q2493" s="30" t="n">
        <x:v>34540</x:v>
      </x:c>
      <x:c r="R2493" s="22" t="str">
        <x:f>"496984172"</x:f>
        <x:v>496984172</x:v>
      </x:c>
      <x:c r="S2493" s="23" t="str">
        <x:v>Masculino</x:v>
      </x:c>
      <x:c r="T2493" s="22" t="str">
        <x:f>"FVH4B77"</x:f>
        <x:v>FVH4B77</x:v>
      </x:c>
      <x:c r="U2493" s="23" t="str">
        <x:v>MARCELO AUGUSTO MARTINS</x:v>
      </x:c>
      <x:c r="V2493" s="22" t="str">
        <x:f>"41956181857"</x:f>
        <x:v>41956181857</x:v>
      </x:c>
      <x:c r="W2493" s="22" t="str">
        <x:f>"41956181857"</x:f>
        <x:v>41956181857</x:v>
      </x:c>
      <x:c r="X2493" s="23" t="str">
        <x:v>marcellomatheus1309@gmail.com</x:v>
      </x:c>
      <x:c r="Y2493" s="22" t="str">
        <x:f>"17988361261"</x:f>
        <x:v>17988361261</x:v>
      </x:c>
      <x:c r="Z2493" s="30" t="n">
        <x:v>46210</x:v>
      </x:c>
    </x:row>
    <x:row r="2494" ht="18" customHeight="1">
      <x:c r="A2494" s="22" t="str">
        <x:f>"aa7af18c-e3c4-4e0c-8944-e3d3488e6634"</x:f>
        <x:v>aa7af18c-e3c4-4e0c-8944-e3d3488e6634</x:v>
      </x:c>
      <x:c r="B2494" s="23" t="str">
        <x:v>MARCELO AUGUSTO MIRANDA DOS SANTOS</x:v>
      </x:c>
      <x:c r="C2494" s="23" t="str">
        <x:v>marcelo augusto miranda dos santos</x:v>
      </x:c>
      <x:c r="D2494" s="22" t="str">
        <x:f>"57.864.438/0001-35"</x:f>
        <x:v>57.864.438/0001-35</x:v>
      </x:c>
      <x:c r="E2494" s="22" t="str">
        <x:f>"57864438000135"</x:f>
        <x:v>57864438000135</x:v>
      </x:c>
      <x:c r="F2494" s="22" t="str">
        <x:f>"098.027.666-74"</x:f>
        <x:v>098.027.666-74</x:v>
      </x:c>
      <x:c r="G2494" s="22" t="str">
        <x:f>"09802766674"</x:f>
        <x:v>09802766674</x:v>
      </x:c>
      <x:c r="H2494" s="23" t="str">
        <x:v>marcelo4691@gmail.com</x:v>
      </x:c>
      <x:c r="I2494" s="22" t="str">
        <x:f>"33999256914"</x:f>
        <x:v>33999256914</x:v>
      </x:c>
      <x:c r="J2494" s="23" t="str">
        <x:v>SPOT</x:v>
      </x:c>
      <x:c r="K2494" s="23" t="str">
        <x:v>favored_only</x:v>
      </x:c>
      <x:c r="L2494" s="24" t="b">
        <x:v>1</x:v>
      </x:c>
      <x:c r="M2494" s="23" t="n">
        <x:v>1</x:v>
      </x:c>
      <x:c r="N2494" s="28" t="n">
        <x:v>46203.9219084375</x:v>
      </x:c>
      <x:c r="O2494" s="28" t="n">
        <x:v>46219.812988715275</x:v>
      </x:c>
      <x:c r="P2494" s="23" t="str">
        <x:v>GUANHAES</x:v>
      </x:c>
      <x:c r="Q2494" s="30" t="n">
        <x:v>33393</x:v>
      </x:c>
      <x:c r="R2494" s="22" t="str">
        <x:f>"14379881"</x:f>
        <x:v>14379881</x:v>
      </x:c>
      <x:c r="S2494" s="23" t="str">
        <x:v>masculino</x:v>
      </x:c>
      <x:c r="T2494" s="22" t="str">
        <x:f>"RTC8I56"</x:f>
        <x:v>RTC8I56</x:v>
      </x:c>
      <x:c r="U2494" s="23" t="str">
        <x:v>MARCELO AUGUSTO MIRANDA DOS SANTOS</x:v>
      </x:c>
      <x:c r="V2494" s="22" t="str">
        <x:f>"098.027.666-74"</x:f>
        <x:v>098.027.666-74</x:v>
      </x:c>
      <x:c r="W2494" s="22" t="str">
        <x:f>"09802766674"</x:f>
        <x:v>09802766674</x:v>
      </x:c>
      <x:c r="X2494" s="23" t="str">
        <x:v>marcelo4691@gmail.com</x:v>
      </x:c>
      <x:c r="Y2494" s="22" t="str">
        <x:f>"33999256914"</x:f>
        <x:v>33999256914</x:v>
      </x:c>
      <x:c r="Z2494" s="30" t="n">
        <x:v>46395</x:v>
      </x:c>
    </x:row>
    <x:row r="2495" ht="18" customHeight="1">
      <x:c r="A2495" s="22" t="str">
        <x:f>"e0e7c078-9580-4ccd-a4a6-da1a51364f8d"</x:f>
        <x:v>e0e7c078-9580-4ccd-a4a6-da1a51364f8d</x:v>
      </x:c>
      <x:c r="B2495" s="23" t="str">
        <x:v>MARCELO AZEVEDO PEREIRA</x:v>
      </x:c>
      <x:c r="C2495" s="23" t="str">
        <x:v>marcelo azevedo pereira</x:v>
      </x:c>
      <x:c r="D2495" s="22" t="str">
        <x:f>"32.181.391/0001-84"</x:f>
        <x:v>32.181.391/0001-84</x:v>
      </x:c>
      <x:c r="E2495" s="22" t="str">
        <x:f>"32181391000184"</x:f>
        <x:v>32181391000184</x:v>
      </x:c>
      <x:c r="F2495" s="22" t="str">
        <x:f>"005.581.647-90"</x:f>
        <x:v>005.581.647-90</x:v>
      </x:c>
      <x:c r="G2495" s="22" t="str">
        <x:f>"00558164790"</x:f>
        <x:v>00558164790</x:v>
      </x:c>
      <x:c r="H2495" s="23" t="str">
        <x:v>Marcelofox69@gmail.com</x:v>
      </x:c>
      <x:c r="I2495" s="22" t="str">
        <x:f>"21965151825"</x:f>
        <x:v>21965151825</x:v>
      </x:c>
      <x:c r="J2495" s="23" t="str">
        <x:v>SPOT</x:v>
      </x:c>
      <x:c r="K2495" s="23" t="str">
        <x:v>favored_only</x:v>
      </x:c>
      <x:c r="L2495" s="24" t="b">
        <x:v>1</x:v>
      </x:c>
      <x:c r="M2495" s="23" t="n">
        <x:v>1</x:v>
      </x:c>
      <x:c r="N2495" s="28" t="n">
        <x:v>46219.812988715275</x:v>
      </x:c>
      <x:c r="O2495" s="28" t="n">
        <x:v>46219.812988715275</x:v>
      </x:c>
      <x:c r="P2495" s="23" t="str">
        <x:v>SÃO JOAO DE MERITI</x:v>
      </x:c>
      <x:c r="Q2495" s="30" t="n">
        <x:v>25268</x:v>
      </x:c>
      <x:c r="R2495" s="22" t="str">
        <x:f>"42473140"</x:f>
        <x:v>42473140</x:v>
      </x:c>
      <x:c r="S2495" s="23" t="str">
        <x:v>masculino</x:v>
      </x:c>
      <x:c r="T2495" s="22" t="str">
        <x:f>"RIY8F83"</x:f>
        <x:v>RIY8F83</x:v>
      </x:c>
      <x:c r="U2495" s="23" t="str">
        <x:v>MARCELO AZEVEDO PEREIRA</x:v>
      </x:c>
      <x:c r="V2495" s="22" t="str">
        <x:f>"005.581.647-90"</x:f>
        <x:v>005.581.647-90</x:v>
      </x:c>
      <x:c r="W2495" s="22" t="str">
        <x:f>"00558164790"</x:f>
        <x:v>00558164790</x:v>
      </x:c>
      <x:c r="X2495" s="23" t="str">
        <x:v>Marcelofox69@gmail.com</x:v>
      </x:c>
      <x:c r="Y2495" s="22" t="str">
        <x:f>"21965151825"</x:f>
        <x:v>21965151825</x:v>
      </x:c>
      <x:c r="Z2495" s="30" t="n">
        <x:v>46570</x:v>
      </x:c>
    </x:row>
    <x:row r="2496" ht="18" customHeight="1">
      <x:c r="A2496" s="22" t="str">
        <x:f>"12008e89-2004-4d65-b5b4-6da3608a2289"</x:f>
        <x:v>12008e89-2004-4d65-b5b4-6da3608a2289</x:v>
      </x:c>
      <x:c r="B2496" s="23" t="str">
        <x:v>MARCELO BARBOSA DA SILVA</x:v>
      </x:c>
      <x:c r="C2496" s="23" t="str">
        <x:v>marcelo barbosa da silva</x:v>
      </x:c>
      <x:c r="D2496" s="22" t="str">
        <x:f>"42.403.575/0001-03"</x:f>
        <x:v>42.403.575/0001-03</x:v>
      </x:c>
      <x:c r="E2496" s="22" t="str">
        <x:f>"42403575000103"</x:f>
        <x:v>42403575000103</x:v>
      </x:c>
      <x:c r="F2496" s="22" t="str">
        <x:f>"092.732.946-85"</x:f>
        <x:v>092.732.946-85</x:v>
      </x:c>
      <x:c r="G2496" s="22" t="str">
        <x:f>"09273294685"</x:f>
        <x:v>09273294685</x:v>
      </x:c>
      <x:c r="H2496" s="23" t="str">
        <x:v>JOSESILVANO170248@GMAIL.COM</x:v>
      </x:c>
      <x:c r="I2496" s="22" t="str">
        <x:f>"35 998169186"</x:f>
        <x:v>35 998169186</x:v>
      </x:c>
      <x:c r="J2496" s="23" t="str">
        <x:v>SPOT</x:v>
      </x:c>
      <x:c r="K2496" s="23" t="str">
        <x:v>favored_only</x:v>
      </x:c>
      <x:c r="L2496" s="24" t="b">
        <x:v>1</x:v>
      </x:c>
      <x:c r="M2496" s="23" t="n">
        <x:v>1</x:v>
      </x:c>
      <x:c r="N2496" s="28" t="n">
        <x:v>46203.921824756944</x:v>
      </x:c>
      <x:c r="O2496" s="28" t="n">
        <x:v>46219.812988715275</x:v>
      </x:c>
      <x:c r="P2496" s="23" t="str">
        <x:v>GUAXUPE</x:v>
      </x:c>
      <x:c r="Q2496" s="30" t="n">
        <x:v>33345</x:v>
      </x:c>
      <x:c r="R2496" s="22" t="str">
        <x:f>"13448920"</x:f>
        <x:v>13448920</x:v>
      </x:c>
      <x:c r="S2496" s="23" t="str">
        <x:v>masculino</x:v>
      </x:c>
      <x:c r="T2496" s="22" t="str">
        <x:f>"OWM5J51"</x:f>
        <x:v>OWM5J51</x:v>
      </x:c>
      <x:c r="U2496" s="23" t="str">
        <x:v>MARCELO BARBOSA DA SILVA</x:v>
      </x:c>
      <x:c r="V2496" s="22" t="str">
        <x:f>"092.732.946-85"</x:f>
        <x:v>092.732.946-85</x:v>
      </x:c>
      <x:c r="W2496" s="22" t="str">
        <x:f>"09273294685"</x:f>
        <x:v>09273294685</x:v>
      </x:c>
      <x:c r="X2496" s="23" t="str">
        <x:v>JOSESILVANO170248@GMAIL.COM</x:v>
      </x:c>
      <x:c r="Y2496" s="22" t="str">
        <x:f>"35 998169186"</x:f>
        <x:v>35 998169186</x:v>
      </x:c>
      <x:c r="Z2496" s="30" t="n">
        <x:v>46521</x:v>
      </x:c>
    </x:row>
    <x:row r="2497" ht="18" customHeight="1">
      <x:c r="A2497" s="22" t="str">
        <x:f>"4bbe0cfc-21f1-40bb-a80f-a01615406892"</x:f>
        <x:v>4bbe0cfc-21f1-40bb-a80f-a01615406892</x:v>
      </x:c>
      <x:c r="B2497" s="23" t="str">
        <x:v>MARCELO BATISTA DA SILVA</x:v>
      </x:c>
      <x:c r="C2497" s="23" t="str">
        <x:v>marcelo batista da silva</x:v>
      </x:c>
      <x:c r="D2497" s="22" t="str">
        <x:f>"61.223.527/0001-70"</x:f>
        <x:v>61.223.527/0001-70</x:v>
      </x:c>
      <x:c r="E2497" s="22" t="str">
        <x:f>"61223527000170"</x:f>
        <x:v>61223527000170</x:v>
      </x:c>
      <x:c r="F2497" s="22" t="str">
        <x:f>"133.565.556-50"</x:f>
        <x:v>133.565.556-50</x:v>
      </x:c>
      <x:c r="G2497" s="22" t="str">
        <x:f>"13356555650"</x:f>
        <x:v>13356555650</x:v>
      </x:c>
      <x:c r="H2497" s="23" t="str">
        <x:v>marceloalves608@hotmail.com</x:v>
      </x:c>
      <x:c r="I2497" s="22" t="str">
        <x:f>"31984997147"</x:f>
        <x:v>31984997147</x:v>
      </x:c>
      <x:c r="J2497" s="23" t="str">
        <x:v>SPOT</x:v>
      </x:c>
      <x:c r="K2497" s="23" t="str">
        <x:v>favored_only</x:v>
      </x:c>
      <x:c r="L2497" s="24" t="b">
        <x:v>1</x:v>
      </x:c>
      <x:c r="M2497" s="23" t="n">
        <x:v>1</x:v>
      </x:c>
      <x:c r="N2497" s="28" t="n">
        <x:v>46205.60356054398</x:v>
      </x:c>
      <x:c r="O2497" s="28" t="n">
        <x:v>46219.812988715275</x:v>
      </x:c>
      <x:c r="P2497" s="23" t="str">
        <x:v>CONCEIÇÃO DO MATO DENTRO</x:v>
      </x:c>
      <x:c r="Q2497" s="30" t="n">
        <x:v>34916</x:v>
      </x:c>
      <x:c r="R2497" s="22" t="str">
        <x:f>"18492632"</x:f>
        <x:v>18492632</x:v>
      </x:c>
      <x:c r="S2497" s="23" t="str">
        <x:v>masculino</x:v>
      </x:c>
      <x:c r="T2497" s="22" t="str">
        <x:f>"OYZ4H03"</x:f>
        <x:v>OYZ4H03</x:v>
      </x:c>
      <x:c r="U2497" s="23" t="str">
        <x:v>VIVIANE MARIA DE SOUZA REIS</x:v>
      </x:c>
      <x:c r="V2497" s="22" t="str">
        <x:f>"061.036.806-03"</x:f>
        <x:v>061.036.806-03</x:v>
      </x:c>
      <x:c r="W2497" s="22" t="str">
        <x:f>"06103680603"</x:f>
        <x:v>06103680603</x:v>
      </x:c>
      <x:c r="X2497" s="23" t="str">
        <x:v>vivianereis120@gmail.com</x:v>
      </x:c>
      <x:c r="Y2497" s="22" t="str">
        <x:f>"3198424-2236"</x:f>
        <x:v>3198424-2236</x:v>
      </x:c>
      <x:c r="Z2497" s="30" t="n">
        <x:v>46579</x:v>
      </x:c>
    </x:row>
    <x:row r="2498" ht="18" customHeight="1">
      <x:c r="A2498" s="22" t="str">
        <x:f>"bb85e75d-d764-428c-b600-6c47ec217e83"</x:f>
        <x:v>bb85e75d-d764-428c-b600-6c47ec217e83</x:v>
      </x:c>
      <x:c r="B2498" s="23" t="str">
        <x:v>MARCELO BATISTA DE AMORIM</x:v>
      </x:c>
      <x:c r="C2498" s="23" t="str">
        <x:v>marcelo batista de amorim</x:v>
      </x:c>
      <x:c r="D2498" s="22" t="str">
        <x:f>"38.350.604/0001-30"</x:f>
        <x:v>38.350.604/0001-30</x:v>
      </x:c>
      <x:c r="E2498" s="22" t="str">
        <x:f>"38350604000130"</x:f>
        <x:v>38350604000130</x:v>
      </x:c>
      <x:c r="F2498" s="22" t="str">
        <x:f>"531.396.311-20"</x:f>
        <x:v>531.396.311-20</x:v>
      </x:c>
      <x:c r="G2498" s="22" t="str">
        <x:f>"53139631120"</x:f>
        <x:v>53139631120</x:v>
      </x:c>
      <x:c r="H2498" s="23" t="str">
        <x:v>marceloamorim030@gmail.com</x:v>
      </x:c>
      <x:c r="I2498" s="22" t="str">
        <x:f>"6592388025"</x:f>
        <x:v>6592388025</x:v>
      </x:c>
      <x:c r="J2498" s="23" t="str">
        <x:v>SPOT</x:v>
      </x:c>
      <x:c r="K2498" s="23" t="str">
        <x:v>favored_only</x:v>
      </x:c>
      <x:c r="L2498" s="24" t="b">
        <x:v>1</x:v>
      </x:c>
      <x:c r="M2498" s="23" t="n">
        <x:v>1</x:v>
      </x:c>
      <x:c r="N2498" s="28" t="n">
        <x:v>46219.812988715275</x:v>
      </x:c>
      <x:c r="O2498" s="28" t="n">
        <x:v>46219.812988715275</x:v>
      </x:c>
      <x:c r="P2498" s="23" t="str">
        <x:v>CUIABA</x:v>
      </x:c>
      <x:c r="Q2498" s="30" t="n">
        <x:v>25878</x:v>
      </x:c>
      <x:c r="R2498" s="22" t="str">
        <x:f>"742"</x:f>
        <x:v>742</x:v>
      </x:c>
      <x:c r="S2498" s="23" t="str">
        <x:v>masculino</x:v>
      </x:c>
      <x:c r="T2498" s="22" t="str">
        <x:f>"QCL9H92"</x:f>
        <x:v>QCL9H92</x:v>
      </x:c>
      <x:c r="U2498" s="23" t="str">
        <x:v>ROSELI KLANN</x:v>
      </x:c>
      <x:c r="V2498" s="22" t="str">
        <x:f>"973.595.561-04"</x:f>
        <x:v>973.595.561-04</x:v>
      </x:c>
      <x:c r="W2498" s="22" t="str">
        <x:f>"97359556104"</x:f>
        <x:v>97359556104</x:v>
      </x:c>
      <x:c r="X2498" s="23" t="str">
        <x:v>roseliklann36@gmail.com</x:v>
      </x:c>
      <x:c r="Y2498" s="22" t="str">
        <x:f>"65992468971"</x:f>
        <x:v>65992468971</x:v>
      </x:c>
      <x:c r="Z2498" s="30" t="n">
        <x:v>46467</x:v>
      </x:c>
    </x:row>
    <x:row r="2499" ht="18" customHeight="1">
      <x:c r="A2499" s="22" t="str">
        <x:f>"5ed8fdc1-0717-4884-93a2-22a45f723ae6"</x:f>
        <x:v>5ed8fdc1-0717-4884-93a2-22a45f723ae6</x:v>
      </x:c>
      <x:c r="B2499" s="23" t="str">
        <x:v>MARCELO DA SILVA PONTES</x:v>
      </x:c>
      <x:c r="C2499" s="23" t="str">
        <x:v>marcelo da silva pontes</x:v>
      </x:c>
      <x:c r="D2499" s="22" t="str">
        <x:f>"59.806.567/0001-00"</x:f>
        <x:v>59.806.567/0001-00</x:v>
      </x:c>
      <x:c r="E2499" s="22" t="str">
        <x:f>"59806567000100"</x:f>
        <x:v>59806567000100</x:v>
      </x:c>
      <x:c r="F2499" s="22" t="str">
        <x:f>"043.142.926-01"</x:f>
        <x:v>043.142.926-01</x:v>
      </x:c>
      <x:c r="G2499" s="22" t="str">
        <x:f>"04314292601"</x:f>
        <x:v>04314292601</x:v>
      </x:c>
      <x:c r="H2499" s="23" t="str">
        <x:v>marcelopontes98@gmail.com</x:v>
      </x:c>
      <x:c r="I2499" s="22" t="str">
        <x:f>"(31)994849096"</x:f>
        <x:v>(31)994849096</x:v>
      </x:c>
      <x:c r="J2499" s="23" t="str">
        <x:v>SPOT</x:v>
      </x:c>
      <x:c r="K2499" s="23" t="str">
        <x:v>favored_only</x:v>
      </x:c>
      <x:c r="L2499" s="24" t="b">
        <x:v>1</x:v>
      </x:c>
      <x:c r="M2499" s="23" t="n">
        <x:v>1</x:v>
      </x:c>
      <x:c r="N2499" s="28" t="n">
        <x:v>46203.9218771875</x:v>
      </x:c>
      <x:c r="O2499" s="28" t="n">
        <x:v>46219.812988715275</x:v>
      </x:c>
      <x:c r="P2499" s="23" t="str">
        <x:v>CONTAGEM</x:v>
      </x:c>
      <x:c r="Q2499" s="30" t="n">
        <x:v>29762</x:v>
      </x:c>
      <x:c r="R2499" s="22" t="str">
        <x:f>"10469810"</x:f>
        <x:v>10469810</x:v>
      </x:c>
      <x:c r="S2499" s="23" t="str">
        <x:v>masculino</x:v>
      </x:c>
      <x:c r="T2499" s="22" t="str">
        <x:f>"SIB2G98"</x:f>
        <x:v>SIB2G98</x:v>
      </x:c>
      <x:c r="U2499" s="23" t="str">
        <x:v>MARCELO DA SILVA PONTES</x:v>
      </x:c>
      <x:c r="V2499" s="22" t="str">
        <x:f>"043.142.926-01"</x:f>
        <x:v>043.142.926-01</x:v>
      </x:c>
      <x:c r="W2499" s="22" t="str">
        <x:f>"04314292601"</x:f>
        <x:v>04314292601</x:v>
      </x:c>
      <x:c r="X2499" s="23" t="str">
        <x:v>marcelopontes98@gmail.com</x:v>
      </x:c>
      <x:c r="Y2499" s="22" t="str">
        <x:f>"(31)994849096"</x:f>
        <x:v>(31)994849096</x:v>
      </x:c>
      <x:c r="Z2499" s="30" t="n">
        <x:v>46310</x:v>
      </x:c>
    </x:row>
    <x:row r="2500" ht="18" customHeight="1">
      <x:c r="A2500" s="22" t="str">
        <x:f>"77c697f8-ae77-4df4-b309-1c636d6cb70a"</x:f>
        <x:v>77c697f8-ae77-4df4-b309-1c636d6cb70a</x:v>
      </x:c>
      <x:c r="B2500" s="23" t="str">
        <x:v>MARCELO DA SILVA RESENDE</x:v>
      </x:c>
      <x:c r="C2500" s="23" t="str">
        <x:v>marcelo da silva resende</x:v>
      </x:c>
      <x:c r="D2500" s="22" t="str">
        <x:f>"33.723.088/0001-29"</x:f>
        <x:v>33.723.088/0001-29</x:v>
      </x:c>
      <x:c r="E2500" s="22" t="str">
        <x:f>"33723088000129"</x:f>
        <x:v>33723088000129</x:v>
      </x:c>
      <x:c r="F2500" s="22" t="str">
        <x:f>"085.151.506-11"</x:f>
        <x:v>085.151.506-11</x:v>
      </x:c>
      <x:c r="G2500" s="22" t="str">
        <x:f>"08515150611"</x:f>
        <x:v>08515150611</x:v>
      </x:c>
      <x:c r="H2500" s="23" t="str">
        <x:v>maqtech2000@gmail.com</x:v>
      </x:c>
      <x:c r="I2500" s="22" t="str">
        <x:f>"34988059820"</x:f>
        <x:v>34988059820</x:v>
      </x:c>
      <x:c r="J2500" s="23" t="str">
        <x:v>SPOT</x:v>
      </x:c>
      <x:c r="K2500" s="23" t="str">
        <x:v>favored_only</x:v>
      </x:c>
      <x:c r="L2500" s="24" t="b">
        <x:v>1</x:v>
      </x:c>
      <x:c r="M2500" s="23" t="n">
        <x:v>1</x:v>
      </x:c>
      <x:c r="N2500" s="28" t="n">
        <x:v>46205.6062040625</x:v>
      </x:c>
      <x:c r="O2500" s="28" t="n">
        <x:v>46219.812988715275</x:v>
      </x:c>
      <x:c r="P2500" s="23" t="str">
        <x:v>ARAXÁ</x:v>
      </x:c>
      <x:c r="Q2500" s="30" t="n">
        <x:v>32181</x:v>
      </x:c>
      <x:c r="R2500" s="22" t="str">
        <x:f>"13950679"</x:f>
        <x:v>13950679</x:v>
      </x:c>
      <x:c r="S2500" s="23" t="str">
        <x:v>masculino</x:v>
      </x:c>
      <x:c r="T2500" s="22" t="str">
        <x:f>"EYV9A28"</x:f>
        <x:v>EYV9A28</x:v>
      </x:c>
      <x:c r="U2500" s="23" t="str">
        <x:v>MILTON NERES DE RESENDE JUNIOR</x:v>
      </x:c>
      <x:c r="V2500" s="22" t="str">
        <x:f>"079.734.866-23"</x:f>
        <x:v>079.734.866-23</x:v>
      </x:c>
      <x:c r="W2500" s="22" t="str">
        <x:f>"07973486623"</x:f>
        <x:v>07973486623</x:v>
      </x:c>
      <x:c r="X2500" s="23" t="str">
        <x:v>neresmilton61@gmail.com</x:v>
      </x:c>
      <x:c r="Y2500" s="22" t="str">
        <x:f>"34984390657"</x:f>
        <x:v>34984390657</x:v>
      </x:c>
      <x:c r="Z2500" s="30" t="n">
        <x:v>46348</x:v>
      </x:c>
    </x:row>
    <x:row r="2501" ht="18" customHeight="1">
      <x:c r="A2501" s="22" t="str">
        <x:f>"f429ddf9-4398-43a2-b4e4-96c796b10560"</x:f>
        <x:v>f429ddf9-4398-43a2-b4e4-96c796b10560</x:v>
      </x:c>
      <x:c r="B2501" s="23" t="str">
        <x:v>MARCELO DELGADO DA SILVA DE ALVARENGA</x:v>
      </x:c>
      <x:c r="C2501" s="23" t="str">
        <x:v>marcelo delgado da silva de alvarenga</x:v>
      </x:c>
      <x:c r="D2501" s="22" t="str">
        <x:f>"67.531.580/0001-14"</x:f>
        <x:v>67.531.580/0001-14</x:v>
      </x:c>
      <x:c r="E2501" s="22" t="str">
        <x:f>"67531580000114"</x:f>
        <x:v>67531580000114</x:v>
      </x:c>
      <x:c r="F2501" s="22" t="str">
        <x:f>"142.451.787-79"</x:f>
        <x:v>142.451.787-79</x:v>
      </x:c>
      <x:c r="G2501" s="22" t="str">
        <x:f>"14245178779"</x:f>
        <x:v>14245178779</x:v>
      </x:c>
      <x:c r="H2501" s="23" t="str">
        <x:v>marcelodelgadodealvarenga@gmail.com</x:v>
      </x:c>
      <x:c r="I2501" s="22" t="str">
        <x:f>"21 99668-8858"</x:f>
        <x:v>21 99668-8858</x:v>
      </x:c>
      <x:c r="J2501" s="23" t="str">
        <x:v>SPOT</x:v>
      </x:c>
      <x:c r="K2501" s="23" t="str">
        <x:v>favored_only</x:v>
      </x:c>
      <x:c r="L2501" s="24" t="b">
        <x:v>1</x:v>
      </x:c>
      <x:c r="M2501" s="23" t="n">
        <x:v>1</x:v>
      </x:c>
      <x:c r="N2501" s="28" t="n">
        <x:v>46219.812988715275</x:v>
      </x:c>
      <x:c r="O2501" s="28" t="n">
        <x:v>46219.812988715275</x:v>
      </x:c>
      <x:c r="P2501" s="23" t="str">
        <x:v>CORDOVIL</x:v>
      </x:c>
      <x:c r="Q2501" s="30" t="n">
        <x:v>33192</x:v>
      </x:c>
      <x:c r="R2501" s="22" t="str">
        <x:f>"21.223.266-4"</x:f>
        <x:v>21.223.266-4</x:v>
      </x:c>
      <x:c r="S2501" s="23" t="str">
        <x:v>masculino</x:v>
      </x:c>
      <x:c r="T2501" s="22" t="str">
        <x:f>"KOE9G06"</x:f>
        <x:v>KOE9G06</x:v>
      </x:c>
      <x:c r="U2501" s="23" t="str">
        <x:v>MARCELO DELGADO DA SILVA DE ALVARENGA</x:v>
      </x:c>
      <x:c r="V2501" s="22" t="str">
        <x:f>"142.451.787-79"</x:f>
        <x:v>142.451.787-79</x:v>
      </x:c>
      <x:c r="W2501" s="22" t="str">
        <x:f>"14245178779"</x:f>
        <x:v>14245178779</x:v>
      </x:c>
      <x:c r="X2501" s="23" t="str">
        <x:v>marcelodelgadodealvarenga@gmail.com</x:v>
      </x:c>
      <x:c r="Y2501" s="22" t="str">
        <x:f>"21 99668-8858"</x:f>
        <x:v>21 99668-8858</x:v>
      </x:c>
      <x:c r="Z2501" s="30" t="n">
        <x:v>46560</x:v>
      </x:c>
    </x:row>
    <x:row r="2502" ht="18" customHeight="1">
      <x:c r="A2502" s="22" t="str">
        <x:f>"e3fc14cc-23ac-4e02-828d-961555cae553"</x:f>
        <x:v>e3fc14cc-23ac-4e02-828d-961555cae553</x:v>
      </x:c>
      <x:c r="B2502" s="23" t="str">
        <x:v>MARCELO DE SOUZA LELIS</x:v>
      </x:c>
      <x:c r="C2502" s="23" t="str">
        <x:v>marcelo de souza lelis</x:v>
      </x:c>
      <x:c r="D2502" s="22" t="str">
        <x:f>"55.783.923/0001-59"</x:f>
        <x:v>55.783.923/0001-59</x:v>
      </x:c>
      <x:c r="E2502" s="22" t="str">
        <x:f>"55783923000159"</x:f>
        <x:v>55783923000159</x:v>
      </x:c>
      <x:c r="F2502" s="22" t="str">
        <x:f>"031.359.731-66"</x:f>
        <x:v>031.359.731-66</x:v>
      </x:c>
      <x:c r="G2502" s="22" t="str">
        <x:f>"03135973166"</x:f>
        <x:v>03135973166</x:v>
      </x:c>
      <x:c r="H2502" s="23" t="str">
        <x:v>lelismarcelo27@gmail.com</x:v>
      </x:c>
      <x:c r="I2502" s="22" t="str">
        <x:f>"65996441193"</x:f>
        <x:v>65996441193</x:v>
      </x:c>
      <x:c r="J2502" s="23" t="str">
        <x:v>SPOT</x:v>
      </x:c>
      <x:c r="K2502" s="23" t="str">
        <x:v>favored_only</x:v>
      </x:c>
      <x:c r="L2502" s="24" t="b">
        <x:v>1</x:v>
      </x:c>
      <x:c r="M2502" s="23" t="n">
        <x:v>1</x:v>
      </x:c>
      <x:c r="N2502" s="28" t="n">
        <x:v>46205.60510493055</x:v>
      </x:c>
      <x:c r="O2502" s="28" t="n">
        <x:v>46219.812988715275</x:v>
      </x:c>
      <x:c r="P2502" s="23" t="str">
        <x:v>CÁCERES</x:v>
      </x:c>
      <x:c r="Q2502" s="30" t="n">
        <x:v>32507</x:v>
      </x:c>
      <x:c r="R2502" s="22" t="str">
        <x:f>"16273370"</x:f>
        <x:v>16273370</x:v>
      </x:c>
      <x:c r="S2502" s="23" t="str">
        <x:v>masculino</x:v>
      </x:c>
      <x:c r="T2502" s="22" t="str">
        <x:f>"RAV5C56"</x:f>
        <x:v>RAV5C56</x:v>
      </x:c>
      <x:c r="U2502" s="23" t="str">
        <x:v>CAIQUE HENRIQUE DA CRUZ</x:v>
      </x:c>
      <x:c r="V2502" s="22" t="str">
        <x:f>"058.062.901-58"</x:f>
        <x:v>058.062.901-58</x:v>
      </x:c>
      <x:c r="W2502" s="22" t="str">
        <x:f>"05806290158"</x:f>
        <x:v>05806290158</x:v>
      </x:c>
      <x:c r="X2502" s="23" t="str">
        <x:v>caiquehenrique112@gmail.com</x:v>
      </x:c>
      <x:c r="Y2502" s="22" t="str">
        <x:f>"65981695365"</x:f>
        <x:v>65981695365</x:v>
      </x:c>
      <x:c r="Z2502" s="30" t="n">
        <x:v>46310</x:v>
      </x:c>
    </x:row>
    <x:row r="2503" ht="18" customHeight="1">
      <x:c r="A2503" s="22" t="str">
        <x:f>"471a4773-a00c-40d8-8dc0-59a4e0b3cd39"</x:f>
        <x:v>471a4773-a00c-40d8-8dc0-59a4e0b3cd39</x:v>
      </x:c>
      <x:c r="B2503" s="23" t="str">
        <x:v>MARCELO DOUGLAS CIPRIANO</x:v>
      </x:c>
      <x:c r="C2503" s="23" t="str">
        <x:v>marcelo douglas cipriano</x:v>
      </x:c>
      <x:c r="D2503" s="22" t="str">
        <x:f>"66.707.088/0001-94"</x:f>
        <x:v>66.707.088/0001-94</x:v>
      </x:c>
      <x:c r="E2503" s="22" t="str">
        <x:f>"66707088000194"</x:f>
        <x:v>66707088000194</x:v>
      </x:c>
      <x:c r="F2503" s="22" t="str">
        <x:f>"077.558.346-46"</x:f>
        <x:v>077.558.346-46</x:v>
      </x:c>
      <x:c r="G2503" s="22" t="str">
        <x:f>"07755834646"</x:f>
        <x:v>07755834646</x:v>
      </x:c>
      <x:c r="H2503" s="23" t="str">
        <x:v>marcelodouglascipriano@gmail.com</x:v>
      </x:c>
      <x:c r="I2503" s="22" t="str">
        <x:f>"35997350702"</x:f>
        <x:v>35997350702</x:v>
      </x:c>
      <x:c r="J2503" s="23" t="str">
        <x:v>spot</x:v>
      </x:c>
      <x:c r="K2503" s="23" t="str">
        <x:v>favored_only</x:v>
      </x:c>
      <x:c r="L2503" s="24" t="b">
        <x:v>1</x:v>
      </x:c>
      <x:c r="M2503" s="23" t="n">
        <x:v>2</x:v>
      </x:c>
      <x:c r="N2503" s="28" t="n">
        <x:v>46219.812988715275</x:v>
      </x:c>
      <x:c r="O2503" s="28" t="n">
        <x:v>46219.812988715275</x:v>
      </x:c>
      <x:c r="P2503" s="23" t="str">
        <x:v>POUSO ALEGRE</x:v>
      </x:c>
      <x:c r="Q2503" s="30" t="n">
        <x:v>30956</x:v>
      </x:c>
      <x:c r="R2503" s="22" t="str">
        <x:f>"14210624"</x:f>
        <x:v>14210624</x:v>
      </x:c>
      <x:c r="S2503" s="23" t="str">
        <x:v>masculino</x:v>
      </x:c>
      <x:c r="T2503" s="22" t="str">
        <x:f>"EGV5I99"</x:f>
        <x:v>EGV5I99</x:v>
      </x:c>
      <x:c r="U2503" s="23" t="str">
        <x:v>MARCELO DOUGLAS CIPRIANO</x:v>
      </x:c>
      <x:c r="V2503" s="22" t="str">
        <x:f>"077.558.346-46"</x:f>
        <x:v>077.558.346-46</x:v>
      </x:c>
      <x:c r="W2503" s="22" t="str">
        <x:f>"07755834646"</x:f>
        <x:v>07755834646</x:v>
      </x:c>
      <x:c r="X2503" s="23" t="str">
        <x:v>marcelodouglascipriano@gmail.com</x:v>
      </x:c>
      <x:c r="Y2503" s="22" t="str">
        <x:f>"35997350702"</x:f>
        <x:v>35997350702</x:v>
      </x:c>
      <x:c r="Z2503" s="30" t="n">
        <x:v>46525</x:v>
      </x:c>
    </x:row>
    <x:row r="2504" ht="18" customHeight="1">
      <x:c r="A2504" s="22" t="str">
        <x:f>"0b9208c1-e0c6-44b6-936c-5fa83b163756"</x:f>
        <x:v>0b9208c1-e0c6-44b6-936c-5fa83b163756</x:v>
      </x:c>
      <x:c r="B2504" s="23" t="str">
        <x:v>MARCELO FELIPE SANTOS DE SOUZA</x:v>
      </x:c>
      <x:c r="C2504" s="23" t="str">
        <x:v>marcelo felipe santos de souza</x:v>
      </x:c>
      <x:c r="D2504" s="22" t="str">
        <x:f>"64.268.376/0001-64"</x:f>
        <x:v>64.268.376/0001-64</x:v>
      </x:c>
      <x:c r="E2504" s="22" t="str">
        <x:f>"64268376000164"</x:f>
        <x:v>64268376000164</x:v>
      </x:c>
      <x:c r="F2504" s="22" t="str">
        <x:f>"506.034.518-10"</x:f>
        <x:v>506.034.518-10</x:v>
      </x:c>
      <x:c r="G2504" s="22" t="str">
        <x:f>"50603451810"</x:f>
        <x:v>50603451810</x:v>
      </x:c>
      <x:c r="H2504" s="23" t="str">
        <x:v>marcelosantossantosfelipe@gmail.com</x:v>
      </x:c>
      <x:c r="I2504" s="22" t="str">
        <x:f>"18996808693"</x:f>
        <x:v>18996808693</x:v>
      </x:c>
      <x:c r="J2504" s="23" t="str">
        <x:v>RENTAL</x:v>
      </x:c>
      <x:c r="K2504" s="23" t="str">
        <x:v>rental_company</x:v>
      </x:c>
      <x:c r="L2504" s="24" t="b">
        <x:v>1</x:v>
      </x:c>
      <x:c r="M2504" s="23" t="n">
        <x:v>1</x:v>
      </x:c>
      <x:c r="N2504" s="28" t="n">
        <x:v>46203.9219084375</x:v>
      </x:c>
      <x:c r="O2504" s="28" t="n">
        <x:v>46219.812988715275</x:v>
      </x:c>
      <x:c r="P2504" s="23" t="str">
        <x:v>PRESIDENTE PRUDENTE</x:v>
      </x:c>
      <x:c r="Q2504" s="30" t="n">
        <x:v>38214</x:v>
      </x:c>
      <x:c r="R2504" s="22" t="str">
        <x:f>"60741117X"</x:f>
        <x:v>60741117X</x:v>
      </x:c>
      <x:c r="S2504" s="23" t="str">
        <x:v>masculino</x:v>
      </x:c>
      <x:c r="T2504" s="22" t="str"/>
      <x:c r="U2504" s="23" t="str">
        <x:v>MARCELO FELIPE SANTOS DE SOUZA</x:v>
      </x:c>
      <x:c r="V2504" s="22" t="str">
        <x:f>"506.034.518-10"</x:f>
        <x:v>506.034.518-10</x:v>
      </x:c>
      <x:c r="W2504" s="22" t="str">
        <x:f>"50603451810"</x:f>
        <x:v>50603451810</x:v>
      </x:c>
      <x:c r="X2504" s="23" t="str">
        <x:v>marcelosantossantosfelipe@gmail.com</x:v>
      </x:c>
      <x:c r="Y2504" s="22" t="str">
        <x:f>"18996808693"</x:f>
        <x:v>18996808693</x:v>
      </x:c>
      <x:c r="Z2504" s="30" t="n">
        <x:v>46394</x:v>
      </x:c>
    </x:row>
    <x:row r="2505" ht="18" customHeight="1">
      <x:c r="A2505" s="22" t="str">
        <x:f>"24acbff3-948c-4e61-9fd3-f5474982db59"</x:f>
        <x:v>24acbff3-948c-4e61-9fd3-f5474982db59</x:v>
      </x:c>
      <x:c r="B2505" s="23" t="str">
        <x:v>MARCELO JUNIOR RIBEIRO</x:v>
      </x:c>
      <x:c r="C2505" s="23" t="str">
        <x:v>marcelo junior ribeiro</x:v>
      </x:c>
      <x:c r="D2505" s="22" t="str">
        <x:f>"66.739.463/0001-88"</x:f>
        <x:v>66.739.463/0001-88</x:v>
      </x:c>
      <x:c r="E2505" s="22" t="str">
        <x:f>"66739463000188"</x:f>
        <x:v>66739463000188</x:v>
      </x:c>
      <x:c r="F2505" s="22" t="str">
        <x:f>"393.590.258-10"</x:f>
        <x:v>393.590.258-10</x:v>
      </x:c>
      <x:c r="G2505" s="22" t="str">
        <x:f>"39359025810"</x:f>
        <x:v>39359025810</x:v>
      </x:c>
      <x:c r="H2505" s="23" t="str">
        <x:v>mnribeiro1404@gmail.com</x:v>
      </x:c>
      <x:c r="I2505" s="22" t="str">
        <x:f>"19999804483"</x:f>
        <x:v>19999804483</x:v>
      </x:c>
      <x:c r="J2505" s="23" t="str">
        <x:v>RENTAL</x:v>
      </x:c>
      <x:c r="K2505" s="23" t="str">
        <x:v>rental_company</x:v>
      </x:c>
      <x:c r="L2505" s="24" t="b">
        <x:v>1</x:v>
      </x:c>
      <x:c r="M2505" s="23" t="n">
        <x:v>1</x:v>
      </x:c>
      <x:c r="N2505" s="28" t="n">
        <x:v>46219.812988715275</x:v>
      </x:c>
      <x:c r="O2505" s="28" t="n">
        <x:v>46219.812988715275</x:v>
      </x:c>
      <x:c r="P2505" s="23" t="str">
        <x:v>SÃO CARLOS</x:v>
      </x:c>
      <x:c r="Q2505" s="30" t="n">
        <x:v>33301</x:v>
      </x:c>
      <x:c r="R2505" s="22" t="str">
        <x:f>"478301637"</x:f>
        <x:v>478301637</x:v>
      </x:c>
      <x:c r="S2505" s="23" t="str">
        <x:v>masculino</x:v>
      </x:c>
      <x:c r="T2505" s="22" t="str"/>
      <x:c r="U2505" s="23" t="str">
        <x:v>MARCELO JUNIOR RIBEIRO</x:v>
      </x:c>
      <x:c r="V2505" s="22" t="str">
        <x:f>"393.590.258-10"</x:f>
        <x:v>393.590.258-10</x:v>
      </x:c>
      <x:c r="W2505" s="22" t="str">
        <x:f>"39359025810"</x:f>
        <x:v>39359025810</x:v>
      </x:c>
      <x:c r="X2505" s="23" t="str">
        <x:v>mnribeiro1404@gmail.com</x:v>
      </x:c>
      <x:c r="Y2505" s="22" t="str">
        <x:f>"19999804483"</x:f>
        <x:v>19999804483</x:v>
      </x:c>
      <x:c r="Z2505" s="30" t="n">
        <x:v>46550</x:v>
      </x:c>
    </x:row>
    <x:row r="2506" ht="18" customHeight="1">
      <x:c r="A2506" s="22" t="str">
        <x:f>"eedfbf3b-d58c-4581-ad60-6d201b9ce00e"</x:f>
        <x:v>eedfbf3b-d58c-4581-ad60-6d201b9ce00e</x:v>
      </x:c>
      <x:c r="B2506" s="23" t="str">
        <x:v>MARCELO LAERTE DA SILVA PELOIA JUNIOR</x:v>
      </x:c>
      <x:c r="C2506" s="23" t="str">
        <x:v>marcelo laerte da silva peloia junior</x:v>
      </x:c>
      <x:c r="D2506" s="22" t="str">
        <x:f>"55.462.283/0001-85"</x:f>
        <x:v>55.462.283/0001-85</x:v>
      </x:c>
      <x:c r="E2506" s="22" t="str">
        <x:f>"55462283000185"</x:f>
        <x:v>55462283000185</x:v>
      </x:c>
      <x:c r="F2506" s="22" t="str">
        <x:f>"433.745.038-61"</x:f>
        <x:v>433.745.038-61</x:v>
      </x:c>
      <x:c r="G2506" s="22" t="str">
        <x:f>"43374503861"</x:f>
        <x:v>43374503861</x:v>
      </x:c>
      <x:c r="H2506" s="23" t="str">
        <x:v>marcelolaerte18@gmail.com</x:v>
      </x:c>
      <x:c r="I2506" s="22" t="str">
        <x:f>"11 99473-3399"</x:f>
        <x:v>11 99473-3399</x:v>
      </x:c>
      <x:c r="J2506" s="23" t="str">
        <x:v>RENTAL</x:v>
      </x:c>
      <x:c r="K2506" s="23" t="str">
        <x:v>rental_company</x:v>
      </x:c>
      <x:c r="L2506" s="24" t="b">
        <x:v>1</x:v>
      </x:c>
      <x:c r="M2506" s="23" t="n">
        <x:v>1</x:v>
      </x:c>
      <x:c r="N2506" s="28" t="n">
        <x:v>46219.812988715275</x:v>
      </x:c>
      <x:c r="O2506" s="28" t="n">
        <x:v>46219.812988715275</x:v>
      </x:c>
      <x:c r="P2506" s="23" t="str">
        <x:v>PRESIDENTE PRUDENTE</x:v>
      </x:c>
      <x:c r="Q2506" s="30" t="n">
        <x:v>37455</x:v>
      </x:c>
      <x:c r="R2506" s="22" t="str">
        <x:f>"546983868"</x:f>
        <x:v>546983868</x:v>
      </x:c>
      <x:c r="S2506" s="23" t="str">
        <x:v>masculino</x:v>
      </x:c>
      <x:c r="T2506" s="22" t="str"/>
      <x:c r="U2506" s="23" t="str">
        <x:v>MARCELO LAERTE DA SILVA PELOIA JUNIOR</x:v>
      </x:c>
      <x:c r="V2506" s="22" t="str">
        <x:f>"433.745.038-61"</x:f>
        <x:v>433.745.038-61</x:v>
      </x:c>
      <x:c r="W2506" s="22" t="str">
        <x:f>"43374503861"</x:f>
        <x:v>43374503861</x:v>
      </x:c>
      <x:c r="X2506" s="23" t="str">
        <x:v>marcelolaerte18@gmail.com</x:v>
      </x:c>
      <x:c r="Y2506" s="22" t="str">
        <x:f>"11 99473-3399"</x:f>
        <x:v>11 99473-3399</x:v>
      </x:c>
      <x:c r="Z2506" s="30" t="n">
        <x:v>46582</x:v>
      </x:c>
    </x:row>
    <x:row r="2507" ht="18" customHeight="1">
      <x:c r="A2507" s="22" t="str">
        <x:f>"7f1f6016-043a-4cfc-94f9-813b033c8241"</x:f>
        <x:v>7f1f6016-043a-4cfc-94f9-813b033c8241</x:v>
      </x:c>
      <x:c r="B2507" s="23" t="str">
        <x:v>MARCELO LEAL DOS SANTOS</x:v>
      </x:c>
      <x:c r="C2507" s="23" t="str">
        <x:v>marcelo leal dos santos</x:v>
      </x:c>
      <x:c r="D2507" s="22" t="str">
        <x:f>"64.811.646/0001-31"</x:f>
        <x:v>64.811.646/0001-31</x:v>
      </x:c>
      <x:c r="E2507" s="22" t="str">
        <x:f>"64811646000131"</x:f>
        <x:v>64811646000131</x:v>
      </x:c>
      <x:c r="F2507" s="22" t="str">
        <x:f>"024.328.029-77"</x:f>
        <x:v>024.328.029-77</x:v>
      </x:c>
      <x:c r="G2507" s="22" t="str">
        <x:f>"02432802977"</x:f>
        <x:v>02432802977</x:v>
      </x:c>
      <x:c r="H2507" s="23" t="str">
        <x:v>lealmarcelolealdossantos@gmail.com</x:v>
      </x:c>
      <x:c r="I2507" s="22" t="str">
        <x:f>"44 9863-5623"</x:f>
        <x:v>44 9863-5623</x:v>
      </x:c>
      <x:c r="J2507" s="23" t="str">
        <x:v>RENTAL</x:v>
      </x:c>
      <x:c r="K2507" s="23" t="str">
        <x:v>rental_company</x:v>
      </x:c>
      <x:c r="L2507" s="24" t="b">
        <x:v>1</x:v>
      </x:c>
      <x:c r="M2507" s="23" t="n">
        <x:v>1</x:v>
      </x:c>
      <x:c r="N2507" s="28" t="n">
        <x:v>46219.812988715275</x:v>
      </x:c>
      <x:c r="O2507" s="28" t="n">
        <x:v>46219.812988715275</x:v>
      </x:c>
      <x:c r="P2507" s="23" t="str">
        <x:v>PRESIDENTE PRUDENTE</x:v>
      </x:c>
      <x:c r="Q2507" s="30" t="n">
        <x:v>29128</x:v>
      </x:c>
      <x:c r="R2507" s="22" t="str">
        <x:f>"7293461"</x:f>
        <x:v>7293461</x:v>
      </x:c>
      <x:c r="S2507" s="23" t="str">
        <x:v>masculino</x:v>
      </x:c>
      <x:c r="T2507" s="22" t="str"/>
      <x:c r="U2507" s="23" t="str">
        <x:v>MARCELO LEAL DOS SANTOS</x:v>
      </x:c>
      <x:c r="V2507" s="22" t="str">
        <x:f>"024.328.029-77"</x:f>
        <x:v>024.328.029-77</x:v>
      </x:c>
      <x:c r="W2507" s="22" t="str">
        <x:f>"02432802977"</x:f>
        <x:v>02432802977</x:v>
      </x:c>
      <x:c r="X2507" s="23" t="str">
        <x:v>lealmarcelolealdossantos@gmail.com</x:v>
      </x:c>
      <x:c r="Y2507" s="22" t="str">
        <x:f>"44 9863-5623"</x:f>
        <x:v>44 9863-5623</x:v>
      </x:c>
      <x:c r="Z2507" s="30" t="n">
        <x:v>46427</x:v>
      </x:c>
    </x:row>
    <x:row r="2508" ht="18" customHeight="1">
      <x:c r="A2508" s="22" t="str">
        <x:f>"90212495-62a3-4265-bd0e-08f46a350a26"</x:f>
        <x:v>90212495-62a3-4265-bd0e-08f46a350a26</x:v>
      </x:c>
      <x:c r="B2508" s="23" t="str">
        <x:v>MARCELO MARCIO DA SILVA</x:v>
      </x:c>
      <x:c r="C2508" s="23" t="str">
        <x:v>marcelo marcio da silva</x:v>
      </x:c>
      <x:c r="D2508" s="22" t="str">
        <x:f>"64.152.617/0001-05"</x:f>
        <x:v>64.152.617/0001-05</x:v>
      </x:c>
      <x:c r="E2508" s="22" t="str">
        <x:f>"64152617000105"</x:f>
        <x:v>64152617000105</x:v>
      </x:c>
      <x:c r="F2508" s="22" t="str">
        <x:f>"035.216.016-09"</x:f>
        <x:v>035.216.016-09</x:v>
      </x:c>
      <x:c r="G2508" s="22" t="str">
        <x:f>"03521601609"</x:f>
        <x:v>03521601609</x:v>
      </x:c>
      <x:c r="H2508" s="23" t="str">
        <x:v>markeihelu@gmail.com</x:v>
      </x:c>
      <x:c r="I2508" s="22" t="str">
        <x:f>"31984535539"</x:f>
        <x:v>31984535539</x:v>
      </x:c>
      <x:c r="J2508" s="23" t="str">
        <x:v>SPOT</x:v>
      </x:c>
      <x:c r="K2508" s="23" t="str">
        <x:v>favored_only</x:v>
      </x:c>
      <x:c r="L2508" s="24" t="b">
        <x:v>1</x:v>
      </x:c>
      <x:c r="M2508" s="23" t="n">
        <x:v>1</x:v>
      </x:c>
      <x:c r="N2508" s="28" t="n">
        <x:v>46219.812988715275</x:v>
      </x:c>
      <x:c r="O2508" s="28" t="n">
        <x:v>46219.812988715275</x:v>
      </x:c>
      <x:c r="P2508" s="23" t="str">
        <x:v>NOVA LIMA</x:v>
      </x:c>
      <x:c r="Q2508" s="30" t="n">
        <x:v>28703</x:v>
      </x:c>
      <x:c r="R2508" s="22" t="str">
        <x:f>"8765003"</x:f>
        <x:v>8765003</x:v>
      </x:c>
      <x:c r="S2508" s="23" t="str">
        <x:v>masculino</x:v>
      </x:c>
      <x:c r="T2508" s="22" t="str">
        <x:f>"EZM0J69"</x:f>
        <x:v>EZM0J69</x:v>
      </x:c>
      <x:c r="U2508" s="23" t="str">
        <x:v>MARCELO MARCIO DA SILVA</x:v>
      </x:c>
      <x:c r="V2508" s="22" t="str">
        <x:f>"035.216.016-09"</x:f>
        <x:v>035.216.016-09</x:v>
      </x:c>
      <x:c r="W2508" s="22" t="str">
        <x:f>"03521601609"</x:f>
        <x:v>03521601609</x:v>
      </x:c>
      <x:c r="X2508" s="23" t="str">
        <x:v>markeihelu@gmail.com</x:v>
      </x:c>
      <x:c r="Y2508" s="22" t="str">
        <x:f>"31984535539"</x:f>
        <x:v>31984535539</x:v>
      </x:c>
      <x:c r="Z2508" s="30" t="n">
        <x:v>46492</x:v>
      </x:c>
    </x:row>
    <x:row r="2509" ht="18" customHeight="1">
      <x:c r="A2509" s="22" t="str">
        <x:f>"ca682680-5649-496d-b768-904ba885ce92"</x:f>
        <x:v>ca682680-5649-496d-b768-904ba885ce92</x:v>
      </x:c>
      <x:c r="B2509" s="23" t="str">
        <x:v>MARCELO MARTINS CARVALHO</x:v>
      </x:c>
      <x:c r="C2509" s="23" t="str">
        <x:v>marcelo martins carvalho</x:v>
      </x:c>
      <x:c r="D2509" s="22" t="str">
        <x:f>"49.835.130/0001-33"</x:f>
        <x:v>49.835.130/0001-33</x:v>
      </x:c>
      <x:c r="E2509" s="22" t="str">
        <x:f>"49835130000133"</x:f>
        <x:v>49835130000133</x:v>
      </x:c>
      <x:c r="F2509" s="22" t="str">
        <x:f>"004.352.253-08"</x:f>
        <x:v>004.352.253-08</x:v>
      </x:c>
      <x:c r="G2509" s="22" t="str">
        <x:f>"00435225308"</x:f>
        <x:v>00435225308</x:v>
      </x:c>
      <x:c r="H2509" s="23" t="str">
        <x:v>martinsgregos345@gmail.com</x:v>
      </x:c>
      <x:c r="I2509" s="22" t="str">
        <x:f>"21980042766"</x:f>
        <x:v>21980042766</x:v>
      </x:c>
      <x:c r="J2509" s="23" t="str">
        <x:v>SPOT</x:v>
      </x:c>
      <x:c r="K2509" s="23" t="str">
        <x:v>favored_only</x:v>
      </x:c>
      <x:c r="L2509" s="24" t="b">
        <x:v>1</x:v>
      </x:c>
      <x:c r="M2509" s="23" t="n">
        <x:v>1</x:v>
      </x:c>
      <x:c r="N2509" s="28" t="n">
        <x:v>46219.812988715275</x:v>
      </x:c>
      <x:c r="O2509" s="28" t="n">
        <x:v>46219.812988715275</x:v>
      </x:c>
      <x:c r="P2509" s="23" t="str">
        <x:v>QUEIMADOS</x:v>
      </x:c>
      <x:c r="Q2509" s="30" t="n">
        <x:v>29710</x:v>
      </x:c>
      <x:c r="R2509" s="22" t="str">
        <x:f>"220477"</x:f>
        <x:v>220477</x:v>
      </x:c>
      <x:c r="S2509" s="23" t="str">
        <x:v>masculino</x:v>
      </x:c>
      <x:c r="T2509" s="22" t="str">
        <x:f>"KXW6096"</x:f>
        <x:v>KXW6096</x:v>
      </x:c>
      <x:c r="U2509" s="23" t="str">
        <x:v>ADILSON ROQUE DA FONSECA</x:v>
      </x:c>
      <x:c r="V2509" s="22" t="str">
        <x:f>"054.614.497-78"</x:f>
        <x:v>054.614.497-78</x:v>
      </x:c>
      <x:c r="W2509" s="22" t="str">
        <x:f>"05461449778"</x:f>
        <x:v>05461449778</x:v>
      </x:c>
      <x:c r="X2509" s="23" t="str">
        <x:v>martinsgregos345@gmail.com</x:v>
      </x:c>
      <x:c r="Y2509" s="22" t="str">
        <x:f>"21980042766"</x:f>
        <x:v>21980042766</x:v>
      </x:c>
      <x:c r="Z2509" s="30" t="n">
        <x:v>46438</x:v>
      </x:c>
    </x:row>
    <x:row r="2510" ht="18" customHeight="1">
      <x:c r="A2510" s="22" t="str">
        <x:f>"dcbc14b8-e484-4f7c-bc8c-29301d51595b"</x:f>
        <x:v>dcbc14b8-e484-4f7c-bc8c-29301d51595b</x:v>
      </x:c>
      <x:c r="B2510" s="23" t="str">
        <x:v>MARCELO MOURA DE LIMA PEREIRA</x:v>
      </x:c>
      <x:c r="C2510" s="23" t="str">
        <x:v>marcelo moura de lima pereira</x:v>
      </x:c>
      <x:c r="D2510" s="22" t="str">
        <x:f>"36.704.424/0001-84"</x:f>
        <x:v>36.704.424/0001-84</x:v>
      </x:c>
      <x:c r="E2510" s="22" t="str">
        <x:f>"36704424000184"</x:f>
        <x:v>36704424000184</x:v>
      </x:c>
      <x:c r="F2510" s="22" t="str">
        <x:f>"056.965.237-57"</x:f>
        <x:v>056.965.237-57</x:v>
      </x:c>
      <x:c r="G2510" s="22" t="str">
        <x:f>"05696523757"</x:f>
        <x:v>05696523757</x:v>
      </x:c>
      <x:c r="H2510" s="23" t="str">
        <x:v>mmour34@gmail.com</x:v>
      </x:c>
      <x:c r="I2510" s="22" t="str">
        <x:f>"2197978-4892"</x:f>
        <x:v>2197978-4892</x:v>
      </x:c>
      <x:c r="J2510" s="23" t="str">
        <x:v>SPOT</x:v>
      </x:c>
      <x:c r="K2510" s="23" t="str">
        <x:v>favored_only</x:v>
      </x:c>
      <x:c r="L2510" s="24" t="b">
        <x:v>1</x:v>
      </x:c>
      <x:c r="M2510" s="23" t="n">
        <x:v>1</x:v>
      </x:c>
      <x:c r="N2510" s="28" t="n">
        <x:v>46203.92189965278</x:v>
      </x:c>
      <x:c r="O2510" s="28" t="n">
        <x:v>46219.812988715275</x:v>
      </x:c>
      <x:c r="P2510" s="23" t="str">
        <x:v>CORDOVIL</x:v>
      </x:c>
      <x:c r="Q2510" s="30" t="n">
        <x:v>30932</x:v>
      </x:c>
      <x:c r="R2510" s="22" t="str">
        <x:f>"200860658"</x:f>
        <x:v>200860658</x:v>
      </x:c>
      <x:c r="S2510" s="23" t="str">
        <x:v>masculino</x:v>
      </x:c>
      <x:c r="T2510" s="22" t="str">
        <x:f>"rpj9j26"</x:f>
        <x:v>rpj9j26</x:v>
      </x:c>
      <x:c r="U2510" s="23" t="str">
        <x:v>MARCELO MOURA DE LIMA PEREIRA</x:v>
      </x:c>
      <x:c r="V2510" s="22" t="str">
        <x:f>"056.965.237-57"</x:f>
        <x:v>056.965.237-57</x:v>
      </x:c>
      <x:c r="W2510" s="22" t="str">
        <x:f>"05696523757"</x:f>
        <x:v>05696523757</x:v>
      </x:c>
      <x:c r="X2510" s="23" t="str">
        <x:v>mmour34@gmail.com</x:v>
      </x:c>
      <x:c r="Y2510" s="22" t="str">
        <x:f>"2197978-4892"</x:f>
        <x:v>2197978-4892</x:v>
      </x:c>
      <x:c r="Z2510" s="30" t="n">
        <x:v>46358</x:v>
      </x:c>
    </x:row>
    <x:row r="2511" ht="18" customHeight="1">
      <x:c r="A2511" s="22" t="str">
        <x:f>"c188b528-de5d-408f-af97-fea5497f0ca9"</x:f>
        <x:v>c188b528-de5d-408f-af97-fea5497f0ca9</x:v>
      </x:c>
      <x:c r="B2511" s="23" t="str">
        <x:v>MARCELO MURILO SILVA</x:v>
      </x:c>
      <x:c r="C2511" s="23" t="str">
        <x:v>marcelo murilo silva</x:v>
      </x:c>
      <x:c r="D2511" s="22" t="str">
        <x:f>"49.021.085/0001-83"</x:f>
        <x:v>49.021.085/0001-83</x:v>
      </x:c>
      <x:c r="E2511" s="22" t="str">
        <x:f>"49021085000183"</x:f>
        <x:v>49021085000183</x:v>
      </x:c>
      <x:c r="F2511" s="22" t="str">
        <x:f>"479.194.908-04"</x:f>
        <x:v>479.194.908-04</x:v>
      </x:c>
      <x:c r="G2511" s="22" t="str">
        <x:f>"47919490804"</x:f>
        <x:v>47919490804</x:v>
      </x:c>
      <x:c r="H2511" s="23" t="str">
        <x:v>muriloms15@hotmail.com</x:v>
      </x:c>
      <x:c r="I2511" s="22" t="str">
        <x:f>"14997124090"</x:f>
        <x:v>14997124090</x:v>
      </x:c>
      <x:c r="J2511" s="23" t="str">
        <x:v>RENTAL</x:v>
      </x:c>
      <x:c r="K2511" s="23" t="str">
        <x:v>rental_company</x:v>
      </x:c>
      <x:c r="L2511" s="24" t="b">
        <x:v>1</x:v>
      </x:c>
      <x:c r="M2511" s="23" t="n">
        <x:v>1</x:v>
      </x:c>
      <x:c r="N2511" s="28" t="n">
        <x:v>46219.812988715275</x:v>
      </x:c>
      <x:c r="O2511" s="28" t="n">
        <x:v>46219.812988715275</x:v>
      </x:c>
      <x:c r="P2511" s="23" t="str">
        <x:v>MARILIA</x:v>
      </x:c>
      <x:c r="Q2511" s="30" t="n">
        <x:v>36509</x:v>
      </x:c>
      <x:c r="R2511" s="22" t="str">
        <x:f>"57124487"</x:f>
        <x:v>57124487</x:v>
      </x:c>
      <x:c r="S2511" s="23" t="str">
        <x:v>masculino</x:v>
      </x:c>
      <x:c r="T2511" s="22" t="str"/>
      <x:c r="U2511" s="23" t="str">
        <x:v>MARCELO MURILO SILVA</x:v>
      </x:c>
      <x:c r="V2511" s="22" t="str">
        <x:f>"479.194.908-04"</x:f>
        <x:v>479.194.908-04</x:v>
      </x:c>
      <x:c r="W2511" s="22" t="str">
        <x:f>"47919490804"</x:f>
        <x:v>47919490804</x:v>
      </x:c>
      <x:c r="X2511" s="23" t="str">
        <x:v>muriloms15@hotmail.com</x:v>
      </x:c>
      <x:c r="Y2511" s="22" t="str">
        <x:f>"14997124090"</x:f>
        <x:v>14997124090</x:v>
      </x:c>
      <x:c r="Z2511" s="30" t="n">
        <x:v>46445</x:v>
      </x:c>
    </x:row>
    <x:row r="2512" ht="18" customHeight="1">
      <x:c r="A2512" s="22" t="str">
        <x:f>"547ff079-3195-443a-8261-e7e3cb652134"</x:f>
        <x:v>547ff079-3195-443a-8261-e7e3cb652134</x:v>
      </x:c>
      <x:c r="B2512" s="23" t="str">
        <x:v>MARCELO NASCIMENTO CARVALHO</x:v>
      </x:c>
      <x:c r="C2512" s="23" t="str">
        <x:v>marcelo nascimento carvalho</x:v>
      </x:c>
      <x:c r="D2512" s="22" t="str">
        <x:f>"50.937.202/0001-32"</x:f>
        <x:v>50.937.202/0001-32</x:v>
      </x:c>
      <x:c r="E2512" s="22" t="str">
        <x:f>"50937202000132"</x:f>
        <x:v>50937202000132</x:v>
      </x:c>
      <x:c r="F2512" s="22" t="str">
        <x:f>"144.213.026-19"</x:f>
        <x:v>144.213.026-19</x:v>
      </x:c>
      <x:c r="G2512" s="22" t="str">
        <x:f>"14421302619"</x:f>
        <x:v>14421302619</x:v>
      </x:c>
      <x:c r="H2512" s="23" t="str">
        <x:v>chinna.transportadora@gmail.com</x:v>
      </x:c>
      <x:c r="I2512" s="22" t="str">
        <x:f>"31998856451"</x:f>
        <x:v>31998856451</x:v>
      </x:c>
      <x:c r="J2512" s="23" t="str">
        <x:v>RENTAL</x:v>
      </x:c>
      <x:c r="K2512" s="23" t="str">
        <x:v>rental_company</x:v>
      </x:c>
      <x:c r="L2512" s="24" t="b">
        <x:v>1</x:v>
      </x:c>
      <x:c r="M2512" s="23" t="n">
        <x:v>1</x:v>
      </x:c>
      <x:c r="N2512" s="28" t="n">
        <x:v>46219.812988715275</x:v>
      </x:c>
      <x:c r="O2512" s="28" t="n">
        <x:v>46219.812988715275</x:v>
      </x:c>
      <x:c r="P2512" s="23" t="str">
        <x:v>CONTAGEM</x:v>
      </x:c>
      <x:c r="Q2512" s="30" t="n">
        <x:v>35931</x:v>
      </x:c>
      <x:c r="R2512" s="22" t="str">
        <x:f>"mg20874405"</x:f>
        <x:v>mg20874405</x:v>
      </x:c>
      <x:c r="S2512" s="23" t="str">
        <x:v>masculino</x:v>
      </x:c>
      <x:c r="T2512" s="22" t="str"/>
      <x:c r="U2512" s="23" t="str">
        <x:v>MARCELO NASCIMENTO CARVALHO</x:v>
      </x:c>
      <x:c r="V2512" s="22" t="str">
        <x:f>"144.213.026-19"</x:f>
        <x:v>144.213.026-19</x:v>
      </x:c>
      <x:c r="W2512" s="22" t="str">
        <x:f>"14421302619"</x:f>
        <x:v>14421302619</x:v>
      </x:c>
      <x:c r="X2512" s="23" t="str">
        <x:v>chinna.transportadora@gmail.com</x:v>
      </x:c>
      <x:c r="Y2512" s="22" t="str">
        <x:f>"31998856451"</x:f>
        <x:v>31998856451</x:v>
      </x:c>
      <x:c r="Z2512" s="30" t="n">
        <x:v>46582</x:v>
      </x:c>
    </x:row>
    <x:row r="2513" ht="18" customHeight="1">
      <x:c r="A2513" s="22" t="str">
        <x:f>"9090d957-a6f3-4002-9869-14e6a3112791"</x:f>
        <x:v>9090d957-a6f3-4002-9869-14e6a3112791</x:v>
      </x:c>
      <x:c r="B2513" s="23" t="str">
        <x:v>MARCELO OSMAR MORAES JUNIOR</x:v>
      </x:c>
      <x:c r="C2513" s="23" t="str">
        <x:v>marcelo osmar moraes junior</x:v>
      </x:c>
      <x:c r="D2513" s="22" t="str">
        <x:f>"58.494.234/0001-12"</x:f>
        <x:v>58.494.234/0001-12</x:v>
      </x:c>
      <x:c r="E2513" s="22" t="str">
        <x:f>"58494234000112"</x:f>
        <x:v>58494234000112</x:v>
      </x:c>
      <x:c r="F2513" s="22" t="str">
        <x:f>"480.372.278-12"</x:f>
        <x:v>480.372.278-12</x:v>
      </x:c>
      <x:c r="G2513" s="22" t="str">
        <x:f>"48037227812"</x:f>
        <x:v>48037227812</x:v>
      </x:c>
      <x:c r="H2513" s="23" t="str">
        <x:v>moraesjuninho60@gmail.com</x:v>
      </x:c>
      <x:c r="I2513" s="22" t="str">
        <x:f>"(16)99632-6503"</x:f>
        <x:v>(16)99632-6503</x:v>
      </x:c>
      <x:c r="J2513" s="23" t="str">
        <x:v>RENTAL</x:v>
      </x:c>
      <x:c r="K2513" s="23" t="str">
        <x:v>rental_company</x:v>
      </x:c>
      <x:c r="L2513" s="24" t="b">
        <x:v>1</x:v>
      </x:c>
      <x:c r="M2513" s="23" t="n">
        <x:v>1</x:v>
      </x:c>
      <x:c r="N2513" s="28" t="n">
        <x:v>46203.92183017361</x:v>
      </x:c>
      <x:c r="O2513" s="28" t="n">
        <x:v>46219.812988715275</x:v>
      </x:c>
      <x:c r="P2513" s="23" t="str">
        <x:v>SÃO CARLOS</x:v>
      </x:c>
      <x:c r="Q2513" s="30" t="n">
        <x:v>36076</x:v>
      </x:c>
      <x:c r="R2513" s="22" t="str">
        <x:f>"526439476"</x:f>
        <x:v>526439476</x:v>
      </x:c>
      <x:c r="S2513" s="23" t="str">
        <x:v>masculino</x:v>
      </x:c>
      <x:c r="T2513" s="22" t="str"/>
      <x:c r="U2513" s="23" t="str">
        <x:v>MARCELO OSMAR MORAES JUNIOR</x:v>
      </x:c>
      <x:c r="V2513" s="22" t="str">
        <x:f>"480.372.278-12"</x:f>
        <x:v>480.372.278-12</x:v>
      </x:c>
      <x:c r="W2513" s="22" t="str">
        <x:f>"48037227812"</x:f>
        <x:v>48037227812</x:v>
      </x:c>
      <x:c r="X2513" s="23" t="str">
        <x:v>moraesjuninho60@gmail.com</x:v>
      </x:c>
      <x:c r="Y2513" s="22" t="str">
        <x:f>"(16)99632-6503"</x:f>
        <x:v>(16)99632-6503</x:v>
      </x:c>
      <x:c r="Z2513" s="30" t="n">
        <x:v>46522</x:v>
      </x:c>
    </x:row>
    <x:row r="2514" ht="18" customHeight="1">
      <x:c r="A2514" s="22" t="str">
        <x:f>"09466dfd-2abc-4a58-83b0-3bed654edba3"</x:f>
        <x:v>09466dfd-2abc-4a58-83b0-3bed654edba3</x:v>
      </x:c>
      <x:c r="B2514" s="23" t="str">
        <x:v>MARCELO PEREIRA VIEIRA</x:v>
      </x:c>
      <x:c r="C2514" s="23" t="str">
        <x:v>marcelo pereira vieira</x:v>
      </x:c>
      <x:c r="D2514" s="22" t="str">
        <x:f>"63.977.200/0001-19"</x:f>
        <x:v>63.977.200/0001-19</x:v>
      </x:c>
      <x:c r="E2514" s="22" t="str">
        <x:f>"63977200000119"</x:f>
        <x:v>63977200000119</x:v>
      </x:c>
      <x:c r="F2514" s="22" t="str">
        <x:f>"494.127.738-46"</x:f>
        <x:v>494.127.738-46</x:v>
      </x:c>
      <x:c r="G2514" s="22" t="str">
        <x:f>"49412773846"</x:f>
        <x:v>49412773846</x:v>
      </x:c>
      <x:c r="H2514" s="23" t="str">
        <x:v>marcelomarcelo327@gmail.com</x:v>
      </x:c>
      <x:c r="I2514" s="22" t="str">
        <x:f>"(18) 996188872"</x:f>
        <x:v>(18) 996188872</x:v>
      </x:c>
      <x:c r="J2514" s="23" t="str">
        <x:v>SPOT</x:v>
      </x:c>
      <x:c r="K2514" s="23" t="str">
        <x:v>favored_only</x:v>
      </x:c>
      <x:c r="L2514" s="24" t="b">
        <x:v>1</x:v>
      </x:c>
      <x:c r="M2514" s="23" t="n">
        <x:v>1</x:v>
      </x:c>
      <x:c r="N2514" s="28" t="n">
        <x:v>46203.9219084375</x:v>
      </x:c>
      <x:c r="O2514" s="28" t="n">
        <x:v>46219.812988715275</x:v>
      </x:c>
      <x:c r="P2514" s="23" t="str">
        <x:v>ARAÇATUBA</x:v>
      </x:c>
      <x:c r="Q2514" s="30" t="n">
        <x:v>36689</x:v>
      </x:c>
      <x:c r="R2514" s="22" t="str">
        <x:f>"596217596"</x:f>
        <x:v>596217596</x:v>
      </x:c>
      <x:c r="S2514" s="23" t="str">
        <x:v>masculino</x:v>
      </x:c>
      <x:c r="T2514" s="22" t="str">
        <x:f>"EWK3H31"</x:f>
        <x:v>EWK3H31</x:v>
      </x:c>
      <x:c r="U2514" s="23" t="str">
        <x:v>MARCELO PEREIRA VIEIRA</x:v>
      </x:c>
      <x:c r="V2514" s="22" t="str">
        <x:f>"494.127.738-46"</x:f>
        <x:v>494.127.738-46</x:v>
      </x:c>
      <x:c r="W2514" s="22" t="str">
        <x:f>"49412773846"</x:f>
        <x:v>49412773846</x:v>
      </x:c>
      <x:c r="X2514" s="23" t="str">
        <x:v>marcelomarcelo327@gmail.com</x:v>
      </x:c>
      <x:c r="Y2514" s="22" t="str">
        <x:f>"(18) 996188872"</x:f>
        <x:v>(18) 996188872</x:v>
      </x:c>
      <x:c r="Z2514" s="30" t="n">
        <x:v>46386</x:v>
      </x:c>
    </x:row>
    <x:row r="2515" ht="18" customHeight="1">
      <x:c r="A2515" s="22" t="str">
        <x:f>"45e8c605-492c-4dd2-8955-7a8f08e3f956"</x:f>
        <x:v>45e8c605-492c-4dd2-8955-7a8f08e3f956</x:v>
      </x:c>
      <x:c r="B2515" s="23" t="str">
        <x:v>MARCELO PIRES GARCIA PINHUELA</x:v>
      </x:c>
      <x:c r="C2515" s="23" t="str">
        <x:v>marcelo pires garcia pinhuela</x:v>
      </x:c>
      <x:c r="D2515" s="22" t="str">
        <x:f>"46.235.425/0001-80"</x:f>
        <x:v>46.235.425/0001-80</x:v>
      </x:c>
      <x:c r="E2515" s="22" t="str">
        <x:f>"46235425000180"</x:f>
        <x:v>46235425000180</x:v>
      </x:c>
      <x:c r="F2515" s="22" t="str">
        <x:f>"293.469.558-13"</x:f>
        <x:v>293.469.558-13</x:v>
      </x:c>
      <x:c r="G2515" s="22" t="str">
        <x:f>"29346955813"</x:f>
        <x:v>29346955813</x:v>
      </x:c>
      <x:c r="H2515" s="23" t="str">
        <x:v>garciamarcelo1982@gmail.com</x:v>
      </x:c>
      <x:c r="I2515" s="22" t="str">
        <x:f>"17 99739 8988"</x:f>
        <x:v>17 99739 8988</x:v>
      </x:c>
      <x:c r="J2515" s="23" t="str">
        <x:v>SPOT</x:v>
      </x:c>
      <x:c r="K2515" s="23" t="str">
        <x:v>favored_only</x:v>
      </x:c>
      <x:c r="L2515" s="24" t="b">
        <x:v>1</x:v>
      </x:c>
      <x:c r="M2515" s="23" t="n">
        <x:v>1</x:v>
      </x:c>
      <x:c r="N2515" s="28" t="n">
        <x:v>46205.605482453706</x:v>
      </x:c>
      <x:c r="O2515" s="28" t="n">
        <x:v>46219.812988715275</x:v>
      </x:c>
      <x:c r="P2515" s="23" t="str">
        <x:v>BARRETOS</x:v>
      </x:c>
      <x:c r="Q2515" s="30" t="n">
        <x:v>30169</x:v>
      </x:c>
      <x:c r="R2515" s="22" t="str">
        <x:f>"34163465"</x:f>
        <x:v>34163465</x:v>
      </x:c>
      <x:c r="S2515" s="23" t="str">
        <x:v>masculino</x:v>
      </x:c>
      <x:c r="T2515" s="22" t="str">
        <x:f>"EZA6B65"</x:f>
        <x:v>EZA6B65</x:v>
      </x:c>
      <x:c r="U2515" s="23" t="str">
        <x:v>GELSON LUIZ ANANIAS</x:v>
      </x:c>
      <x:c r="V2515" s="22" t="str">
        <x:f>"340.058.848-22"</x:f>
        <x:v>340.058.848-22</x:v>
      </x:c>
      <x:c r="W2515" s="22" t="str">
        <x:f>"34005884822"</x:f>
        <x:v>34005884822</x:v>
      </x:c>
      <x:c r="X2515" s="23" t="str">
        <x:v>gelsonguaira640@gmail.com</x:v>
      </x:c>
      <x:c r="Y2515" s="22" t="str">
        <x:f>"17 98167-9293"</x:f>
        <x:v>17 98167-9293</x:v>
      </x:c>
      <x:c r="Z2515" s="30" t="n">
        <x:v>46324</x:v>
      </x:c>
    </x:row>
    <x:row r="2516" ht="18" customHeight="1">
      <x:c r="A2516" s="22" t="str">
        <x:f>"b5a4fc3a-6607-47a9-a995-6a13e07887f1"</x:f>
        <x:v>b5a4fc3a-6607-47a9-a995-6a13e07887f1</x:v>
      </x:c>
      <x:c r="B2516" s="23" t="str">
        <x:v>MARCELO ROBERTO FERMINO ZANARDO</x:v>
      </x:c>
      <x:c r="C2516" s="23" t="str">
        <x:v>marcelo roberto fermino zanardo</x:v>
      </x:c>
      <x:c r="D2516" s="22" t="str">
        <x:f>"62.636.935/0001-16"</x:f>
        <x:v>62.636.935/0001-16</x:v>
      </x:c>
      <x:c r="E2516" s="22" t="str">
        <x:f>"62636935000116"</x:f>
        <x:v>62636935000116</x:v>
      </x:c>
      <x:c r="F2516" s="22" t="str">
        <x:f>"488.225.068-39"</x:f>
        <x:v>488.225.068-39</x:v>
      </x:c>
      <x:c r="G2516" s="22" t="str">
        <x:f>"48822506839"</x:f>
        <x:v>48822506839</x:v>
      </x:c>
      <x:c r="H2516" s="23" t="str">
        <x:v>transportadoramd18@gmail.com</x:v>
      </x:c>
      <x:c r="I2516" s="22" t="str">
        <x:f>"18 99805-3209"</x:f>
        <x:v>18 99805-3209</x:v>
      </x:c>
      <x:c r="J2516" s="23" t="str">
        <x:v>RENTAL</x:v>
      </x:c>
      <x:c r="K2516" s="23" t="str">
        <x:v>rental_company</x:v>
      </x:c>
      <x:c r="L2516" s="24" t="b">
        <x:v>1</x:v>
      </x:c>
      <x:c r="M2516" s="23" t="n">
        <x:v>1</x:v>
      </x:c>
      <x:c r="N2516" s="28" t="n">
        <x:v>46203.921904421295</x:v>
      </x:c>
      <x:c r="O2516" s="28" t="n">
        <x:v>46219.812988715275</x:v>
      </x:c>
      <x:c r="P2516" s="23" t="str">
        <x:v>PRESIDENTE PRUDENTE</x:v>
      </x:c>
      <x:c r="Q2516" s="30" t="n">
        <x:v>35993</x:v>
      </x:c>
      <x:c r="R2516" s="22" t="str">
        <x:f>"543438065"</x:f>
        <x:v>543438065</x:v>
      </x:c>
      <x:c r="S2516" s="23" t="str">
        <x:v>masculino</x:v>
      </x:c>
      <x:c r="T2516" s="22" t="str"/>
      <x:c r="U2516" s="23" t="str">
        <x:v>MARCELO ROBERTO FERMINO ZANARDO</x:v>
      </x:c>
      <x:c r="V2516" s="22" t="str">
        <x:f>"488.225.068-39"</x:f>
        <x:v>488.225.068-39</x:v>
      </x:c>
      <x:c r="W2516" s="22" t="str">
        <x:f>"48822506839"</x:f>
        <x:v>48822506839</x:v>
      </x:c>
      <x:c r="X2516" s="23" t="str">
        <x:v>transportadoramd18@gmail.com</x:v>
      </x:c>
      <x:c r="Y2516" s="22" t="str">
        <x:f>"18 99805-3209"</x:f>
        <x:v>18 99805-3209</x:v>
      </x:c>
      <x:c r="Z2516" s="30" t="n">
        <x:v>46372</x:v>
      </x:c>
    </x:row>
    <x:row r="2517" ht="18" customHeight="1">
      <x:c r="A2517" s="22" t="str">
        <x:f>"87cf7bb1-9863-4a5a-85a5-1e1182b4f17a"</x:f>
        <x:v>87cf7bb1-9863-4a5a-85a5-1e1182b4f17a</x:v>
      </x:c>
      <x:c r="B2517" s="23" t="str">
        <x:v>MARCELO RODRIGUES DE ALBUQUERQUE</x:v>
      </x:c>
      <x:c r="C2517" s="23" t="str">
        <x:v>marcelo rodrigues de albuquerque</x:v>
      </x:c>
      <x:c r="D2517" s="22" t="str">
        <x:f>"61.810.358/0001-74"</x:f>
        <x:v>61.810.358/0001-74</x:v>
      </x:c>
      <x:c r="E2517" s="22" t="str">
        <x:f>"61810358000174"</x:f>
        <x:v>61810358000174</x:v>
      </x:c>
      <x:c r="F2517" s="22" t="str">
        <x:f>"054.965.826-28"</x:f>
        <x:v>054.965.826-28</x:v>
      </x:c>
      <x:c r="G2517" s="22" t="str">
        <x:f>"05496582628"</x:f>
        <x:v>05496582628</x:v>
      </x:c>
      <x:c r="H2517" s="23" t="str">
        <x:v>mrodrigues02@yahoo.com.br</x:v>
      </x:c>
      <x:c r="I2517" s="22" t="str">
        <x:f>"(35)98412-7192"</x:f>
        <x:v>(35)98412-7192</x:v>
      </x:c>
      <x:c r="J2517" s="23" t="str">
        <x:v>RENTAL</x:v>
      </x:c>
      <x:c r="K2517" s="23" t="str">
        <x:v>rental_company</x:v>
      </x:c>
      <x:c r="L2517" s="24" t="b">
        <x:v>1</x:v>
      </x:c>
      <x:c r="M2517" s="23" t="n">
        <x:v>1</x:v>
      </x:c>
      <x:c r="N2517" s="28" t="n">
        <x:v>46203.921840393516</x:v>
      </x:c>
      <x:c r="O2517" s="28" t="n">
        <x:v>46205.60500260417</x:v>
      </x:c>
      <x:c r="P2517" s="23" t="str">
        <x:v>POUSO ALEGRE</x:v>
      </x:c>
      <x:c r="Q2517" s="30" t="n">
        <x:v>30112</x:v>
      </x:c>
      <x:c r="R2517" s="22" t="str">
        <x:f>"12371941 SSP MG"</x:f>
        <x:v>12371941 SSP MG</x:v>
      </x:c>
      <x:c r="S2517" s="23" t="str">
        <x:v>Masculino</x:v>
      </x:c>
      <x:c r="T2517" s="22" t="str"/>
      <x:c r="U2517" s="23" t="str">
        <x:v>MARCELO RODRIGUES DE ALBUQUERQUE</x:v>
      </x:c>
      <x:c r="V2517" s="22" t="str">
        <x:f>"054.965.826-28"</x:f>
        <x:v>054.965.826-28</x:v>
      </x:c>
      <x:c r="W2517" s="22" t="str">
        <x:f>"05496582628"</x:f>
        <x:v>05496582628</x:v>
      </x:c>
      <x:c r="X2517" s="23" t="str">
        <x:v>mrodrigues02@yahoo.com.br</x:v>
      </x:c>
      <x:c r="Y2517" s="22" t="str">
        <x:f>"(35)98412-7192"</x:f>
        <x:v>(35)98412-7192</x:v>
      </x:c>
      <x:c r="Z2517" s="30" t="n">
        <x:v>46221</x:v>
      </x:c>
    </x:row>
    <x:row r="2518" ht="18" customHeight="1">
      <x:c r="A2518" s="22" t="str">
        <x:f>"addae5b6-0506-4c93-a119-e4626dc7de66"</x:f>
        <x:v>addae5b6-0506-4c93-a119-e4626dc7de66</x:v>
      </x:c>
      <x:c r="B2518" s="23" t="str">
        <x:v>MARCELO SAMPAIO RIBEIRO JUNIOR</x:v>
      </x:c>
      <x:c r="C2518" s="23" t="str">
        <x:v>marcelo sampaio ribeiro junior</x:v>
      </x:c>
      <x:c r="D2518" s="22" t="str">
        <x:f>"54.527.218/0001-28"</x:f>
        <x:v>54.527.218/0001-28</x:v>
      </x:c>
      <x:c r="E2518" s="22" t="str">
        <x:f>"54527218000128"</x:f>
        <x:v>54527218000128</x:v>
      </x:c>
      <x:c r="F2518" s="22" t="str">
        <x:f>"022.361.566-85"</x:f>
        <x:v>022.361.566-85</x:v>
      </x:c>
      <x:c r="G2518" s="22" t="str">
        <x:f>"02236156685"</x:f>
        <x:v>02236156685</x:v>
      </x:c>
      <x:c r="H2518" s="23" t="str">
        <x:v>marcelosampaiojunior2020@gmail.com</x:v>
      </x:c>
      <x:c r="I2518" s="22" t="str">
        <x:f>"(34) 99632-4495"</x:f>
        <x:v>(34) 99632-4495</x:v>
      </x:c>
      <x:c r="J2518" s="23" t="str">
        <x:v>RENTAL</x:v>
      </x:c>
      <x:c r="K2518" s="23" t="str">
        <x:v>rental_company</x:v>
      </x:c>
      <x:c r="L2518" s="24" t="b">
        <x:v>1</x:v>
      </x:c>
      <x:c r="M2518" s="23" t="n">
        <x:v>1</x:v>
      </x:c>
      <x:c r="N2518" s="28" t="n">
        <x:v>46203.921824756944</x:v>
      </x:c>
      <x:c r="O2518" s="28" t="n">
        <x:v>46219.812988715275</x:v>
      </x:c>
      <x:c r="P2518" s="23" t="str">
        <x:v>UBERABA</x:v>
      </x:c>
      <x:c r="Q2518" s="30" t="n">
        <x:v>35656</x:v>
      </x:c>
      <x:c r="R2518" s="22" t="str">
        <x:f>"18109558"</x:f>
        <x:v>18109558</x:v>
      </x:c>
      <x:c r="S2518" s="23" t="str">
        <x:v>masculino</x:v>
      </x:c>
      <x:c r="T2518" s="22" t="str"/>
      <x:c r="U2518" s="23" t="str">
        <x:v>MARCELO SAMPAIO RIBEIRO JUNIOR</x:v>
      </x:c>
      <x:c r="V2518" s="22" t="str">
        <x:f>"022.361.566-85"</x:f>
        <x:v>022.361.566-85</x:v>
      </x:c>
      <x:c r="W2518" s="22" t="str">
        <x:f>"02236156685"</x:f>
        <x:v>02236156685</x:v>
      </x:c>
      <x:c r="X2518" s="23" t="str">
        <x:v>marcelosampaiojunior2020@gmail.com</x:v>
      </x:c>
      <x:c r="Y2518" s="22" t="str">
        <x:f>"(34) 99632-4495"</x:f>
        <x:v>(34) 99632-4495</x:v>
      </x:c>
      <x:c r="Z2518" s="30" t="n">
        <x:v>46318</x:v>
      </x:c>
    </x:row>
    <x:row r="2519" ht="18" customHeight="1">
      <x:c r="A2519" s="22" t="str">
        <x:f>"30e6e213-70d5-40e7-a7b8-c93c114caef2"</x:f>
        <x:v>30e6e213-70d5-40e7-a7b8-c93c114caef2</x:v>
      </x:c>
      <x:c r="B2519" s="23" t="str">
        <x:v>MARCELO SEVERINO DE MORAIS</x:v>
      </x:c>
      <x:c r="C2519" s="23" t="str">
        <x:v>marcelo severino de morais</x:v>
      </x:c>
      <x:c r="D2519" s="22" t="str">
        <x:f>"50.037.614/0001-16"</x:f>
        <x:v>50.037.614/0001-16</x:v>
      </x:c>
      <x:c r="E2519" s="22" t="str">
        <x:f>"50037614000116"</x:f>
        <x:v>50037614000116</x:v>
      </x:c>
      <x:c r="F2519" s="22" t="str">
        <x:f>"612.698.756-04"</x:f>
        <x:v>612.698.756-04</x:v>
      </x:c>
      <x:c r="G2519" s="22" t="str">
        <x:f>"61269875604"</x:f>
        <x:v>61269875604</x:v>
      </x:c>
      <x:c r="H2519" s="23" t="str">
        <x:v>marcelo-morais55@outlook.com</x:v>
      </x:c>
      <x:c r="I2519" s="22" t="str">
        <x:f>"(33)99708-3282"</x:f>
        <x:v>(33)99708-3282</x:v>
      </x:c>
      <x:c r="J2519" s="23" t="str">
        <x:v>RENTAL</x:v>
      </x:c>
      <x:c r="K2519" s="23" t="str">
        <x:v>rental_company</x:v>
      </x:c>
      <x:c r="L2519" s="24" t="b">
        <x:v>1</x:v>
      </x:c>
      <x:c r="M2519" s="23" t="n">
        <x:v>1</x:v>
      </x:c>
      <x:c r="N2519" s="28" t="n">
        <x:v>46219.812988715275</x:v>
      </x:c>
      <x:c r="O2519" s="28" t="n">
        <x:v>46219.812988715275</x:v>
      </x:c>
      <x:c r="P2519" s="23" t="str">
        <x:v>TEOFILO OTONI</x:v>
      </x:c>
      <x:c r="Q2519" s="30" t="n">
        <x:v>25457</x:v>
      </x:c>
      <x:c r="R2519" s="22" t="str">
        <x:f>"5005279"</x:f>
        <x:v>5005279</x:v>
      </x:c>
      <x:c r="S2519" s="23" t="str">
        <x:v>masculino</x:v>
      </x:c>
      <x:c r="T2519" s="22" t="str"/>
      <x:c r="U2519" s="23" t="str">
        <x:v>MARCELO SEVERINO DE MORAIS</x:v>
      </x:c>
      <x:c r="V2519" s="22" t="str">
        <x:f>"612.698.756-04"</x:f>
        <x:v>612.698.756-04</x:v>
      </x:c>
      <x:c r="W2519" s="22" t="str">
        <x:f>"61269875604"</x:f>
        <x:v>61269875604</x:v>
      </x:c>
      <x:c r="X2519" s="23" t="str">
        <x:v>marcelo-morais55@outlook.com</x:v>
      </x:c>
      <x:c r="Y2519" s="22" t="str">
        <x:f>"(33)99708-3282"</x:f>
        <x:v>(33)99708-3282</x:v>
      </x:c>
      <x:c r="Z2519" s="30" t="n">
        <x:v>46556</x:v>
      </x:c>
    </x:row>
    <x:row r="2520" ht="18" customHeight="1">
      <x:c r="A2520" s="22" t="str">
        <x:f>"9f5d7883-7ca4-4ab8-82b5-f5109fdf47f5"</x:f>
        <x:v>9f5d7883-7ca4-4ab8-82b5-f5109fdf47f5</x:v>
      </x:c>
      <x:c r="B2520" s="23" t="str">
        <x:v>MARCELO SOARES</x:v>
      </x:c>
      <x:c r="C2520" s="23" t="str">
        <x:v>marcelo soares</x:v>
      </x:c>
      <x:c r="D2520" s="22" t="str">
        <x:f>"61.011.967/0001-63"</x:f>
        <x:v>61.011.967/0001-63</x:v>
      </x:c>
      <x:c r="E2520" s="22" t="str">
        <x:f>"61011967000163"</x:f>
        <x:v>61011967000163</x:v>
      </x:c>
      <x:c r="F2520" s="22" t="str">
        <x:f>"005.743.719-07"</x:f>
        <x:v>005.743.719-07</x:v>
      </x:c>
      <x:c r="G2520" s="22" t="str">
        <x:f>"00574371907"</x:f>
        <x:v>00574371907</x:v>
      </x:c>
      <x:c r="H2520" s="23" t="str">
        <x:v>marcelosoares4@hotmail.com</x:v>
      </x:c>
      <x:c r="I2520" s="22" t="str">
        <x:f>"55 66 9637-9737"</x:f>
        <x:v>55 66 9637-9737</x:v>
      </x:c>
      <x:c r="J2520" s="23" t="str">
        <x:v>SPOT</x:v>
      </x:c>
      <x:c r="K2520" s="23" t="str">
        <x:v>favored_only</x:v>
      </x:c>
      <x:c r="L2520" s="24" t="b">
        <x:v>1</x:v>
      </x:c>
      <x:c r="M2520" s="23" t="n">
        <x:v>1</x:v>
      </x:c>
      <x:c r="N2520" s="28" t="n">
        <x:v>46219.812988715275</x:v>
      </x:c>
      <x:c r="O2520" s="28" t="n">
        <x:v>46219.812988715275</x:v>
      </x:c>
      <x:c r="P2520" s="23" t="str">
        <x:v>SINOP</x:v>
      </x:c>
      <x:c r="Q2520" s="30" t="n">
        <x:v>29235</x:v>
      </x:c>
      <x:c r="R2520" s="22" t="str">
        <x:f>"2790994366"</x:f>
        <x:v>2790994366</x:v>
      </x:c>
      <x:c r="S2520" s="23" t="str">
        <x:v>masculino</x:v>
      </x:c>
      <x:c r="T2520" s="22" t="str">
        <x:f>"RUX5H31"</x:f>
        <x:v>RUX5H31</x:v>
      </x:c>
      <x:c r="U2520" s="23" t="str">
        <x:v>LETICIA ORDALIA SOARES</x:v>
      </x:c>
      <x:c r="V2520" s="22" t="str">
        <x:f>"091.803.889-81"</x:f>
        <x:v>091.803.889-81</x:v>
      </x:c>
      <x:c r="W2520" s="22" t="str">
        <x:f>"09180388981"</x:f>
        <x:v>09180388981</x:v>
      </x:c>
      <x:c r="X2520" s="23" t="str">
        <x:v>leticiaordalia@hotmail.com</x:v>
      </x:c>
      <x:c r="Y2520" s="22" t="str">
        <x:f>"+55 66 9940-9752"</x:f>
        <x:v>+55 66 9940-9752</x:v>
      </x:c>
      <x:c r="Z2520" s="30" t="n">
        <x:v>46429</x:v>
      </x:c>
    </x:row>
    <x:row r="2521" ht="18" customHeight="1">
      <x:c r="A2521" s="22" t="str">
        <x:f>"a399f326-4202-4ffa-81c0-a69e20c8e50c"</x:f>
        <x:v>a399f326-4202-4ffa-81c0-a69e20c8e50c</x:v>
      </x:c>
      <x:c r="B2521" s="23" t="str">
        <x:v>MARCELO SOARES DE SOUZA</x:v>
      </x:c>
      <x:c r="C2521" s="23" t="str">
        <x:v>marcelo soares de souza</x:v>
      </x:c>
      <x:c r="D2521" s="22" t="str">
        <x:f>"65.109.064/0001-70"</x:f>
        <x:v>65.109.064/0001-70</x:v>
      </x:c>
      <x:c r="E2521" s="22" t="str">
        <x:f>"65109064000170"</x:f>
        <x:v>65109064000170</x:v>
      </x:c>
      <x:c r="F2521" s="22" t="str">
        <x:f>"104.317.736-10"</x:f>
        <x:v>104.317.736-10</x:v>
      </x:c>
      <x:c r="G2521" s="22" t="str">
        <x:f>"10431773610"</x:f>
        <x:v>10431773610</x:v>
      </x:c>
      <x:c r="H2521" s="23" t="str">
        <x:v>keniano007@hotmail.com</x:v>
      </x:c>
      <x:c r="I2521" s="22" t="str">
        <x:f>"35999318457"</x:f>
        <x:v>35999318457</x:v>
      </x:c>
      <x:c r="J2521" s="23" t="str">
        <x:v>SPOT</x:v>
      </x:c>
      <x:c r="K2521" s="23" t="str">
        <x:v>favored_only</x:v>
      </x:c>
      <x:c r="L2521" s="24" t="b">
        <x:v>1</x:v>
      </x:c>
      <x:c r="M2521" s="23" t="n">
        <x:v>1</x:v>
      </x:c>
      <x:c r="N2521" s="28" t="n">
        <x:v>46219.812988715275</x:v>
      </x:c>
      <x:c r="O2521" s="28" t="n">
        <x:v>46219.812988715275</x:v>
      </x:c>
      <x:c r="P2521" s="23" t="str">
        <x:v>GUAXUPE</x:v>
      </x:c>
      <x:c r="Q2521" s="30" t="n">
        <x:v>32937</x:v>
      </x:c>
      <x:c r="R2521" s="22" t="str">
        <x:f>"15207598"</x:f>
        <x:v>15207598</x:v>
      </x:c>
      <x:c r="S2521" s="23" t="str">
        <x:v>masculino</x:v>
      </x:c>
      <x:c r="T2521" s="22" t="str">
        <x:f>"KNV6B83"</x:f>
        <x:v>KNV6B83</x:v>
      </x:c>
      <x:c r="U2521" s="23" t="str">
        <x:v>RIVELINO DE JESUS DA SILVA</x:v>
      </x:c>
      <x:c r="V2521" s="22" t="str">
        <x:f>"029.503.216-23"</x:f>
        <x:v>029.503.216-23</x:v>
      </x:c>
      <x:c r="W2521" s="22" t="str">
        <x:f>"02950321623"</x:f>
        <x:v>02950321623</x:v>
      </x:c>
      <x:c r="X2521" s="23" t="str">
        <x:v>Rivasilva458@gmail.com</x:v>
      </x:c>
      <x:c r="Y2521" s="22" t="str">
        <x:f>"35 92002-0133"</x:f>
        <x:v>35 92002-0133</x:v>
      </x:c>
      <x:c r="Z2521" s="30" t="n">
        <x:v>46582</x:v>
      </x:c>
    </x:row>
    <x:row r="2522" ht="18" customHeight="1">
      <x:c r="A2522" s="22" t="str">
        <x:f>"f60095f7-fdbd-4f6d-880d-94193acf3605"</x:f>
        <x:v>f60095f7-fdbd-4f6d-880d-94193acf3605</x:v>
      </x:c>
      <x:c r="B2522" s="23" t="str">
        <x:v>MARCELO SOARES FERREIRA</x:v>
      </x:c>
      <x:c r="C2522" s="23" t="str">
        <x:v>marcelo soares ferreira</x:v>
      </x:c>
      <x:c r="D2522" s="22" t="str">
        <x:f>"57.342.712/0001-06"</x:f>
        <x:v>57.342.712/0001-06</x:v>
      </x:c>
      <x:c r="E2522" s="22" t="str">
        <x:f>"57342712000106"</x:f>
        <x:v>57342712000106</x:v>
      </x:c>
      <x:c r="F2522" s="22" t="str">
        <x:f>"070.606.387-25"</x:f>
        <x:v>070.606.387-25</x:v>
      </x:c>
      <x:c r="G2522" s="22" t="str">
        <x:f>"07060638725"</x:f>
        <x:v>07060638725</x:v>
      </x:c>
      <x:c r="H2522" s="23" t="str">
        <x:v>Vascaino.soares@gmail.com</x:v>
      </x:c>
      <x:c r="I2522" s="22" t="str">
        <x:f>"21991936449"</x:f>
        <x:v>21991936449</x:v>
      </x:c>
      <x:c r="J2522" s="23" t="str">
        <x:v>SPOT</x:v>
      </x:c>
      <x:c r="K2522" s="23" t="str">
        <x:v>favored_only</x:v>
      </x:c>
      <x:c r="L2522" s="24" t="b">
        <x:v>1</x:v>
      </x:c>
      <x:c r="M2522" s="23" t="n">
        <x:v>1</x:v>
      </x:c>
      <x:c r="N2522" s="28" t="n">
        <x:v>46205.60636319444</x:v>
      </x:c>
      <x:c r="O2522" s="28" t="n">
        <x:v>46219.812988715275</x:v>
      </x:c>
      <x:c r="P2522" s="23" t="str">
        <x:v>QUEIMADOS</x:v>
      </x:c>
      <x:c r="Q2522" s="30" t="n">
        <x:v>27538</x:v>
      </x:c>
      <x:c r="R2522" s="22" t="str">
        <x:f>"106853518"</x:f>
        <x:v>106853518</x:v>
      </x:c>
      <x:c r="S2522" s="23" t="str">
        <x:v>masculino</x:v>
      </x:c>
      <x:c r="T2522" s="22" t="str">
        <x:f>"LLW2G20"</x:f>
        <x:v>LLW2G20</x:v>
      </x:c>
      <x:c r="U2522" s="23" t="str">
        <x:v>JOAO GUILHERME SILVA FERREIRA</x:v>
      </x:c>
      <x:c r="V2522" s="22" t="str">
        <x:f>"139.768.687-10"</x:f>
        <x:v>139.768.687-10</x:v>
      </x:c>
      <x:c r="W2522" s="22" t="str">
        <x:f>"13976868710"</x:f>
        <x:v>13976868710</x:v>
      </x:c>
      <x:c r="X2522" s="23" t="str">
        <x:v>guilherme.log27@gmail.com</x:v>
      </x:c>
      <x:c r="Y2522" s="22" t="str">
        <x:f>"21973045395"</x:f>
        <x:v>21973045395</x:v>
      </x:c>
      <x:c r="Z2522" s="30" t="n">
        <x:v>46355</x:v>
      </x:c>
    </x:row>
    <x:row r="2523" ht="18" customHeight="1">
      <x:c r="A2523" s="22" t="str">
        <x:f>"cd2d2d95-8991-42d4-8095-b103c3729b7c"</x:f>
        <x:v>cd2d2d95-8991-42d4-8095-b103c3729b7c</x:v>
      </x:c>
      <x:c r="B2523" s="23" t="str">
        <x:v>MARCELO SOARES SAVASSI PALMER</x:v>
      </x:c>
      <x:c r="C2523" s="23" t="str">
        <x:v>marcelo soares savassi palmer</x:v>
      </x:c>
      <x:c r="D2523" s="22" t="str">
        <x:f>"49.221.602/0001-68"</x:f>
        <x:v>49.221.602/0001-68</x:v>
      </x:c>
      <x:c r="E2523" s="22" t="str">
        <x:f>"49221602000168"</x:f>
        <x:v>49221602000168</x:v>
      </x:c>
      <x:c r="F2523" s="22" t="str">
        <x:f>"108.569.126-89"</x:f>
        <x:v>108.569.126-89</x:v>
      </x:c>
      <x:c r="G2523" s="22" t="str">
        <x:f>"10856912689"</x:f>
        <x:v>10856912689</x:v>
      </x:c>
      <x:c r="H2523" s="23" t="str">
        <x:v>msavassi17@gmail.com</x:v>
      </x:c>
      <x:c r="I2523" s="22" t="str">
        <x:f>"(31)97241-3437"</x:f>
        <x:v>(31)97241-3437</x:v>
      </x:c>
      <x:c r="J2523" s="23" t="str">
        <x:v>RENTAL</x:v>
      </x:c>
      <x:c r="K2523" s="23" t="str">
        <x:v>rental_company</x:v>
      </x:c>
      <x:c r="L2523" s="24" t="b">
        <x:v>1</x:v>
      </x:c>
      <x:c r="M2523" s="23" t="n">
        <x:v>1</x:v>
      </x:c>
      <x:c r="N2523" s="28" t="n">
        <x:v>46203.92183332176</x:v>
      </x:c>
      <x:c r="O2523" s="28" t="n">
        <x:v>46219.812988715275</x:v>
      </x:c>
      <x:c r="P2523" s="23" t="str">
        <x:v>CONCEIÇÃO DO MATO DENTRO</x:v>
      </x:c>
      <x:c r="Q2523" s="30" t="n">
        <x:v>35476</x:v>
      </x:c>
      <x:c r="R2523" s="22" t="str">
        <x:f>"MG-15-068-645"</x:f>
        <x:v>MG-15-068-645</x:v>
      </x:c>
      <x:c r="S2523" s="23" t="str">
        <x:v>masculino</x:v>
      </x:c>
      <x:c r="T2523" s="22" t="str"/>
      <x:c r="U2523" s="23" t="str">
        <x:v>MARCELO SOARES SAVASSI PALMER</x:v>
      </x:c>
      <x:c r="V2523" s="22" t="str">
        <x:f>"108.569.126-89"</x:f>
        <x:v>108.569.126-89</x:v>
      </x:c>
      <x:c r="W2523" s="22" t="str">
        <x:f>"10856912689"</x:f>
        <x:v>10856912689</x:v>
      </x:c>
      <x:c r="X2523" s="23" t="str">
        <x:v>msavassi17@gmail.com</x:v>
      </x:c>
      <x:c r="Y2523" s="22" t="str">
        <x:f>"(31)97241-3437"</x:f>
        <x:v>(31)97241-3437</x:v>
      </x:c>
      <x:c r="Z2523" s="30" t="n">
        <x:v>46533</x:v>
      </x:c>
    </x:row>
    <x:row r="2524" ht="18" customHeight="1">
      <x:c r="A2524" s="22" t="str">
        <x:f>"09899611-0c2a-45e7-a956-8187a77de563"</x:f>
        <x:v>09899611-0c2a-45e7-a956-8187a77de563</x:v>
      </x:c>
      <x:c r="B2524" s="23" t="str">
        <x:v>MARCELO TINTORE</x:v>
      </x:c>
      <x:c r="C2524" s="23" t="str">
        <x:v>marcelo tintore</x:v>
      </x:c>
      <x:c r="D2524" s="22" t="str">
        <x:f>"63.467.412/0001-56"</x:f>
        <x:v>63.467.412/0001-56</x:v>
      </x:c>
      <x:c r="E2524" s="22" t="str">
        <x:f>"63467412000156"</x:f>
        <x:v>63467412000156</x:v>
      </x:c>
      <x:c r="F2524" s="22" t="str">
        <x:f>"288.754.668-66"</x:f>
        <x:v>288.754.668-66</x:v>
      </x:c>
      <x:c r="G2524" s="22" t="str">
        <x:f>"28875466866"</x:f>
        <x:v>28875466866</x:v>
      </x:c>
      <x:c r="H2524" s="23" t="str">
        <x:v>marcelotintore36@gmail.com</x:v>
      </x:c>
      <x:c r="I2524" s="22" t="str">
        <x:f>"18 99736-0582"</x:f>
        <x:v>18 99736-0582</x:v>
      </x:c>
      <x:c r="J2524" s="23" t="str">
        <x:v>RENTAL</x:v>
      </x:c>
      <x:c r="K2524" s="23" t="str">
        <x:v>rental_company</x:v>
      </x:c>
      <x:c r="L2524" s="24" t="b">
        <x:v>1</x:v>
      </x:c>
      <x:c r="M2524" s="23" t="n">
        <x:v>1</x:v>
      </x:c>
      <x:c r="N2524" s="28" t="n">
        <x:v>46203.92189349537</x:v>
      </x:c>
      <x:c r="O2524" s="28" t="n">
        <x:v>46219.812988715275</x:v>
      </x:c>
      <x:c r="P2524" s="23" t="str">
        <x:v>PRESIDENTE PRUDENTE</x:v>
      </x:c>
      <x:c r="Q2524" s="30" t="n">
        <x:v>29487</x:v>
      </x:c>
      <x:c r="R2524" s="22" t="str">
        <x:f>"46861560"</x:f>
        <x:v>46861560</x:v>
      </x:c>
      <x:c r="S2524" s="23" t="str">
        <x:v>masculino</x:v>
      </x:c>
      <x:c r="T2524" s="22" t="str"/>
      <x:c r="U2524" s="23" t="str">
        <x:v>MARCELO TINTORE</x:v>
      </x:c>
      <x:c r="V2524" s="22" t="str">
        <x:f>"288.754.668-66"</x:f>
        <x:v>288.754.668-66</x:v>
      </x:c>
      <x:c r="W2524" s="22" t="str">
        <x:f>"28875466866"</x:f>
        <x:v>28875466866</x:v>
      </x:c>
      <x:c r="X2524" s="23" t="str">
        <x:v>marcelotintore36@gmail.com</x:v>
      </x:c>
      <x:c r="Y2524" s="22" t="str">
        <x:f>"18 99736-0582"</x:f>
        <x:v>18 99736-0582</x:v>
      </x:c>
      <x:c r="Z2524" s="30" t="n">
        <x:v>46343</x:v>
      </x:c>
    </x:row>
    <x:row r="2525" ht="18" customHeight="1">
      <x:c r="A2525" s="22" t="str">
        <x:f>"15cb797b-db07-4300-9e56-3ecb2718ee85"</x:f>
        <x:v>15cb797b-db07-4300-9e56-3ecb2718ee85</x:v>
      </x:c>
      <x:c r="B2525" s="23" t="str">
        <x:v>MARCELO TINTORE</x:v>
      </x:c>
      <x:c r="C2525" s="23" t="str">
        <x:v>marcelo tintore</x:v>
      </x:c>
      <x:c r="D2525" s="22" t="str">
        <x:f>"60.767.171/0001-72"</x:f>
        <x:v>60.767.171/0001-72</x:v>
      </x:c>
      <x:c r="E2525" s="22" t="str">
        <x:f>"60767171000172"</x:f>
        <x:v>60767171000172</x:v>
      </x:c>
      <x:c r="F2525" s="22" t="str">
        <x:f>"288.754.668-66"</x:f>
        <x:v>288.754.668-66</x:v>
      </x:c>
      <x:c r="G2525" s="22" t="str">
        <x:f>"28875466866"</x:f>
        <x:v>28875466866</x:v>
      </x:c>
      <x:c r="H2525" s="23" t="str">
        <x:v>marcelotintore36@gmail.com</x:v>
      </x:c>
      <x:c r="I2525" s="22" t="str">
        <x:f>"18997360582"</x:f>
        <x:v>18997360582</x:v>
      </x:c>
      <x:c r="J2525" s="23" t="str">
        <x:v>RENTAL</x:v>
      </x:c>
      <x:c r="K2525" s="23" t="str">
        <x:v>rental_company</x:v>
      </x:c>
      <x:c r="L2525" s="24" t="b">
        <x:v>1</x:v>
      </x:c>
      <x:c r="M2525" s="23" t="n">
        <x:v>1</x:v>
      </x:c>
      <x:c r="N2525" s="28" t="n">
        <x:v>46203.92188238426</x:v>
      </x:c>
      <x:c r="O2525" s="28" t="n">
        <x:v>46219.812988715275</x:v>
      </x:c>
      <x:c r="P2525" s="23" t="str">
        <x:v>PRESIDENTE PRUDENTE</x:v>
      </x:c>
      <x:c r="Q2525" s="30" t="n">
        <x:v>29487</x:v>
      </x:c>
      <x:c r="R2525" s="22" t="str">
        <x:f>"46861560"</x:f>
        <x:v>46861560</x:v>
      </x:c>
      <x:c r="S2525" s="23" t="str">
        <x:v>masculino</x:v>
      </x:c>
      <x:c r="T2525" s="22" t="str"/>
      <x:c r="U2525" s="23" t="str">
        <x:v>MARCELO TINTORE</x:v>
      </x:c>
      <x:c r="V2525" s="22" t="str">
        <x:f>"288.754.668-66"</x:f>
        <x:v>288.754.668-66</x:v>
      </x:c>
      <x:c r="W2525" s="22" t="str">
        <x:f>"28875466866"</x:f>
        <x:v>28875466866</x:v>
      </x:c>
      <x:c r="X2525" s="23" t="str">
        <x:v>marcelotintore36@gmail.com</x:v>
      </x:c>
      <x:c r="Y2525" s="22" t="str">
        <x:f>"18997360582"</x:f>
        <x:v>18997360582</x:v>
      </x:c>
      <x:c r="Z2525" s="30" t="n">
        <x:v>46324</x:v>
      </x:c>
    </x:row>
    <x:row r="2526" ht="18" customHeight="1">
      <x:c r="A2526" s="22" t="str">
        <x:f>"078b90e0-777e-4f88-980a-cdf1db1417e0"</x:f>
        <x:v>078b90e0-777e-4f88-980a-cdf1db1417e0</x:v>
      </x:c>
      <x:c r="B2526" s="23" t="str">
        <x:v>MARCEL SOUSA CAMPISTA DE ABREU</x:v>
      </x:c>
      <x:c r="C2526" s="23" t="str">
        <x:v>marcel sousa campista de abreu</x:v>
      </x:c>
      <x:c r="D2526" s="22" t="str">
        <x:f>"34.341.335/0001-95"</x:f>
        <x:v>34.341.335/0001-95</x:v>
      </x:c>
      <x:c r="E2526" s="22" t="str">
        <x:f>"34341335000195"</x:f>
        <x:v>34341335000195</x:v>
      </x:c>
      <x:c r="F2526" s="22" t="str">
        <x:f>"117.180.817-82"</x:f>
        <x:v>117.180.817-82</x:v>
      </x:c>
      <x:c r="G2526" s="22" t="str">
        <x:f>"11718081782"</x:f>
        <x:v>11718081782</x:v>
      </x:c>
      <x:c r="H2526" s="23" t="str">
        <x:v>campistamarcel@gmail.com</x:v>
      </x:c>
      <x:c r="I2526" s="22" t="str">
        <x:f>"22 999372083"</x:f>
        <x:v>22 999372083</x:v>
      </x:c>
      <x:c r="J2526" s="23" t="str">
        <x:v>SPOT</x:v>
      </x:c>
      <x:c r="K2526" s="23" t="str">
        <x:v>favored_only</x:v>
      </x:c>
      <x:c r="L2526" s="24" t="b">
        <x:v>1</x:v>
      </x:c>
      <x:c r="M2526" s="23" t="n">
        <x:v>1</x:v>
      </x:c>
      <x:c r="N2526" s="28" t="n">
        <x:v>46203.92191240741</x:v>
      </x:c>
      <x:c r="O2526" s="28" t="n">
        <x:v>46219.812988715275</x:v>
      </x:c>
      <x:c r="P2526" s="23" t="str">
        <x:v>CAMPOS DOS GOYTACAZES</x:v>
      </x:c>
      <x:c r="Q2526" s="30" t="n">
        <x:v>31388</x:v>
      </x:c>
      <x:c r="R2526" s="22" t="str">
        <x:f>"214461311"</x:f>
        <x:v>214461311</x:v>
      </x:c>
      <x:c r="S2526" s="23" t="str">
        <x:v>masculino</x:v>
      </x:c>
      <x:c r="T2526" s="22" t="str">
        <x:f>"LTI2B63"</x:f>
        <x:v>LTI2B63</x:v>
      </x:c>
      <x:c r="U2526" s="23" t="str">
        <x:v>MARCEL SOUSA CAMPISTA DE ABREU</x:v>
      </x:c>
      <x:c r="V2526" s="22" t="str">
        <x:f>"117.180.817-82"</x:f>
        <x:v>117.180.817-82</x:v>
      </x:c>
      <x:c r="W2526" s="22" t="str">
        <x:f>"11718081782"</x:f>
        <x:v>11718081782</x:v>
      </x:c>
      <x:c r="X2526" s="23" t="str">
        <x:v>campistamarcel@gmail.com</x:v>
      </x:c>
      <x:c r="Y2526" s="22" t="str">
        <x:f>"22 999372083"</x:f>
        <x:v>22 999372083</x:v>
      </x:c>
      <x:c r="Z2526" s="30" t="n">
        <x:v>46523</x:v>
      </x:c>
    </x:row>
    <x:row r="2527" ht="18" customHeight="1">
      <x:c r="A2527" s="22" t="str">
        <x:f>"dc2ad2c5-4ccd-4451-b028-7da9330dc735"</x:f>
        <x:v>dc2ad2c5-4ccd-4451-b028-7da9330dc735</x:v>
      </x:c>
      <x:c r="B2527" s="23" t="str">
        <x:v>MARCEL VINICIUS DA SILVA BARBIERI</x:v>
      </x:c>
      <x:c r="C2527" s="23" t="str">
        <x:v>marcel vinicius da silva barbieri</x:v>
      </x:c>
      <x:c r="D2527" s="22" t="str">
        <x:f>"54.093.818/0001-25"</x:f>
        <x:v>54.093.818/0001-25</x:v>
      </x:c>
      <x:c r="E2527" s="22" t="str">
        <x:f>"54093818000125"</x:f>
        <x:v>54093818000125</x:v>
      </x:c>
      <x:c r="F2527" s="22" t="str">
        <x:f>"395.367.128-65"</x:f>
        <x:v>395.367.128-65</x:v>
      </x:c>
      <x:c r="G2527" s="22" t="str">
        <x:f>"39536712865"</x:f>
        <x:v>39536712865</x:v>
      </x:c>
      <x:c r="H2527" s="23" t="str">
        <x:v>marcelbarbieri90@gmail.com</x:v>
      </x:c>
      <x:c r="I2527" s="22" t="str">
        <x:f>"17 99737-0492"</x:f>
        <x:v>17 99737-0492</x:v>
      </x:c>
      <x:c r="J2527" s="23" t="str">
        <x:v>SPOT</x:v>
      </x:c>
      <x:c r="K2527" s="23" t="str">
        <x:v>favored_only</x:v>
      </x:c>
      <x:c r="L2527" s="24" t="b">
        <x:v>1</x:v>
      </x:c>
      <x:c r="M2527" s="23" t="n">
        <x:v>1</x:v>
      </x:c>
      <x:c r="N2527" s="28" t="n">
        <x:v>46203.92186462963</x:v>
      </x:c>
      <x:c r="O2527" s="28" t="n">
        <x:v>46219.812988715275</x:v>
      </x:c>
      <x:c r="P2527" s="23" t="str">
        <x:v>SÃO JOSE DO RIO PRETO</x:v>
      </x:c>
      <x:c r="Q2527" s="30" t="n">
        <x:v>33051</x:v>
      </x:c>
      <x:c r="R2527" s="22" t="str">
        <x:f>"46293402"</x:f>
        <x:v>46293402</x:v>
      </x:c>
      <x:c r="S2527" s="23" t="str">
        <x:v>masculino</x:v>
      </x:c>
      <x:c r="T2527" s="22" t="str">
        <x:f>"EDA6F54"</x:f>
        <x:v>EDA6F54</x:v>
      </x:c>
      <x:c r="U2527" s="23" t="str">
        <x:v>MARCEL VINICIUS DA SILVA BARBIERI</x:v>
      </x:c>
      <x:c r="V2527" s="22" t="str">
        <x:f>"395.367.128-65"</x:f>
        <x:v>395.367.128-65</x:v>
      </x:c>
      <x:c r="W2527" s="22" t="str">
        <x:f>"39536712865"</x:f>
        <x:v>39536712865</x:v>
      </x:c>
      <x:c r="X2527" s="23" t="str">
        <x:v>marcelbarbieri90@gmail.com</x:v>
      </x:c>
      <x:c r="Y2527" s="22" t="str">
        <x:f>"17 99737-0492"</x:f>
        <x:v>17 99737-0492</x:v>
      </x:c>
      <x:c r="Z2527" s="30" t="n">
        <x:v>46274</x:v>
      </x:c>
    </x:row>
    <x:row r="2528" ht="18" customHeight="1">
      <x:c r="A2528" s="22" t="str">
        <x:f>"2c564a95-9da3-4e6c-9416-b43636f476a5"</x:f>
        <x:v>2c564a95-9da3-4e6c-9416-b43636f476a5</x:v>
      </x:c>
      <x:c r="B2528" s="23" t="str">
        <x:v>Márcia Carina Locatelli Lima</x:v>
      </x:c>
      <x:c r="C2528" s="23" t="str">
        <x:v>marcia carina locatelli lima</x:v>
      </x:c>
      <x:c r="D2528" s="22" t="str">
        <x:f>"40930797000140"</x:f>
        <x:v>40930797000140</x:v>
      </x:c>
      <x:c r="E2528" s="22" t="str">
        <x:f>"40930797000140"</x:f>
        <x:v>40930797000140</x:v>
      </x:c>
      <x:c r="F2528" s="22" t="str">
        <x:f>"717.151.421-87"</x:f>
        <x:v>717.151.421-87</x:v>
      </x:c>
      <x:c r="G2528" s="22" t="str">
        <x:f>"71715142187"</x:f>
        <x:v>71715142187</x:v>
      </x:c>
      <x:c r="H2528" s="23" t="str">
        <x:v>marciacarinalocatelli@hotmail.com</x:v>
      </x:c>
      <x:c r="I2528" s="22" t="str">
        <x:f>"6799161748"</x:f>
        <x:v>6799161748</x:v>
      </x:c>
      <x:c r="J2528" s="23" t="str">
        <x:v>SPOT</x:v>
      </x:c>
      <x:c r="K2528" s="23" t="str">
        <x:v>favored_only</x:v>
      </x:c>
      <x:c r="L2528" s="24" t="b">
        <x:v>1</x:v>
      </x:c>
      <x:c r="M2528" s="23" t="n">
        <x:v>1</x:v>
      </x:c>
      <x:c r="N2528" s="28" t="n">
        <x:v>46203.92183017361</x:v>
      </x:c>
      <x:c r="O2528" s="28" t="n">
        <x:v>46203.92183017361</x:v>
      </x:c>
      <x:c r="P2528" s="23" t="str"/>
      <x:c r="Q2528" s="30" t="str"/>
      <x:c r="R2528" s="22" t="str"/>
      <x:c r="S2528" s="23" t="str"/>
      <x:c r="T2528" s="22" t="str"/>
      <x:c r="U2528" s="23" t="str">
        <x:v>Márcia Carina Locatelli Lima</x:v>
      </x:c>
      <x:c r="V2528" s="22" t="str">
        <x:f>"717.151.421-87"</x:f>
        <x:v>717.151.421-87</x:v>
      </x:c>
      <x:c r="W2528" s="22" t="str">
        <x:f>"71715142187"</x:f>
        <x:v>71715142187</x:v>
      </x:c>
      <x:c r="X2528" s="23" t="str">
        <x:v>marciacarinalocatelli@hotmail.com</x:v>
      </x:c>
      <x:c r="Y2528" s="22" t="str">
        <x:f>"6799161748"</x:f>
        <x:v>6799161748</x:v>
      </x:c>
      <x:c r="Z2528" s="30" t="str"/>
    </x:row>
    <x:row r="2529" ht="18" customHeight="1">
      <x:c r="A2529" s="22" t="str">
        <x:f>"8a43bef6-ec50-4d50-bd8a-c7243df0f5d4"</x:f>
        <x:v>8a43bef6-ec50-4d50-bd8a-c7243df0f5d4</x:v>
      </x:c>
      <x:c r="B2529" s="23" t="str">
        <x:v>MARCIA DE LOURDES RICCI</x:v>
      </x:c>
      <x:c r="C2529" s="23" t="str">
        <x:v>marcia de lourdes ricci</x:v>
      </x:c>
      <x:c r="D2529" s="22" t="str">
        <x:f>"63.851.938/0001-35"</x:f>
        <x:v>63.851.938/0001-35</x:v>
      </x:c>
      <x:c r="E2529" s="22" t="str">
        <x:f>"63851938000135"</x:f>
        <x:v>63851938000135</x:v>
      </x:c>
      <x:c r="F2529" s="22" t="str">
        <x:f>"263.571.148-80"</x:f>
        <x:v>263.571.148-80</x:v>
      </x:c>
      <x:c r="G2529" s="22" t="str">
        <x:f>"26357114880"</x:f>
        <x:v>26357114880</x:v>
      </x:c>
      <x:c r="H2529" s="23" t="str">
        <x:v>MARCINHA.RICCI01@GMAIL.COM</x:v>
      </x:c>
      <x:c r="I2529" s="22" t="str">
        <x:f>"33 999410127"</x:f>
        <x:v>33 999410127</x:v>
      </x:c>
      <x:c r="J2529" s="23" t="str">
        <x:v>DESCONHECIDO</x:v>
      </x:c>
      <x:c r="K2529" s="23" t="str">
        <x:v>favored_only</x:v>
      </x:c>
      <x:c r="L2529" s="24" t="b">
        <x:v>1</x:v>
      </x:c>
      <x:c r="M2529" s="23" t="n">
        <x:v>1</x:v>
      </x:c>
      <x:c r="N2529" s="28" t="n">
        <x:v>46203.92189965278</x:v>
      </x:c>
      <x:c r="O2529" s="28" t="n">
        <x:v>46219.812988715275</x:v>
      </x:c>
      <x:c r="P2529" s="23" t="str">
        <x:v>GUANHAES</x:v>
      </x:c>
      <x:c r="Q2529" s="30" t="str"/>
      <x:c r="R2529" s="22" t="str"/>
      <x:c r="S2529" s="23" t="str">
        <x:v>feminino</x:v>
      </x:c>
      <x:c r="T2529" s="22" t="str">
        <x:f>"PXH2087"</x:f>
        <x:v>PXH2087</x:v>
      </x:c>
      <x:c r="U2529" s="23" t="str">
        <x:v>MARCIA DE LOURDES RICCI</x:v>
      </x:c>
      <x:c r="V2529" s="22" t="str">
        <x:f>"263.571.148-80"</x:f>
        <x:v>263.571.148-80</x:v>
      </x:c>
      <x:c r="W2529" s="22" t="str">
        <x:f>"26357114880"</x:f>
        <x:v>26357114880</x:v>
      </x:c>
      <x:c r="X2529" s="23" t="str">
        <x:v>MARCINHA.RICCI01@GMAIL.COM</x:v>
      </x:c>
      <x:c r="Y2529" s="22" t="str">
        <x:f>"33 999410127"</x:f>
        <x:v>33 999410127</x:v>
      </x:c>
      <x:c r="Z2529" s="30" t="n">
        <x:v>46359</x:v>
      </x:c>
    </x:row>
    <x:row r="2530" ht="18" customHeight="1">
      <x:c r="A2530" s="22" t="str">
        <x:f>"97011b9a-6baa-434a-8d99-cc34066d60e9"</x:f>
        <x:v>97011b9a-6baa-434a-8d99-cc34066d60e9</x:v>
      </x:c>
      <x:c r="B2530" s="23" t="str">
        <x:v>MARCIA REGINA GONCALVES</x:v>
      </x:c>
      <x:c r="C2530" s="23" t="str">
        <x:v>marcia regina goncalves</x:v>
      </x:c>
      <x:c r="D2530" s="22" t="str">
        <x:f>"64.113.429/0001-78"</x:f>
        <x:v>64.113.429/0001-78</x:v>
      </x:c>
      <x:c r="E2530" s="22" t="str">
        <x:f>"64113429000178"</x:f>
        <x:v>64113429000178</x:v>
      </x:c>
      <x:c r="F2530" s="22" t="str">
        <x:f>"038.460.636-90"</x:f>
        <x:v>038.460.636-90</x:v>
      </x:c>
      <x:c r="G2530" s="22" t="str">
        <x:f>"03846063690"</x:f>
        <x:v>03846063690</x:v>
      </x:c>
      <x:c r="H2530" s="23" t="str">
        <x:v>marciareginar432@gmail.com</x:v>
      </x:c>
      <x:c r="I2530" s="22" t="str">
        <x:f>"34997116061"</x:f>
        <x:v>34997116061</x:v>
      </x:c>
      <x:c r="J2530" s="23" t="str">
        <x:v>SPOT</x:v>
      </x:c>
      <x:c r="K2530" s="23" t="str">
        <x:v>favored_only</x:v>
      </x:c>
      <x:c r="L2530" s="24" t="b">
        <x:v>1</x:v>
      </x:c>
      <x:c r="M2530" s="23" t="n">
        <x:v>1</x:v>
      </x:c>
      <x:c r="N2530" s="28" t="n">
        <x:v>46203.9219084375</x:v>
      </x:c>
      <x:c r="O2530" s="28" t="n">
        <x:v>46219.812988715275</x:v>
      </x:c>
      <x:c r="P2530" s="23" t="str">
        <x:v>ARAXÁ</x:v>
      </x:c>
      <x:c r="Q2530" s="30" t="n">
        <x:v>29202</x:v>
      </x:c>
      <x:c r="R2530" s="22" t="str">
        <x:f>"MG10454949"</x:f>
        <x:v>MG10454949</x:v>
      </x:c>
      <x:c r="S2530" s="23" t="str">
        <x:v>feminino</x:v>
      </x:c>
      <x:c r="T2530" s="22" t="str">
        <x:f>"PUN9D76"</x:f>
        <x:v>PUN9D76</x:v>
      </x:c>
      <x:c r="U2530" s="23" t="str">
        <x:v>MARCIA REGINA GONCALVES</x:v>
      </x:c>
      <x:c r="V2530" s="22" t="str">
        <x:f>"038.460.363-90"</x:f>
        <x:v>038.460.363-90</x:v>
      </x:c>
      <x:c r="W2530" s="22" t="str">
        <x:f>"03846036390"</x:f>
        <x:v>03846036390</x:v>
      </x:c>
      <x:c r="X2530" s="23" t="str">
        <x:v>marciareginar432@gmail.com</x:v>
      </x:c>
      <x:c r="Y2530" s="22" t="str">
        <x:f>"34997116061"</x:f>
        <x:v>34997116061</x:v>
      </x:c>
      <x:c r="Z2530" s="30" t="n">
        <x:v>46386</x:v>
      </x:c>
    </x:row>
    <x:row r="2531" ht="18" customHeight="1">
      <x:c r="A2531" s="22" t="str">
        <x:f>"a341498b-285b-4ba8-aa35-73d2593e8694"</x:f>
        <x:v>a341498b-285b-4ba8-aa35-73d2593e8694</x:v>
      </x:c>
      <x:c r="B2531" s="23" t="str">
        <x:v>MARCIA REGINA RIBEIRO</x:v>
      </x:c>
      <x:c r="C2531" s="23" t="str">
        <x:v>marcia regina ribeiro</x:v>
      </x:c>
      <x:c r="D2531" s="22" t="str">
        <x:f>"61.549.821/0001-76"</x:f>
        <x:v>61.549.821/0001-76</x:v>
      </x:c>
      <x:c r="E2531" s="22" t="str">
        <x:f>"61549821000176"</x:f>
        <x:v>61549821000176</x:v>
      </x:c>
      <x:c r="F2531" s="22" t="str">
        <x:f>"065.038.266-80"</x:f>
        <x:v>065.038.266-80</x:v>
      </x:c>
      <x:c r="G2531" s="22" t="str">
        <x:f>"06503826680"</x:f>
        <x:v>06503826680</x:v>
      </x:c>
      <x:c r="H2531" s="23" t="str">
        <x:v>marciaregina2901@gmail.com</x:v>
      </x:c>
      <x:c r="I2531" s="22" t="str">
        <x:f>"35 9910-5204"</x:f>
        <x:v>35 9910-5204</x:v>
      </x:c>
      <x:c r="J2531" s="23" t="str">
        <x:v>SPOT</x:v>
      </x:c>
      <x:c r="K2531" s="23" t="str">
        <x:v>favored_only</x:v>
      </x:c>
      <x:c r="L2531" s="24" t="b">
        <x:v>1</x:v>
      </x:c>
      <x:c r="M2531" s="23" t="n">
        <x:v>1</x:v>
      </x:c>
      <x:c r="N2531" s="28" t="n">
        <x:v>46205.604601770836</x:v>
      </x:c>
      <x:c r="O2531" s="28" t="n">
        <x:v>46219.812988715275</x:v>
      </x:c>
      <x:c r="P2531" s="23" t="str">
        <x:v>POCOS DE CALDAS</x:v>
      </x:c>
      <x:c r="Q2531" s="30" t="n">
        <x:v>31297</x:v>
      </x:c>
      <x:c r="R2531" s="22" t="str">
        <x:f>"14051932"</x:f>
        <x:v>14051932</x:v>
      </x:c>
      <x:c r="S2531" s="23" t="str">
        <x:v>feminino</x:v>
      </x:c>
      <x:c r="T2531" s="22" t="str">
        <x:f>"FKM7G96"</x:f>
        <x:v>FKM7G96</x:v>
      </x:c>
      <x:c r="U2531" s="23" t="str">
        <x:v>ORLANDO AFFONSO NETO DOS SANTOS</x:v>
      </x:c>
      <x:c r="V2531" s="22" t="str">
        <x:f>"093.436.776-00"</x:f>
        <x:v>093.436.776-00</x:v>
      </x:c>
      <x:c r="W2531" s="22" t="str">
        <x:f>"09343677600"</x:f>
        <x:v>09343677600</x:v>
      </x:c>
      <x:c r="X2531" s="23" t="str">
        <x:v>Orlando1410@gmail.com</x:v>
      </x:c>
      <x:c r="Y2531" s="22" t="str">
        <x:f>"35 9910-5204"</x:f>
        <x:v>35 9910-5204</x:v>
      </x:c>
      <x:c r="Z2531" s="30" t="n">
        <x:v>46284</x:v>
      </x:c>
    </x:row>
    <x:row r="2532" ht="18" customHeight="1">
      <x:c r="A2532" s="22" t="str">
        <x:f>"ef48311f-d4b0-4ddc-ba0e-ab981cda877b"</x:f>
        <x:v>ef48311f-d4b0-4ddc-ba0e-ab981cda877b</x:v>
      </x:c>
      <x:c r="B2532" s="23" t="str">
        <x:v>MARCIA REGINA RIBEIRO</x:v>
      </x:c>
      <x:c r="C2532" s="23" t="str">
        <x:v>marcia regina ribeiro</x:v>
      </x:c>
      <x:c r="D2532" s="22" t="str">
        <x:f>"64.041.688/0001-30"</x:f>
        <x:v>64.041.688/0001-30</x:v>
      </x:c>
      <x:c r="E2532" s="22" t="str">
        <x:f>"64041688000130"</x:f>
        <x:v>64041688000130</x:v>
      </x:c>
      <x:c r="F2532" s="22" t="str">
        <x:f>"065.038.266-80"</x:f>
        <x:v>065.038.266-80</x:v>
      </x:c>
      <x:c r="G2532" s="22" t="str">
        <x:f>"06503826680"</x:f>
        <x:v>06503826680</x:v>
      </x:c>
      <x:c r="H2532" s="23" t="str">
        <x:v>marciaregina2901@gmail.com</x:v>
      </x:c>
      <x:c r="I2532" s="22" t="str">
        <x:f>"35 98819-8581"</x:f>
        <x:v>35 98819-8581</x:v>
      </x:c>
      <x:c r="J2532" s="23" t="str">
        <x:v>SPOT</x:v>
      </x:c>
      <x:c r="K2532" s="23" t="str">
        <x:v>favored_only</x:v>
      </x:c>
      <x:c r="L2532" s="24" t="b">
        <x:v>1</x:v>
      </x:c>
      <x:c r="M2532" s="23" t="n">
        <x:v>1</x:v>
      </x:c>
      <x:c r="N2532" s="28" t="n">
        <x:v>46205.606698634256</x:v>
      </x:c>
      <x:c r="O2532" s="28" t="n">
        <x:v>46219.812988715275</x:v>
      </x:c>
      <x:c r="P2532" s="23" t="str">
        <x:v>POCOS DE CALDAS</x:v>
      </x:c>
      <x:c r="Q2532" s="30" t="n">
        <x:v>31297</x:v>
      </x:c>
      <x:c r="R2532" s="22" t="str">
        <x:f>"14051932"</x:f>
        <x:v>14051932</x:v>
      </x:c>
      <x:c r="S2532" s="23" t="str">
        <x:v>feminino</x:v>
      </x:c>
      <x:c r="T2532" s="22" t="str">
        <x:f>"FKM7G96"</x:f>
        <x:v>FKM7G96</x:v>
      </x:c>
      <x:c r="U2532" s="23" t="str">
        <x:v>ORLANDO AFFONSO NETO DOS SANTOS</x:v>
      </x:c>
      <x:c r="V2532" s="22" t="str">
        <x:f>"093.436.776-00"</x:f>
        <x:v>093.436.776-00</x:v>
      </x:c>
      <x:c r="W2532" s="22" t="str">
        <x:f>"09343677600"</x:f>
        <x:v>09343677600</x:v>
      </x:c>
      <x:c r="X2532" s="23" t="str">
        <x:v>orando1410@gmail.com</x:v>
      </x:c>
      <x:c r="Y2532" s="22" t="str">
        <x:f>"35 99910-5204"</x:f>
        <x:v>35 99910-5204</x:v>
      </x:c>
      <x:c r="Z2532" s="30" t="n">
        <x:v>46371</x:v>
      </x:c>
    </x:row>
    <x:row r="2533" ht="18" customHeight="1">
      <x:c r="A2533" s="22" t="str">
        <x:f>"4c2b878b-3599-4ae1-8d4a-0db9a992371d"</x:f>
        <x:v>4c2b878b-3599-4ae1-8d4a-0db9a992371d</x:v>
      </x:c>
      <x:c r="B2533" s="23" t="str">
        <x:v>Marcilio Pires Mourão</x:v>
      </x:c>
      <x:c r="C2533" s="23" t="str">
        <x:v>marcilio pires mourao</x:v>
      </x:c>
      <x:c r="D2533" s="22" t="str">
        <x:f>"61768937/0001-04"</x:f>
        <x:v>61768937/0001-04</x:v>
      </x:c>
      <x:c r="E2533" s="22" t="str">
        <x:f>"61768937000104"</x:f>
        <x:v>61768937000104</x:v>
      </x:c>
      <x:c r="F2533" s="22" t="str">
        <x:f>"001.633.266-06"</x:f>
        <x:v>001.633.266-06</x:v>
      </x:c>
      <x:c r="G2533" s="22" t="str">
        <x:f>"00163326606"</x:f>
        <x:v>00163326606</x:v>
      </x:c>
      <x:c r="H2533" s="23" t="str">
        <x:v>marcilio.barramansa@hotmail.com</x:v>
      </x:c>
      <x:c r="I2533" s="22" t="str">
        <x:f>"33-9-8811-3698"</x:f>
        <x:v>33-9-8811-3698</x:v>
      </x:c>
      <x:c r="J2533" s="23" t="str">
        <x:v>SPOT</x:v>
      </x:c>
      <x:c r="K2533" s="23" t="str">
        <x:v>favored_only</x:v>
      </x:c>
      <x:c r="L2533" s="24" t="b">
        <x:v>1</x:v>
      </x:c>
      <x:c r="M2533" s="23" t="n">
        <x:v>2</x:v>
      </x:c>
      <x:c r="N2533" s="28" t="n">
        <x:v>46203.92184908565</x:v>
      </x:c>
      <x:c r="O2533" s="28" t="n">
        <x:v>46203.92184908565</x:v>
      </x:c>
      <x:c r="P2533" s="23" t="str"/>
      <x:c r="Q2533" s="30" t="str"/>
      <x:c r="R2533" s="22" t="str"/>
      <x:c r="S2533" s="23" t="str"/>
      <x:c r="T2533" s="22" t="str"/>
      <x:c r="U2533" s="23" t="str">
        <x:v>Marcilio Pires Mourão</x:v>
      </x:c>
      <x:c r="V2533" s="22" t="str">
        <x:f>"001.633.266-06"</x:f>
        <x:v>001.633.266-06</x:v>
      </x:c>
      <x:c r="W2533" s="22" t="str">
        <x:f>"00163326606"</x:f>
        <x:v>00163326606</x:v>
      </x:c>
      <x:c r="X2533" s="23" t="str">
        <x:v>marcilio.barramansa@hotmail.com</x:v>
      </x:c>
      <x:c r="Y2533" s="22" t="str">
        <x:f>"33-9-8811-3698"</x:f>
        <x:v>33-9-8811-3698</x:v>
      </x:c>
      <x:c r="Z2533" s="30" t="str"/>
    </x:row>
    <x:row r="2534" ht="18" customHeight="1">
      <x:c r="A2534" s="22" t="str">
        <x:f>"f332f902-ba8c-478d-9ed2-ff4d17bc81b4"</x:f>
        <x:v>f332f902-ba8c-478d-9ed2-ff4d17bc81b4</x:v>
      </x:c>
      <x:c r="B2534" s="23" t="str">
        <x:v>MARCIO ALEXANDRE ESTEVAM DE SANTANA</x:v>
      </x:c>
      <x:c r="C2534" s="23" t="str">
        <x:v>marcio alexandre estevam de santana</x:v>
      </x:c>
      <x:c r="D2534" s="22" t="str">
        <x:f>"60.502.172/0001-95"</x:f>
        <x:v>60.502.172/0001-95</x:v>
      </x:c>
      <x:c r="E2534" s="22" t="str">
        <x:f>"60502172000195"</x:f>
        <x:v>60502172000195</x:v>
      </x:c>
      <x:c r="F2534" s="22" t="str">
        <x:f>"012.369.317-93"</x:f>
        <x:v>012.369.317-93</x:v>
      </x:c>
      <x:c r="G2534" s="22" t="str">
        <x:f>"01236931793"</x:f>
        <x:v>01236931793</x:v>
      </x:c>
      <x:c r="H2534" s="23" t="str">
        <x:v>estevamdesantana@gmail.com</x:v>
      </x:c>
      <x:c r="I2534" s="22" t="str">
        <x:f>"+55 21 97175-3576"</x:f>
        <x:v>+55 21 97175-3576</x:v>
      </x:c>
      <x:c r="J2534" s="23" t="str">
        <x:v>SPOT</x:v>
      </x:c>
      <x:c r="K2534" s="23" t="str">
        <x:v>favored_only</x:v>
      </x:c>
      <x:c r="L2534" s="24" t="b">
        <x:v>1</x:v>
      </x:c>
      <x:c r="M2534" s="23" t="n">
        <x:v>1</x:v>
      </x:c>
      <x:c r="N2534" s="28" t="n">
        <x:v>46203.92189349537</x:v>
      </x:c>
      <x:c r="O2534" s="28" t="n">
        <x:v>46219.812988715275</x:v>
      </x:c>
      <x:c r="P2534" s="23" t="str">
        <x:v>CAMPO GRANDE</x:v>
      </x:c>
      <x:c r="Q2534" s="30" t="n">
        <x:v>25787</x:v>
      </x:c>
      <x:c r="R2534" s="22" t="str">
        <x:f>"587086550"</x:f>
        <x:v>587086550</x:v>
      </x:c>
      <x:c r="S2534" s="23" t="str">
        <x:v>masculino</x:v>
      </x:c>
      <x:c r="T2534" s="22" t="str">
        <x:f>"KVD9830"</x:f>
        <x:v>KVD9830</x:v>
      </x:c>
      <x:c r="U2534" s="23" t="str">
        <x:v>MARCIO ALEXANDRE ESTEVAM DE SANTANA</x:v>
      </x:c>
      <x:c r="V2534" s="22" t="str">
        <x:f>"012.369.317-93"</x:f>
        <x:v>012.369.317-93</x:v>
      </x:c>
      <x:c r="W2534" s="22" t="str">
        <x:f>"01236931793"</x:f>
        <x:v>01236931793</x:v>
      </x:c>
      <x:c r="X2534" s="23" t="str">
        <x:v>estevamdesantana@gmail.com</x:v>
      </x:c>
      <x:c r="Y2534" s="22" t="str">
        <x:f>"+55 21 97175-3576"</x:f>
        <x:v>+55 21 97175-3576</x:v>
      </x:c>
      <x:c r="Z2534" s="30" t="n">
        <x:v>46336</x:v>
      </x:c>
    </x:row>
    <x:row r="2535" ht="18" customHeight="1">
      <x:c r="A2535" s="22" t="str">
        <x:f>"fd486363-74ad-4e0b-b9e5-1d3155a7b9dc"</x:f>
        <x:v>fd486363-74ad-4e0b-b9e5-1d3155a7b9dc</x:v>
      </x:c>
      <x:c r="B2535" s="23" t="str">
        <x:v>MARCIO ALVES RODRIGUES</x:v>
      </x:c>
      <x:c r="C2535" s="23" t="str">
        <x:v>marcio alves rodrigues</x:v>
      </x:c>
      <x:c r="D2535" s="22" t="str">
        <x:f>"17.228.371/0001-28"</x:f>
        <x:v>17.228.371/0001-28</x:v>
      </x:c>
      <x:c r="E2535" s="22" t="str">
        <x:f>"17228371000128"</x:f>
        <x:v>17228371000128</x:v>
      </x:c>
      <x:c r="F2535" s="22" t="str">
        <x:f>"305.847.568-36"</x:f>
        <x:v>305.847.568-36</x:v>
      </x:c>
      <x:c r="G2535" s="22" t="str">
        <x:f>"30584756836"</x:f>
        <x:v>30584756836</x:v>
      </x:c>
      <x:c r="H2535" s="23" t="str">
        <x:v>mt.trans@hotmail.com</x:v>
      </x:c>
      <x:c r="I2535" s="22" t="str">
        <x:f>"11 94007-1640"</x:f>
        <x:v>11 94007-1640</x:v>
      </x:c>
      <x:c r="J2535" s="23" t="str">
        <x:v>SPOT</x:v>
      </x:c>
      <x:c r="K2535" s="23" t="str">
        <x:v>favored_only</x:v>
      </x:c>
      <x:c r="L2535" s="24" t="b">
        <x:v>1</x:v>
      </x:c>
      <x:c r="M2535" s="23" t="n">
        <x:v>1</x:v>
      </x:c>
      <x:c r="N2535" s="28" t="n">
        <x:v>46203.921852962965</x:v>
      </x:c>
      <x:c r="O2535" s="28" t="n">
        <x:v>46219.812988715275</x:v>
      </x:c>
      <x:c r="P2535" s="23" t="str">
        <x:v>BARRETOS</x:v>
      </x:c>
      <x:c r="Q2535" s="30" t="n">
        <x:v>28761</x:v>
      </x:c>
      <x:c r="R2535" s="22" t="str">
        <x:f>"34369418"</x:f>
        <x:v>34369418</x:v>
      </x:c>
      <x:c r="S2535" s="23" t="str">
        <x:v>masculino</x:v>
      </x:c>
      <x:c r="T2535" s="22" t="str">
        <x:f>"EVE5418"</x:f>
        <x:v>EVE5418</x:v>
      </x:c>
      <x:c r="U2535" s="23" t="str">
        <x:v>MARCIO ALVES RODRIGUES</x:v>
      </x:c>
      <x:c r="V2535" s="22" t="str">
        <x:f>"305.847.568-36"</x:f>
        <x:v>305.847.568-36</x:v>
      </x:c>
      <x:c r="W2535" s="22" t="str">
        <x:f>"30584756836"</x:f>
        <x:v>30584756836</x:v>
      </x:c>
      <x:c r="X2535" s="23" t="str">
        <x:v>mt.trans@hotmail.com</x:v>
      </x:c>
      <x:c r="Y2535" s="22" t="str">
        <x:f>"11 94007-1640"</x:f>
        <x:v>11 94007-1640</x:v>
      </x:c>
      <x:c r="Z2535" s="30" t="n">
        <x:v>46254</x:v>
      </x:c>
    </x:row>
    <x:row r="2536" ht="18" customHeight="1">
      <x:c r="A2536" s="22" t="str">
        <x:f>"48939bd2-35d9-4dd0-96b0-abfb023e9558"</x:f>
        <x:v>48939bd2-35d9-4dd0-96b0-abfb023e9558</x:v>
      </x:c>
      <x:c r="B2536" s="23" t="str">
        <x:v>MARCIO ANTONIO ALVES</x:v>
      </x:c>
      <x:c r="C2536" s="23" t="str">
        <x:v>marcio antonio alves</x:v>
      </x:c>
      <x:c r="D2536" s="22" t="str">
        <x:f>"37.584.964/0001-34"</x:f>
        <x:v>37.584.964/0001-34</x:v>
      </x:c>
      <x:c r="E2536" s="22" t="str">
        <x:f>"37584964000134"</x:f>
        <x:v>37584964000134</x:v>
      </x:c>
      <x:c r="F2536" s="22" t="str">
        <x:f>"060.563.446-73"</x:f>
        <x:v>060.563.446-73</x:v>
      </x:c>
      <x:c r="G2536" s="22" t="str">
        <x:f>"06056344673"</x:f>
        <x:v>06056344673</x:v>
      </x:c>
      <x:c r="H2536" s="23" t="str">
        <x:v>MA705415@GMAIL.COM</x:v>
      </x:c>
      <x:c r="I2536" s="22" t="str">
        <x:f>"34992175013"</x:f>
        <x:v>34992175013</x:v>
      </x:c>
      <x:c r="J2536" s="23" t="str">
        <x:v>SPOT</x:v>
      </x:c>
      <x:c r="K2536" s="23" t="str">
        <x:v>favored_only</x:v>
      </x:c>
      <x:c r="L2536" s="24" t="b">
        <x:v>1</x:v>
      </x:c>
      <x:c r="M2536" s="23" t="n">
        <x:v>1</x:v>
      </x:c>
      <x:c r="N2536" s="28" t="n">
        <x:v>46219.812988715275</x:v>
      </x:c>
      <x:c r="O2536" s="28" t="n">
        <x:v>46219.812988715275</x:v>
      </x:c>
      <x:c r="P2536" s="23" t="str">
        <x:v>UBERLANDIA</x:v>
      </x:c>
      <x:c r="Q2536" s="30" t="n">
        <x:v>28600</x:v>
      </x:c>
      <x:c r="R2536" s="22" t="str">
        <x:f>"MG13403546"</x:f>
        <x:v>MG13403546</x:v>
      </x:c>
      <x:c r="S2536" s="23" t="str">
        <x:v>masculino</x:v>
      </x:c>
      <x:c r="T2536" s="22" t="str">
        <x:f>"RMN8F64"</x:f>
        <x:v>RMN8F64</x:v>
      </x:c>
      <x:c r="U2536" s="23" t="str">
        <x:v>MARCIO ANTONIO ALVES</x:v>
      </x:c>
      <x:c r="V2536" s="22" t="str">
        <x:f>"060.563.446-73"</x:f>
        <x:v>060.563.446-73</x:v>
      </x:c>
      <x:c r="W2536" s="22" t="str">
        <x:f>"06056344673"</x:f>
        <x:v>06056344673</x:v>
      </x:c>
      <x:c r="X2536" s="23" t="str">
        <x:v>MA705415@GMAIL.COM</x:v>
      </x:c>
      <x:c r="Y2536" s="22" t="str">
        <x:f>"34992175013"</x:f>
        <x:v>34992175013</x:v>
      </x:c>
      <x:c r="Z2536" s="30" t="n">
        <x:v>46547</x:v>
      </x:c>
    </x:row>
    <x:row r="2537" ht="18" customHeight="1">
      <x:c r="A2537" s="22" t="str">
        <x:f>"f36df70c-3011-4578-9b89-0729811e02c9"</x:f>
        <x:v>f36df70c-3011-4578-9b89-0729811e02c9</x:v>
      </x:c>
      <x:c r="B2537" s="23" t="str">
        <x:v>MARCIO APARECIDO AFONSO</x:v>
      </x:c>
      <x:c r="C2537" s="23" t="str">
        <x:v>marcio aparecido afonso</x:v>
      </x:c>
      <x:c r="D2537" s="22" t="str">
        <x:f>"50.331.331/0001-82"</x:f>
        <x:v>50.331.331/0001-82</x:v>
      </x:c>
      <x:c r="E2537" s="22" t="str">
        <x:f>"50331331000182"</x:f>
        <x:v>50331331000182</x:v>
      </x:c>
      <x:c r="F2537" s="22" t="str">
        <x:f>"026.888.866-30"</x:f>
        <x:v>026.888.866-30</x:v>
      </x:c>
      <x:c r="G2537" s="22" t="str">
        <x:f>"02688886630"</x:f>
        <x:v>02688886630</x:v>
      </x:c>
      <x:c r="H2537" s="23" t="str">
        <x:v>marcioafonso33@hotmail.com</x:v>
      </x:c>
      <x:c r="I2537" s="22" t="str">
        <x:f>"988744884"</x:f>
        <x:v>988744884</x:v>
      </x:c>
      <x:c r="J2537" s="23" t="str">
        <x:v>SPOT</x:v>
      </x:c>
      <x:c r="K2537" s="23" t="str">
        <x:v>favored_only</x:v>
      </x:c>
      <x:c r="L2537" s="24" t="b">
        <x:v>1</x:v>
      </x:c>
      <x:c r="M2537" s="23" t="n">
        <x:v>1</x:v>
      </x:c>
      <x:c r="N2537" s="28" t="n">
        <x:v>46219.812988715275</x:v>
      </x:c>
      <x:c r="O2537" s="28" t="n">
        <x:v>46219.812988715275</x:v>
      </x:c>
      <x:c r="P2537" s="23" t="str">
        <x:v>ARAXÁ</x:v>
      </x:c>
      <x:c r="Q2537" s="30" t="n">
        <x:v>28410</x:v>
      </x:c>
      <x:c r="R2537" s="22" t="str">
        <x:f>"3152119859"</x:f>
        <x:v>3152119859</x:v>
      </x:c>
      <x:c r="S2537" s="23" t="str">
        <x:v>masculino</x:v>
      </x:c>
      <x:c r="T2537" s="22" t="str">
        <x:f>"EYV9A28"</x:f>
        <x:v>EYV9A28</x:v>
      </x:c>
      <x:c r="U2537" s="23" t="str">
        <x:v>MARCO ANTONIO FERREIRA</x:v>
      </x:c>
      <x:c r="V2537" s="22" t="str">
        <x:f>"755.356.376-53"</x:f>
        <x:v>755.356.376-53</x:v>
      </x:c>
      <x:c r="W2537" s="22" t="str">
        <x:f>"75535637653"</x:f>
        <x:v>75535637653</x:v>
      </x:c>
      <x:c r="X2537" s="23" t="str">
        <x:v>marcoantoniooferr@gmail.com</x:v>
      </x:c>
      <x:c r="Y2537" s="22" t="str">
        <x:f>"34988411877"</x:f>
        <x:v>34988411877</x:v>
      </x:c>
      <x:c r="Z2537" s="30" t="n">
        <x:v>46449</x:v>
      </x:c>
    </x:row>
    <x:row r="2538" ht="18" customHeight="1">
      <x:c r="A2538" s="22" t="str">
        <x:f>"0029d2ab-f56f-4d99-ae91-a49d957bddf6"</x:f>
        <x:v>0029d2ab-f56f-4d99-ae91-a49d957bddf6</x:v>
      </x:c>
      <x:c r="B2538" s="23" t="str">
        <x:v>MARCIO CHRYSTIAN DE ALMEIDA PENTEADO</x:v>
      </x:c>
      <x:c r="C2538" s="23" t="str">
        <x:v>marcio chrystian de almeida penteado</x:v>
      </x:c>
      <x:c r="D2538" s="22" t="str">
        <x:f>"51.900.684/0001-19"</x:f>
        <x:v>51.900.684/0001-19</x:v>
      </x:c>
      <x:c r="E2538" s="22" t="str">
        <x:f>"51900684000119"</x:f>
        <x:v>51900684000119</x:v>
      </x:c>
      <x:c r="F2538" s="22" t="str">
        <x:f>"254.219.098-40"</x:f>
        <x:v>254.219.098-40</x:v>
      </x:c>
      <x:c r="G2538" s="22" t="str">
        <x:f>"25421909840"</x:f>
        <x:v>25421909840</x:v>
      </x:c>
      <x:c r="H2538" s="23" t="str">
        <x:v>marciochrystian2020@gmail.com</x:v>
      </x:c>
      <x:c r="I2538" s="22" t="str">
        <x:f>"6796305213"</x:f>
        <x:v>6796305213</x:v>
      </x:c>
      <x:c r="J2538" s="23" t="str">
        <x:v>spot</x:v>
      </x:c>
      <x:c r="K2538" s="23" t="str">
        <x:v>favored_only</x:v>
      </x:c>
      <x:c r="L2538" s="24" t="b">
        <x:v>1</x:v>
      </x:c>
      <x:c r="M2538" s="23" t="n">
        <x:v>1</x:v>
      </x:c>
      <x:c r="N2538" s="28" t="n">
        <x:v>46219.812988715275</x:v>
      </x:c>
      <x:c r="O2538" s="28" t="n">
        <x:v>46219.812988715275</x:v>
      </x:c>
      <x:c r="P2538" s="23" t="str">
        <x:v>CHAPADÃO DO SUL</x:v>
      </x:c>
      <x:c r="Q2538" s="30" t="n">
        <x:v>27447</x:v>
      </x:c>
      <x:c r="R2538" s="22" t="str">
        <x:f>"23615968"</x:f>
        <x:v>23615968</x:v>
      </x:c>
      <x:c r="S2538" s="23" t="str">
        <x:v>masculino</x:v>
      </x:c>
      <x:c r="T2538" s="22" t="str">
        <x:f>"FPB9B40"</x:f>
        <x:v>FPB9B40</x:v>
      </x:c>
      <x:c r="U2538" s="23" t="str">
        <x:v>GABRIEL REZENDE DE SOUZA</x:v>
      </x:c>
      <x:c r="V2538" s="22" t="str">
        <x:f>"069.374.281-03"</x:f>
        <x:v>069.374.281-03</x:v>
      </x:c>
      <x:c r="W2538" s="22" t="str">
        <x:f>"06937428103"</x:f>
        <x:v>06937428103</x:v>
      </x:c>
      <x:c r="X2538" s="23" t="str">
        <x:v>biel.x.teclado@gmail.com</x:v>
      </x:c>
      <x:c r="Y2538" s="22" t="str">
        <x:f>"67999577476"</x:f>
        <x:v>67999577476</x:v>
      </x:c>
      <x:c r="Z2538" s="30" t="n">
        <x:v>46529</x:v>
      </x:c>
    </x:row>
    <x:row r="2539" ht="18" customHeight="1">
      <x:c r="A2539" s="22" t="str">
        <x:f>"70be8232-68c0-441b-b266-5ff8158f8665"</x:f>
        <x:v>70be8232-68c0-441b-b266-5ff8158f8665</x:v>
      </x:c>
      <x:c r="B2539" s="23" t="str">
        <x:v>MARCIO CHRYSTIAN DE ALMEIDA PENTEADO</x:v>
      </x:c>
      <x:c r="C2539" s="23" t="str">
        <x:v>marcio chrystian de almeida penteado</x:v>
      </x:c>
      <x:c r="D2539" s="22" t="str">
        <x:f>"18.694.393/0001-46"</x:f>
        <x:v>18.694.393/0001-46</x:v>
      </x:c>
      <x:c r="E2539" s="22" t="str">
        <x:f>"18694393000146"</x:f>
        <x:v>18694393000146</x:v>
      </x:c>
      <x:c r="F2539" s="22" t="str">
        <x:f>"254.219.098-40"</x:f>
        <x:v>254.219.098-40</x:v>
      </x:c>
      <x:c r="G2539" s="22" t="str">
        <x:f>"25421909840"</x:f>
        <x:v>25421909840</x:v>
      </x:c>
      <x:c r="H2539" s="23" t="str">
        <x:v>marciochrystian2020@gmail.com</x:v>
      </x:c>
      <x:c r="I2539" s="22" t="str">
        <x:f>"6796305213"</x:f>
        <x:v>6796305213</x:v>
      </x:c>
      <x:c r="J2539" s="23" t="str">
        <x:v>SPOT</x:v>
      </x:c>
      <x:c r="K2539" s="23" t="str">
        <x:v>favored_only</x:v>
      </x:c>
      <x:c r="L2539" s="24" t="b">
        <x:v>1</x:v>
      </x:c>
      <x:c r="M2539" s="23" t="n">
        <x:v>1</x:v>
      </x:c>
      <x:c r="N2539" s="28" t="n">
        <x:v>46219.812988715275</x:v>
      </x:c>
      <x:c r="O2539" s="28" t="n">
        <x:v>46219.812988715275</x:v>
      </x:c>
      <x:c r="P2539" s="23" t="str">
        <x:v>CHAPADÃO DO SUL</x:v>
      </x:c>
      <x:c r="Q2539" s="30" t="n">
        <x:v>27447</x:v>
      </x:c>
      <x:c r="R2539" s="22" t="str">
        <x:f>"23615968-902930394239"</x:f>
        <x:v>23615968-902930394239</x:v>
      </x:c>
      <x:c r="S2539" s="23" t="str">
        <x:v>masculino</x:v>
      </x:c>
      <x:c r="T2539" s="22" t="str">
        <x:f>"FPB9B40"</x:f>
        <x:v>FPB9B40</x:v>
      </x:c>
      <x:c r="U2539" s="23" t="str">
        <x:v>MARCIO CHRYSTIAN DE ALMEIDA PENTEADO</x:v>
      </x:c>
      <x:c r="V2539" s="22" t="str">
        <x:f>"254.219.098-40"</x:f>
        <x:v>254.219.098-40</x:v>
      </x:c>
      <x:c r="W2539" s="22" t="str">
        <x:f>"25421909840"</x:f>
        <x:v>25421909840</x:v>
      </x:c>
      <x:c r="X2539" s="23" t="str">
        <x:v>marciochrystian2020@gmail.com</x:v>
      </x:c>
      <x:c r="Y2539" s="22" t="str">
        <x:f>"6796305213"</x:f>
        <x:v>6796305213</x:v>
      </x:c>
      <x:c r="Z2539" s="30" t="n">
        <x:v>46501</x:v>
      </x:c>
    </x:row>
    <x:row r="2540" ht="18" customHeight="1">
      <x:c r="A2540" s="22" t="str">
        <x:f>"0e57329d-56f9-480d-8523-2cc647600fec"</x:f>
        <x:v>0e57329d-56f9-480d-8523-2cc647600fec</x:v>
      </x:c>
      <x:c r="B2540" s="23" t="str">
        <x:v>MARCIO DANIEL SILVA DE ARRUDA</x:v>
      </x:c>
      <x:c r="C2540" s="23" t="str">
        <x:v>marcio daniel silva de arruda</x:v>
      </x:c>
      <x:c r="D2540" s="22" t="str">
        <x:f>"60.995.434/0001-09"</x:f>
        <x:v>60.995.434/0001-09</x:v>
      </x:c>
      <x:c r="E2540" s="22" t="str">
        <x:f>"60995434000109"</x:f>
        <x:v>60995434000109</x:v>
      </x:c>
      <x:c r="F2540" s="22" t="str">
        <x:f>"071.466.916-40"</x:f>
        <x:v>071.466.916-40</x:v>
      </x:c>
      <x:c r="G2540" s="22" t="str">
        <x:f>"07146691640"</x:f>
        <x:v>07146691640</x:v>
      </x:c>
      <x:c r="H2540" s="23" t="str">
        <x:v>marciodanielarruda@yahoo.com.br</x:v>
      </x:c>
      <x:c r="I2540" s="22" t="str">
        <x:f>"31999596058"</x:f>
        <x:v>31999596058</x:v>
      </x:c>
      <x:c r="J2540" s="23" t="str">
        <x:v>SPOT</x:v>
      </x:c>
      <x:c r="K2540" s="23" t="str">
        <x:v>favored_only</x:v>
      </x:c>
      <x:c r="L2540" s="24" t="b">
        <x:v>1</x:v>
      </x:c>
      <x:c r="M2540" s="23" t="n">
        <x:v>1</x:v>
      </x:c>
      <x:c r="N2540" s="28" t="n">
        <x:v>46219.812988715275</x:v>
      </x:c>
      <x:c r="O2540" s="28" t="n">
        <x:v>46219.812988715275</x:v>
      </x:c>
      <x:c r="P2540" s="23" t="str">
        <x:v>GUANHAES</x:v>
      </x:c>
      <x:c r="Q2540" s="30" t="n">
        <x:v>30952</x:v>
      </x:c>
      <x:c r="R2540" s="22" t="str">
        <x:f>"12142335"</x:f>
        <x:v>12142335</x:v>
      </x:c>
      <x:c r="S2540" s="23" t="str">
        <x:v>masculino</x:v>
      </x:c>
      <x:c r="T2540" s="22" t="str">
        <x:f>"TYK2A04"</x:f>
        <x:v>TYK2A04</x:v>
      </x:c>
      <x:c r="U2540" s="23" t="str">
        <x:v>PEDRO HENRIQUE ANDRADE FREITAS OLIVEIRA</x:v>
      </x:c>
      <x:c r="V2540" s="22" t="str">
        <x:f>"124.863.066-17"</x:f>
        <x:v>124.863.066-17</x:v>
      </x:c>
      <x:c r="W2540" s="22" t="str">
        <x:f>"12486306617"</x:f>
        <x:v>12486306617</x:v>
      </x:c>
      <x:c r="X2540" s="23" t="str">
        <x:v>pedroferros2011@hotmail.com</x:v>
      </x:c>
      <x:c r="Y2540" s="22" t="str">
        <x:f>"31997621487"</x:f>
        <x:v>31997621487</x:v>
      </x:c>
      <x:c r="Z2540" s="30" t="n">
        <x:v>46575</x:v>
      </x:c>
    </x:row>
    <x:row r="2541" ht="18" customHeight="1">
      <x:c r="A2541" s="22" t="str">
        <x:f>"2113e73c-4575-4f3b-9fad-a61b6c2049d8"</x:f>
        <x:v>2113e73c-4575-4f3b-9fad-a61b6c2049d8</x:v>
      </x:c>
      <x:c r="B2541" s="23" t="str">
        <x:v>MARCIO DA SILVA</x:v>
      </x:c>
      <x:c r="C2541" s="23" t="str">
        <x:v>marcio da silva</x:v>
      </x:c>
      <x:c r="D2541" s="22" t="str">
        <x:f>"64.586.783/0001-10"</x:f>
        <x:v>64.586.783/0001-10</x:v>
      </x:c>
      <x:c r="E2541" s="22" t="str">
        <x:f>"64586783000110"</x:f>
        <x:v>64586783000110</x:v>
      </x:c>
      <x:c r="F2541" s="22" t="str">
        <x:f>"221.378.378-03"</x:f>
        <x:v>221.378.378-03</x:v>
      </x:c>
      <x:c r="G2541" s="22" t="str">
        <x:f>"22137837803"</x:f>
        <x:v>22137837803</x:v>
      </x:c>
      <x:c r="H2541" s="23" t="str">
        <x:v>mdshoes@hotmail.com</x:v>
      </x:c>
      <x:c r="I2541" s="22" t="str">
        <x:f>"31 992313389"</x:f>
        <x:v>31 992313389</x:v>
      </x:c>
      <x:c r="J2541" s="23" t="str">
        <x:v>SPOT</x:v>
      </x:c>
      <x:c r="K2541" s="23" t="str">
        <x:v>favored_only</x:v>
      </x:c>
      <x:c r="L2541" s="24" t="b">
        <x:v>1</x:v>
      </x:c>
      <x:c r="M2541" s="23" t="n">
        <x:v>1</x:v>
      </x:c>
      <x:c r="N2541" s="28" t="n">
        <x:v>46219.812988715275</x:v>
      </x:c>
      <x:c r="O2541" s="28" t="n">
        <x:v>46219.812988715275</x:v>
      </x:c>
      <x:c r="P2541" s="23" t="str">
        <x:v>VESPASIANO</x:v>
      </x:c>
      <x:c r="Q2541" s="30" t="n">
        <x:v>30456</x:v>
      </x:c>
      <x:c r="R2541" s="22" t="str">
        <x:f>"RG: 15726995"</x:f>
        <x:v>RG: 15726995</x:v>
      </x:c>
      <x:c r="S2541" s="23" t="str">
        <x:v>masculino</x:v>
      </x:c>
      <x:c r="T2541" s="22" t="str">
        <x:f>"HHR5431"</x:f>
        <x:v>HHR5431</x:v>
      </x:c>
      <x:c r="U2541" s="23" t="str">
        <x:v>MARCIO DA SILVA</x:v>
      </x:c>
      <x:c r="V2541" s="22" t="str">
        <x:f>"221.378.378-03"</x:f>
        <x:v>221.378.378-03</x:v>
      </x:c>
      <x:c r="W2541" s="22" t="str">
        <x:f>"22137837803"</x:f>
        <x:v>22137837803</x:v>
      </x:c>
      <x:c r="X2541" s="23" t="str">
        <x:v>mdshoes@hotmail.com</x:v>
      </x:c>
      <x:c r="Y2541" s="22" t="str">
        <x:f>"31 992313389"</x:f>
        <x:v>31 992313389</x:v>
      </x:c>
      <x:c r="Z2541" s="30" t="n">
        <x:v>46410</x:v>
      </x:c>
    </x:row>
    <x:row r="2542" ht="18" customHeight="1">
      <x:c r="A2542" s="22" t="str">
        <x:f>"18f9fe00-8ecf-44d0-b3d1-033316508171"</x:f>
        <x:v>18f9fe00-8ecf-44d0-b3d1-033316508171</x:v>
      </x:c>
      <x:c r="B2542" s="23" t="str">
        <x:v>MARCIO DE ALMEIDA BRANDAO</x:v>
      </x:c>
      <x:c r="C2542" s="23" t="str">
        <x:v>marcio de almeida brandao</x:v>
      </x:c>
      <x:c r="D2542" s="22" t="str">
        <x:f>"64.351.100/0001-45"</x:f>
        <x:v>64.351.100/0001-45</x:v>
      </x:c>
      <x:c r="E2542" s="22" t="str">
        <x:f>"64351100000145"</x:f>
        <x:v>64351100000145</x:v>
      </x:c>
      <x:c r="F2542" s="22" t="str">
        <x:f>"096.632.357-21"</x:f>
        <x:v>096.632.357-21</x:v>
      </x:c>
      <x:c r="G2542" s="22" t="str">
        <x:f>"09663235721"</x:f>
        <x:v>09663235721</x:v>
      </x:c>
      <x:c r="H2542" s="23" t="str">
        <x:v>marcio.a.brand@gmail.com</x:v>
      </x:c>
      <x:c r="I2542" s="22" t="str">
        <x:f>"21987070334"</x:f>
        <x:v>21987070334</x:v>
      </x:c>
      <x:c r="J2542" s="23" t="str">
        <x:v>SPOT</x:v>
      </x:c>
      <x:c r="K2542" s="23" t="str">
        <x:v>favored_only</x:v>
      </x:c>
      <x:c r="L2542" s="24" t="b">
        <x:v>1</x:v>
      </x:c>
      <x:c r="M2542" s="23" t="n">
        <x:v>1</x:v>
      </x:c>
      <x:c r="N2542" s="28" t="n">
        <x:v>46219.812988715275</x:v>
      </x:c>
      <x:c r="O2542" s="28" t="n">
        <x:v>46219.812988715275</x:v>
      </x:c>
      <x:c r="P2542" s="23" t="str">
        <x:v>CAMPOS DOS GOYTACAZES</x:v>
      </x:c>
      <x:c r="Q2542" s="30" t="n">
        <x:v>29851</x:v>
      </x:c>
      <x:c r="R2542" s="22" t="str">
        <x:f>"120532882"</x:f>
        <x:v>120532882</x:v>
      </x:c>
      <x:c r="S2542" s="23" t="str">
        <x:v>masculino</x:v>
      </x:c>
      <x:c r="T2542" s="22" t="str">
        <x:f>"GBP8B21"</x:f>
        <x:v>GBP8B21</x:v>
      </x:c>
      <x:c r="U2542" s="23" t="str">
        <x:v>MARCIO DE ALMEIDA BRANDAO</x:v>
      </x:c>
      <x:c r="V2542" s="22" t="str">
        <x:f>"096.632.357-21"</x:f>
        <x:v>096.632.357-21</x:v>
      </x:c>
      <x:c r="W2542" s="22" t="str">
        <x:f>"09663235721"</x:f>
        <x:v>09663235721</x:v>
      </x:c>
      <x:c r="X2542" s="23" t="str">
        <x:v>marcio.a.brand@gmail.com</x:v>
      </x:c>
      <x:c r="Y2542" s="22" t="str">
        <x:f>"21987070334"</x:f>
        <x:v>21987070334</x:v>
      </x:c>
      <x:c r="Z2542" s="30" t="n">
        <x:v>46445</x:v>
      </x:c>
    </x:row>
    <x:row r="2543" ht="18" customHeight="1">
      <x:c r="A2543" s="22" t="str">
        <x:f>"277b42d6-1664-4291-ab5b-21f2b503fe02"</x:f>
        <x:v>277b42d6-1664-4291-ab5b-21f2b503fe02</x:v>
      </x:c>
      <x:c r="B2543" s="23" t="str">
        <x:v>MARCIO DOPPENSCHMITT PRADO</x:v>
      </x:c>
      <x:c r="C2543" s="23" t="str">
        <x:v>marcio doppenschmitt prado</x:v>
      </x:c>
      <x:c r="D2543" s="22" t="str">
        <x:f>"65.183.194/0001-53"</x:f>
        <x:v>65.183.194/0001-53</x:v>
      </x:c>
      <x:c r="E2543" s="22" t="str">
        <x:f>"65183194000153"</x:f>
        <x:v>65183194000153</x:v>
      </x:c>
      <x:c r="F2543" s="22" t="str">
        <x:f>"299.679.428-19"</x:f>
        <x:v>299.679.428-19</x:v>
      </x:c>
      <x:c r="G2543" s="22" t="str">
        <x:f>"29967942819"</x:f>
        <x:v>29967942819</x:v>
      </x:c>
      <x:c r="H2543" s="23" t="str">
        <x:v>marcio.dopp@hotmail.com</x:v>
      </x:c>
      <x:c r="I2543" s="22" t="str">
        <x:f>"11970372503"</x:f>
        <x:v>11970372503</x:v>
      </x:c>
      <x:c r="J2543" s="23" t="str">
        <x:v>SPOT</x:v>
      </x:c>
      <x:c r="K2543" s="23" t="str">
        <x:v>favored_only</x:v>
      </x:c>
      <x:c r="L2543" s="24" t="b">
        <x:v>1</x:v>
      </x:c>
      <x:c r="M2543" s="23" t="n">
        <x:v>1</x:v>
      </x:c>
      <x:c r="N2543" s="28" t="n">
        <x:v>46219.812988715275</x:v>
      </x:c>
      <x:c r="O2543" s="28" t="n">
        <x:v>46219.812988715275</x:v>
      </x:c>
      <x:c r="P2543" s="23" t="str">
        <x:v>BARUERI</x:v>
      </x:c>
      <x:c r="Q2543" s="30" t="n">
        <x:v>29588</x:v>
      </x:c>
      <x:c r="R2543" s="22" t="str">
        <x:f>"25946630"</x:f>
        <x:v>25946630</x:v>
      </x:c>
      <x:c r="S2543" s="23" t="str">
        <x:v>masculino</x:v>
      </x:c>
      <x:c r="T2543" s="22" t="str">
        <x:f>"FHS1G27"</x:f>
        <x:v>FHS1G27</x:v>
      </x:c>
      <x:c r="U2543" s="23" t="str">
        <x:v>MARCIO DOPPENSCHMITT PRADO</x:v>
      </x:c>
      <x:c r="V2543" s="22" t="str">
        <x:f>"299.679.428-19"</x:f>
        <x:v>299.679.428-19</x:v>
      </x:c>
      <x:c r="W2543" s="22" t="str">
        <x:f>"29967942819"</x:f>
        <x:v>29967942819</x:v>
      </x:c>
      <x:c r="X2543" s="23" t="str">
        <x:v>marcio.dopp@hotmail.com</x:v>
      </x:c>
      <x:c r="Y2543" s="22" t="str">
        <x:f>"11970372503"</x:f>
        <x:v>11970372503</x:v>
      </x:c>
      <x:c r="Z2543" s="30" t="n">
        <x:v>46486</x:v>
      </x:c>
    </x:row>
    <x:row r="2544" ht="18" customHeight="1">
      <x:c r="A2544" s="22" t="str">
        <x:f>"17e83755-bc53-4c4f-8f12-a5d111c63abe"</x:f>
        <x:v>17e83755-bc53-4c4f-8f12-a5d111c63abe</x:v>
      </x:c>
      <x:c r="B2544" s="23" t="str">
        <x:v>MARCIO DOS SANTOS COELHO</x:v>
      </x:c>
      <x:c r="C2544" s="23" t="str">
        <x:v>marcio dos santos coelho</x:v>
      </x:c>
      <x:c r="D2544" s="22" t="str">
        <x:f>"24.136.728/0001-03"</x:f>
        <x:v>24.136.728/0001-03</x:v>
      </x:c>
      <x:c r="E2544" s="22" t="str">
        <x:f>"24136728000103"</x:f>
        <x:v>24136728000103</x:v>
      </x:c>
      <x:c r="F2544" s="22" t="str">
        <x:f>"088.561.167-58"</x:f>
        <x:v>088.561.167-58</x:v>
      </x:c>
      <x:c r="G2544" s="22" t="str">
        <x:f>"08856116758"</x:f>
        <x:v>08856116758</x:v>
      </x:c>
      <x:c r="H2544" s="23" t="str">
        <x:v>mmgustavorenato@hotmail.com</x:v>
      </x:c>
      <x:c r="I2544" s="22" t="str">
        <x:f>"2197020-1197"</x:f>
        <x:v>2197020-1197</x:v>
      </x:c>
      <x:c r="J2544" s="23" t="str">
        <x:v>SPOT</x:v>
      </x:c>
      <x:c r="K2544" s="23" t="str">
        <x:v>favored_only</x:v>
      </x:c>
      <x:c r="L2544" s="24" t="b">
        <x:v>1</x:v>
      </x:c>
      <x:c r="M2544" s="23" t="n">
        <x:v>1</x:v>
      </x:c>
      <x:c r="N2544" s="28" t="n">
        <x:v>46203.921904421295</x:v>
      </x:c>
      <x:c r="O2544" s="28" t="n">
        <x:v>46219.812988715275</x:v>
      </x:c>
      <x:c r="P2544" s="23" t="str">
        <x:v>CORDOVIL</x:v>
      </x:c>
      <x:c r="Q2544" s="30" t="n">
        <x:v>29473</x:v>
      </x:c>
      <x:c r="R2544" s="22" t="str">
        <x:f>"129177150"</x:f>
        <x:v>129177150</x:v>
      </x:c>
      <x:c r="S2544" s="23" t="str">
        <x:v>masculino</x:v>
      </x:c>
      <x:c r="T2544" s="22" t="str">
        <x:f>"QUS3G26"</x:f>
        <x:v>QUS3G26</x:v>
      </x:c>
      <x:c r="U2544" s="23" t="str">
        <x:v>MARCIO DOS SANTOS COELHO</x:v>
      </x:c>
      <x:c r="V2544" s="22" t="str">
        <x:f>"088.561.167-58"</x:f>
        <x:v>088.561.167-58</x:v>
      </x:c>
      <x:c r="W2544" s="22" t="str">
        <x:f>"08856116758"</x:f>
        <x:v>08856116758</x:v>
      </x:c>
      <x:c r="X2544" s="23" t="str">
        <x:v>mmgustavorenato@hotmail.com</x:v>
      </x:c>
      <x:c r="Y2544" s="22" t="str">
        <x:f>"2197020-1197"</x:f>
        <x:v>2197020-1197</x:v>
      </x:c>
      <x:c r="Z2544" s="30" t="n">
        <x:v>46372</x:v>
      </x:c>
    </x:row>
    <x:row r="2545" ht="18" customHeight="1">
      <x:c r="A2545" s="22" t="str">
        <x:f>"3074e765-c814-4eeb-a117-00b849c4dcda"</x:f>
        <x:v>3074e765-c814-4eeb-a117-00b849c4dcda</x:v>
      </x:c>
      <x:c r="B2545" s="23" t="str">
        <x:v>MARCIO DOS SANTOS COELHO</x:v>
      </x:c>
      <x:c r="C2545" s="23" t="str">
        <x:v>marcio dos santos coelho</x:v>
      </x:c>
      <x:c r="D2545" s="22" t="str">
        <x:f>"66.442.837/0001-07"</x:f>
        <x:v>66.442.837/0001-07</x:v>
      </x:c>
      <x:c r="E2545" s="22" t="str">
        <x:f>"66442837000107"</x:f>
        <x:v>66442837000107</x:v>
      </x:c>
      <x:c r="F2545" s="22" t="str">
        <x:f>"088.561.167-58"</x:f>
        <x:v>088.561.167-58</x:v>
      </x:c>
      <x:c r="G2545" s="22" t="str">
        <x:f>"08856116758"</x:f>
        <x:v>08856116758</x:v>
      </x:c>
      <x:c r="H2545" s="23" t="str">
        <x:v>mmgustavorenato@hotmail.com</x:v>
      </x:c>
      <x:c r="I2545" s="22" t="str">
        <x:f>"2197020-1197"</x:f>
        <x:v>2197020-1197</x:v>
      </x:c>
      <x:c r="J2545" s="23" t="str">
        <x:v>SPOT</x:v>
      </x:c>
      <x:c r="K2545" s="23" t="str">
        <x:v>favored_only</x:v>
      </x:c>
      <x:c r="L2545" s="24" t="b">
        <x:v>1</x:v>
      </x:c>
      <x:c r="M2545" s="23" t="n">
        <x:v>1</x:v>
      </x:c>
      <x:c r="N2545" s="28" t="n">
        <x:v>46219.812988715275</x:v>
      </x:c>
      <x:c r="O2545" s="28" t="n">
        <x:v>46219.812988715275</x:v>
      </x:c>
      <x:c r="P2545" s="23" t="str">
        <x:v>CORDOVIL</x:v>
      </x:c>
      <x:c r="Q2545" s="30" t="n">
        <x:v>29473</x:v>
      </x:c>
      <x:c r="R2545" s="22" t="str">
        <x:f>"129177150"</x:f>
        <x:v>129177150</x:v>
      </x:c>
      <x:c r="S2545" s="23" t="str">
        <x:v>masculino</x:v>
      </x:c>
      <x:c r="T2545" s="22" t="str">
        <x:f>"QUS3G26"</x:f>
        <x:v>QUS3G26</x:v>
      </x:c>
      <x:c r="U2545" s="23" t="str">
        <x:v>NILSON ANGELO DA SILVA</x:v>
      </x:c>
      <x:c r="V2545" s="22" t="str">
        <x:f>"587.700.387-91"</x:f>
        <x:v>587.700.387-91</x:v>
      </x:c>
      <x:c r="W2545" s="22" t="str">
        <x:f>"58770038791"</x:f>
        <x:v>58770038791</x:v>
      </x:c>
      <x:c r="X2545" s="23" t="str">
        <x:v>mmgustavorenato@hotmail.com</x:v>
      </x:c>
      <x:c r="Y2545" s="22" t="str">
        <x:f>"2197020-1197"</x:f>
        <x:v>2197020-1197</x:v>
      </x:c>
      <x:c r="Z2545" s="30" t="n">
        <x:v>46506</x:v>
      </x:c>
    </x:row>
    <x:row r="2546" ht="18" customHeight="1">
      <x:c r="A2546" s="22" t="str">
        <x:f>"b2512337-019f-4e55-94c3-aeb392721a9e"</x:f>
        <x:v>b2512337-019f-4e55-94c3-aeb392721a9e</x:v>
      </x:c>
      <x:c r="B2546" s="23" t="str">
        <x:v>MARCIO DOS SANTOS COELHO</x:v>
      </x:c>
      <x:c r="C2546" s="23" t="str">
        <x:v>marcio dos santos coelho</x:v>
      </x:c>
      <x:c r="D2546" s="22" t="str">
        <x:f>"19.185.356/0001-75"</x:f>
        <x:v>19.185.356/0001-75</x:v>
      </x:c>
      <x:c r="E2546" s="22" t="str">
        <x:f>"19185356000175"</x:f>
        <x:v>19185356000175</x:v>
      </x:c>
      <x:c r="F2546" s="22" t="str">
        <x:f>"088.561.167-58"</x:f>
        <x:v>088.561.167-58</x:v>
      </x:c>
      <x:c r="G2546" s="22" t="str">
        <x:f>"08856116758"</x:f>
        <x:v>08856116758</x:v>
      </x:c>
      <x:c r="H2546" s="23" t="str">
        <x:v>mmgustavorenato@hotmail.com</x:v>
      </x:c>
      <x:c r="I2546" s="22" t="str">
        <x:f>"2197020-1197"</x:f>
        <x:v>2197020-1197</x:v>
      </x:c>
      <x:c r="J2546" s="23" t="str">
        <x:v>SPOT</x:v>
      </x:c>
      <x:c r="K2546" s="23" t="str">
        <x:v>favored_only</x:v>
      </x:c>
      <x:c r="L2546" s="24" t="b">
        <x:v>1</x:v>
      </x:c>
      <x:c r="M2546" s="23" t="n">
        <x:v>1</x:v>
      </x:c>
      <x:c r="N2546" s="28" t="n">
        <x:v>46205.606933020834</x:v>
      </x:c>
      <x:c r="O2546" s="28" t="n">
        <x:v>46219.812988715275</x:v>
      </x:c>
      <x:c r="P2546" s="23" t="str">
        <x:v>CORDOVIL</x:v>
      </x:c>
      <x:c r="Q2546" s="30" t="n">
        <x:v>29473</x:v>
      </x:c>
      <x:c r="R2546" s="22" t="str">
        <x:f>"129177150"</x:f>
        <x:v>129177150</x:v>
      </x:c>
      <x:c r="S2546" s="23" t="str">
        <x:v>masculino</x:v>
      </x:c>
      <x:c r="T2546" s="22" t="str">
        <x:f>"QUS3G26"</x:f>
        <x:v>QUS3G26</x:v>
      </x:c>
      <x:c r="U2546" s="23" t="str">
        <x:v>MIRIAN DA SILVA PRASERES</x:v>
      </x:c>
      <x:c r="V2546" s="22" t="str">
        <x:f>"123.236.277-83"</x:f>
        <x:v>123.236.277-83</x:v>
      </x:c>
      <x:c r="W2546" s="22" t="str">
        <x:f>"12323627783"</x:f>
        <x:v>12323627783</x:v>
      </x:c>
      <x:c r="X2546" s="23" t="str">
        <x:v>mmgustavorenato@hotmail.com</x:v>
      </x:c>
      <x:c r="Y2546" s="22" t="str">
        <x:f>"2197020-1197"</x:f>
        <x:v>2197020-1197</x:v>
      </x:c>
      <x:c r="Z2546" s="30" t="n">
        <x:v>46372</x:v>
      </x:c>
    </x:row>
    <x:row r="2547" ht="18" customHeight="1">
      <x:c r="A2547" s="22" t="str">
        <x:f>"596fa868-9688-441e-9459-2e3b5e2833c7"</x:f>
        <x:v>596fa868-9688-441e-9459-2e3b5e2833c7</x:v>
      </x:c>
      <x:c r="B2547" s="23" t="str">
        <x:v>MARCIO FERREIRA SILVA</x:v>
      </x:c>
      <x:c r="C2547" s="23" t="str">
        <x:v>marcio ferreira silva</x:v>
      </x:c>
      <x:c r="D2547" s="22" t="str">
        <x:f>"68.038.817/0001-92"</x:f>
        <x:v>68.038.817/0001-92</x:v>
      </x:c>
      <x:c r="E2547" s="22" t="str">
        <x:f>"68038817000192"</x:f>
        <x:v>68038817000192</x:v>
      </x:c>
      <x:c r="F2547" s="22" t="str">
        <x:f>"957.081.701-15"</x:f>
        <x:v>957.081.701-15</x:v>
      </x:c>
      <x:c r="G2547" s="22" t="str">
        <x:f>"95708170115"</x:f>
        <x:v>95708170115</x:v>
      </x:c>
      <x:c r="H2547" s="23" t="str">
        <x:v>marrciosilvaa@gmail.com</x:v>
      </x:c>
      <x:c r="I2547" s="22" t="str">
        <x:f>"6498102-7953"</x:f>
        <x:v>6498102-7953</x:v>
      </x:c>
      <x:c r="J2547" s="23" t="str">
        <x:v>DESCONHECIDO</x:v>
      </x:c>
      <x:c r="K2547" s="23" t="str">
        <x:v>favored_only</x:v>
      </x:c>
      <x:c r="L2547" s="24" t="b">
        <x:v>1</x:v>
      </x:c>
      <x:c r="M2547" s="23" t="n">
        <x:v>1</x:v>
      </x:c>
      <x:c r="N2547" s="28" t="n">
        <x:v>46219.812988715275</x:v>
      </x:c>
      <x:c r="O2547" s="28" t="n">
        <x:v>46219.812988715275</x:v>
      </x:c>
      <x:c r="P2547" s="23" t="str">
        <x:v>RIO VERDE</x:v>
      </x:c>
      <x:c r="Q2547" s="30" t="str"/>
      <x:c r="R2547" s="22" t="str"/>
      <x:c r="S2547" s="23" t="str">
        <x:v>masculino</x:v>
      </x:c>
      <x:c r="T2547" s="22" t="str"/>
      <x:c r="U2547" s="23" t="str">
        <x:v>MARCIO FERREIRA SILVA</x:v>
      </x:c>
      <x:c r="V2547" s="22" t="str">
        <x:f>"957.081.701-15"</x:f>
        <x:v>957.081.701-15</x:v>
      </x:c>
      <x:c r="W2547" s="22" t="str">
        <x:f>"95708170115"</x:f>
        <x:v>95708170115</x:v>
      </x:c>
      <x:c r="X2547" s="23" t="str">
        <x:v>marrciosilvaa@gmail.com</x:v>
      </x:c>
      <x:c r="Y2547" s="22" t="str">
        <x:f>"6498102-7953"</x:f>
        <x:v>6498102-7953</x:v>
      </x:c>
      <x:c r="Z2547" s="30" t="n">
        <x:v>46583</x:v>
      </x:c>
    </x:row>
    <x:row r="2548" ht="18" customHeight="1">
      <x:c r="A2548" s="22" t="str">
        <x:f>"4282a1cf-8473-4a46-b805-8f6187f515f0"</x:f>
        <x:v>4282a1cf-8473-4a46-b805-8f6187f515f0</x:v>
      </x:c>
      <x:c r="B2548" s="23" t="str">
        <x:v>MARCIO LEANDRO DA SILVA ROCHA</x:v>
      </x:c>
      <x:c r="C2548" s="23" t="str">
        <x:v>marcio leandro da silva rocha</x:v>
      </x:c>
      <x:c r="D2548" s="22" t="str">
        <x:f>"62.970.875/0001-73"</x:f>
        <x:v>62.970.875/0001-73</x:v>
      </x:c>
      <x:c r="E2548" s="22" t="str">
        <x:f>"62970875000173"</x:f>
        <x:v>62970875000173</x:v>
      </x:c>
      <x:c r="F2548" s="22" t="str">
        <x:f>"080.745.667-57"</x:f>
        <x:v>080.745.667-57</x:v>
      </x:c>
      <x:c r="G2548" s="22" t="str">
        <x:f>"08074566757"</x:f>
        <x:v>08074566757</x:v>
      </x:c>
      <x:c r="H2548" s="23" t="str">
        <x:v>uniquelocar@gmail.com</x:v>
      </x:c>
      <x:c r="I2548" s="22" t="str">
        <x:f>"21993527858"</x:f>
        <x:v>21993527858</x:v>
      </x:c>
      <x:c r="J2548" s="23" t="str">
        <x:v>SPOT</x:v>
      </x:c>
      <x:c r="K2548" s="23" t="str">
        <x:v>favored_only</x:v>
      </x:c>
      <x:c r="L2548" s="24" t="b">
        <x:v>1</x:v>
      </x:c>
      <x:c r="M2548" s="23" t="n">
        <x:v>1</x:v>
      </x:c>
      <x:c r="N2548" s="28" t="n">
        <x:v>46219.812988715275</x:v>
      </x:c>
      <x:c r="O2548" s="28" t="n">
        <x:v>46219.812988715275</x:v>
      </x:c>
      <x:c r="P2548" s="23" t="str">
        <x:v>SÃO JOAO DE MERITI</x:v>
      </x:c>
      <x:c r="Q2548" s="30" t="n">
        <x:v>28690</x:v>
      </x:c>
      <x:c r="R2548" s="22" t="str">
        <x:f>"105896682"</x:f>
        <x:v>105896682</x:v>
      </x:c>
      <x:c r="S2548" s="23" t="str">
        <x:v>masculino</x:v>
      </x:c>
      <x:c r="T2548" s="22" t="str">
        <x:f>"Rke2b95"</x:f>
        <x:v>Rke2b95</x:v>
      </x:c>
      <x:c r="U2548" s="23" t="str">
        <x:v>MARCIO LEANDRO DA SILVA ROCHA</x:v>
      </x:c>
      <x:c r="V2548" s="22" t="str">
        <x:f>"080.745.667-57"</x:f>
        <x:v>080.745.667-57</x:v>
      </x:c>
      <x:c r="W2548" s="22" t="str">
        <x:f>"08074566757"</x:f>
        <x:v>08074566757</x:v>
      </x:c>
      <x:c r="X2548" s="23" t="str">
        <x:v>uniquelocar@gmail.com</x:v>
      </x:c>
      <x:c r="Y2548" s="22" t="str">
        <x:f>"21993527858"</x:f>
        <x:v>21993527858</x:v>
      </x:c>
      <x:c r="Z2548" s="30" t="n">
        <x:v>46561</x:v>
      </x:c>
    </x:row>
    <x:row r="2549" ht="18" customHeight="1">
      <x:c r="A2549" s="22" t="str">
        <x:f>"84155de3-489a-4326-8f00-2945519e01d0"</x:f>
        <x:v>84155de3-489a-4326-8f00-2945519e01d0</x:v>
      </x:c>
      <x:c r="B2549" s="23" t="str">
        <x:v>MARCIO LUIZ DA SILVA</x:v>
      </x:c>
      <x:c r="C2549" s="23" t="str">
        <x:v>marcio luiz da silva</x:v>
      </x:c>
      <x:c r="D2549" s="22" t="str">
        <x:f>"54.394.913/0001-69"</x:f>
        <x:v>54.394.913/0001-69</x:v>
      </x:c>
      <x:c r="E2549" s="22" t="str">
        <x:f>"54394913000169"</x:f>
        <x:v>54394913000169</x:v>
      </x:c>
      <x:c r="F2549" s="22" t="str">
        <x:f>"346.553.138-89"</x:f>
        <x:v>346.553.138-89</x:v>
      </x:c>
      <x:c r="G2549" s="22" t="str">
        <x:f>"34655313889"</x:f>
        <x:v>34655313889</x:v>
      </x:c>
      <x:c r="H2549" s="23" t="str">
        <x:v>inhacomafu@gmail.com</x:v>
      </x:c>
      <x:c r="I2549" s="22" t="str">
        <x:f>"11994989902"</x:f>
        <x:v>11994989902</x:v>
      </x:c>
      <x:c r="J2549" s="23" t="str">
        <x:v>RENTAL</x:v>
      </x:c>
      <x:c r="K2549" s="23" t="str">
        <x:v>rental_company</x:v>
      </x:c>
      <x:c r="L2549" s="24" t="b">
        <x:v>1</x:v>
      </x:c>
      <x:c r="M2549" s="23" t="n">
        <x:v>2</x:v>
      </x:c>
      <x:c r="N2549" s="28" t="n">
        <x:v>46203.92184908565</x:v>
      </x:c>
      <x:c r="O2549" s="28" t="n">
        <x:v>46219.812988715275</x:v>
      </x:c>
      <x:c r="P2549" s="23" t="str">
        <x:v>BARUERI</x:v>
      </x:c>
      <x:c r="Q2549" s="30" t="n">
        <x:v>31718</x:v>
      </x:c>
      <x:c r="R2549" s="22" t="str">
        <x:f>"34821519"</x:f>
        <x:v>34821519</x:v>
      </x:c>
      <x:c r="S2549" s="23" t="str">
        <x:v>masculino</x:v>
      </x:c>
      <x:c r="T2549" s="22" t="str"/>
      <x:c r="U2549" s="23" t="str">
        <x:v>MARCIO LUIZ DA SILVA</x:v>
      </x:c>
      <x:c r="V2549" s="22" t="str">
        <x:f>"346.553.138-89"</x:f>
        <x:v>346.553.138-89</x:v>
      </x:c>
      <x:c r="W2549" s="22" t="str">
        <x:f>"34655313889"</x:f>
        <x:v>34655313889</x:v>
      </x:c>
      <x:c r="X2549" s="23" t="str">
        <x:v>inhacomafu@gmail.com</x:v>
      </x:c>
      <x:c r="Y2549" s="22" t="str">
        <x:f>"11994989902"</x:f>
        <x:v>11994989902</x:v>
      </x:c>
      <x:c r="Z2549" s="30" t="n">
        <x:v>46549</x:v>
      </x:c>
    </x:row>
    <x:row r="2550" ht="18" customHeight="1">
      <x:c r="A2550" s="22" t="str">
        <x:f>"89578c54-2ff8-4b25-a4db-3df0d6ee4476"</x:f>
        <x:v>89578c54-2ff8-4b25-a4db-3df0d6ee4476</x:v>
      </x:c>
      <x:c r="B2550" s="23" t="str">
        <x:v>MARCIO PAIAO</x:v>
      </x:c>
      <x:c r="C2550" s="23" t="str">
        <x:v>marcio paiao</x:v>
      </x:c>
      <x:c r="D2550" s="22" t="str">
        <x:f>"57.890.765/0001-61"</x:f>
        <x:v>57.890.765/0001-61</x:v>
      </x:c>
      <x:c r="E2550" s="22" t="str">
        <x:f>"57890765000161"</x:f>
        <x:v>57890765000161</x:v>
      </x:c>
      <x:c r="F2550" s="22" t="str">
        <x:f>"272.371.868-92"</x:f>
        <x:v>272.371.868-92</x:v>
      </x:c>
      <x:c r="G2550" s="22" t="str">
        <x:f>"27237186892"</x:f>
        <x:v>27237186892</x:v>
      </x:c>
      <x:c r="H2550" s="23" t="str">
        <x:v>marcinhopaiao@gmail.com</x:v>
      </x:c>
      <x:c r="I2550" s="22" t="str">
        <x:f>"(11)917801412"</x:f>
        <x:v>(11)917801412</x:v>
      </x:c>
      <x:c r="J2550" s="23" t="str">
        <x:v>RENTAL</x:v>
      </x:c>
      <x:c r="K2550" s="23" t="str">
        <x:v>rental_company</x:v>
      </x:c>
      <x:c r="L2550" s="24" t="b">
        <x:v>1</x:v>
      </x:c>
      <x:c r="M2550" s="23" t="n">
        <x:v>1</x:v>
      </x:c>
      <x:c r="N2550" s="28" t="n">
        <x:v>46203.92186462963</x:v>
      </x:c>
      <x:c r="O2550" s="28" t="n">
        <x:v>46219.812988715275</x:v>
      </x:c>
      <x:c r="P2550" s="23" t="str">
        <x:v>MADEIRA MADEIRA</x:v>
      </x:c>
      <x:c r="Q2550" s="30" t="n">
        <x:v>27973</x:v>
      </x:c>
      <x:c r="R2550" s="22" t="str">
        <x:f>"29838750"</x:f>
        <x:v>29838750</x:v>
      </x:c>
      <x:c r="S2550" s="23" t="str">
        <x:v>masculino</x:v>
      </x:c>
      <x:c r="T2550" s="22" t="str"/>
      <x:c r="U2550" s="23" t="str">
        <x:v>MARCIO PAIAO</x:v>
      </x:c>
      <x:c r="V2550" s="22" t="str">
        <x:f>"272.371.868-92"</x:f>
        <x:v>272.371.868-92</x:v>
      </x:c>
      <x:c r="W2550" s="22" t="str">
        <x:f>"27237186892"</x:f>
        <x:v>27237186892</x:v>
      </x:c>
      <x:c r="X2550" s="23" t="str">
        <x:v>marcinhopaiao@gmail.com</x:v>
      </x:c>
      <x:c r="Y2550" s="22" t="str">
        <x:f>"(11)917801412"</x:f>
        <x:v>(11)917801412</x:v>
      </x:c>
      <x:c r="Z2550" s="30" t="n">
        <x:v>46283</x:v>
      </x:c>
    </x:row>
    <x:row r="2551" ht="18" customHeight="1">
      <x:c r="A2551" s="22" t="str">
        <x:f>"d7eff077-475c-41e7-821b-d187821e42ae"</x:f>
        <x:v>d7eff077-475c-41e7-821b-d187821e42ae</x:v>
      </x:c>
      <x:c r="B2551" s="23" t="str">
        <x:v>MARCIO PEREIRA DOS SANTOS</x:v>
      </x:c>
      <x:c r="C2551" s="23" t="str">
        <x:v>marcio pereira dos santos</x:v>
      </x:c>
      <x:c r="D2551" s="22" t="str">
        <x:f>"63.256.198/0001-99"</x:f>
        <x:v>63.256.198/0001-99</x:v>
      </x:c>
      <x:c r="E2551" s="22" t="str">
        <x:f>"63256198000199"</x:f>
        <x:v>63256198000199</x:v>
      </x:c>
      <x:c r="F2551" s="22" t="str">
        <x:f>"407.480.848-00"</x:f>
        <x:v>407.480.848-00</x:v>
      </x:c>
      <x:c r="G2551" s="22" t="str">
        <x:f>"40748084800"</x:f>
        <x:v>40748084800</x:v>
      </x:c>
      <x:c r="H2551" s="23" t="str">
        <x:v>marcio9891@hotmail.com</x:v>
      </x:c>
      <x:c r="I2551" s="22" t="str">
        <x:f>"17 99103-3555"</x:f>
        <x:v>17 99103-3555</x:v>
      </x:c>
      <x:c r="J2551" s="23" t="str">
        <x:v>SPOT</x:v>
      </x:c>
      <x:c r="K2551" s="23" t="str">
        <x:v>favored_only</x:v>
      </x:c>
      <x:c r="L2551" s="24" t="b">
        <x:v>1</x:v>
      </x:c>
      <x:c r="M2551" s="23" t="n">
        <x:v>1</x:v>
      </x:c>
      <x:c r="N2551" s="28" t="n">
        <x:v>46219.812988715275</x:v>
      </x:c>
      <x:c r="O2551" s="28" t="n">
        <x:v>46219.812988715275</x:v>
      </x:c>
      <x:c r="P2551" s="23" t="str">
        <x:v>SÃO JOSE DO RIO PRETO</x:v>
      </x:c>
      <x:c r="Q2551" s="30" t="n">
        <x:v>33464</x:v>
      </x:c>
      <x:c r="R2551" s="22" t="str">
        <x:f>"48137685"</x:f>
        <x:v>48137685</x:v>
      </x:c>
      <x:c r="S2551" s="23" t="str">
        <x:v>masculino</x:v>
      </x:c>
      <x:c r="T2551" s="22" t="str">
        <x:f>"ENE7H50"</x:f>
        <x:v>ENE7H50</x:v>
      </x:c>
      <x:c r="U2551" s="23" t="str">
        <x:v>MARCIO PEREIRA DOS SANTOS</x:v>
      </x:c>
      <x:c r="V2551" s="22" t="str">
        <x:f>"407.480.848-00"</x:f>
        <x:v>407.480.848-00</x:v>
      </x:c>
      <x:c r="W2551" s="22" t="str">
        <x:f>"40748084800"</x:f>
        <x:v>40748084800</x:v>
      </x:c>
      <x:c r="X2551" s="23" t="str">
        <x:v>marcio9891@hotmail.com</x:v>
      </x:c>
      <x:c r="Y2551" s="22" t="str">
        <x:f>"17 99103-3555"</x:f>
        <x:v>17 99103-3555</x:v>
      </x:c>
      <x:c r="Z2551" s="30" t="n">
        <x:v>46555</x:v>
      </x:c>
    </x:row>
    <x:row r="2552" ht="18" customHeight="1">
      <x:c r="A2552" s="22" t="str">
        <x:f>"1e5eeac4-1fa3-4232-9329-5ad4356f62c1"</x:f>
        <x:v>1e5eeac4-1fa3-4232-9329-5ad4356f62c1</x:v>
      </x:c>
      <x:c r="B2552" s="23" t="str">
        <x:v>MARCIO RODRIGUES</x:v>
      </x:c>
      <x:c r="C2552" s="23" t="str">
        <x:v>marcio rodrigues</x:v>
      </x:c>
      <x:c r="D2552" s="22" t="str">
        <x:f>"37.823.997/0001-90"</x:f>
        <x:v>37.823.997/0001-90</x:v>
      </x:c>
      <x:c r="E2552" s="22" t="str">
        <x:f>"37823997000190"</x:f>
        <x:v>37823997000190</x:v>
      </x:c>
      <x:c r="F2552" s="22" t="str">
        <x:f>"202.759.228-80"</x:f>
        <x:v>202.759.228-80</x:v>
      </x:c>
      <x:c r="G2552" s="22" t="str">
        <x:f>"20275922880"</x:f>
        <x:v>20275922880</x:v>
      </x:c>
      <x:c r="H2552" s="23" t="str">
        <x:v>totacom719@gmail.com</x:v>
      </x:c>
      <x:c r="I2552" s="22" t="str">
        <x:f>"17 99669-0310"</x:f>
        <x:v>17 99669-0310</x:v>
      </x:c>
      <x:c r="J2552" s="23" t="str">
        <x:v>SPOT</x:v>
      </x:c>
      <x:c r="K2552" s="23" t="str">
        <x:v>favored_only</x:v>
      </x:c>
      <x:c r="L2552" s="24" t="b">
        <x:v>1</x:v>
      </x:c>
      <x:c r="M2552" s="23" t="n">
        <x:v>1</x:v>
      </x:c>
      <x:c r="N2552" s="28" t="n">
        <x:v>46219.812988715275</x:v>
      </x:c>
      <x:c r="O2552" s="28" t="n">
        <x:v>46219.812988715275</x:v>
      </x:c>
      <x:c r="P2552" s="23" t="str">
        <x:v>CHAPADÃO DO SUL</x:v>
      </x:c>
      <x:c r="Q2552" s="30" t="n">
        <x:v>28699</x:v>
      </x:c>
      <x:c r="R2552" s="22" t="str">
        <x:f>"30064553"</x:f>
        <x:v>30064553</x:v>
      </x:c>
      <x:c r="S2552" s="23" t="str">
        <x:v>masculino</x:v>
      </x:c>
      <x:c r="T2552" s="22" t="str">
        <x:f>"DPS9J29"</x:f>
        <x:v>DPS9J29</x:v>
      </x:c>
      <x:c r="U2552" s="23" t="str">
        <x:v>ODOPRIME TRANSPORTES E CARGAS LTDA</x:v>
      </x:c>
      <x:c r="V2552" s="22" t="str">
        <x:f>"038.768.901-01"</x:f>
        <x:v>038.768.901-01</x:v>
      </x:c>
      <x:c r="W2552" s="22" t="str">
        <x:f>"03876890101"</x:f>
        <x:v>03876890101</x:v>
      </x:c>
      <x:c r="X2552" s="23" t="str">
        <x:v>rtp.cargas@gmail.com</x:v>
      </x:c>
      <x:c r="Y2552" s="22" t="str">
        <x:f>"62991277279"</x:f>
        <x:v>62991277279</x:v>
      </x:c>
      <x:c r="Z2552" s="30" t="n">
        <x:v>46490</x:v>
      </x:c>
    </x:row>
    <x:row r="2553" ht="18" customHeight="1">
      <x:c r="A2553" s="22" t="str">
        <x:f>"1a0e6f43-f5be-4590-b143-0ad87b69fa1a"</x:f>
        <x:v>1a0e6f43-f5be-4590-b143-0ad87b69fa1a</x:v>
      </x:c>
      <x:c r="B2553" s="23" t="str">
        <x:v>MARCIO ROGERIO MORAES BEARARI</x:v>
      </x:c>
      <x:c r="C2553" s="23" t="str">
        <x:v>marcio rogerio moraes bearari</x:v>
      </x:c>
      <x:c r="D2553" s="22" t="str">
        <x:f>"50.123.650/0001-00"</x:f>
        <x:v>50.123.650/0001-00</x:v>
      </x:c>
      <x:c r="E2553" s="22" t="str">
        <x:f>"50123650000100"</x:f>
        <x:v>50123650000100</x:v>
      </x:c>
      <x:c r="F2553" s="22" t="str">
        <x:f>"221.185.128-21"</x:f>
        <x:v>221.185.128-21</x:v>
      </x:c>
      <x:c r="G2553" s="22" t="str">
        <x:f>"22118512821"</x:f>
        <x:v>22118512821</x:v>
      </x:c>
      <x:c r="H2553" s="23" t="str">
        <x:v>marcio.bearari@hotmail.com</x:v>
      </x:c>
      <x:c r="I2553" s="22" t="str">
        <x:f>"13981088416"</x:f>
        <x:v>13981088416</x:v>
      </x:c>
      <x:c r="J2553" s="23" t="str">
        <x:v>RENTAL</x:v>
      </x:c>
      <x:c r="K2553" s="23" t="str">
        <x:v>rental_company</x:v>
      </x:c>
      <x:c r="L2553" s="24" t="b">
        <x:v>1</x:v>
      </x:c>
      <x:c r="M2553" s="23" t="n">
        <x:v>1</x:v>
      </x:c>
      <x:c r="N2553" s="28" t="n">
        <x:v>46219.812988715275</x:v>
      </x:c>
      <x:c r="O2553" s="28" t="n">
        <x:v>46219.812988715275</x:v>
      </x:c>
      <x:c r="P2553" s="23" t="str">
        <x:v>BAURU</x:v>
      </x:c>
      <x:c r="Q2553" s="30" t="n">
        <x:v>30032</x:v>
      </x:c>
      <x:c r="R2553" s="22" t="str">
        <x:f>"404207492"</x:f>
        <x:v>404207492</x:v>
      </x:c>
      <x:c r="S2553" s="23" t="str">
        <x:v>masculino</x:v>
      </x:c>
      <x:c r="T2553" s="22" t="str"/>
      <x:c r="U2553" s="23" t="str">
        <x:v>MARCIO ROGERIO MORAES BEARARI</x:v>
      </x:c>
      <x:c r="V2553" s="22" t="str">
        <x:f>"221.185.128-21"</x:f>
        <x:v>221.185.128-21</x:v>
      </x:c>
      <x:c r="W2553" s="22" t="str">
        <x:f>"22118512821"</x:f>
        <x:v>22118512821</x:v>
      </x:c>
      <x:c r="X2553" s="23" t="str">
        <x:v>marcio.bearari@hotmail.com</x:v>
      </x:c>
      <x:c r="Y2553" s="22" t="str">
        <x:f>"13981088416"</x:f>
        <x:v>13981088416</x:v>
      </x:c>
      <x:c r="Z2553" s="30" t="n">
        <x:v>46469</x:v>
      </x:c>
    </x:row>
    <x:row r="2554" ht="18" customHeight="1">
      <x:c r="A2554" s="22" t="str">
        <x:f>"3fa5da17-a83c-4e3a-a2c2-a1b9f55626ab"</x:f>
        <x:v>3fa5da17-a83c-4e3a-a2c2-a1b9f55626ab</x:v>
      </x:c>
      <x:c r="B2554" s="23" t="str">
        <x:v>MARCIO ROGERIO SILVEIRA</x:v>
      </x:c>
      <x:c r="C2554" s="23" t="str">
        <x:v>marcio rogerio silveira</x:v>
      </x:c>
      <x:c r="D2554" s="22" t="str">
        <x:f>"17.117.101/0001-40"</x:f>
        <x:v>17.117.101/0001-40</x:v>
      </x:c>
      <x:c r="E2554" s="22" t="str">
        <x:f>"17117101000140"</x:f>
        <x:v>17117101000140</x:v>
      </x:c>
      <x:c r="F2554" s="22" t="str">
        <x:f>"007.131.066-54"</x:f>
        <x:v>007.131.066-54</x:v>
      </x:c>
      <x:c r="G2554" s="22" t="str">
        <x:f>"00713106654"</x:f>
        <x:v>00713106654</x:v>
      </x:c>
      <x:c r="H2554" s="23" t="str">
        <x:v>msilveira534@aol.com</x:v>
      </x:c>
      <x:c r="I2554" s="22" t="str">
        <x:f>"(12) 99187-2757"</x:f>
        <x:v>(12) 99187-2757</x:v>
      </x:c>
      <x:c r="J2554" s="23" t="str">
        <x:v>RENTAL</x:v>
      </x:c>
      <x:c r="K2554" s="23" t="str">
        <x:v>rental_company</x:v>
      </x:c>
      <x:c r="L2554" s="24" t="b">
        <x:v>1</x:v>
      </x:c>
      <x:c r="M2554" s="23" t="n">
        <x:v>1</x:v>
      </x:c>
      <x:c r="N2554" s="28" t="n">
        <x:v>46219.812988715275</x:v>
      </x:c>
      <x:c r="O2554" s="28" t="n">
        <x:v>46219.812988715275</x:v>
      </x:c>
      <x:c r="P2554" s="23" t="str">
        <x:v>POUSO ALEGRE</x:v>
      </x:c>
      <x:c r="Q2554" s="30" t="n">
        <x:v>27383</x:v>
      </x:c>
      <x:c r="R2554" s="22" t="str">
        <x:f>"601617976 SSP SP"</x:f>
        <x:v>601617976 SSP SP</x:v>
      </x:c>
      <x:c r="S2554" s="23" t="str">
        <x:v>masculino</x:v>
      </x:c>
      <x:c r="T2554" s="22" t="str"/>
      <x:c r="U2554" s="23" t="str">
        <x:v>MARCIO ROGERIO SILVEIRA</x:v>
      </x:c>
      <x:c r="V2554" s="22" t="str">
        <x:f>"007.131.066-54"</x:f>
        <x:v>007.131.066-54</x:v>
      </x:c>
      <x:c r="W2554" s="22" t="str">
        <x:f>"00713106654"</x:f>
        <x:v>00713106654</x:v>
      </x:c>
      <x:c r="X2554" s="23" t="str">
        <x:v>msilveira534@aol.com</x:v>
      </x:c>
      <x:c r="Y2554" s="22" t="str">
        <x:f>"(12) 99187-2757"</x:f>
        <x:v>(12) 99187-2757</x:v>
      </x:c>
      <x:c r="Z2554" s="30" t="n">
        <x:v>46565</x:v>
      </x:c>
    </x:row>
    <x:row r="2555" ht="18" customHeight="1">
      <x:c r="A2555" s="22" t="str">
        <x:f>"e2abef3a-43c4-4897-918d-de7e4f57c0f8"</x:f>
        <x:v>e2abef3a-43c4-4897-918d-de7e4f57c0f8</x:v>
      </x:c>
      <x:c r="B2555" s="23" t="str">
        <x:v>MARCIO VINICIUS FERREIRA SILVA</x:v>
      </x:c>
      <x:c r="C2555" s="23" t="str">
        <x:v>marcio vinicius ferreira silva</x:v>
      </x:c>
      <x:c r="D2555" s="22" t="str">
        <x:f>"49.952.193/0001-70"</x:f>
        <x:v>49.952.193/0001-70</x:v>
      </x:c>
      <x:c r="E2555" s="22" t="str">
        <x:f>"49952193000170"</x:f>
        <x:v>49952193000170</x:v>
      </x:c>
      <x:c r="F2555" s="22" t="str">
        <x:f>"708.570.411-00"</x:f>
        <x:v>708.570.411-00</x:v>
      </x:c>
      <x:c r="G2555" s="22" t="str">
        <x:f>"70857041100"</x:f>
        <x:v>70857041100</x:v>
      </x:c>
      <x:c r="H2555" s="23" t="str">
        <x:v>marcioviniciusferreirasilva3@gmail.com</x:v>
      </x:c>
      <x:c r="I2555" s="22" t="str">
        <x:f>"(62) 99400-9470"</x:f>
        <x:v>(62) 99400-9470</x:v>
      </x:c>
      <x:c r="J2555" s="23" t="str">
        <x:v>RENTAL</x:v>
      </x:c>
      <x:c r="K2555" s="23" t="str">
        <x:v>rental_company</x:v>
      </x:c>
      <x:c r="L2555" s="24" t="b">
        <x:v>1</x:v>
      </x:c>
      <x:c r="M2555" s="23" t="n">
        <x:v>1</x:v>
      </x:c>
      <x:c r="N2555" s="28" t="n">
        <x:v>46219.812988715275</x:v>
      </x:c>
      <x:c r="O2555" s="28" t="n">
        <x:v>46219.812988715275</x:v>
      </x:c>
      <x:c r="P2555" s="23" t="str">
        <x:v>GOIANIA</x:v>
      </x:c>
      <x:c r="Q2555" s="30" t="n">
        <x:v>37937</x:v>
      </x:c>
      <x:c r="R2555" s="22" t="str">
        <x:f>"6809448"</x:f>
        <x:v>6809448</x:v>
      </x:c>
      <x:c r="S2555" s="23" t="str">
        <x:v>masculino</x:v>
      </x:c>
      <x:c r="T2555" s="22" t="str">
        <x:f>"OGH9I67"</x:f>
        <x:v>OGH9I67</x:v>
      </x:c>
      <x:c r="U2555" s="23" t="str">
        <x:v>PEDRO HENRIQUE DE AZEVEDO FERREIRA PINTO</x:v>
      </x:c>
      <x:c r="V2555" s="22" t="str">
        <x:f>"049.172.171-48"</x:f>
        <x:v>049.172.171-48</x:v>
      </x:c>
      <x:c r="W2555" s="22" t="str">
        <x:f>"04917217148"</x:f>
        <x:v>04917217148</x:v>
      </x:c>
      <x:c r="X2555" s="23" t="str">
        <x:v>pedrohenrique.azevedo@hotmail.com</x:v>
      </x:c>
      <x:c r="Y2555" s="22" t="str">
        <x:f>"62982964103"</x:f>
        <x:v>62982964103</x:v>
      </x:c>
      <x:c r="Z2555" s="30" t="n">
        <x:v>46416</x:v>
      </x:c>
    </x:row>
    <x:row r="2556" ht="18" customHeight="1">
      <x:c r="A2556" s="22" t="str">
        <x:f>"b5ed4f6a-4425-4053-b164-2e7d3e1710d5"</x:f>
        <x:v>b5ed4f6a-4425-4053-b164-2e7d3e1710d5</x:v>
      </x:c>
      <x:c r="B2556" s="23" t="str">
        <x:v>MARCO ANTONIO CALIXTO GAMA</x:v>
      </x:c>
      <x:c r="C2556" s="23" t="str">
        <x:v>marco antonio calixto gama</x:v>
      </x:c>
      <x:c r="D2556" s="22" t="str">
        <x:f>"64.919.774/0001-01"</x:f>
        <x:v>64.919.774/0001-01</x:v>
      </x:c>
      <x:c r="E2556" s="22" t="str">
        <x:f>"64919774000101"</x:f>
        <x:v>64919774000101</x:v>
      </x:c>
      <x:c r="F2556" s="22" t="str">
        <x:f>"136.634.747-12"</x:f>
        <x:v>136.634.747-12</x:v>
      </x:c>
      <x:c r="G2556" s="22" t="str">
        <x:f>"13663474712"</x:f>
        <x:v>13663474712</x:v>
      </x:c>
      <x:c r="H2556" s="23" t="str">
        <x:v>marcoantoniogamamelo@gmail.com</x:v>
      </x:c>
      <x:c r="I2556" s="22" t="str">
        <x:f>"22999598184"</x:f>
        <x:v>22999598184</x:v>
      </x:c>
      <x:c r="J2556" s="23" t="str">
        <x:v>SPOT</x:v>
      </x:c>
      <x:c r="K2556" s="23" t="str">
        <x:v>favored_only</x:v>
      </x:c>
      <x:c r="L2556" s="24" t="b">
        <x:v>1</x:v>
      </x:c>
      <x:c r="M2556" s="23" t="n">
        <x:v>1</x:v>
      </x:c>
      <x:c r="N2556" s="28" t="n">
        <x:v>46219.812988715275</x:v>
      </x:c>
      <x:c r="O2556" s="28" t="n">
        <x:v>46219.812988715275</x:v>
      </x:c>
      <x:c r="P2556" s="23" t="str">
        <x:v>CAMPOS DOS GOYTACAZES</x:v>
      </x:c>
      <x:c r="Q2556" s="30" t="n">
        <x:v>38911</x:v>
      </x:c>
      <x:c r="R2556" s="22" t="str">
        <x:f>"13663474712"</x:f>
        <x:v>13663474712</x:v>
      </x:c>
      <x:c r="S2556" s="23" t="str">
        <x:v>masculino</x:v>
      </x:c>
      <x:c r="T2556" s="22" t="str">
        <x:f>"PVA3G44"</x:f>
        <x:v>PVA3G44</x:v>
      </x:c>
      <x:c r="U2556" s="23" t="str">
        <x:v>MARCOS DA SILVA SA</x:v>
      </x:c>
      <x:c r="V2556" s="22" t="str">
        <x:f>"139.295.487-80"</x:f>
        <x:v>139.295.487-80</x:v>
      </x:c>
      <x:c r="W2556" s="22" t="str">
        <x:f>"13929548780"</x:f>
        <x:v>13929548780</x:v>
      </x:c>
      <x:c r="X2556" s="23" t="str">
        <x:v>marcussilvasa3@hotmail.com</x:v>
      </x:c>
      <x:c r="Y2556" s="22" t="str">
        <x:f>"22999499917"</x:f>
        <x:v>22999499917</x:v>
      </x:c>
      <x:c r="Z2556" s="30" t="n">
        <x:v>46543</x:v>
      </x:c>
    </x:row>
    <x:row r="2557" ht="18" customHeight="1">
      <x:c r="A2557" s="22" t="str">
        <x:f>"feb81ff3-a743-4036-b2ad-affe49b3c812"</x:f>
        <x:v>feb81ff3-a743-4036-b2ad-affe49b3c812</x:v>
      </x:c>
      <x:c r="B2557" s="23" t="str">
        <x:v>MARCO ANTONIO DA SILVA FIGUEIREDO</x:v>
      </x:c>
      <x:c r="C2557" s="23" t="str">
        <x:v>marco antonio da silva figueiredo</x:v>
      </x:c>
      <x:c r="D2557" s="22" t="str">
        <x:f>"56.999.797/0001-37"</x:f>
        <x:v>56.999.797/0001-37</x:v>
      </x:c>
      <x:c r="E2557" s="22" t="str">
        <x:f>"56999797000137"</x:f>
        <x:v>56999797000137</x:v>
      </x:c>
      <x:c r="F2557" s="22" t="str">
        <x:f>"138.988.107-55"</x:f>
        <x:v>138.988.107-55</x:v>
      </x:c>
      <x:c r="G2557" s="22" t="str">
        <x:f>"13898810755"</x:f>
        <x:v>13898810755</x:v>
      </x:c>
      <x:c r="H2557" s="23" t="str">
        <x:v>mcmarco2011@hotmail.com</x:v>
      </x:c>
      <x:c r="I2557" s="22" t="str">
        <x:f>"21967376972"</x:f>
        <x:v>21967376972</x:v>
      </x:c>
      <x:c r="J2557" s="23" t="str">
        <x:v>SPOT</x:v>
      </x:c>
      <x:c r="K2557" s="23" t="str">
        <x:v>favored_only</x:v>
      </x:c>
      <x:c r="L2557" s="24" t="b">
        <x:v>1</x:v>
      </x:c>
      <x:c r="M2557" s="23" t="n">
        <x:v>1</x:v>
      </x:c>
      <x:c r="N2557" s="28" t="n">
        <x:v>46219.812988715275</x:v>
      </x:c>
      <x:c r="O2557" s="28" t="n">
        <x:v>46219.812988715275</x:v>
      </x:c>
      <x:c r="P2557" s="23" t="str">
        <x:v>SÃO JOAO DE MERITI</x:v>
      </x:c>
      <x:c r="Q2557" s="30" t="n">
        <x:v>36497</x:v>
      </x:c>
      <x:c r="R2557" s="22" t="str">
        <x:f>"29.244.071-6"</x:f>
        <x:v>29.244.071-6</x:v>
      </x:c>
      <x:c r="S2557" s="23" t="str">
        <x:v>masculino</x:v>
      </x:c>
      <x:c r="T2557" s="22" t="str">
        <x:f>"LQD6889"</x:f>
        <x:v>LQD6889</x:v>
      </x:c>
      <x:c r="U2557" s="23" t="str">
        <x:v>MARCO ANTONIO DA SILVA FIGUEIREDO</x:v>
      </x:c>
      <x:c r="V2557" s="22" t="str">
        <x:f>"138.988.107-55"</x:f>
        <x:v>138.988.107-55</x:v>
      </x:c>
      <x:c r="W2557" s="22" t="str">
        <x:f>"13898810755"</x:f>
        <x:v>13898810755</x:v>
      </x:c>
      <x:c r="X2557" s="23" t="str">
        <x:v>Seadog.company@gmail.com</x:v>
      </x:c>
      <x:c r="Y2557" s="22" t="str">
        <x:f>"21 96737-6972"</x:f>
        <x:v>21 96737-6972</x:v>
      </x:c>
      <x:c r="Z2557" s="30" t="n">
        <x:v>46462</x:v>
      </x:c>
    </x:row>
    <x:row r="2558" ht="18" customHeight="1">
      <x:c r="A2558" s="22" t="str">
        <x:f>"4e978c78-b935-4f66-985b-f3f6d508c315"</x:f>
        <x:v>4e978c78-b935-4f66-985b-f3f6d508c315</x:v>
      </x:c>
      <x:c r="B2558" s="23" t="str">
        <x:v>MARCO ANTONIO GOMES DO NASCIMENTO</x:v>
      </x:c>
      <x:c r="C2558" s="23" t="str">
        <x:v>marco antonio gomes do nascimento</x:v>
      </x:c>
      <x:c r="D2558" s="22" t="str">
        <x:f>"50.416.382/0001-07"</x:f>
        <x:v>50.416.382/0001-07</x:v>
      </x:c>
      <x:c r="E2558" s="22" t="str">
        <x:f>"50416382000107"</x:f>
        <x:v>50416382000107</x:v>
      </x:c>
      <x:c r="F2558" s="22" t="str">
        <x:f>"975.107.007-44"</x:f>
        <x:v>975.107.007-44</x:v>
      </x:c>
      <x:c r="G2558" s="22" t="str">
        <x:f>"97510700744"</x:f>
        <x:v>97510700744</x:v>
      </x:c>
      <x:c r="H2558" s="23" t="str">
        <x:v>marcosnascimentogomes@gmail.com</x:v>
      </x:c>
      <x:c r="I2558" s="22" t="str">
        <x:f>"22991048020"</x:f>
        <x:v>22991048020</x:v>
      </x:c>
      <x:c r="J2558" s="23" t="str">
        <x:v>SPOT</x:v>
      </x:c>
      <x:c r="K2558" s="23" t="str">
        <x:v>favored_only</x:v>
      </x:c>
      <x:c r="L2558" s="24" t="b">
        <x:v>1</x:v>
      </x:c>
      <x:c r="M2558" s="23" t="n">
        <x:v>1</x:v>
      </x:c>
      <x:c r="N2558" s="28" t="n">
        <x:v>46205.60500658565</x:v>
      </x:c>
      <x:c r="O2558" s="28" t="n">
        <x:v>46219.812988715275</x:v>
      </x:c>
      <x:c r="P2558" s="23" t="str">
        <x:v>CAMPOS DOS GOYTACAZES</x:v>
      </x:c>
      <x:c r="Q2558" s="30" t="n">
        <x:v>24851</x:v>
      </x:c>
      <x:c r="R2558" s="22" t="str">
        <x:f>"274645060"</x:f>
        <x:v>274645060</x:v>
      </x:c>
      <x:c r="S2558" s="23" t="str">
        <x:v>masculino</x:v>
      </x:c>
      <x:c r="T2558" s="22" t="str">
        <x:f>"OYE4A40"</x:f>
        <x:v>OYE4A40</x:v>
      </x:c>
      <x:c r="U2558" s="23" t="str">
        <x:v>THIAGO BARBOSA MACHADO GOMES</x:v>
      </x:c>
      <x:c r="V2558" s="22" t="str">
        <x:f>"975.107.007-44"</x:f>
        <x:v>975.107.007-44</x:v>
      </x:c>
      <x:c r="W2558" s="22" t="str">
        <x:f>"97510700744"</x:f>
        <x:v>97510700744</x:v>
      </x:c>
      <x:c r="X2558" s="23" t="str">
        <x:v>machado-tb@bol.com.br</x:v>
      </x:c>
      <x:c r="Y2558" s="22" t="str">
        <x:f>"22998657718"</x:f>
        <x:v>22998657718</x:v>
      </x:c>
      <x:c r="Z2558" s="30" t="n">
        <x:v>46308</x:v>
      </x:c>
    </x:row>
    <x:row r="2559" ht="18" customHeight="1">
      <x:c r="A2559" s="22" t="str">
        <x:f>"20d9104a-24fe-4e2f-a0ae-66a21eaf5714"</x:f>
        <x:v>20d9104a-24fe-4e2f-a0ae-66a21eaf5714</x:v>
      </x:c>
      <x:c r="B2559" s="23" t="str">
        <x:v>MARCO ANTONIO LIMA CANUTO</x:v>
      </x:c>
      <x:c r="C2559" s="23" t="str">
        <x:v>marco antonio lima canuto</x:v>
      </x:c>
      <x:c r="D2559" s="22" t="str">
        <x:f>"57.172.013/0001-65"</x:f>
        <x:v>57.172.013/0001-65</x:v>
      </x:c>
      <x:c r="E2559" s="22" t="str">
        <x:f>"57172013000165"</x:f>
        <x:v>57172013000165</x:v>
      </x:c>
      <x:c r="F2559" s="22" t="str">
        <x:f>"012.122.771-55"</x:f>
        <x:v>012.122.771-55</x:v>
      </x:c>
      <x:c r="G2559" s="22" t="str">
        <x:f>"01212277155"</x:f>
        <x:v>01212277155</x:v>
      </x:c>
      <x:c r="H2559" s="23" t="str">
        <x:v>macanuto11@hotmail.com</x:v>
      </x:c>
      <x:c r="I2559" s="22" t="str">
        <x:f>"62999179992"</x:f>
        <x:v>62999179992</x:v>
      </x:c>
      <x:c r="J2559" s="23" t="str">
        <x:v>RENTAL</x:v>
      </x:c>
      <x:c r="K2559" s="23" t="str">
        <x:v>rental_company</x:v>
      </x:c>
      <x:c r="L2559" s="24" t="b">
        <x:v>1</x:v>
      </x:c>
      <x:c r="M2559" s="23" t="n">
        <x:v>1</x:v>
      </x:c>
      <x:c r="N2559" s="28" t="n">
        <x:v>46219.812988715275</x:v>
      </x:c>
      <x:c r="O2559" s="28" t="n">
        <x:v>46219.812988715275</x:v>
      </x:c>
      <x:c r="P2559" s="23" t="str">
        <x:v>GOIANIA</x:v>
      </x:c>
      <x:c r="Q2559" s="30" t="n">
        <x:v>33091</x:v>
      </x:c>
      <x:c r="R2559" s="22" t="str">
        <x:f>"4729886"</x:f>
        <x:v>4729886</x:v>
      </x:c>
      <x:c r="S2559" s="23" t="str">
        <x:v>masculino</x:v>
      </x:c>
      <x:c r="T2559" s="22" t="str"/>
      <x:c r="U2559" s="23" t="str">
        <x:v>MARCO ANTONIO LIMA CANUTO</x:v>
      </x:c>
      <x:c r="V2559" s="22" t="str">
        <x:f>"012.122.771-55"</x:f>
        <x:v>012.122.771-55</x:v>
      </x:c>
      <x:c r="W2559" s="22" t="str">
        <x:f>"01212277155"</x:f>
        <x:v>01212277155</x:v>
      </x:c>
      <x:c r="X2559" s="23" t="str">
        <x:v>macanuto11@hotmail.com</x:v>
      </x:c>
      <x:c r="Y2559" s="22" t="str">
        <x:f>"62999179992"</x:f>
        <x:v>62999179992</x:v>
      </x:c>
      <x:c r="Z2559" s="30" t="n">
        <x:v>46439</x:v>
      </x:c>
    </x:row>
    <x:row r="2560" ht="18" customHeight="1">
      <x:c r="A2560" s="22" t="str">
        <x:f>"c5e28473-b0b7-4106-a0b6-3433280ff5c1"</x:f>
        <x:v>c5e28473-b0b7-4106-a0b6-3433280ff5c1</x:v>
      </x:c>
      <x:c r="B2560" s="23" t="str">
        <x:v>MARCO ANTONIO MARTINS MARQUES</x:v>
      </x:c>
      <x:c r="C2560" s="23" t="str">
        <x:v>marco antonio martins marques</x:v>
      </x:c>
      <x:c r="D2560" s="22" t="str">
        <x:f>"58.665.859/0001-08"</x:f>
        <x:v>58.665.859/0001-08</x:v>
      </x:c>
      <x:c r="E2560" s="22" t="str">
        <x:f>"58665859000108"</x:f>
        <x:v>58665859000108</x:v>
      </x:c>
      <x:c r="F2560" s="22" t="str">
        <x:f>"702.935.671-31"</x:f>
        <x:v>702.935.671-31</x:v>
      </x:c>
      <x:c r="G2560" s="22" t="str">
        <x:f>"70293567131"</x:f>
        <x:v>70293567131</x:v>
      </x:c>
      <x:c r="H2560" s="23" t="str">
        <x:v>Marco.123.a@hotmail.com</x:v>
      </x:c>
      <x:c r="I2560" s="22" t="str">
        <x:f>"62982283953"</x:f>
        <x:v>62982283953</x:v>
      </x:c>
      <x:c r="J2560" s="23" t="str">
        <x:v>RENTAL</x:v>
      </x:c>
      <x:c r="K2560" s="23" t="str">
        <x:v>rental_company</x:v>
      </x:c>
      <x:c r="L2560" s="24" t="b">
        <x:v>1</x:v>
      </x:c>
      <x:c r="M2560" s="23" t="n">
        <x:v>1</x:v>
      </x:c>
      <x:c r="N2560" s="28" t="n">
        <x:v>46203.92188238426</x:v>
      </x:c>
      <x:c r="O2560" s="28" t="n">
        <x:v>46219.812988715275</x:v>
      </x:c>
      <x:c r="P2560" s="23" t="str">
        <x:v>GOIANIA</x:v>
      </x:c>
      <x:c r="Q2560" s="30" t="n">
        <x:v>35429</x:v>
      </x:c>
      <x:c r="R2560" s="22" t="str">
        <x:f>"5240956"</x:f>
        <x:v>5240956</x:v>
      </x:c>
      <x:c r="S2560" s="23" t="str">
        <x:v>masculino</x:v>
      </x:c>
      <x:c r="T2560" s="22" t="str"/>
      <x:c r="U2560" s="23" t="str">
        <x:v>MARCO ANTONIO MARTINS MARQUES</x:v>
      </x:c>
      <x:c r="V2560" s="22" t="str">
        <x:f>"702.935.671-31"</x:f>
        <x:v>702.935.671-31</x:v>
      </x:c>
      <x:c r="W2560" s="22" t="str">
        <x:f>"70293567131"</x:f>
        <x:v>70293567131</x:v>
      </x:c>
      <x:c r="X2560" s="23" t="str">
        <x:v>Marco.123.a@hotmail.com</x:v>
      </x:c>
      <x:c r="Y2560" s="22" t="str">
        <x:f>"62982283953"</x:f>
        <x:v>62982283953</x:v>
      </x:c>
      <x:c r="Z2560" s="30" t="n">
        <x:v>46323</x:v>
      </x:c>
    </x:row>
    <x:row r="2561" ht="18" customHeight="1">
      <x:c r="A2561" s="22" t="str">
        <x:f>"649d2a41-999e-4869-a9c4-44ed53c287c5"</x:f>
        <x:v>649d2a41-999e-4869-a9c4-44ed53c287c5</x:v>
      </x:c>
      <x:c r="B2561" s="23" t="str">
        <x:v>MARCO ANTONIO OLIVEIRA DOS SANTOS</x:v>
      </x:c>
      <x:c r="C2561" s="23" t="str">
        <x:v>marco antonio oliveira dos santos</x:v>
      </x:c>
      <x:c r="D2561" s="22" t="str">
        <x:f>"64.236.766/0001-52"</x:f>
        <x:v>64.236.766/0001-52</x:v>
      </x:c>
      <x:c r="E2561" s="22" t="str">
        <x:f>"64236766000152"</x:f>
        <x:v>64236766000152</x:v>
      </x:c>
      <x:c r="F2561" s="22" t="str">
        <x:f>"505.626.978-61"</x:f>
        <x:v>505.626.978-61</x:v>
      </x:c>
      <x:c r="G2561" s="22" t="str">
        <x:f>"50562697861"</x:f>
        <x:v>50562697861</x:v>
      </x:c>
      <x:c r="H2561" s="23" t="str">
        <x:v>marcohcl2020@gmail.com</x:v>
      </x:c>
      <x:c r="I2561" s="22" t="str">
        <x:f>"16993426269"</x:f>
        <x:v>16993426269</x:v>
      </x:c>
      <x:c r="J2561" s="23" t="str">
        <x:v>RENTAL</x:v>
      </x:c>
      <x:c r="K2561" s="23" t="str">
        <x:v>rental_company</x:v>
      </x:c>
      <x:c r="L2561" s="24" t="b">
        <x:v>1</x:v>
      </x:c>
      <x:c r="M2561" s="23" t="n">
        <x:v>1</x:v>
      </x:c>
      <x:c r="N2561" s="28" t="n">
        <x:v>46219.812988715275</x:v>
      </x:c>
      <x:c r="O2561" s="28" t="n">
        <x:v>46219.812988715275</x:v>
      </x:c>
      <x:c r="P2561" s="23" t="str">
        <x:v>RIBEIRAO PRETO</x:v>
      </x:c>
      <x:c r="Q2561" s="30" t="n">
        <x:v>36721</x:v>
      </x:c>
      <x:c r="R2561" s="22" t="str">
        <x:f>"588142748"</x:f>
        <x:v>588142748</x:v>
      </x:c>
      <x:c r="S2561" s="23" t="str">
        <x:v>masculino</x:v>
      </x:c>
      <x:c r="T2561" s="22" t="str"/>
      <x:c r="U2561" s="23" t="str">
        <x:v>MARCOS ANTONIO OLIVEIRA DOS SANTOS</x:v>
      </x:c>
      <x:c r="V2561" s="22" t="str">
        <x:f>"505.626.978-61"</x:f>
        <x:v>505.626.978-61</x:v>
      </x:c>
      <x:c r="W2561" s="22" t="str">
        <x:f>"50562697861"</x:f>
        <x:v>50562697861</x:v>
      </x:c>
      <x:c r="X2561" s="23" t="str">
        <x:v>marcohcl2020@gmail.com</x:v>
      </x:c>
      <x:c r="Y2561" s="22" t="str">
        <x:f>"16993426269"</x:f>
        <x:v>16993426269</x:v>
      </x:c>
      <x:c r="Z2561" s="30" t="n">
        <x:v>46444</x:v>
      </x:c>
    </x:row>
    <x:row r="2562" ht="18" customHeight="1">
      <x:c r="A2562" s="22" t="str">
        <x:f>"7c6c9fa8-80fe-4e4f-a511-220b982710a4"</x:f>
        <x:v>7c6c9fa8-80fe-4e4f-a511-220b982710a4</x:v>
      </x:c>
      <x:c r="B2562" s="23" t="str">
        <x:v>MARCO ANTONIO POLEGATO DOS SANTOS</x:v>
      </x:c>
      <x:c r="C2562" s="23" t="str">
        <x:v>marco antonio polegato dos santos</x:v>
      </x:c>
      <x:c r="D2562" s="22" t="str">
        <x:f>"61.174.005/0001-25"</x:f>
        <x:v>61.174.005/0001-25</x:v>
      </x:c>
      <x:c r="E2562" s="22" t="str">
        <x:f>"61174005000125"</x:f>
        <x:v>61174005000125</x:v>
      </x:c>
      <x:c r="F2562" s="22" t="str">
        <x:f>"526.253.278-04"</x:f>
        <x:v>526.253.278-04</x:v>
      </x:c>
      <x:c r="G2562" s="22" t="str">
        <x:f>"52625327804"</x:f>
        <x:v>52625327804</x:v>
      </x:c>
      <x:c r="H2562" s="23" t="str">
        <x:v>Polegatomarco1@gmail.com</x:v>
      </x:c>
      <x:c r="I2562" s="22" t="str">
        <x:f>"18997486094"</x:f>
        <x:v>18997486094</x:v>
      </x:c>
      <x:c r="J2562" s="23" t="str">
        <x:v>SPOT</x:v>
      </x:c>
      <x:c r="K2562" s="23" t="str">
        <x:v>favored_only</x:v>
      </x:c>
      <x:c r="L2562" s="24" t="b">
        <x:v>1</x:v>
      </x:c>
      <x:c r="M2562" s="23" t="n">
        <x:v>1</x:v>
      </x:c>
      <x:c r="N2562" s="28" t="n">
        <x:v>46203.92186888889</x:v>
      </x:c>
      <x:c r="O2562" s="28" t="n">
        <x:v>46219.812988715275</x:v>
      </x:c>
      <x:c r="P2562" s="23" t="str">
        <x:v>PRESIDENTE PRUDENTE</x:v>
      </x:c>
      <x:c r="Q2562" s="30" t="n">
        <x:v>37291</x:v>
      </x:c>
      <x:c r="R2562" s="22" t="str">
        <x:f>"598853200"</x:f>
        <x:v>598853200</x:v>
      </x:c>
      <x:c r="S2562" s="23" t="str">
        <x:v>masculino</x:v>
      </x:c>
      <x:c r="T2562" s="22" t="str"/>
      <x:c r="U2562" s="23" t="str">
        <x:v>MARCO ANTONIO POLEGATO DOS SANTOS</x:v>
      </x:c>
      <x:c r="V2562" s="22" t="str">
        <x:f>"526.253.278-04"</x:f>
        <x:v>526.253.278-04</x:v>
      </x:c>
      <x:c r="W2562" s="22" t="str">
        <x:f>"52625327804"</x:f>
        <x:v>52625327804</x:v>
      </x:c>
      <x:c r="X2562" s="23" t="str">
        <x:v>Polegatomarco1@gmail.com</x:v>
      </x:c>
      <x:c r="Y2562" s="22" t="str">
        <x:f>"18997486094"</x:f>
        <x:v>18997486094</x:v>
      </x:c>
      <x:c r="Z2562" s="30" t="n">
        <x:v>46295</x:v>
      </x:c>
    </x:row>
    <x:row r="2563" ht="18" customHeight="1">
      <x:c r="A2563" s="22" t="str">
        <x:f>"5ae5ea0f-1c95-48d3-94f1-0b4a36600d6f"</x:f>
        <x:v>5ae5ea0f-1c95-48d3-94f1-0b4a36600d6f</x:v>
      </x:c>
      <x:c r="B2563" s="23" t="str">
        <x:v>MARCO ANTONIO SALVINO NASCIMENTO</x:v>
      </x:c>
      <x:c r="C2563" s="23" t="str">
        <x:v>marco antonio salvino nascimento</x:v>
      </x:c>
      <x:c r="D2563" s="22" t="str">
        <x:f>"66.555.298/0001-04"</x:f>
        <x:v>66.555.298/0001-04</x:v>
      </x:c>
      <x:c r="E2563" s="22" t="str">
        <x:f>"66555298000104"</x:f>
        <x:v>66555298000104</x:v>
      </x:c>
      <x:c r="F2563" s="22" t="str">
        <x:f>"088.875.886-35"</x:f>
        <x:v>088.875.886-35</x:v>
      </x:c>
      <x:c r="G2563" s="22" t="str">
        <x:f>"08887588635"</x:f>
        <x:v>08887588635</x:v>
      </x:c>
      <x:c r="H2563" s="23" t="str">
        <x:v>nascimentosalvinoma@gmail.com</x:v>
      </x:c>
      <x:c r="I2563" s="22" t="str">
        <x:f>"34988586410"</x:f>
        <x:v>34988586410</x:v>
      </x:c>
      <x:c r="J2563" s="23" t="str">
        <x:v>RENTAL</x:v>
      </x:c>
      <x:c r="K2563" s="23" t="str">
        <x:v>rental_company</x:v>
      </x:c>
      <x:c r="L2563" s="24" t="b">
        <x:v>1</x:v>
      </x:c>
      <x:c r="M2563" s="23" t="n">
        <x:v>1</x:v>
      </x:c>
      <x:c r="N2563" s="28" t="n">
        <x:v>46219.812988715275</x:v>
      </x:c>
      <x:c r="O2563" s="28" t="n">
        <x:v>46219.812988715275</x:v>
      </x:c>
      <x:c r="P2563" s="23" t="str">
        <x:v>UBERABA</x:v>
      </x:c>
      <x:c r="Q2563" s="30" t="n">
        <x:v>38366</x:v>
      </x:c>
      <x:c r="R2563" s="22" t="str">
        <x:f>"19300498"</x:f>
        <x:v>19300498</x:v>
      </x:c>
      <x:c r="S2563" s="23" t="str">
        <x:v>masculino</x:v>
      </x:c>
      <x:c r="T2563" s="22" t="str"/>
      <x:c r="U2563" s="23" t="str">
        <x:v>MARCO ANTONIO SALVINO NASCIMENTO</x:v>
      </x:c>
      <x:c r="V2563" s="22" t="str">
        <x:f>"088.875.886-35"</x:f>
        <x:v>088.875.886-35</x:v>
      </x:c>
      <x:c r="W2563" s="22" t="str">
        <x:f>"08887588635"</x:f>
        <x:v>08887588635</x:v>
      </x:c>
      <x:c r="X2563" s="23" t="str">
        <x:v>nascimentosalvinoma@gmail.com</x:v>
      </x:c>
      <x:c r="Y2563" s="22" t="str">
        <x:f>"34988586410"</x:f>
        <x:v>34988586410</x:v>
      </x:c>
      <x:c r="Z2563" s="30" t="n">
        <x:v>46521</x:v>
      </x:c>
    </x:row>
    <x:row r="2564" ht="18" customHeight="1">
      <x:c r="A2564" s="22" t="str">
        <x:f>"b1ec4f30-2070-49f5-ac24-049b139b8200"</x:f>
        <x:v>b1ec4f30-2070-49f5-ac24-049b139b8200</x:v>
      </x:c>
      <x:c r="B2564" s="23" t="str">
        <x:v>MARCO ANTONIO SALVINO NASCIMENTO</x:v>
      </x:c>
      <x:c r="C2564" s="23" t="str">
        <x:v>marco antonio salvino nascimento</x:v>
      </x:c>
      <x:c r="D2564" s="22" t="str">
        <x:f>"67.208.139/0001-04"</x:f>
        <x:v>67.208.139/0001-04</x:v>
      </x:c>
      <x:c r="E2564" s="22" t="str">
        <x:f>"67208139000104"</x:f>
        <x:v>67208139000104</x:v>
      </x:c>
      <x:c r="F2564" s="22" t="str">
        <x:f>"088.875.886-35"</x:f>
        <x:v>088.875.886-35</x:v>
      </x:c>
      <x:c r="G2564" s="22" t="str">
        <x:f>"08887588635"</x:f>
        <x:v>08887588635</x:v>
      </x:c>
      <x:c r="H2564" s="23" t="str">
        <x:v>nascimentosalvinoma@gmail.com</x:v>
      </x:c>
      <x:c r="I2564" s="22" t="str">
        <x:f>"3488586410"</x:f>
        <x:v>3488586410</x:v>
      </x:c>
      <x:c r="J2564" s="23" t="str">
        <x:v>RENTAL</x:v>
      </x:c>
      <x:c r="K2564" s="23" t="str">
        <x:v>rental_company</x:v>
      </x:c>
      <x:c r="L2564" s="24" t="b">
        <x:v>1</x:v>
      </x:c>
      <x:c r="M2564" s="23" t="n">
        <x:v>1</x:v>
      </x:c>
      <x:c r="N2564" s="28" t="n">
        <x:v>46219.812988715275</x:v>
      </x:c>
      <x:c r="O2564" s="28" t="n">
        <x:v>46219.812988715275</x:v>
      </x:c>
      <x:c r="P2564" s="23" t="str">
        <x:v>UBERABA</x:v>
      </x:c>
      <x:c r="Q2564" s="30" t="n">
        <x:v>38366</x:v>
      </x:c>
      <x:c r="R2564" s="22" t="str">
        <x:f>"19300498"</x:f>
        <x:v>19300498</x:v>
      </x:c>
      <x:c r="S2564" s="23" t="str">
        <x:v>masculino</x:v>
      </x:c>
      <x:c r="T2564" s="22" t="str"/>
      <x:c r="U2564" s="23" t="str">
        <x:v>MARCO ANTONIO SALVINO NASCIMENTO</x:v>
      </x:c>
      <x:c r="V2564" s="22" t="str">
        <x:f>"088.875.886-35"</x:f>
        <x:v>088.875.886-35</x:v>
      </x:c>
      <x:c r="W2564" s="22" t="str">
        <x:f>"08887588635"</x:f>
        <x:v>08887588635</x:v>
      </x:c>
      <x:c r="X2564" s="23" t="str">
        <x:v>nascimentosalvinoma@gmail.com</x:v>
      </x:c>
      <x:c r="Y2564" s="22" t="str">
        <x:f>"3488586410"</x:f>
        <x:v>3488586410</x:v>
      </x:c>
      <x:c r="Z2564" s="30" t="n">
        <x:v>46548</x:v>
      </x:c>
    </x:row>
    <x:row r="2565" ht="18" customHeight="1">
      <x:c r="A2565" s="22" t="str">
        <x:f>"2afebeb8-705e-4dfb-b929-df9da95457bd"</x:f>
        <x:v>2afebeb8-705e-4dfb-b929-df9da95457bd</x:v>
      </x:c>
      <x:c r="B2565" s="23" t="str">
        <x:v>MARCO AURELIO ALVES DOS SANTOS</x:v>
      </x:c>
      <x:c r="C2565" s="23" t="str">
        <x:v>marco aurelio alves dos santos</x:v>
      </x:c>
      <x:c r="D2565" s="22" t="str">
        <x:f>"67.230.354/0001-01"</x:f>
        <x:v>67.230.354/0001-01</x:v>
      </x:c>
      <x:c r="E2565" s="22" t="str">
        <x:f>"67230354000101"</x:f>
        <x:v>67230354000101</x:v>
      </x:c>
      <x:c r="F2565" s="22" t="str">
        <x:f>"467.254.398-61"</x:f>
        <x:v>467.254.398-61</x:v>
      </x:c>
      <x:c r="G2565" s="22" t="str">
        <x:f>"46725439861"</x:f>
        <x:v>46725439861</x:v>
      </x:c>
      <x:c r="H2565" s="23" t="str">
        <x:v>marcoevitoria07@gmail.com</x:v>
      </x:c>
      <x:c r="I2565" s="22" t="str">
        <x:f>"11984292063"</x:f>
        <x:v>11984292063</x:v>
      </x:c>
      <x:c r="J2565" s="23" t="str">
        <x:v>RENTAL</x:v>
      </x:c>
      <x:c r="K2565" s="23" t="str">
        <x:v>rental_company</x:v>
      </x:c>
      <x:c r="L2565" s="24" t="b">
        <x:v>1</x:v>
      </x:c>
      <x:c r="M2565" s="23" t="n">
        <x:v>1</x:v>
      </x:c>
      <x:c r="N2565" s="28" t="n">
        <x:v>46219.812988715275</x:v>
      </x:c>
      <x:c r="O2565" s="28" t="n">
        <x:v>46219.812988715275</x:v>
      </x:c>
      <x:c r="P2565" s="23" t="str">
        <x:v>BARUERI</x:v>
      </x:c>
      <x:c r="Q2565" s="30" t="n">
        <x:v>35479</x:v>
      </x:c>
      <x:c r="R2565" s="22" t="str">
        <x:f>"397751333"</x:f>
        <x:v>397751333</x:v>
      </x:c>
      <x:c r="S2565" s="23" t="str">
        <x:v>masculino</x:v>
      </x:c>
      <x:c r="T2565" s="22" t="str"/>
      <x:c r="U2565" s="23" t="str">
        <x:v>MARCO AURELIO ALVES DOS SANTOS</x:v>
      </x:c>
      <x:c r="V2565" s="22" t="str">
        <x:f>"467.254.398-61"</x:f>
        <x:v>467.254.398-61</x:v>
      </x:c>
      <x:c r="W2565" s="22" t="str">
        <x:f>"46725439861"</x:f>
        <x:v>46725439861</x:v>
      </x:c>
      <x:c r="X2565" s="23" t="str">
        <x:v>marcoevitoria07@gmail.com</x:v>
      </x:c>
      <x:c r="Y2565" s="22" t="str">
        <x:f>"11984292063"</x:f>
        <x:v>11984292063</x:v>
      </x:c>
      <x:c r="Z2565" s="30" t="n">
        <x:v>46576</x:v>
      </x:c>
    </x:row>
    <x:row r="2566" ht="18" customHeight="1">
      <x:c r="A2566" s="22" t="str">
        <x:f>"a6370c3b-fded-488e-acd6-4872dc053e32"</x:f>
        <x:v>a6370c3b-fded-488e-acd6-4872dc053e32</x:v>
      </x:c>
      <x:c r="B2566" s="23" t="str">
        <x:v>MARCO AURELIO CORREA MARQUES SILVA</x:v>
      </x:c>
      <x:c r="C2566" s="23" t="str">
        <x:v>marco aurelio correa marques silva</x:v>
      </x:c>
      <x:c r="D2566" s="22" t="str">
        <x:f>"60.806.651/0001-03"</x:f>
        <x:v>60.806.651/0001-03</x:v>
      </x:c>
      <x:c r="E2566" s="22" t="str">
        <x:f>"60806651000103"</x:f>
        <x:v>60806651000103</x:v>
      </x:c>
      <x:c r="F2566" s="22" t="str">
        <x:f>"453.283.608-50"</x:f>
        <x:v>453.283.608-50</x:v>
      </x:c>
      <x:c r="G2566" s="22" t="str">
        <x:f>"45328360850"</x:f>
        <x:v>45328360850</x:v>
      </x:c>
      <x:c r="H2566" s="23" t="str">
        <x:v>marcoaureliocorrea2001@gmail.com</x:v>
      </x:c>
      <x:c r="I2566" s="22" t="str">
        <x:f>"(16)98156-5105"</x:f>
        <x:v>(16)98156-5105</x:v>
      </x:c>
      <x:c r="J2566" s="23" t="str">
        <x:v>RENTAL</x:v>
      </x:c>
      <x:c r="K2566" s="23" t="str">
        <x:v>rental_company</x:v>
      </x:c>
      <x:c r="L2566" s="24" t="b">
        <x:v>1</x:v>
      </x:c>
      <x:c r="M2566" s="23" t="n">
        <x:v>1</x:v>
      </x:c>
      <x:c r="N2566" s="28" t="n">
        <x:v>46219.812988715275</x:v>
      </x:c>
      <x:c r="O2566" s="28" t="n">
        <x:v>46219.812988715275</x:v>
      </x:c>
      <x:c r="P2566" s="23" t="str">
        <x:v>RIBEIRAO PRETO</x:v>
      </x:c>
      <x:c r="Q2566" s="30" t="n">
        <x:v>36993</x:v>
      </x:c>
      <x:c r="R2566" s="22" t="str">
        <x:f>"56295277-9"</x:f>
        <x:v>56295277-9</x:v>
      </x:c>
      <x:c r="S2566" s="23" t="str">
        <x:v>masculino</x:v>
      </x:c>
      <x:c r="T2566" s="22" t="str"/>
      <x:c r="U2566" s="23" t="str">
        <x:v>MARCO AURELIO CORREA MARQUES SILVA</x:v>
      </x:c>
      <x:c r="V2566" s="22" t="str">
        <x:f>"453.283.608-50"</x:f>
        <x:v>453.283.608-50</x:v>
      </x:c>
      <x:c r="W2566" s="22" t="str">
        <x:f>"45328360850"</x:f>
        <x:v>45328360850</x:v>
      </x:c>
      <x:c r="X2566" s="23" t="str">
        <x:v>marcoaureliocorrea2001@gmail.com</x:v>
      </x:c>
      <x:c r="Y2566" s="22" t="str">
        <x:f>"(16)98156-5105"</x:f>
        <x:v>(16)98156-5105</x:v>
      </x:c>
      <x:c r="Z2566" s="30" t="n">
        <x:v>46476</x:v>
      </x:c>
    </x:row>
    <x:row r="2567" ht="18" customHeight="1">
      <x:c r="A2567" s="22" t="str">
        <x:f>"de59164b-003e-4102-b402-07be63545b3a"</x:f>
        <x:v>de59164b-003e-4102-b402-07be63545b3a</x:v>
      </x:c>
      <x:c r="B2567" s="23" t="str">
        <x:v>MARCO AURELIO DA SILVA AUGUSTO</x:v>
      </x:c>
      <x:c r="C2567" s="23" t="str">
        <x:v>marco aurelio da silva augusto</x:v>
      </x:c>
      <x:c r="D2567" s="22" t="str">
        <x:f>"61.751.378/0001-11"</x:f>
        <x:v>61.751.378/0001-11</x:v>
      </x:c>
      <x:c r="E2567" s="22" t="str">
        <x:f>"61751378000111"</x:f>
        <x:v>61751378000111</x:v>
      </x:c>
      <x:c r="F2567" s="22" t="str">
        <x:f>"469.492.948-83"</x:f>
        <x:v>469.492.948-83</x:v>
      </x:c>
      <x:c r="G2567" s="22" t="str">
        <x:f>"46949294883"</x:f>
        <x:v>46949294883</x:v>
      </x:c>
      <x:c r="H2567" s="23" t="str">
        <x:v>marcoaurelioexpresso3@gmail.co</x:v>
      </x:c>
      <x:c r="I2567" s="22" t="str">
        <x:f>"16992837708"</x:f>
        <x:v>16992837708</x:v>
      </x:c>
      <x:c r="J2567" s="23" t="str">
        <x:v>SPOT</x:v>
      </x:c>
      <x:c r="K2567" s="23" t="str">
        <x:v>favored_only</x:v>
      </x:c>
      <x:c r="L2567" s="24" t="b">
        <x:v>1</x:v>
      </x:c>
      <x:c r="M2567" s="23" t="n">
        <x:v>1</x:v>
      </x:c>
      <x:c r="N2567" s="28" t="n">
        <x:v>46203.9218771875</x:v>
      </x:c>
      <x:c r="O2567" s="28" t="n">
        <x:v>46219.812988715275</x:v>
      </x:c>
      <x:c r="P2567" s="23" t="str">
        <x:v>RIBEIRAO PRETO</x:v>
      </x:c>
      <x:c r="Q2567" s="30" t="n">
        <x:v>38001</x:v>
      </x:c>
      <x:c r="R2567" s="22" t="str">
        <x:f>"546676601"</x:f>
        <x:v>546676601</x:v>
      </x:c>
      <x:c r="S2567" s="23" t="str">
        <x:v>masculino</x:v>
      </x:c>
      <x:c r="T2567" s="22" t="str">
        <x:f>"RNS2B21"</x:f>
        <x:v>RNS2B21</x:v>
      </x:c>
      <x:c r="U2567" s="23" t="str">
        <x:v>MARCO AURELIO DA SILVA AUGUSTO</x:v>
      </x:c>
      <x:c r="V2567" s="22" t="str">
        <x:f>"469.492.948-83"</x:f>
        <x:v>469.492.948-83</x:v>
      </x:c>
      <x:c r="W2567" s="22" t="str">
        <x:f>"46949294883"</x:f>
        <x:v>46949294883</x:v>
      </x:c>
      <x:c r="X2567" s="23" t="str">
        <x:v>marcoaurelioexpresso3@gmail.co</x:v>
      </x:c>
      <x:c r="Y2567" s="22" t="str">
        <x:f>"16992837708"</x:f>
        <x:v>16992837708</x:v>
      </x:c>
      <x:c r="Z2567" s="30" t="n">
        <x:v>46308</x:v>
      </x:c>
    </x:row>
    <x:row r="2568" ht="18" customHeight="1">
      <x:c r="A2568" s="22" t="str">
        <x:f>"a97df0d2-5f02-48f3-936a-6236cfe8c9d6"</x:f>
        <x:v>a97df0d2-5f02-48f3-936a-6236cfe8c9d6</x:v>
      </x:c>
      <x:c r="B2568" s="23" t="str">
        <x:v>MARCO AURELIO DA SILVA RODRIGUES</x:v>
      </x:c>
      <x:c r="C2568" s="23" t="str">
        <x:v>marco aurelio da silva rodrigues</x:v>
      </x:c>
      <x:c r="D2568" s="22" t="str">
        <x:f>"50.073.217/0001-08"</x:f>
        <x:v>50.073.217/0001-08</x:v>
      </x:c>
      <x:c r="E2568" s="22" t="str">
        <x:f>"50073217000108"</x:f>
        <x:v>50073217000108</x:v>
      </x:c>
      <x:c r="F2568" s="22" t="str">
        <x:f>"017.416.641-95"</x:f>
        <x:v>017.416.641-95</x:v>
      </x:c>
      <x:c r="G2568" s="22" t="str">
        <x:f>"01741664195"</x:f>
        <x:v>01741664195</x:v>
      </x:c>
      <x:c r="H2568" s="23" t="str">
        <x:v>marquinhosbaxter2@hotmail.com</x:v>
      </x:c>
      <x:c r="I2568" s="22" t="str">
        <x:f>"65992451849"</x:f>
        <x:v>65992451849</x:v>
      </x:c>
      <x:c r="J2568" s="23" t="str">
        <x:v>SPOT</x:v>
      </x:c>
      <x:c r="K2568" s="23" t="str">
        <x:v>favored_only</x:v>
      </x:c>
      <x:c r="L2568" s="24" t="b">
        <x:v>1</x:v>
      </x:c>
      <x:c r="M2568" s="23" t="n">
        <x:v>1</x:v>
      </x:c>
      <x:c r="N2568" s="28" t="n">
        <x:v>46205.60596204861</x:v>
      </x:c>
      <x:c r="O2568" s="28" t="n">
        <x:v>46219.812988715275</x:v>
      </x:c>
      <x:c r="P2568" s="23" t="str">
        <x:v>CÁCERES</x:v>
      </x:c>
      <x:c r="Q2568" s="30" t="n">
        <x:v>32506</x:v>
      </x:c>
      <x:c r="R2568" s="22" t="str">
        <x:f>"18239820"</x:f>
        <x:v>18239820</x:v>
      </x:c>
      <x:c r="S2568" s="23" t="str">
        <x:v>masculino</x:v>
      </x:c>
      <x:c r="T2568" s="22" t="str">
        <x:f>"AXR7H38"</x:f>
        <x:v>AXR7H38</x:v>
      </x:c>
      <x:c r="U2568" s="23" t="str">
        <x:v>EVANDRO DE OLIVEIRA LOURENCO</x:v>
      </x:c>
      <x:c r="V2568" s="22" t="str">
        <x:f>"012.957.851-70"</x:f>
        <x:v>012.957.851-70</x:v>
      </x:c>
      <x:c r="W2568" s="22" t="str">
        <x:f>"01295785170"</x:f>
        <x:v>01295785170</x:v>
      </x:c>
      <x:c r="X2568" s="23" t="str">
        <x:v>evandromsoliveira@gmail.com</x:v>
      </x:c>
      <x:c r="Y2568" s="22" t="str">
        <x:f>"65992188094"</x:f>
        <x:v>65992188094</x:v>
      </x:c>
      <x:c r="Z2568" s="30" t="n">
        <x:v>46338</x:v>
      </x:c>
    </x:row>
    <x:row r="2569" ht="18" customHeight="1">
      <x:c r="A2569" s="22" t="str">
        <x:f>"25726b81-cdb8-46ea-90d7-8591041ee8b8"</x:f>
        <x:v>25726b81-cdb8-46ea-90d7-8591041ee8b8</x:v>
      </x:c>
      <x:c r="B2569" s="23" t="str">
        <x:v>MARCO AURELIO GIBOTTI GODOY</x:v>
      </x:c>
      <x:c r="C2569" s="23" t="str">
        <x:v>marco aurelio gibotti godoy</x:v>
      </x:c>
      <x:c r="D2569" s="22" t="str">
        <x:f>"63.536.321/0001-25"</x:f>
        <x:v>63.536.321/0001-25</x:v>
      </x:c>
      <x:c r="E2569" s="22" t="str">
        <x:f>"63536321000125"</x:f>
        <x:v>63536321000125</x:v>
      </x:c>
      <x:c r="F2569" s="22" t="str">
        <x:f>"370.458.698-60"</x:f>
        <x:v>370.458.698-60</x:v>
      </x:c>
      <x:c r="G2569" s="22" t="str">
        <x:f>"37045869860"</x:f>
        <x:v>37045869860</x:v>
      </x:c>
      <x:c r="H2569" s="23" t="str">
        <x:v>mcrgibotti@gmail.com</x:v>
      </x:c>
      <x:c r="I2569" s="22" t="str">
        <x:f>"16981314071"</x:f>
        <x:v>16981314071</x:v>
      </x:c>
      <x:c r="J2569" s="23" t="str">
        <x:v>SPOT</x:v>
      </x:c>
      <x:c r="K2569" s="23" t="str">
        <x:v>favored_only</x:v>
      </x:c>
      <x:c r="L2569" s="24" t="b">
        <x:v>1</x:v>
      </x:c>
      <x:c r="M2569" s="23" t="n">
        <x:v>1</x:v>
      </x:c>
      <x:c r="N2569" s="28" t="n">
        <x:v>46205.60732052083</x:v>
      </x:c>
      <x:c r="O2569" s="28" t="n">
        <x:v>46219.812988715275</x:v>
      </x:c>
      <x:c r="P2569" s="23" t="str">
        <x:v>SÃO CARLOS</x:v>
      </x:c>
      <x:c r="Q2569" s="30" t="n">
        <x:v>35756</x:v>
      </x:c>
      <x:c r="R2569" s="22" t="str">
        <x:f>"497570515"</x:f>
        <x:v>497570515</x:v>
      </x:c>
      <x:c r="S2569" s="23" t="str">
        <x:v>masculino</x:v>
      </x:c>
      <x:c r="T2569" s="22" t="str">
        <x:f>"fzu1j78"</x:f>
        <x:v>fzu1j78</x:v>
      </x:c>
      <x:c r="U2569" s="23" t="str">
        <x:v>CAROLINE MOURA ABUD</x:v>
      </x:c>
      <x:c r="V2569" s="22" t="str">
        <x:f>"445.917.148-10"</x:f>
        <x:v>445.917.148-10</x:v>
      </x:c>
      <x:c r="W2569" s="22" t="str">
        <x:f>"44591714810"</x:f>
        <x:v>44591714810</x:v>
      </x:c>
      <x:c r="X2569" s="23" t="str">
        <x:v>Carolabud0@hotmail.com</x:v>
      </x:c>
      <x:c r="Y2569" s="22" t="str">
        <x:f>"16997149351"</x:f>
        <x:v>16997149351</x:v>
      </x:c>
      <x:c r="Z2569" s="30" t="n">
        <x:v>46532</x:v>
      </x:c>
    </x:row>
    <x:row r="2570" ht="18" customHeight="1">
      <x:c r="A2570" s="22" t="str">
        <x:f>"c8564784-33ea-4240-8481-1020270c842d"</x:f>
        <x:v>c8564784-33ea-4240-8481-1020270c842d</x:v>
      </x:c>
      <x:c r="B2570" s="23" t="str">
        <x:v>MARCO AURELIO GIBOTTI GODOY</x:v>
      </x:c>
      <x:c r="C2570" s="23" t="str">
        <x:v>marco aurelio gibotti godoy</x:v>
      </x:c>
      <x:c r="D2570" s="22" t="str">
        <x:f>"37.148.923/0001-03"</x:f>
        <x:v>37.148.923/0001-03</x:v>
      </x:c>
      <x:c r="E2570" s="22" t="str">
        <x:f>"37148923000103"</x:f>
        <x:v>37148923000103</x:v>
      </x:c>
      <x:c r="F2570" s="22" t="str">
        <x:f>"370.458.698-60"</x:f>
        <x:v>370.458.698-60</x:v>
      </x:c>
      <x:c r="G2570" s="22" t="str">
        <x:f>"37045869860"</x:f>
        <x:v>37045869860</x:v>
      </x:c>
      <x:c r="H2570" s="23" t="str">
        <x:v>mcrgibotti@gmail.com</x:v>
      </x:c>
      <x:c r="I2570" s="22" t="str">
        <x:f>"16981314071"</x:f>
        <x:v>16981314071</x:v>
      </x:c>
      <x:c r="J2570" s="23" t="str">
        <x:v>SPOT</x:v>
      </x:c>
      <x:c r="K2570" s="23" t="str">
        <x:v>favored_only</x:v>
      </x:c>
      <x:c r="L2570" s="24" t="b">
        <x:v>1</x:v>
      </x:c>
      <x:c r="M2570" s="23" t="n">
        <x:v>1</x:v>
      </x:c>
      <x:c r="N2570" s="28" t="n">
        <x:v>46203.92191240741</x:v>
      </x:c>
      <x:c r="O2570" s="28" t="n">
        <x:v>46219.812988715275</x:v>
      </x:c>
      <x:c r="P2570" s="23" t="str">
        <x:v>SÃO CARLOS</x:v>
      </x:c>
      <x:c r="Q2570" s="30" t="n">
        <x:v>35756</x:v>
      </x:c>
      <x:c r="R2570" s="22" t="str">
        <x:f>"497570515"</x:f>
        <x:v>497570515</x:v>
      </x:c>
      <x:c r="S2570" s="23" t="str">
        <x:v>masculino</x:v>
      </x:c>
      <x:c r="T2570" s="22" t="str">
        <x:f>"FZU1J78"</x:f>
        <x:v>FZU1J78</x:v>
      </x:c>
      <x:c r="U2570" s="23" t="str">
        <x:v>MARCO AURELIO GIBOTTI GODOY</x:v>
      </x:c>
      <x:c r="V2570" s="22" t="str">
        <x:f>"370.458.698-60"</x:f>
        <x:v>370.458.698-60</x:v>
      </x:c>
      <x:c r="W2570" s="22" t="str">
        <x:f>"37045869860"</x:f>
        <x:v>37045869860</x:v>
      </x:c>
      <x:c r="X2570" s="23" t="str">
        <x:v>mcrgibotti@gmail.com</x:v>
      </x:c>
      <x:c r="Y2570" s="22" t="str">
        <x:f>"16981314071"</x:f>
        <x:v>16981314071</x:v>
      </x:c>
      <x:c r="Z2570" s="30" t="str"/>
    </x:row>
    <x:row r="2571" ht="18" customHeight="1">
      <x:c r="A2571" s="22" t="str">
        <x:f>"711a784e-0149-46ce-89c7-d0ad1a165b8c"</x:f>
        <x:v>711a784e-0149-46ce-89c7-d0ad1a165b8c</x:v>
      </x:c>
      <x:c r="B2571" s="23" t="str">
        <x:v>MARCO AURELIO OLIVEIRA DOS SANTOS</x:v>
      </x:c>
      <x:c r="C2571" s="23" t="str">
        <x:v>marco aurelio oliveira dos santos</x:v>
      </x:c>
      <x:c r="D2571" s="22" t="str">
        <x:f>"62.245.158/0001-89"</x:f>
        <x:v>62.245.158/0001-89</x:v>
      </x:c>
      <x:c r="E2571" s="22" t="str">
        <x:f>"62245158000189"</x:f>
        <x:v>62245158000189</x:v>
      </x:c>
      <x:c r="F2571" s="22" t="str">
        <x:f>"094.721.806-80"</x:f>
        <x:v>094.721.806-80</x:v>
      </x:c>
      <x:c r="G2571" s="22" t="str">
        <x:f>"09472180680"</x:f>
        <x:v>09472180680</x:v>
      </x:c>
      <x:c r="H2571" s="23" t="str">
        <x:v>marconiguin@hotmail.com</x:v>
      </x:c>
      <x:c r="I2571" s="22" t="str">
        <x:f>"31994298161"</x:f>
        <x:v>31994298161</x:v>
      </x:c>
      <x:c r="J2571" s="23" t="str">
        <x:v>SPOT</x:v>
      </x:c>
      <x:c r="K2571" s="23" t="str">
        <x:v>rental_company</x:v>
      </x:c>
      <x:c r="L2571" s="24" t="b">
        <x:v>1</x:v>
      </x:c>
      <x:c r="M2571" s="23" t="n">
        <x:v>2</x:v>
      </x:c>
      <x:c r="N2571" s="28" t="n">
        <x:v>46203.921858726855</x:v>
      </x:c>
      <x:c r="O2571" s="28" t="n">
        <x:v>46219.812988715275</x:v>
      </x:c>
      <x:c r="P2571" s="23" t="str">
        <x:v>NOVA LIMA</x:v>
      </x:c>
      <x:c r="Q2571" s="30" t="n">
        <x:v>32572</x:v>
      </x:c>
      <x:c r="R2571" s="22" t="str">
        <x:f>"12282142"</x:f>
        <x:v>12282142</x:v>
      </x:c>
      <x:c r="S2571" s="23" t="str">
        <x:v>masculino</x:v>
      </x:c>
      <x:c r="T2571" s="22" t="str">
        <x:f>"HCQ2I48"</x:f>
        <x:v>HCQ2I48</x:v>
      </x:c>
      <x:c r="U2571" s="23" t="str">
        <x:v>MARCO AURELIO OLIVEIRA DOS SANTOS</x:v>
      </x:c>
      <x:c r="V2571" s="22" t="str">
        <x:f>"094.721.806-80"</x:f>
        <x:v>094.721.806-80</x:v>
      </x:c>
      <x:c r="W2571" s="22" t="str">
        <x:f>"09472180680"</x:f>
        <x:v>09472180680</x:v>
      </x:c>
      <x:c r="X2571" s="23" t="str">
        <x:v>marconiguin@hotmail.com</x:v>
      </x:c>
      <x:c r="Y2571" s="22" t="str">
        <x:f>"31994298161"</x:f>
        <x:v>31994298161</x:v>
      </x:c>
      <x:c r="Z2571" s="30" t="n">
        <x:v>46512</x:v>
      </x:c>
    </x:row>
    <x:row r="2572" ht="18" customHeight="1">
      <x:c r="A2572" s="22" t="str">
        <x:f>"b010b7ce-0585-45b7-91e0-4aef737e1b7d"</x:f>
        <x:v>b010b7ce-0585-45b7-91e0-4aef737e1b7d</x:v>
      </x:c>
      <x:c r="B2572" s="23" t="str">
        <x:v>MARCO AURELIO OLIVEIRA DOS SANTOS</x:v>
      </x:c>
      <x:c r="C2572" s="23" t="str">
        <x:v>marco aurelio oliveira dos santos</x:v>
      </x:c>
      <x:c r="D2572" s="22" t="str">
        <x:f>"49.348.060/0001-99"</x:f>
        <x:v>49.348.060/0001-99</x:v>
      </x:c>
      <x:c r="E2572" s="22" t="str">
        <x:f>"49348060000199"</x:f>
        <x:v>49348060000199</x:v>
      </x:c>
      <x:c r="F2572" s="22" t="str">
        <x:f>"094.721.806-80"</x:f>
        <x:v>094.721.806-80</x:v>
      </x:c>
      <x:c r="G2572" s="22" t="str">
        <x:f>"09472180680"</x:f>
        <x:v>09472180680</x:v>
      </x:c>
      <x:c r="H2572" s="23" t="str">
        <x:v>mmcorelio@gmail.com</x:v>
      </x:c>
      <x:c r="I2572" s="22" t="str">
        <x:f>"31994298161"</x:f>
        <x:v>31994298161</x:v>
      </x:c>
      <x:c r="J2572" s="23" t="str">
        <x:v>SPOT</x:v>
      </x:c>
      <x:c r="K2572" s="23" t="str">
        <x:v>favored_only</x:v>
      </x:c>
      <x:c r="L2572" s="24" t="b">
        <x:v>1</x:v>
      </x:c>
      <x:c r="M2572" s="23" t="n">
        <x:v>1</x:v>
      </x:c>
      <x:c r="N2572" s="28" t="n">
        <x:v>46203.921852962965</x:v>
      </x:c>
      <x:c r="O2572" s="28" t="n">
        <x:v>46219.812988715275</x:v>
      </x:c>
      <x:c r="P2572" s="23" t="str">
        <x:v>NOVA LIMA</x:v>
      </x:c>
      <x:c r="Q2572" s="30" t="n">
        <x:v>32572</x:v>
      </x:c>
      <x:c r="R2572" s="22" t="str">
        <x:f>"12282142"</x:f>
        <x:v>12282142</x:v>
      </x:c>
      <x:c r="S2572" s="23" t="str">
        <x:v>masculino</x:v>
      </x:c>
      <x:c r="T2572" s="22" t="str">
        <x:f>"HCQ2I48"</x:f>
        <x:v>HCQ2I48</x:v>
      </x:c>
      <x:c r="U2572" s="23" t="str">
        <x:v>MARCO AURELIO OLIVEIRA DOS SANTOS</x:v>
      </x:c>
      <x:c r="V2572" s="22" t="str">
        <x:f>"094.721.806-80"</x:f>
        <x:v>094.721.806-80</x:v>
      </x:c>
      <x:c r="W2572" s="22" t="str">
        <x:f>"09472180680"</x:f>
        <x:v>09472180680</x:v>
      </x:c>
      <x:c r="X2572" s="23" t="str">
        <x:v>mmcorelio@gmail.com</x:v>
      </x:c>
      <x:c r="Y2572" s="22" t="str">
        <x:f>"31994298161"</x:f>
        <x:v>31994298161</x:v>
      </x:c>
      <x:c r="Z2572" s="30" t="n">
        <x:v>46331</x:v>
      </x:c>
    </x:row>
    <x:row r="2573" ht="18" customHeight="1">
      <x:c r="A2573" s="22" t="str">
        <x:f>"c788b4df-726d-4097-b34a-5ce5677018a2"</x:f>
        <x:v>c788b4df-726d-4097-b34a-5ce5677018a2</x:v>
      </x:c>
      <x:c r="B2573" s="23" t="str">
        <x:v>MARCOS ADRIANO NERES DE JESUS PINTO</x:v>
      </x:c>
      <x:c r="C2573" s="23" t="str">
        <x:v>marcos adriano neres de jesus pinto</x:v>
      </x:c>
      <x:c r="D2573" s="22" t="str">
        <x:f>"62.230.103/0001-03"</x:f>
        <x:v>62.230.103/0001-03</x:v>
      </x:c>
      <x:c r="E2573" s="22" t="str">
        <x:f>"62230103000103"</x:f>
        <x:v>62230103000103</x:v>
      </x:c>
      <x:c r="F2573" s="22" t="str">
        <x:f>"606.517.803-90"</x:f>
        <x:v>606.517.803-90</x:v>
      </x:c>
      <x:c r="G2573" s="22" t="str">
        <x:f>"60651780390"</x:f>
        <x:v>60651780390</x:v>
      </x:c>
      <x:c r="H2573" s="23" t="str">
        <x:v>marcosadrianopinto1234@gmail.com</x:v>
      </x:c>
      <x:c r="I2573" s="22" t="str">
        <x:f>"(62) 9324-7026"</x:f>
        <x:v>(62) 9324-7026</x:v>
      </x:c>
      <x:c r="J2573" s="23" t="str">
        <x:v>SPOT</x:v>
      </x:c>
      <x:c r="K2573" s="23" t="str">
        <x:v>favored_only</x:v>
      </x:c>
      <x:c r="L2573" s="24" t="b">
        <x:v>1</x:v>
      </x:c>
      <x:c r="M2573" s="23" t="n">
        <x:v>1</x:v>
      </x:c>
      <x:c r="N2573" s="28" t="n">
        <x:v>46203.921852962965</x:v>
      </x:c>
      <x:c r="O2573" s="28" t="n">
        <x:v>46219.812988715275</x:v>
      </x:c>
      <x:c r="P2573" s="23" t="str">
        <x:v>GOIANIA</x:v>
      </x:c>
      <x:c r="Q2573" s="30" t="n">
        <x:v>34684</x:v>
      </x:c>
      <x:c r="R2573" s="22" t="str">
        <x:f>"402678220101"</x:f>
        <x:v>402678220101</x:v>
      </x:c>
      <x:c r="S2573" s="23" t="str">
        <x:v>masculino</x:v>
      </x:c>
      <x:c r="T2573" s="22" t="str">
        <x:f>"PBK3219"</x:f>
        <x:v>PBK3219</x:v>
      </x:c>
      <x:c r="U2573" s="23" t="str">
        <x:v>MARCOS ADRIANO NERES DE JESUS PINTO</x:v>
      </x:c>
      <x:c r="V2573" s="22" t="str">
        <x:f>"606.517.803-90"</x:f>
        <x:v>606.517.803-90</x:v>
      </x:c>
      <x:c r="W2573" s="22" t="str">
        <x:f>"60651780390"</x:f>
        <x:v>60651780390</x:v>
      </x:c>
      <x:c r="X2573" s="23" t="str">
        <x:v>marcosadrianopinto1234@gmail.com</x:v>
      </x:c>
      <x:c r="Y2573" s="22" t="str">
        <x:f>"(62) 9324-7026"</x:f>
        <x:v>(62) 9324-7026</x:v>
      </x:c>
      <x:c r="Z2573" s="30" t="n">
        <x:v>46249</x:v>
      </x:c>
    </x:row>
    <x:row r="2574" ht="18" customHeight="1">
      <x:c r="A2574" s="22" t="str">
        <x:f>"7cd86db4-a6af-47d4-94a9-8cb74d3f325b"</x:f>
        <x:v>7cd86db4-a6af-47d4-94a9-8cb74d3f325b</x:v>
      </x:c>
      <x:c r="B2574" s="23" t="str">
        <x:v>MARCOS ADRIANO SOUZA SILVA</x:v>
      </x:c>
      <x:c r="C2574" s="23" t="str">
        <x:v>marcos adriano souza silva</x:v>
      </x:c>
      <x:c r="D2574" s="22" t="str">
        <x:f>"66.807.382/0001-78"</x:f>
        <x:v>66.807.382/0001-78</x:v>
      </x:c>
      <x:c r="E2574" s="22" t="str">
        <x:f>"66807382000178"</x:f>
        <x:v>66807382000178</x:v>
      </x:c>
      <x:c r="F2574" s="22" t="str">
        <x:f>"068.063.771-06"</x:f>
        <x:v>068.063.771-06</x:v>
      </x:c>
      <x:c r="G2574" s="22" t="str">
        <x:f>"06806377106"</x:f>
        <x:v>06806377106</x:v>
      </x:c>
      <x:c r="H2574" s="23" t="str">
        <x:v>marcos-ass9@hotmail.com</x:v>
      </x:c>
      <x:c r="I2574" s="22" t="str">
        <x:f>"67998499216"</x:f>
        <x:v>67998499216</x:v>
      </x:c>
      <x:c r="J2574" s="23" t="str">
        <x:v>SPOT</x:v>
      </x:c>
      <x:c r="K2574" s="23" t="str">
        <x:v>favored_only</x:v>
      </x:c>
      <x:c r="L2574" s="24" t="b">
        <x:v>1</x:v>
      </x:c>
      <x:c r="M2574" s="23" t="n">
        <x:v>1</x:v>
      </x:c>
      <x:c r="N2574" s="28" t="n">
        <x:v>46219.812988715275</x:v>
      </x:c>
      <x:c r="O2574" s="28" t="n">
        <x:v>46219.812988715275</x:v>
      </x:c>
      <x:c r="P2574" s="23" t="str">
        <x:v>CHAPADÃO DO SUL</x:v>
      </x:c>
      <x:c r="Q2574" s="30" t="n">
        <x:v>35261</x:v>
      </x:c>
      <x:c r="R2574" s="22" t="str">
        <x:f>"2205251"</x:f>
        <x:v>2205251</x:v>
      </x:c>
      <x:c r="S2574" s="23" t="str">
        <x:v>masculino</x:v>
      </x:c>
      <x:c r="T2574" s="22" t="str">
        <x:f>"FSK5D25"</x:f>
        <x:v>FSK5D25</x:v>
      </x:c>
      <x:c r="U2574" s="23" t="str">
        <x:v>LEANDRO JUNIOR SOUZA DA SILVA</x:v>
      </x:c>
      <x:c r="V2574" s="22" t="str">
        <x:f>"026.959.001-39"</x:f>
        <x:v>026.959.001-39</x:v>
      </x:c>
      <x:c r="W2574" s="22" t="str">
        <x:f>"02695900139"</x:f>
        <x:v>02695900139</x:v>
      </x:c>
      <x:c r="X2574" s="23" t="str">
        <x:v>ramezfc10@gmail.com</x:v>
      </x:c>
      <x:c r="Y2574" s="22" t="str">
        <x:f>"67 9923-4528"</x:f>
        <x:v>67 9923-4528</x:v>
      </x:c>
      <x:c r="Z2574" s="30" t="n">
        <x:v>46532</x:v>
      </x:c>
    </x:row>
    <x:row r="2575" ht="18" customHeight="1">
      <x:c r="A2575" s="22" t="str">
        <x:f>"7e319ae7-31ef-4dd2-b389-da702b7f8843"</x:f>
        <x:v>7e319ae7-31ef-4dd2-b389-da702b7f8843</x:v>
      </x:c>
      <x:c r="B2575" s="23" t="str">
        <x:v>MARCOS ADRIANO SOUZA SILVA</x:v>
      </x:c>
      <x:c r="C2575" s="23" t="str">
        <x:v>marcos adriano souza silva</x:v>
      </x:c>
      <x:c r="D2575" s="22" t="str">
        <x:f>"58.450.945/0001-95"</x:f>
        <x:v>58.450.945/0001-95</x:v>
      </x:c>
      <x:c r="E2575" s="22" t="str">
        <x:f>"58450945000195"</x:f>
        <x:v>58450945000195</x:v>
      </x:c>
      <x:c r="F2575" s="22" t="str">
        <x:f>"068.063.771-06"</x:f>
        <x:v>068.063.771-06</x:v>
      </x:c>
      <x:c r="G2575" s="22" t="str">
        <x:f>"06806377106"</x:f>
        <x:v>06806377106</x:v>
      </x:c>
      <x:c r="H2575" s="23" t="str">
        <x:v>marcosass143@gmail.com</x:v>
      </x:c>
      <x:c r="I2575" s="22" t="str">
        <x:f>"67998499216"</x:f>
        <x:v>67998499216</x:v>
      </x:c>
      <x:c r="J2575" s="23" t="str">
        <x:v>SPOT</x:v>
      </x:c>
      <x:c r="K2575" s="23" t="str">
        <x:v>favored_only</x:v>
      </x:c>
      <x:c r="L2575" s="24" t="b">
        <x:v>1</x:v>
      </x:c>
      <x:c r="M2575" s="23" t="n">
        <x:v>1</x:v>
      </x:c>
      <x:c r="N2575" s="28" t="n">
        <x:v>46205.60304484954</x:v>
      </x:c>
      <x:c r="O2575" s="28" t="n">
        <x:v>46219.812988715275</x:v>
      </x:c>
      <x:c r="P2575" s="23" t="str">
        <x:v>CHAPADÃO DO SUL</x:v>
      </x:c>
      <x:c r="Q2575" s="30" t="n">
        <x:v>35261</x:v>
      </x:c>
      <x:c r="R2575" s="22" t="str">
        <x:f>"2205251"</x:f>
        <x:v>2205251</x:v>
      </x:c>
      <x:c r="S2575" s="23" t="str">
        <x:v>masculino</x:v>
      </x:c>
      <x:c r="T2575" s="22" t="str">
        <x:f>"EIZ5I56"</x:f>
        <x:v>EIZ5I56</x:v>
      </x:c>
      <x:c r="U2575" s="23" t="str">
        <x:v>LEANDRO JUNIOR SOUZA DA SILVA</x:v>
      </x:c>
      <x:c r="V2575" s="22" t="str">
        <x:f>"026.959.001-39"</x:f>
        <x:v>026.959.001-39</x:v>
      </x:c>
      <x:c r="W2575" s="22" t="str">
        <x:f>"02695900139"</x:f>
        <x:v>02695900139</x:v>
      </x:c>
      <x:c r="X2575" s="23" t="str">
        <x:v>ramezfc10@gmail.com</x:v>
      </x:c>
      <x:c r="Y2575" s="22" t="str">
        <x:f>"67 9923-4528"</x:f>
        <x:v>67 9923-4528</x:v>
      </x:c>
      <x:c r="Z2575" s="30" t="n">
        <x:v>46473</x:v>
      </x:c>
    </x:row>
    <x:row r="2576" ht="18" customHeight="1">
      <x:c r="A2576" s="22" t="str">
        <x:f>"3c2bef5a-3790-4409-9db8-c38f1dcd5383"</x:f>
        <x:v>3c2bef5a-3790-4409-9db8-c38f1dcd5383</x:v>
      </x:c>
      <x:c r="B2576" s="23" t="str">
        <x:v>MARCOS ALVES DA SILVA</x:v>
      </x:c>
      <x:c r="C2576" s="23" t="str">
        <x:v>marcos alves da silva</x:v>
      </x:c>
      <x:c r="D2576" s="22" t="str">
        <x:f>"67.953.617/0001-00"</x:f>
        <x:v>67.953.617/0001-00</x:v>
      </x:c>
      <x:c r="E2576" s="22" t="str">
        <x:f>"67953617000100"</x:f>
        <x:v>67953617000100</x:v>
      </x:c>
      <x:c r="F2576" s="22" t="str">
        <x:f>"450.097.348-69"</x:f>
        <x:v>450.097.348-69</x:v>
      </x:c>
      <x:c r="G2576" s="22" t="str">
        <x:f>"45009734869"</x:f>
        <x:v>45009734869</x:v>
      </x:c>
      <x:c r="H2576" s="23" t="str">
        <x:v>marcos.alves015@yahoo.com</x:v>
      </x:c>
      <x:c r="I2576" s="22" t="str">
        <x:f>"11986228965"</x:f>
        <x:v>11986228965</x:v>
      </x:c>
      <x:c r="J2576" s="23" t="str">
        <x:v>RENTAL</x:v>
      </x:c>
      <x:c r="K2576" s="23" t="str">
        <x:v>rental_company</x:v>
      </x:c>
      <x:c r="L2576" s="24" t="b">
        <x:v>1</x:v>
      </x:c>
      <x:c r="M2576" s="23" t="n">
        <x:v>1</x:v>
      </x:c>
      <x:c r="N2576" s="28" t="n">
        <x:v>46219.812988715275</x:v>
      </x:c>
      <x:c r="O2576" s="28" t="n">
        <x:v>46219.812988715275</x:v>
      </x:c>
      <x:c r="P2576" s="23" t="str">
        <x:v>BARUERI</x:v>
      </x:c>
      <x:c r="Q2576" s="30" t="n">
        <x:v>38343</x:v>
      </x:c>
      <x:c r="R2576" s="22" t="str">
        <x:f>"398842887"</x:f>
        <x:v>398842887</x:v>
      </x:c>
      <x:c r="S2576" s="23" t="str">
        <x:v>masculino</x:v>
      </x:c>
      <x:c r="T2576" s="22" t="str"/>
      <x:c r="U2576" s="23" t="str">
        <x:v>MARCOS ALVES DA SILVA</x:v>
      </x:c>
      <x:c r="V2576" s="22" t="str">
        <x:f>"450.097.348-69"</x:f>
        <x:v>450.097.348-69</x:v>
      </x:c>
      <x:c r="W2576" s="22" t="str">
        <x:f>"45009734869"</x:f>
        <x:v>45009734869</x:v>
      </x:c>
      <x:c r="X2576" s="23" t="str">
        <x:v>marcos.alves015@yahoo.com</x:v>
      </x:c>
      <x:c r="Y2576" s="22" t="str">
        <x:f>"11986228965"</x:f>
        <x:v>11986228965</x:v>
      </x:c>
      <x:c r="Z2576" s="30" t="n">
        <x:v>46581</x:v>
      </x:c>
    </x:row>
    <x:row r="2577" ht="18" customHeight="1">
      <x:c r="A2577" s="22" t="str">
        <x:f>"728bde07-e83a-456f-b7db-7469677226eb"</x:f>
        <x:v>728bde07-e83a-456f-b7db-7469677226eb</x:v>
      </x:c>
      <x:c r="B2577" s="23" t="str">
        <x:v>MARCOS ANDRE DA SILVA DELPHIM</x:v>
      </x:c>
      <x:c r="C2577" s="23" t="str">
        <x:v>marcos andre da silva delphim</x:v>
      </x:c>
      <x:c r="D2577" s="22" t="str">
        <x:f>"63.798.379/0001-47"</x:f>
        <x:v>63.798.379/0001-47</x:v>
      </x:c>
      <x:c r="E2577" s="22" t="str">
        <x:f>"63798379000147"</x:f>
        <x:v>63798379000147</x:v>
      </x:c>
      <x:c r="F2577" s="22" t="str">
        <x:f>"168.775.657-03"</x:f>
        <x:v>168.775.657-03</x:v>
      </x:c>
      <x:c r="G2577" s="22" t="str">
        <x:f>"16877565703"</x:f>
        <x:v>16877565703</x:v>
      </x:c>
      <x:c r="H2577" s="23" t="str">
        <x:v>marcostiburciosilva67@gmail.com</x:v>
      </x:c>
      <x:c r="I2577" s="22" t="str">
        <x:f>"21980794854"</x:f>
        <x:v>21980794854</x:v>
      </x:c>
      <x:c r="J2577" s="23" t="str">
        <x:v>SPOT</x:v>
      </x:c>
      <x:c r="K2577" s="23" t="str">
        <x:v>favored_only</x:v>
      </x:c>
      <x:c r="L2577" s="24" t="b">
        <x:v>1</x:v>
      </x:c>
      <x:c r="M2577" s="23" t="n">
        <x:v>2</x:v>
      </x:c>
      <x:c r="N2577" s="28" t="n">
        <x:v>46205.607060891205</x:v>
      </x:c>
      <x:c r="O2577" s="28" t="n">
        <x:v>46219.812988715275</x:v>
      </x:c>
      <x:c r="P2577" s="23" t="str">
        <x:v>CORDOVIL</x:v>
      </x:c>
      <x:c r="Q2577" s="30" t="n">
        <x:v>35665</x:v>
      </x:c>
      <x:c r="R2577" s="22" t="str">
        <x:f>"264093279"</x:f>
        <x:v>264093279</x:v>
      </x:c>
      <x:c r="S2577" s="23" t="str">
        <x:v>masculino</x:v>
      </x:c>
      <x:c r="T2577" s="22" t="str">
        <x:f>"FVN5G97"</x:f>
        <x:v>FVN5G97</x:v>
      </x:c>
      <x:c r="U2577" s="23" t="str">
        <x:v>WENDEL DA SILVA SANTOS</x:v>
      </x:c>
      <x:c r="V2577" s="22" t="str">
        <x:f>"168.775.737-22"</x:f>
        <x:v>168.775.737-22</x:v>
      </x:c>
      <x:c r="W2577" s="22" t="str">
        <x:f>"16877573722"</x:f>
        <x:v>16877573722</x:v>
      </x:c>
      <x:c r="X2577" s="23" t="str">
        <x:v>marcostiburciosilva67@gmail.com</x:v>
      </x:c>
      <x:c r="Y2577" s="22" t="str">
        <x:f>"21980794854"</x:f>
        <x:v>21980794854</x:v>
      </x:c>
      <x:c r="Z2577" s="30" t="n">
        <x:v>46416</x:v>
      </x:c>
    </x:row>
    <x:row r="2578" ht="18" customHeight="1">
      <x:c r="A2578" s="22" t="str">
        <x:f>"5ad1c710-39c5-46fa-b73d-69ec38370b2c"</x:f>
        <x:v>5ad1c710-39c5-46fa-b73d-69ec38370b2c</x:v>
      </x:c>
      <x:c r="B2578" s="23" t="str">
        <x:v>MARCOS ANTONIO APARECIDO DE BRITO</x:v>
      </x:c>
      <x:c r="C2578" s="23" t="str">
        <x:v>marcos antonio aparecido de brito</x:v>
      </x:c>
      <x:c r="D2578" s="22" t="str">
        <x:f>"52.832.036/0001-35"</x:f>
        <x:v>52.832.036/0001-35</x:v>
      </x:c>
      <x:c r="E2578" s="22" t="str">
        <x:f>"52832036000135"</x:f>
        <x:v>52832036000135</x:v>
      </x:c>
      <x:c r="F2578" s="22" t="str">
        <x:f>"392.026.728-14"</x:f>
        <x:v>392.026.728-14</x:v>
      </x:c>
      <x:c r="G2578" s="22" t="str">
        <x:f>"39202672814"</x:f>
        <x:v>39202672814</x:v>
      </x:c>
      <x:c r="H2578" s="23" t="str">
        <x:v>marcosbrito8065@gmail.com</x:v>
      </x:c>
      <x:c r="I2578" s="22" t="str">
        <x:f>"11945295358"</x:f>
        <x:v>11945295358</x:v>
      </x:c>
      <x:c r="J2578" s="23" t="str">
        <x:v>RENTAL</x:v>
      </x:c>
      <x:c r="K2578" s="23" t="str">
        <x:v>rental_company</x:v>
      </x:c>
      <x:c r="L2578" s="24" t="b">
        <x:v>1</x:v>
      </x:c>
      <x:c r="M2578" s="23" t="n">
        <x:v>1</x:v>
      </x:c>
      <x:c r="N2578" s="28" t="n">
        <x:v>46203.9218771875</x:v>
      </x:c>
      <x:c r="O2578" s="28" t="n">
        <x:v>46219.812988715275</x:v>
      </x:c>
      <x:c r="P2578" s="23" t="str">
        <x:v>MADEIRA MADEIRA</x:v>
      </x:c>
      <x:c r="Q2578" s="30" t="n">
        <x:v>33069</x:v>
      </x:c>
      <x:c r="R2578" s="22" t="str">
        <x:f>"46.529.316-5"</x:f>
        <x:v>46.529.316-5</x:v>
      </x:c>
      <x:c r="S2578" s="23" t="str">
        <x:v>masculino</x:v>
      </x:c>
      <x:c r="T2578" s="22" t="str"/>
      <x:c r="U2578" s="23" t="str">
        <x:v>MARCOS ANTONIO APARECIDO DE BRITO</x:v>
      </x:c>
      <x:c r="V2578" s="22" t="str">
        <x:f>"392.026.728-14"</x:f>
        <x:v>392.026.728-14</x:v>
      </x:c>
      <x:c r="W2578" s="22" t="str">
        <x:f>"39202672814"</x:f>
        <x:v>39202672814</x:v>
      </x:c>
      <x:c r="X2578" s="23" t="str">
        <x:v>marcosbrito8065@gmail.com</x:v>
      </x:c>
      <x:c r="Y2578" s="22" t="str">
        <x:f>"11945295358"</x:f>
        <x:v>11945295358</x:v>
      </x:c>
      <x:c r="Z2578" s="30" t="n">
        <x:v>46304</x:v>
      </x:c>
    </x:row>
    <x:row r="2579" ht="18" customHeight="1">
      <x:c r="A2579" s="22" t="str">
        <x:f>"a99e3dab-fe63-4731-a4b9-a72e00c7cc36"</x:f>
        <x:v>a99e3dab-fe63-4731-a4b9-a72e00c7cc36</x:v>
      </x:c>
      <x:c r="B2579" s="23" t="str">
        <x:v>MARCOS ANTONIO BRUNO</x:v>
      </x:c>
      <x:c r="C2579" s="23" t="str">
        <x:v>marcos antonio bruno</x:v>
      </x:c>
      <x:c r="D2579" s="22" t="str">
        <x:f>"51.257.861/0001-90"</x:f>
        <x:v>51.257.861/0001-90</x:v>
      </x:c>
      <x:c r="E2579" s="22" t="str">
        <x:f>"51257861000190"</x:f>
        <x:v>51257861000190</x:v>
      </x:c>
      <x:c r="F2579" s="22" t="str">
        <x:f>"023.054.168-22"</x:f>
        <x:v>023.054.168-22</x:v>
      </x:c>
      <x:c r="G2579" s="22" t="str">
        <x:f>"02305416822"</x:f>
        <x:v>02305416822</x:v>
      </x:c>
      <x:c r="H2579" s="23" t="str">
        <x:v>MARCOSPEQUENO1967@GMAIL.COM</x:v>
      </x:c>
      <x:c r="I2579" s="22" t="str">
        <x:f>"11 94703-3373"</x:f>
        <x:v>11 94703-3373</x:v>
      </x:c>
      <x:c r="J2579" s="23" t="str">
        <x:v>SPOT</x:v>
      </x:c>
      <x:c r="K2579" s="23" t="str">
        <x:v>favored_only</x:v>
      </x:c>
      <x:c r="L2579" s="24" t="b">
        <x:v>1</x:v>
      </x:c>
      <x:c r="M2579" s="23" t="n">
        <x:v>1</x:v>
      </x:c>
      <x:c r="N2579" s="28" t="n">
        <x:v>46219.812988715275</x:v>
      </x:c>
      <x:c r="O2579" s="28" t="n">
        <x:v>46219.812988715275</x:v>
      </x:c>
      <x:c r="P2579" s="23" t="str">
        <x:v>GUAXUPE</x:v>
      </x:c>
      <x:c r="Q2579" s="30" t="n">
        <x:v>24665</x:v>
      </x:c>
      <x:c r="R2579" s="22" t="str">
        <x:f>"15440481"</x:f>
        <x:v>15440481</x:v>
      </x:c>
      <x:c r="S2579" s="23" t="str">
        <x:v>masculino</x:v>
      </x:c>
      <x:c r="T2579" s="22" t="str">
        <x:f>"EZJ1I27"</x:f>
        <x:v>EZJ1I27</x:v>
      </x:c>
      <x:c r="U2579" s="23" t="str">
        <x:v>CAMILLA DAMIANI DA ROCHA</x:v>
      </x:c>
      <x:c r="V2579" s="22" t="str">
        <x:f>"347.387.418-37"</x:f>
        <x:v>347.387.418-37</x:v>
      </x:c>
      <x:c r="W2579" s="22" t="str">
        <x:f>"34738741837"</x:f>
        <x:v>34738741837</x:v>
      </x:c>
      <x:c r="X2579" s="23" t="str">
        <x:v>camilla_clover@hotmail.com</x:v>
      </x:c>
      <x:c r="Y2579" s="22" t="str">
        <x:f>"35 9862-0452"</x:f>
        <x:v>35 9862-0452</x:v>
      </x:c>
      <x:c r="Z2579" s="30" t="n">
        <x:v>46403</x:v>
      </x:c>
    </x:row>
    <x:row r="2580" ht="18" customHeight="1">
      <x:c r="A2580" s="22" t="str">
        <x:f>"509a6ac8-6fda-4c77-8586-dbdb3c8ab351"</x:f>
        <x:v>509a6ac8-6fda-4c77-8586-dbdb3c8ab351</x:v>
      </x:c>
      <x:c r="B2580" s="23" t="str">
        <x:v>MARCOS ANTONIO DE SOUZA FIGUEIRA</x:v>
      </x:c>
      <x:c r="C2580" s="23" t="str">
        <x:v>marcos antonio de souza figueira</x:v>
      </x:c>
      <x:c r="D2580" s="22" t="str">
        <x:f>"46.837.677/0001-80"</x:f>
        <x:v>46.837.677/0001-80</x:v>
      </x:c>
      <x:c r="E2580" s="22" t="str">
        <x:f>"46837677000180"</x:f>
        <x:v>46837677000180</x:v>
      </x:c>
      <x:c r="F2580" s="22" t="str">
        <x:f>"061.234.791-56"</x:f>
        <x:v>061.234.791-56</x:v>
      </x:c>
      <x:c r="G2580" s="22" t="str">
        <x:f>"06123479156"</x:f>
        <x:v>06123479156</x:v>
      </x:c>
      <x:c r="H2580" s="23" t="str">
        <x:v>marcos_ho10@hotmail.com</x:v>
      </x:c>
      <x:c r="I2580" s="22" t="str">
        <x:f>"+55 65 9947-9390"</x:f>
        <x:v>+55 65 9947-9390</x:v>
      </x:c>
      <x:c r="J2580" s="23" t="str">
        <x:v>SPOT</x:v>
      </x:c>
      <x:c r="K2580" s="23" t="str">
        <x:v>favored_only</x:v>
      </x:c>
      <x:c r="L2580" s="24" t="b">
        <x:v>1</x:v>
      </x:c>
      <x:c r="M2580" s="23" t="n">
        <x:v>1</x:v>
      </x:c>
      <x:c r="N2580" s="28" t="n">
        <x:v>46205.60408869213</x:v>
      </x:c>
      <x:c r="O2580" s="28" t="n">
        <x:v>46219.812988715275</x:v>
      </x:c>
      <x:c r="P2580" s="23" t="str">
        <x:v>PONTES E LACERDA</x:v>
      </x:c>
      <x:c r="Q2580" s="30" t="n">
        <x:v>35906</x:v>
      </x:c>
      <x:c r="R2580" s="22" t="str">
        <x:f>"26743710"</x:f>
        <x:v>26743710</x:v>
      </x:c>
      <x:c r="S2580" s="23" t="str">
        <x:v>masculino</x:v>
      </x:c>
      <x:c r="T2580" s="22" t="str">
        <x:f>"QBK3869"</x:f>
        <x:v>QBK3869</x:v>
      </x:c>
      <x:c r="U2580" s="23" t="str">
        <x:v>JOANA VANESSA SILVA OLIVEIRA</x:v>
      </x:c>
      <x:c r="V2580" s="22" t="str">
        <x:f>"054.051.703-80"</x:f>
        <x:v>054.051.703-80</x:v>
      </x:c>
      <x:c r="W2580" s="22" t="str">
        <x:f>"05405170380"</x:f>
        <x:v>05405170380</x:v>
      </x:c>
      <x:c r="X2580" s="23" t="str">
        <x:v>Joanavsoliveiraa@gmail.com</x:v>
      </x:c>
      <x:c r="Y2580" s="22" t="str">
        <x:f>"+55 98 8570-5576"</x:f>
        <x:v>+55 98 8570-5576</x:v>
      </x:c>
      <x:c r="Z2580" s="30" t="n">
        <x:v>46256</x:v>
      </x:c>
    </x:row>
    <x:row r="2581" ht="18" customHeight="1">
      <x:c r="A2581" s="22" t="str">
        <x:f>"63521fc1-9fa0-4227-96c4-c9cfeed8ba8f"</x:f>
        <x:v>63521fc1-9fa0-4227-96c4-c9cfeed8ba8f</x:v>
      </x:c>
      <x:c r="B2581" s="23" t="str">
        <x:v>MARCOS ANTONIO GONCALVES SILVA</x:v>
      </x:c>
      <x:c r="C2581" s="23" t="str">
        <x:v>marcos antonio goncalves silva</x:v>
      </x:c>
      <x:c r="D2581" s="22" t="str">
        <x:f>"53.020.526/0001-08"</x:f>
        <x:v>53.020.526/0001-08</x:v>
      </x:c>
      <x:c r="E2581" s="22" t="str">
        <x:f>"53020526000108"</x:f>
        <x:v>53020526000108</x:v>
      </x:c>
      <x:c r="F2581" s="22" t="str">
        <x:f>"095.197.846-24"</x:f>
        <x:v>095.197.846-24</x:v>
      </x:c>
      <x:c r="G2581" s="22" t="str">
        <x:f>"09519784624"</x:f>
        <x:v>09519784624</x:v>
      </x:c>
      <x:c r="H2581" s="23" t="str">
        <x:v>marcostr367@gmail.com</x:v>
      </x:c>
      <x:c r="I2581" s="22" t="str">
        <x:f>"31 98107-4289"</x:f>
        <x:v>31 98107-4289</x:v>
      </x:c>
      <x:c r="J2581" s="23" t="str">
        <x:v>SPOT</x:v>
      </x:c>
      <x:c r="K2581" s="23" t="str">
        <x:v>favored_only</x:v>
      </x:c>
      <x:c r="L2581" s="24" t="b">
        <x:v>1</x:v>
      </x:c>
      <x:c r="M2581" s="23" t="n">
        <x:v>1</x:v>
      </x:c>
      <x:c r="N2581" s="28" t="n">
        <x:v>46219.812988715275</x:v>
      </x:c>
      <x:c r="O2581" s="28" t="n">
        <x:v>46219.812988715275</x:v>
      </x:c>
      <x:c r="P2581" s="23" t="str">
        <x:v>CONTAGEM</x:v>
      </x:c>
      <x:c r="Q2581" s="30" t="n">
        <x:v>33600</x:v>
      </x:c>
      <x:c r="R2581" s="22" t="str">
        <x:f>"15587085"</x:f>
        <x:v>15587085</x:v>
      </x:c>
      <x:c r="S2581" s="23" t="str">
        <x:v>masculino</x:v>
      </x:c>
      <x:c r="T2581" s="22" t="str">
        <x:f>"HLQ8I34"</x:f>
        <x:v>HLQ8I34</x:v>
      </x:c>
      <x:c r="U2581" s="23" t="str">
        <x:v>MARCOS ANTONIO GONCALVES SILVA</x:v>
      </x:c>
      <x:c r="V2581" s="22" t="str">
        <x:f>"095.197.846-24"</x:f>
        <x:v>095.197.846-24</x:v>
      </x:c>
      <x:c r="W2581" s="22" t="str">
        <x:f>"09519784624"</x:f>
        <x:v>09519784624</x:v>
      </x:c>
      <x:c r="X2581" s="23" t="str">
        <x:v>marcostr367@gmail.com</x:v>
      </x:c>
      <x:c r="Y2581" s="22" t="str">
        <x:f>"31 98107-4289"</x:f>
        <x:v>31 98107-4289</x:v>
      </x:c>
      <x:c r="Z2581" s="30" t="n">
        <x:v>46568</x:v>
      </x:c>
    </x:row>
    <x:row r="2582" ht="18" customHeight="1">
      <x:c r="A2582" s="22" t="str">
        <x:f>"54551d84-d1c5-4cde-8d45-95ff9c7a4d60"</x:f>
        <x:v>54551d84-d1c5-4cde-8d45-95ff9c7a4d60</x:v>
      </x:c>
      <x:c r="B2582" s="23" t="str">
        <x:v>MARCOS ANTONIO LISBOA</x:v>
      </x:c>
      <x:c r="C2582" s="23" t="str">
        <x:v>marcos antonio lisboa</x:v>
      </x:c>
      <x:c r="D2582" s="22" t="str">
        <x:f>"66.641.335/0001-05"</x:f>
        <x:v>66.641.335/0001-05</x:v>
      </x:c>
      <x:c r="E2582" s="22" t="str">
        <x:f>"66641335000105"</x:f>
        <x:v>66641335000105</x:v>
      </x:c>
      <x:c r="F2582" s="22" t="str">
        <x:f>"020.014.376-09"</x:f>
        <x:v>020.014.376-09</x:v>
      </x:c>
      <x:c r="G2582" s="22" t="str">
        <x:f>"02001437609"</x:f>
        <x:v>02001437609</x:v>
      </x:c>
      <x:c r="H2582" s="23" t="str">
        <x:v>marcos1997lisboa@gmail.com</x:v>
      </x:c>
      <x:c r="I2582" s="22" t="str">
        <x:f>"31999449614"</x:f>
        <x:v>31999449614</x:v>
      </x:c>
      <x:c r="J2582" s="23" t="str">
        <x:v>SPOT</x:v>
      </x:c>
      <x:c r="K2582" s="23" t="str">
        <x:v>favored_only</x:v>
      </x:c>
      <x:c r="L2582" s="24" t="b">
        <x:v>1</x:v>
      </x:c>
      <x:c r="M2582" s="23" t="n">
        <x:v>1</x:v>
      </x:c>
      <x:c r="N2582" s="28" t="n">
        <x:v>46219.812988715275</x:v>
      </x:c>
      <x:c r="O2582" s="28" t="n">
        <x:v>46219.812988715275</x:v>
      </x:c>
      <x:c r="P2582" s="23" t="str">
        <x:v>NOVA LIMA</x:v>
      </x:c>
      <x:c r="Q2582" s="30" t="n">
        <x:v>35475</x:v>
      </x:c>
      <x:c r="R2582" s="22" t="str">
        <x:f>"19941109"</x:f>
        <x:v>19941109</x:v>
      </x:c>
      <x:c r="S2582" s="23" t="str">
        <x:v>masculino</x:v>
      </x:c>
      <x:c r="T2582" s="22" t="str">
        <x:f>"HNO1993"</x:f>
        <x:v>HNO1993</x:v>
      </x:c>
      <x:c r="U2582" s="23" t="str">
        <x:v>MARCOS ANTONIO LISBOA</x:v>
      </x:c>
      <x:c r="V2582" s="22" t="str">
        <x:f>"66641335000105"</x:f>
        <x:v>66641335000105</x:v>
      </x:c>
      <x:c r="W2582" s="22" t="str">
        <x:f>"66641335000105"</x:f>
        <x:v>66641335000105</x:v>
      </x:c>
      <x:c r="X2582" s="23" t="str">
        <x:v>marcos1997lisboa@gmail.com</x:v>
      </x:c>
      <x:c r="Y2582" s="22" t="str">
        <x:f>"31999449614"</x:f>
        <x:v>31999449614</x:v>
      </x:c>
      <x:c r="Z2582" s="30" t="n">
        <x:v>46555</x:v>
      </x:c>
    </x:row>
    <x:row r="2583" ht="18" customHeight="1">
      <x:c r="A2583" s="22" t="str">
        <x:f>"34ff5536-16b5-4b18-af2b-32aa5f4beab4"</x:f>
        <x:v>34ff5536-16b5-4b18-af2b-32aa5f4beab4</x:v>
      </x:c>
      <x:c r="B2583" s="23" t="str">
        <x:v>Marcos Antonio Moreira Pereira</x:v>
      </x:c>
      <x:c r="C2583" s="23" t="str">
        <x:v>marcos antonio moreira pereira</x:v>
      </x:c>
      <x:c r="D2583" s="22" t="str">
        <x:f>"49.319.896/0001-65"</x:f>
        <x:v>49.319.896/0001-65</x:v>
      </x:c>
      <x:c r="E2583" s="22" t="str">
        <x:f>"49319896000165"</x:f>
        <x:v>49319896000165</x:v>
      </x:c>
      <x:c r="F2583" s="22" t="str">
        <x:f>"052.585.416-24"</x:f>
        <x:v>052.585.416-24</x:v>
      </x:c>
      <x:c r="G2583" s="22" t="str">
        <x:f>"05258541624"</x:f>
        <x:v>05258541624</x:v>
      </x:c>
      <x:c r="H2583" s="23" t="str">
        <x:v>vg051139@gmail.com</x:v>
      </x:c>
      <x:c r="I2583" s="22" t="str">
        <x:f>"(33) 99991-1296"</x:f>
        <x:v>(33) 99991-1296</x:v>
      </x:c>
      <x:c r="J2583" s="23" t="str">
        <x:v>SPOT</x:v>
      </x:c>
      <x:c r="K2583" s="23" t="str">
        <x:v>favored_only</x:v>
      </x:c>
      <x:c r="L2583" s="24" t="b">
        <x:v>1</x:v>
      </x:c>
      <x:c r="M2583" s="23" t="n">
        <x:v>1</x:v>
      </x:c>
      <x:c r="N2583" s="28" t="n">
        <x:v>46203.92186888889</x:v>
      </x:c>
      <x:c r="O2583" s="28" t="n">
        <x:v>46203.92186888889</x:v>
      </x:c>
      <x:c r="P2583" s="23" t="str"/>
      <x:c r="Q2583" s="30" t="str"/>
      <x:c r="R2583" s="22" t="str"/>
      <x:c r="S2583" s="23" t="str"/>
      <x:c r="T2583" s="22" t="str"/>
      <x:c r="U2583" s="23" t="str">
        <x:v>Marcos Antonio Moreira Pereira</x:v>
      </x:c>
      <x:c r="V2583" s="22" t="str">
        <x:f>"052.585.416-24"</x:f>
        <x:v>052.585.416-24</x:v>
      </x:c>
      <x:c r="W2583" s="22" t="str">
        <x:f>"05258541624"</x:f>
        <x:v>05258541624</x:v>
      </x:c>
      <x:c r="X2583" s="23" t="str">
        <x:v>vg051139@gmail.com</x:v>
      </x:c>
      <x:c r="Y2583" s="22" t="str">
        <x:f>"(33) 99991-1296"</x:f>
        <x:v>(33) 99991-1296</x:v>
      </x:c>
      <x:c r="Z2583" s="30" t="str"/>
    </x:row>
    <x:row r="2584" ht="18" customHeight="1">
      <x:c r="A2584" s="22" t="str">
        <x:f>"d3bf8c65-063a-408c-ac78-4594c42dedd3"</x:f>
        <x:v>d3bf8c65-063a-408c-ac78-4594c42dedd3</x:v>
      </x:c>
      <x:c r="B2584" s="23" t="str">
        <x:v>MARCOS AURELIO DE OLIVEIRA PINTO</x:v>
      </x:c>
      <x:c r="C2584" s="23" t="str">
        <x:v>marcos aurelio de oliveira pinto</x:v>
      </x:c>
      <x:c r="D2584" s="22" t="str">
        <x:f>"67.251.535/0001-06"</x:f>
        <x:v>67.251.535/0001-06</x:v>
      </x:c>
      <x:c r="E2584" s="22" t="str">
        <x:f>"67251535000106"</x:f>
        <x:v>67251535000106</x:v>
      </x:c>
      <x:c r="F2584" s="22" t="str">
        <x:f>"100.716.406-90"</x:f>
        <x:v>100.716.406-90</x:v>
      </x:c>
      <x:c r="G2584" s="22" t="str">
        <x:f>"10071640690"</x:f>
        <x:v>10071640690</x:v>
      </x:c>
      <x:c r="H2584" s="23" t="str">
        <x:v>marcosaureliopintod@gmail.com</x:v>
      </x:c>
      <x:c r="I2584" s="22" t="str">
        <x:f>"33998442083"</x:f>
        <x:v>33998442083</x:v>
      </x:c>
      <x:c r="J2584" s="23" t="str">
        <x:v>RENTAL</x:v>
      </x:c>
      <x:c r="K2584" s="23" t="str">
        <x:v>rental_company</x:v>
      </x:c>
      <x:c r="L2584" s="24" t="b">
        <x:v>1</x:v>
      </x:c>
      <x:c r="M2584" s="23" t="n">
        <x:v>1</x:v>
      </x:c>
      <x:c r="N2584" s="28" t="n">
        <x:v>46219.812988715275</x:v>
      </x:c>
      <x:c r="O2584" s="28" t="n">
        <x:v>46219.812988715275</x:v>
      </x:c>
      <x:c r="P2584" s="23" t="str">
        <x:v>TEOFILO OTONI</x:v>
      </x:c>
      <x:c r="Q2584" s="30" t="n">
        <x:v>32705</x:v>
      </x:c>
      <x:c r="R2584" s="22" t="str">
        <x:f>"16640130"</x:f>
        <x:v>16640130</x:v>
      </x:c>
      <x:c r="S2584" s="23" t="str">
        <x:v>masculino</x:v>
      </x:c>
      <x:c r="T2584" s="22" t="str"/>
      <x:c r="U2584" s="23" t="str">
        <x:v>MARCOS AURELIO DE OLIVEIRA PINTO</x:v>
      </x:c>
      <x:c r="V2584" s="22" t="str">
        <x:f>"100.716.406-90"</x:f>
        <x:v>100.716.406-90</x:v>
      </x:c>
      <x:c r="W2584" s="22" t="str">
        <x:f>"10071640690"</x:f>
        <x:v>10071640690</x:v>
      </x:c>
      <x:c r="X2584" s="23" t="str">
        <x:v>marcosaureliopintod@gmail.com</x:v>
      </x:c>
      <x:c r="Y2584" s="22" t="str">
        <x:f>"33998442083"</x:f>
        <x:v>33998442083</x:v>
      </x:c>
      <x:c r="Z2584" s="30" t="n">
        <x:v>46548</x:v>
      </x:c>
    </x:row>
    <x:row r="2585" ht="18" customHeight="1">
      <x:c r="A2585" s="22" t="str">
        <x:f>"014255d2-b5c6-44cb-874e-801d6d91d42a"</x:f>
        <x:v>014255d2-b5c6-44cb-874e-801d6d91d42a</x:v>
      </x:c>
      <x:c r="B2585" s="23" t="str">
        <x:v>MARCOS CLAUDIO MACHADO BRITO</x:v>
      </x:c>
      <x:c r="C2585" s="23" t="str">
        <x:v>marcos claudio machado brito</x:v>
      </x:c>
      <x:c r="D2585" s="22" t="str">
        <x:f>"67.566.456/0001-94"</x:f>
        <x:v>67.566.456/0001-94</x:v>
      </x:c>
      <x:c r="E2585" s="22" t="str">
        <x:f>"67566456000194"</x:f>
        <x:v>67566456000194</x:v>
      </x:c>
      <x:c r="F2585" s="22" t="str">
        <x:f>"892.579.796-87"</x:f>
        <x:v>892.579.796-87</x:v>
      </x:c>
      <x:c r="G2585" s="22" t="str">
        <x:f>"89257979687"</x:f>
        <x:v>89257979687</x:v>
      </x:c>
      <x:c r="H2585" s="23" t="str">
        <x:v>marcosclaudiomb@hotmail.com</x:v>
      </x:c>
      <x:c r="I2585" s="22" t="str">
        <x:f>"(33) 99813-4605"</x:f>
        <x:v>(33) 99813-4605</x:v>
      </x:c>
      <x:c r="J2585" s="23" t="str">
        <x:v>SPOT</x:v>
      </x:c>
      <x:c r="K2585" s="23" t="str">
        <x:v>favored_only</x:v>
      </x:c>
      <x:c r="L2585" s="24" t="b">
        <x:v>1</x:v>
      </x:c>
      <x:c r="M2585" s="23" t="n">
        <x:v>1</x:v>
      </x:c>
      <x:c r="N2585" s="28" t="n">
        <x:v>46219.812988715275</x:v>
      </x:c>
      <x:c r="O2585" s="28" t="n">
        <x:v>46219.812988715275</x:v>
      </x:c>
      <x:c r="P2585" s="23" t="str">
        <x:v>GUANHAES</x:v>
      </x:c>
      <x:c r="Q2585" s="30" t="n">
        <x:v>27308</x:v>
      </x:c>
      <x:c r="R2585" s="22" t="str">
        <x:f>"6483149"</x:f>
        <x:v>6483149</x:v>
      </x:c>
      <x:c r="S2585" s="23" t="str">
        <x:v>masculino</x:v>
      </x:c>
      <x:c r="T2585" s="22" t="str">
        <x:f>"ows0c77"</x:f>
        <x:v>ows0c77</x:v>
      </x:c>
      <x:c r="U2585" s="23" t="str">
        <x:v>MARCOS CLAUDIO MACHADO DE BRITO</x:v>
      </x:c>
      <x:c r="V2585" s="22" t="str">
        <x:f>"892.579.796-87"</x:f>
        <x:v>892.579.796-87</x:v>
      </x:c>
      <x:c r="W2585" s="22" t="str">
        <x:f>"89257979687"</x:f>
        <x:v>89257979687</x:v>
      </x:c>
      <x:c r="X2585" s="23" t="str">
        <x:v>marcosclaudiomb@hotmail.com</x:v>
      </x:c>
      <x:c r="Y2585" s="22" t="str">
        <x:f>"(33) 99813-4605"</x:f>
        <x:v>(33) 99813-4605</x:v>
      </x:c>
      <x:c r="Z2585" s="30" t="n">
        <x:v>46558</x:v>
      </x:c>
    </x:row>
    <x:row r="2586" ht="18" customHeight="1">
      <x:c r="A2586" s="22" t="str">
        <x:f>"94bb9e0d-bd0b-46e8-b6bb-7ed849b4666c"</x:f>
        <x:v>94bb9e0d-bd0b-46e8-b6bb-7ed849b4666c</x:v>
      </x:c>
      <x:c r="B2586" s="23" t="str">
        <x:v>MARCOS CLAUDIO MACHADO DE BRITO</x:v>
      </x:c>
      <x:c r="C2586" s="23" t="str">
        <x:v>marcos claudio machado de brito</x:v>
      </x:c>
      <x:c r="D2586" s="22" t="str">
        <x:f>"51.664.376/0001-31"</x:f>
        <x:v>51.664.376/0001-31</x:v>
      </x:c>
      <x:c r="E2586" s="22" t="str">
        <x:f>"51664376000131"</x:f>
        <x:v>51664376000131</x:v>
      </x:c>
      <x:c r="F2586" s="22" t="str">
        <x:f>"892.579.796-87"</x:f>
        <x:v>892.579.796-87</x:v>
      </x:c>
      <x:c r="G2586" s="22" t="str">
        <x:f>"89257979687"</x:f>
        <x:v>89257979687</x:v>
      </x:c>
      <x:c r="H2586" s="23" t="str">
        <x:v>marcosclaudiomb@hotmail.com</x:v>
      </x:c>
      <x:c r="I2586" s="22" t="str">
        <x:f>"(33) 99813-4605"</x:f>
        <x:v>(33) 99813-4605</x:v>
      </x:c>
      <x:c r="J2586" s="23" t="str">
        <x:v>SPOT</x:v>
      </x:c>
      <x:c r="K2586" s="23" t="str">
        <x:v>favored_only</x:v>
      </x:c>
      <x:c r="L2586" s="24" t="b">
        <x:v>1</x:v>
      </x:c>
      <x:c r="M2586" s="23" t="n">
        <x:v>1</x:v>
      </x:c>
      <x:c r="N2586" s="28" t="n">
        <x:v>46203.921824756944</x:v>
      </x:c>
      <x:c r="O2586" s="28" t="n">
        <x:v>46219.812988715275</x:v>
      </x:c>
      <x:c r="P2586" s="23" t="str">
        <x:v>GUANHAES</x:v>
      </x:c>
      <x:c r="Q2586" s="30" t="n">
        <x:v>27308</x:v>
      </x:c>
      <x:c r="R2586" s="22" t="str">
        <x:f>"6483149"</x:f>
        <x:v>6483149</x:v>
      </x:c>
      <x:c r="S2586" s="23" t="str">
        <x:v>masculino</x:v>
      </x:c>
      <x:c r="T2586" s="22" t="str"/>
      <x:c r="U2586" s="23" t="str">
        <x:v>MARCOS CLAUDIO MACHADO DE BRITO</x:v>
      </x:c>
      <x:c r="V2586" s="22" t="str">
        <x:f>"892.579.796-87"</x:f>
        <x:v>892.579.796-87</x:v>
      </x:c>
      <x:c r="W2586" s="22" t="str">
        <x:f>"89257979687"</x:f>
        <x:v>89257979687</x:v>
      </x:c>
      <x:c r="X2586" s="23" t="str">
        <x:v>marcosclaudiomb@hotmail.com</x:v>
      </x:c>
      <x:c r="Y2586" s="22" t="str">
        <x:f>"(33) 99813-4605"</x:f>
        <x:v>(33) 99813-4605</x:v>
      </x:c>
      <x:c r="Z2586" s="30" t="n">
        <x:v>46224</x:v>
      </x:c>
    </x:row>
    <x:row r="2587" ht="18" customHeight="1">
      <x:c r="A2587" s="22" t="str">
        <x:f>"319c8f9c-8e48-4b46-8910-1accc7756ab2"</x:f>
        <x:v>319c8f9c-8e48-4b46-8910-1accc7756ab2</x:v>
      </x:c>
      <x:c r="B2587" s="23" t="str">
        <x:v>MARCOS DANIEL PISSE</x:v>
      </x:c>
      <x:c r="C2587" s="23" t="str">
        <x:v>marcos daniel pisse</x:v>
      </x:c>
      <x:c r="D2587" s="22" t="str">
        <x:f>"64.462.098/0001-81"</x:f>
        <x:v>64.462.098/0001-81</x:v>
      </x:c>
      <x:c r="E2587" s="22" t="str">
        <x:f>"64462098000181"</x:f>
        <x:v>64462098000181</x:v>
      </x:c>
      <x:c r="F2587" s="22" t="str">
        <x:f>"075.383.376-01"</x:f>
        <x:v>075.383.376-01</x:v>
      </x:c>
      <x:c r="G2587" s="22" t="str">
        <x:f>"07538337601"</x:f>
        <x:v>07538337601</x:v>
      </x:c>
      <x:c r="H2587" s="23" t="str">
        <x:v>marcospisse2305@gmail.com</x:v>
      </x:c>
      <x:c r="I2587" s="22" t="str">
        <x:f>"35 99800-7560"</x:f>
        <x:v>35 99800-7560</x:v>
      </x:c>
      <x:c r="J2587" s="23" t="str">
        <x:v>SPOT</x:v>
      </x:c>
      <x:c r="K2587" s="23" t="str">
        <x:v>favored_only</x:v>
      </x:c>
      <x:c r="L2587" s="24" t="b">
        <x:v>1</x:v>
      </x:c>
      <x:c r="M2587" s="23" t="n">
        <x:v>1</x:v>
      </x:c>
      <x:c r="N2587" s="28" t="n">
        <x:v>46203.92191240741</x:v>
      </x:c>
      <x:c r="O2587" s="28" t="n">
        <x:v>46219.812988715275</x:v>
      </x:c>
      <x:c r="P2587" s="23" t="str">
        <x:v>POCOS DE CALDAS</x:v>
      </x:c>
      <x:c r="Q2587" s="30" t="n">
        <x:v>31190</x:v>
      </x:c>
      <x:c r="R2587" s="22" t="str">
        <x:f>"13871035"</x:f>
        <x:v>13871035</x:v>
      </x:c>
      <x:c r="S2587" s="23" t="str">
        <x:v>masculino</x:v>
      </x:c>
      <x:c r="T2587" s="22" t="str">
        <x:f>"EMA4D70"</x:f>
        <x:v>EMA4D70</x:v>
      </x:c>
      <x:c r="U2587" s="23" t="str">
        <x:v>MARCOS DANIEL PISSE</x:v>
      </x:c>
      <x:c r="V2587" s="22" t="str">
        <x:f>"075.383.376-01"</x:f>
        <x:v>075.383.376-01</x:v>
      </x:c>
      <x:c r="W2587" s="22" t="str">
        <x:f>"07538337601"</x:f>
        <x:v>07538337601</x:v>
      </x:c>
      <x:c r="X2587" s="23" t="str">
        <x:v>marcospisse2305@gmail.com</x:v>
      </x:c>
      <x:c r="Y2587" s="22" t="str">
        <x:f>"35 99800-7560"</x:f>
        <x:v>35 99800-7560</x:v>
      </x:c>
      <x:c r="Z2587" s="30" t="n">
        <x:v>46401</x:v>
      </x:c>
    </x:row>
    <x:row r="2588" ht="18" customHeight="1">
      <x:c r="A2588" s="22" t="str">
        <x:f>"ed546fcf-0bc7-4a11-8112-474a7c5bd5be"</x:f>
        <x:v>ed546fcf-0bc7-4a11-8112-474a7c5bd5be</x:v>
      </x:c>
      <x:c r="B2588" s="23" t="str">
        <x:v>MARCOS DANIEL PISSE</x:v>
      </x:c>
      <x:c r="C2588" s="23" t="str">
        <x:v>marcos daniel pisse</x:v>
      </x:c>
      <x:c r="D2588" s="22" t="str">
        <x:f>"53.278.127/0001-23"</x:f>
        <x:v>53.278.127/0001-23</x:v>
      </x:c>
      <x:c r="E2588" s="22" t="str">
        <x:f>"53278127000123"</x:f>
        <x:v>53278127000123</x:v>
      </x:c>
      <x:c r="F2588" s="22" t="str">
        <x:f>"075.383.376-01"</x:f>
        <x:v>075.383.376-01</x:v>
      </x:c>
      <x:c r="G2588" s="22" t="str">
        <x:f>"07538337601"</x:f>
        <x:v>07538337601</x:v>
      </x:c>
      <x:c r="H2588" s="23" t="str">
        <x:v>marcospisse2305@gmail.com</x:v>
      </x:c>
      <x:c r="I2588" s="22" t="str">
        <x:f>"35 998007560"</x:f>
        <x:v>35 998007560</x:v>
      </x:c>
      <x:c r="J2588" s="23" t="str">
        <x:v>SPOT</x:v>
      </x:c>
      <x:c r="K2588" s="23" t="str">
        <x:v>favored_only</x:v>
      </x:c>
      <x:c r="L2588" s="24" t="b">
        <x:v>1</x:v>
      </x:c>
      <x:c r="M2588" s="23" t="n">
        <x:v>1</x:v>
      </x:c>
      <x:c r="N2588" s="28" t="n">
        <x:v>46205.60599930555</x:v>
      </x:c>
      <x:c r="O2588" s="28" t="n">
        <x:v>46219.812988715275</x:v>
      </x:c>
      <x:c r="P2588" s="23" t="str">
        <x:v>POCOS DE CALDAS</x:v>
      </x:c>
      <x:c r="Q2588" s="30" t="n">
        <x:v>31190</x:v>
      </x:c>
      <x:c r="R2588" s="22" t="str">
        <x:f>"13871035"</x:f>
        <x:v>13871035</x:v>
      </x:c>
      <x:c r="S2588" s="23" t="str">
        <x:v>masculino</x:v>
      </x:c>
      <x:c r="T2588" s="22" t="str">
        <x:f>"EMA4D70"</x:f>
        <x:v>EMA4D70</x:v>
      </x:c>
      <x:c r="U2588" s="23" t="str">
        <x:v>THAIS FERREIRA DE CARVALHO</x:v>
      </x:c>
      <x:c r="V2588" s="22" t="str">
        <x:f>"131.096.556-08"</x:f>
        <x:v>131.096.556-08</x:v>
      </x:c>
      <x:c r="W2588" s="22" t="str">
        <x:f>"13109655608"</x:f>
        <x:v>13109655608</x:v>
      </x:c>
      <x:c r="X2588" s="23" t="str">
        <x:v>thaafcarvalho@gmail.com</x:v>
      </x:c>
      <x:c r="Y2588" s="22" t="str">
        <x:f>"35992369383"</x:f>
        <x:v>35992369383</x:v>
      </x:c>
      <x:c r="Z2588" s="30" t="n">
        <x:v>46339</x:v>
      </x:c>
    </x:row>
    <x:row r="2589" ht="18" customHeight="1">
      <x:c r="A2589" s="22" t="str">
        <x:f>"d07e7c0d-8efd-41a3-be3f-56b174e10017"</x:f>
        <x:v>d07e7c0d-8efd-41a3-be3f-56b174e10017</x:v>
      </x:c>
      <x:c r="B2589" s="23" t="str">
        <x:v>MARCOS DOS SANTOS SILVA</x:v>
      </x:c>
      <x:c r="C2589" s="23" t="str">
        <x:v>marcos dos santos silva</x:v>
      </x:c>
      <x:c r="D2589" s="22" t="str">
        <x:f>"66.763.742/0001-87"</x:f>
        <x:v>66.763.742/0001-87</x:v>
      </x:c>
      <x:c r="E2589" s="22" t="str">
        <x:f>"66763742000187"</x:f>
        <x:v>66763742000187</x:v>
      </x:c>
      <x:c r="F2589" s="22" t="str">
        <x:f>"071.233.936-19"</x:f>
        <x:v>071.233.936-19</x:v>
      </x:c>
      <x:c r="G2589" s="22" t="str">
        <x:f>"07123393619"</x:f>
        <x:v>07123393619</x:v>
      </x:c>
      <x:c r="H2589" s="23" t="str">
        <x:v>marcosssilva03@yahoo.com.br</x:v>
      </x:c>
      <x:c r="I2589" s="22" t="str">
        <x:f>"34991569287"</x:f>
        <x:v>34991569287</x:v>
      </x:c>
      <x:c r="J2589" s="23" t="str">
        <x:v>RENTAL</x:v>
      </x:c>
      <x:c r="K2589" s="23" t="str">
        <x:v>rental_company</x:v>
      </x:c>
      <x:c r="L2589" s="24" t="b">
        <x:v>1</x:v>
      </x:c>
      <x:c r="M2589" s="23" t="n">
        <x:v>1</x:v>
      </x:c>
      <x:c r="N2589" s="28" t="n">
        <x:v>46219.812988715275</x:v>
      </x:c>
      <x:c r="O2589" s="28" t="n">
        <x:v>46219.812988715275</x:v>
      </x:c>
      <x:c r="P2589" s="23" t="str">
        <x:v>UBERLANDIA</x:v>
      </x:c>
      <x:c r="Q2589" s="30" t="n">
        <x:v>30958</x:v>
      </x:c>
      <x:c r="R2589" s="22" t="str">
        <x:f>"MG14795352 SSP MG"</x:f>
        <x:v>MG14795352 SSP MG</x:v>
      </x:c>
      <x:c r="S2589" s="23" t="str">
        <x:v>masculino</x:v>
      </x:c>
      <x:c r="T2589" s="22" t="str"/>
      <x:c r="U2589" s="23" t="str">
        <x:v>MARCOS DOS SANTOS SILVA</x:v>
      </x:c>
      <x:c r="V2589" s="22" t="str">
        <x:f>"071.233.936-19"</x:f>
        <x:v>071.233.936-19</x:v>
      </x:c>
      <x:c r="W2589" s="22" t="str">
        <x:f>"07123393619"</x:f>
        <x:v>07123393619</x:v>
      </x:c>
      <x:c r="X2589" s="23" t="str">
        <x:v>marcosssilva03@yahoo.com.br</x:v>
      </x:c>
      <x:c r="Y2589" s="22" t="str">
        <x:f>"34 991569287"</x:f>
        <x:v>34 991569287</x:v>
      </x:c>
      <x:c r="Z2589" s="30" t="n">
        <x:v>46521</x:v>
      </x:c>
    </x:row>
    <x:row r="2590" ht="18" customHeight="1">
      <x:c r="A2590" s="22" t="str">
        <x:f>"0b5397f9-e77f-47f9-8fb9-6e2120f9011b"</x:f>
        <x:v>0b5397f9-e77f-47f9-8fb9-6e2120f9011b</x:v>
      </x:c>
      <x:c r="B2590" s="23" t="str">
        <x:v>MARCOS EDUARDO DE ARAUJO</x:v>
      </x:c>
      <x:c r="C2590" s="23" t="str">
        <x:v>marcos eduardo de araujo</x:v>
      </x:c>
      <x:c r="D2590" s="22" t="str">
        <x:f>"61.838.957/0001-04"</x:f>
        <x:v>61.838.957/0001-04</x:v>
      </x:c>
      <x:c r="E2590" s="22" t="str">
        <x:f>"61838957000104"</x:f>
        <x:v>61838957000104</x:v>
      </x:c>
      <x:c r="F2590" s="22" t="str">
        <x:f>"432.366.098-77"</x:f>
        <x:v>432.366.098-77</x:v>
      </x:c>
      <x:c r="G2590" s="22" t="str">
        <x:f>"43236609877"</x:f>
        <x:v>43236609877</x:v>
      </x:c>
      <x:c r="H2590" s="23" t="str">
        <x:v>marcoseduardoaraujo4@gmail.com</x:v>
      </x:c>
      <x:c r="I2590" s="22" t="str">
        <x:f>"17988101618"</x:f>
        <x:v>17988101618</x:v>
      </x:c>
      <x:c r="J2590" s="23" t="str">
        <x:v>RENTAL</x:v>
      </x:c>
      <x:c r="K2590" s="23" t="str">
        <x:v>rental_company</x:v>
      </x:c>
      <x:c r="L2590" s="24" t="b">
        <x:v>1</x:v>
      </x:c>
      <x:c r="M2590" s="23" t="n">
        <x:v>1</x:v>
      </x:c>
      <x:c r="N2590" s="28" t="n">
        <x:v>46203.921840393516</x:v>
      </x:c>
      <x:c r="O2590" s="28" t="n">
        <x:v>46205.605053101855</x:v>
      </x:c>
      <x:c r="P2590" s="23" t="str">
        <x:v>BARRETOS</x:v>
      </x:c>
      <x:c r="Q2590" s="30" t="n">
        <x:v>34930</x:v>
      </x:c>
      <x:c r="R2590" s="22" t="str">
        <x:f>"445273288"</x:f>
        <x:v>445273288</x:v>
      </x:c>
      <x:c r="S2590" s="23" t="str">
        <x:v>Masculino</x:v>
      </x:c>
      <x:c r="T2590" s="22" t="str"/>
      <x:c r="U2590" s="23" t="str">
        <x:v>MARCOS EDUARDO DE ARAUJO</x:v>
      </x:c>
      <x:c r="V2590" s="22" t="str">
        <x:f>"432.366.098-77"</x:f>
        <x:v>432.366.098-77</x:v>
      </x:c>
      <x:c r="W2590" s="22" t="str">
        <x:f>"43236609877"</x:f>
        <x:v>43236609877</x:v>
      </x:c>
      <x:c r="X2590" s="23" t="str">
        <x:v>marcoseduardoaraujo4@gmail.com</x:v>
      </x:c>
      <x:c r="Y2590" s="22" t="str">
        <x:f>"17988101618"</x:f>
        <x:v>17988101618</x:v>
      </x:c>
      <x:c r="Z2590" s="30" t="n">
        <x:v>46224</x:v>
      </x:c>
    </x:row>
    <x:row r="2591" ht="18" customHeight="1">
      <x:c r="A2591" s="22" t="str">
        <x:f>"2a8ab887-4c1e-4231-bad2-e978857a4716"</x:f>
        <x:v>2a8ab887-4c1e-4231-bad2-e978857a4716</x:v>
      </x:c>
      <x:c r="B2591" s="23" t="str">
        <x:v>MARCOS ERNESTO BARBOSA</x:v>
      </x:c>
      <x:c r="C2591" s="23" t="str">
        <x:v>marcos ernesto barbosa</x:v>
      </x:c>
      <x:c r="D2591" s="22" t="str">
        <x:f>"63.968.180/0001-10"</x:f>
        <x:v>63.968.180/0001-10</x:v>
      </x:c>
      <x:c r="E2591" s="22" t="str">
        <x:f>"63968180000110"</x:f>
        <x:v>63968180000110</x:v>
      </x:c>
      <x:c r="F2591" s="22" t="str">
        <x:f>"148.096.706-86"</x:f>
        <x:v>148.096.706-86</x:v>
      </x:c>
      <x:c r="G2591" s="22" t="str">
        <x:f>"14809670686"</x:f>
        <x:v>14809670686</x:v>
      </x:c>
      <x:c r="H2591" s="23" t="str">
        <x:v>Marcosernesto749@gmail.com</x:v>
      </x:c>
      <x:c r="I2591" s="22" t="str">
        <x:f>"+55 33 9816-9778"</x:f>
        <x:v>+55 33 9816-9778</x:v>
      </x:c>
      <x:c r="J2591" s="23" t="str">
        <x:v>RENTAL</x:v>
      </x:c>
      <x:c r="K2591" s="23" t="str">
        <x:v>rental_company</x:v>
      </x:c>
      <x:c r="L2591" s="24" t="b">
        <x:v>1</x:v>
      </x:c>
      <x:c r="M2591" s="23" t="n">
        <x:v>1</x:v>
      </x:c>
      <x:c r="N2591" s="28" t="n">
        <x:v>46203.921904421295</x:v>
      </x:c>
      <x:c r="O2591" s="28" t="n">
        <x:v>46219.812988715275</x:v>
      </x:c>
      <x:c r="P2591" s="23" t="str">
        <x:v>CONCEIÇÃO DO MATO DENTRO</x:v>
      </x:c>
      <x:c r="Q2591" s="30" t="n">
        <x:v>32085</x:v>
      </x:c>
      <x:c r="R2591" s="22" t="str">
        <x:f>"mg 21226691"</x:f>
        <x:v>mg 21226691</x:v>
      </x:c>
      <x:c r="S2591" s="23" t="str">
        <x:v>masculino</x:v>
      </x:c>
      <x:c r="T2591" s="22" t="str"/>
      <x:c r="U2591" s="23" t="str">
        <x:v>MARCOS ERNESTO BARBOSA</x:v>
      </x:c>
      <x:c r="V2591" s="22" t="str">
        <x:f>"148.096.706-86"</x:f>
        <x:v>148.096.706-86</x:v>
      </x:c>
      <x:c r="W2591" s="22" t="str">
        <x:f>"14809670686"</x:f>
        <x:v>14809670686</x:v>
      </x:c>
      <x:c r="X2591" s="23" t="str">
        <x:v>Marcosernesto749@gmail.com</x:v>
      </x:c>
      <x:c r="Y2591" s="22" t="str">
        <x:f>"+55 33 9816-9778"</x:f>
        <x:v>+55 33 9816-9778</x:v>
      </x:c>
      <x:c r="Z2591" s="30" t="n">
        <x:v>46364</x:v>
      </x:c>
    </x:row>
    <x:row r="2592" ht="18" customHeight="1">
      <x:c r="A2592" s="22" t="str">
        <x:f>"a21fe8d4-e52c-4b20-b480-d88bdbf963d9"</x:f>
        <x:v>a21fe8d4-e52c-4b20-b480-d88bdbf963d9</x:v>
      </x:c>
      <x:c r="B2592" s="23" t="str">
        <x:v>MARCOS FERNANDO PEREIRA DE ALVARENGA</x:v>
      </x:c>
      <x:c r="C2592" s="23" t="str">
        <x:v>marcos fernando pereira de alvarenga</x:v>
      </x:c>
      <x:c r="D2592" s="22" t="str">
        <x:f>"61.194.594/0001-03"</x:f>
        <x:v>61.194.594/0001-03</x:v>
      </x:c>
      <x:c r="E2592" s="22" t="str">
        <x:f>"61194594000103"</x:f>
        <x:v>61194594000103</x:v>
      </x:c>
      <x:c r="F2592" s="22" t="str">
        <x:f>"012.371.346-33"</x:f>
        <x:v>012.371.346-33</x:v>
      </x:c>
      <x:c r="G2592" s="22" t="str">
        <x:f>"01237134633"</x:f>
        <x:v>01237134633</x:v>
      </x:c>
      <x:c r="H2592" s="23" t="str">
        <x:v>marquinhuf25@gmail.com</x:v>
      </x:c>
      <x:c r="I2592" s="22" t="str">
        <x:f>"(35) 99957-7889"</x:f>
        <x:v>(35) 99957-7889</x:v>
      </x:c>
      <x:c r="J2592" s="23" t="str">
        <x:v>SPOT</x:v>
      </x:c>
      <x:c r="K2592" s="23" t="str">
        <x:v>favored_only</x:v>
      </x:c>
      <x:c r="L2592" s="24" t="b">
        <x:v>1</x:v>
      </x:c>
      <x:c r="M2592" s="23" t="n">
        <x:v>1</x:v>
      </x:c>
      <x:c r="N2592" s="28" t="n">
        <x:v>46219.812988715275</x:v>
      </x:c>
      <x:c r="O2592" s="28" t="n">
        <x:v>46219.812988715275</x:v>
      </x:c>
      <x:c r="P2592" s="23" t="str">
        <x:v>POUSO ALEGRE</x:v>
      </x:c>
      <x:c r="Q2592" s="30" t="n">
        <x:v>30431</x:v>
      </x:c>
      <x:c r="R2592" s="22" t="str">
        <x:f>"MG11124426 SSP MG"</x:f>
        <x:v>MG11124426 SSP MG</x:v>
      </x:c>
      <x:c r="S2592" s="23" t="str">
        <x:v>masculino</x:v>
      </x:c>
      <x:c r="T2592" s="22" t="str">
        <x:f>"RTT5E36"</x:f>
        <x:v>RTT5E36</x:v>
      </x:c>
      <x:c r="U2592" s="23" t="str">
        <x:v>MARCOS FERNANDO PEREIRA DE ALVARENGA</x:v>
      </x:c>
      <x:c r="V2592" s="22" t="str">
        <x:f>"012.371.346-33"</x:f>
        <x:v>012.371.346-33</x:v>
      </x:c>
      <x:c r="W2592" s="22" t="str">
        <x:f>"01237134633"</x:f>
        <x:v>01237134633</x:v>
      </x:c>
      <x:c r="X2592" s="23" t="str">
        <x:v>marquinhuf25@gmail.com</x:v>
      </x:c>
      <x:c r="Y2592" s="22" t="str">
        <x:f>"(35) 99957-7889"</x:f>
        <x:v>(35) 99957-7889</x:v>
      </x:c>
      <x:c r="Z2592" s="30" t="n">
        <x:v>46436</x:v>
      </x:c>
    </x:row>
    <x:row r="2593" ht="18" customHeight="1">
      <x:c r="A2593" s="22" t="str">
        <x:f>"12144cdf-cdd5-454e-bcfa-81af52765ab9"</x:f>
        <x:v>12144cdf-cdd5-454e-bcfa-81af52765ab9</x:v>
      </x:c>
      <x:c r="B2593" s="23" t="str">
        <x:v>MARCOS FRANCISCO DA COSTA</x:v>
      </x:c>
      <x:c r="C2593" s="23" t="str">
        <x:v>marcos francisco da costa</x:v>
      </x:c>
      <x:c r="D2593" s="22" t="str">
        <x:f>"57.688.807/0001-86"</x:f>
        <x:v>57.688.807/0001-86</x:v>
      </x:c>
      <x:c r="E2593" s="22" t="str">
        <x:f>"57688807000186"</x:f>
        <x:v>57688807000186</x:v>
      </x:c>
      <x:c r="F2593" s="22" t="str">
        <x:f>"093.247.314-83"</x:f>
        <x:v>093.247.314-83</x:v>
      </x:c>
      <x:c r="G2593" s="22" t="str">
        <x:f>"09324731483"</x:f>
        <x:v>09324731483</x:v>
      </x:c>
      <x:c r="H2593" s="23" t="str">
        <x:v>brancocabelinho@gmail.com</x:v>
      </x:c>
      <x:c r="I2593" s="22" t="str">
        <x:f>"(19) 99899-8035"</x:f>
        <x:v>(19) 99899-8035</x:v>
      </x:c>
      <x:c r="J2593" s="23" t="str">
        <x:v>RENTAL</x:v>
      </x:c>
      <x:c r="K2593" s="23" t="str">
        <x:v>rental_company</x:v>
      </x:c>
      <x:c r="L2593" s="24" t="b">
        <x:v>1</x:v>
      </x:c>
      <x:c r="M2593" s="23" t="n">
        <x:v>1</x:v>
      </x:c>
      <x:c r="N2593" s="28" t="n">
        <x:v>46203.921824756944</x:v>
      </x:c>
      <x:c r="O2593" s="28" t="n">
        <x:v>46219.812988715275</x:v>
      </x:c>
      <x:c r="P2593" s="23" t="str">
        <x:v>UBERABA</x:v>
      </x:c>
      <x:c r="Q2593" s="30" t="n">
        <x:v>32234</x:v>
      </x:c>
      <x:c r="R2593" s="22" t="str">
        <x:f>"20452633"</x:f>
        <x:v>20452633</x:v>
      </x:c>
      <x:c r="S2593" s="23" t="str">
        <x:v>masculino</x:v>
      </x:c>
      <x:c r="T2593" s="22" t="str"/>
      <x:c r="U2593" s="23" t="str">
        <x:v>MARCOS FRANCISCO DA COSTA</x:v>
      </x:c>
      <x:c r="V2593" s="22" t="str">
        <x:f>"093.247.314-83"</x:f>
        <x:v>093.247.314-83</x:v>
      </x:c>
      <x:c r="W2593" s="22" t="str">
        <x:f>"09324731483"</x:f>
        <x:v>09324731483</x:v>
      </x:c>
      <x:c r="X2593" s="23" t="str">
        <x:v>brancocabelinho@gmail.com</x:v>
      </x:c>
      <x:c r="Y2593" s="22" t="str">
        <x:f>"(19) 99899-8035"</x:f>
        <x:v>(19) 99899-8035</x:v>
      </x:c>
      <x:c r="Z2593" s="30" t="n">
        <x:v>46294</x:v>
      </x:c>
    </x:row>
    <x:row r="2594" ht="18" customHeight="1">
      <x:c r="A2594" s="22" t="str">
        <x:f>"0e307776-6d95-43da-b46a-27692b7f2e39"</x:f>
        <x:v>0e307776-6d95-43da-b46a-27692b7f2e39</x:v>
      </x:c>
      <x:c r="B2594" s="23" t="str">
        <x:v>MARCOS GILBERTO DE SOUZA SALGADO JUNIOR</x:v>
      </x:c>
      <x:c r="C2594" s="23" t="str">
        <x:v>marcos gilberto de souza salgado junior</x:v>
      </x:c>
      <x:c r="D2594" s="22" t="str">
        <x:f>"57.300.108/0001-17"</x:f>
        <x:v>57.300.108/0001-17</x:v>
      </x:c>
      <x:c r="E2594" s="22" t="str">
        <x:f>"57300108000117"</x:f>
        <x:v>57300108000117</x:v>
      </x:c>
      <x:c r="F2594" s="22" t="str">
        <x:f>"111.756.117-86"</x:f>
        <x:v>111.756.117-86</x:v>
      </x:c>
      <x:c r="G2594" s="22" t="str">
        <x:f>"11175611786"</x:f>
        <x:v>11175611786</x:v>
      </x:c>
      <x:c r="H2594" s="23" t="str">
        <x:v>mgilberto.salgado86@gmail.com</x:v>
      </x:c>
      <x:c r="I2594" s="22" t="str">
        <x:f>"22 999435814"</x:f>
        <x:v>22 999435814</x:v>
      </x:c>
      <x:c r="J2594" s="23" t="str">
        <x:v>SPOT</x:v>
      </x:c>
      <x:c r="K2594" s="23" t="str">
        <x:v>favored_only</x:v>
      </x:c>
      <x:c r="L2594" s="24" t="b">
        <x:v>1</x:v>
      </x:c>
      <x:c r="M2594" s="23" t="n">
        <x:v>1</x:v>
      </x:c>
      <x:c r="N2594" s="28" t="n">
        <x:v>46203.92189349537</x:v>
      </x:c>
      <x:c r="O2594" s="28" t="n">
        <x:v>46219.812988715275</x:v>
      </x:c>
      <x:c r="P2594" s="23" t="str">
        <x:v>CAMPOS DOS GOYTACAZES</x:v>
      </x:c>
      <x:c r="Q2594" s="30" t="n">
        <x:v>31643</x:v>
      </x:c>
      <x:c r="R2594" s="22" t="str">
        <x:f>"124912940"</x:f>
        <x:v>124912940</x:v>
      </x:c>
      <x:c r="S2594" s="23" t="str">
        <x:v>masculino</x:v>
      </x:c>
      <x:c r="T2594" s="22" t="str">
        <x:f>"PPW1F82"</x:f>
        <x:v>PPW1F82</x:v>
      </x:c>
      <x:c r="U2594" s="23" t="str">
        <x:v>MARCOS GILBERTO DE SOUZA SALGADO JUNIOR</x:v>
      </x:c>
      <x:c r="V2594" s="22" t="str">
        <x:f>"111.756.117-86"</x:f>
        <x:v>111.756.117-86</x:v>
      </x:c>
      <x:c r="W2594" s="22" t="str">
        <x:f>"11175611786"</x:f>
        <x:v>11175611786</x:v>
      </x:c>
      <x:c r="X2594" s="23" t="str">
        <x:v>mgilberto.salgado86@gmail.com</x:v>
      </x:c>
      <x:c r="Y2594" s="22" t="str">
        <x:f>"22 999435814"</x:f>
        <x:v>22 999435814</x:v>
      </x:c>
      <x:c r="Z2594" s="30" t="n">
        <x:v>46336</x:v>
      </x:c>
    </x:row>
    <x:row r="2595" ht="18" customHeight="1">
      <x:c r="A2595" s="22" t="str">
        <x:f>"aa0e92f4-5e8a-4818-af09-6e6bad923ca3"</x:f>
        <x:v>aa0e92f4-5e8a-4818-af09-6e6bad923ca3</x:v>
      </x:c>
      <x:c r="B2595" s="23" t="str">
        <x:v>MARCOS HENRIQUE BARBOSA</x:v>
      </x:c>
      <x:c r="C2595" s="23" t="str">
        <x:v>marcos henrique barbosa</x:v>
      </x:c>
      <x:c r="D2595" s="22" t="str">
        <x:f>"67.860.491/0001-11"</x:f>
        <x:v>67.860.491/0001-11</x:v>
      </x:c>
      <x:c r="E2595" s="22" t="str">
        <x:f>"67860491000111"</x:f>
        <x:v>67860491000111</x:v>
      </x:c>
      <x:c r="F2595" s="22" t="str">
        <x:f>"907.033.836-04"</x:f>
        <x:v>907.033.836-04</x:v>
      </x:c>
      <x:c r="G2595" s="22" t="str">
        <x:f>"90703383604"</x:f>
        <x:v>90703383604</x:v>
      </x:c>
      <x:c r="H2595" s="23" t="str">
        <x:v>marcosbarbosaa@0308gmail.com</x:v>
      </x:c>
      <x:c r="I2595" s="22" t="str">
        <x:f>"(35)99775-8814"</x:f>
        <x:v>(35)99775-8814</x:v>
      </x:c>
      <x:c r="J2595" s="23" t="str">
        <x:v>RENTAL</x:v>
      </x:c>
      <x:c r="K2595" s="23" t="str">
        <x:v>rental_company</x:v>
      </x:c>
      <x:c r="L2595" s="24" t="b">
        <x:v>1</x:v>
      </x:c>
      <x:c r="M2595" s="23" t="n">
        <x:v>1</x:v>
      </x:c>
      <x:c r="N2595" s="28" t="n">
        <x:v>46219.812988715275</x:v>
      </x:c>
      <x:c r="O2595" s="28" t="n">
        <x:v>46219.812988715275</x:v>
      </x:c>
      <x:c r="P2595" s="23" t="str">
        <x:v>POUSO ALEGRE</x:v>
      </x:c>
      <x:c r="Q2595" s="30" t="n">
        <x:v>27609</x:v>
      </x:c>
      <x:c r="R2595" s="22" t="str">
        <x:f>"MG6682489 SSP MG"</x:f>
        <x:v>MG6682489 SSP MG</x:v>
      </x:c>
      <x:c r="S2595" s="23" t="str">
        <x:v>masculino</x:v>
      </x:c>
      <x:c r="T2595" s="22" t="str"/>
      <x:c r="U2595" s="23" t="str">
        <x:v>MARCOS HENRIQUE BARBOSA</x:v>
      </x:c>
      <x:c r="V2595" s="22" t="str">
        <x:f>"907.033.836-04"</x:f>
        <x:v>907.033.836-04</x:v>
      </x:c>
      <x:c r="W2595" s="22" t="str">
        <x:f>"90703383604"</x:f>
        <x:v>90703383604</x:v>
      </x:c>
      <x:c r="X2595" s="23" t="str">
        <x:v>marcosbarbosaa@0308gmail.com</x:v>
      </x:c>
      <x:c r="Y2595" s="22" t="str">
        <x:f>"(35)99775-8814"</x:f>
        <x:v>(35)99775-8814</x:v>
      </x:c>
      <x:c r="Z2595" s="30" t="n">
        <x:v>46577</x:v>
      </x:c>
    </x:row>
    <x:row r="2596" ht="18" customHeight="1">
      <x:c r="A2596" s="22" t="str">
        <x:f>"2dab8cc6-a006-413d-b704-6d2988d5bc2e"</x:f>
        <x:v>2dab8cc6-a006-413d-b704-6d2988d5bc2e</x:v>
      </x:c>
      <x:c r="B2596" s="23" t="str">
        <x:v>MARCOS HENRIQUE DE CASTRO</x:v>
      </x:c>
      <x:c r="C2596" s="23" t="str">
        <x:v>marcos henrique de castro</x:v>
      </x:c>
      <x:c r="D2596" s="22" t="str">
        <x:f>"58.042.138/0001-98"</x:f>
        <x:v>58.042.138/0001-98</x:v>
      </x:c>
      <x:c r="E2596" s="22" t="str">
        <x:f>"58042138000198"</x:f>
        <x:v>58042138000198</x:v>
      </x:c>
      <x:c r="F2596" s="22" t="str">
        <x:f>"383.544.058-69"</x:f>
        <x:v>383.544.058-69</x:v>
      </x:c>
      <x:c r="G2596" s="22" t="str">
        <x:f>"38354405869"</x:f>
        <x:v>38354405869</x:v>
      </x:c>
      <x:c r="H2596" s="23" t="str">
        <x:v>ne-rull@hotmail.com</x:v>
      </x:c>
      <x:c r="I2596" s="22" t="str">
        <x:f>"016993629918"</x:f>
        <x:v>016993629918</x:v>
      </x:c>
      <x:c r="J2596" s="23" t="str">
        <x:v>SPOT</x:v>
      </x:c>
      <x:c r="K2596" s="23" t="str">
        <x:v>favored_only</x:v>
      </x:c>
      <x:c r="L2596" s="24" t="b">
        <x:v>1</x:v>
      </x:c>
      <x:c r="M2596" s="23" t="n">
        <x:v>1</x:v>
      </x:c>
      <x:c r="N2596" s="28" t="n">
        <x:v>46219.812988715275</x:v>
      </x:c>
      <x:c r="O2596" s="28" t="n">
        <x:v>46219.812988715275</x:v>
      </x:c>
      <x:c r="P2596" s="23" t="str">
        <x:v>RIBEIRAO PRETO</x:v>
      </x:c>
      <x:c r="Q2596" s="30" t="n">
        <x:v>33032</x:v>
      </x:c>
      <x:c r="R2596" s="22" t="str">
        <x:f>"463369448"</x:f>
        <x:v>463369448</x:v>
      </x:c>
      <x:c r="S2596" s="23" t="str">
        <x:v>masculino</x:v>
      </x:c>
      <x:c r="T2596" s="22" t="str">
        <x:f>"EBJ5I22"</x:f>
        <x:v>EBJ5I22</x:v>
      </x:c>
      <x:c r="U2596" s="23" t="str">
        <x:v>MARCOS HENRIQUE DE CASTRO</x:v>
      </x:c>
      <x:c r="V2596" s="22" t="str">
        <x:f>"383.544.058-69"</x:f>
        <x:v>383.544.058-69</x:v>
      </x:c>
      <x:c r="W2596" s="22" t="str">
        <x:f>"38354405869"</x:f>
        <x:v>38354405869</x:v>
      </x:c>
      <x:c r="X2596" s="23" t="str">
        <x:v>ne-rull@hotmail.com</x:v>
      </x:c>
      <x:c r="Y2596" s="22" t="str">
        <x:f>"016993629918"</x:f>
        <x:v>016993629918</x:v>
      </x:c>
      <x:c r="Z2596" s="30" t="n">
        <x:v>46546</x:v>
      </x:c>
    </x:row>
    <x:row r="2597" ht="18" customHeight="1">
      <x:c r="A2597" s="22" t="str">
        <x:f>"2b78edc3-80ca-424b-8c5d-50989ac81479"</x:f>
        <x:v>2b78edc3-80ca-424b-8c5d-50989ac81479</x:v>
      </x:c>
      <x:c r="B2597" s="23" t="str">
        <x:v>MARCOS HENRIQUE GOMES NOVAIS</x:v>
      </x:c>
      <x:c r="C2597" s="23" t="str">
        <x:v>marcos henrique gomes novais</x:v>
      </x:c>
      <x:c r="D2597" s="22" t="str">
        <x:f>"63.384.288/0001-65"</x:f>
        <x:v>63.384.288/0001-65</x:v>
      </x:c>
      <x:c r="E2597" s="22" t="str">
        <x:f>"63384288000165"</x:f>
        <x:v>63384288000165</x:v>
      </x:c>
      <x:c r="F2597" s="22" t="str">
        <x:f>"512.182.908-62"</x:f>
        <x:v>512.182.908-62</x:v>
      </x:c>
      <x:c r="G2597" s="22" t="str">
        <x:f>"51218290862"</x:f>
        <x:v>51218290862</x:v>
      </x:c>
      <x:c r="H2597" s="23" t="str">
        <x:v>familiabambo@gmail.com</x:v>
      </x:c>
      <x:c r="I2597" s="22" t="str">
        <x:f>"17 997343046"</x:f>
        <x:v>17 997343046</x:v>
      </x:c>
      <x:c r="J2597" s="23" t="str">
        <x:v>RENTAL</x:v>
      </x:c>
      <x:c r="K2597" s="23" t="str">
        <x:v>rental_company</x:v>
      </x:c>
      <x:c r="L2597" s="24" t="b">
        <x:v>1</x:v>
      </x:c>
      <x:c r="M2597" s="23" t="n">
        <x:v>1</x:v>
      </x:c>
      <x:c r="N2597" s="28" t="n">
        <x:v>46203.92188238426</x:v>
      </x:c>
      <x:c r="O2597" s="28" t="n">
        <x:v>46219.812988715275</x:v>
      </x:c>
      <x:c r="P2597" s="23" t="str">
        <x:v>BARRETOS</x:v>
      </x:c>
      <x:c r="Q2597" s="30" t="n">
        <x:v>38132</x:v>
      </x:c>
      <x:c r="R2597" s="22" t="str">
        <x:f>"603555159"</x:f>
        <x:v>603555159</x:v>
      </x:c>
      <x:c r="S2597" s="23" t="str">
        <x:v>masculino</x:v>
      </x:c>
      <x:c r="T2597" s="22" t="str"/>
      <x:c r="U2597" s="23" t="str">
        <x:v>MARCOS HENRIQUE GOMES NOVAIS</x:v>
      </x:c>
      <x:c r="V2597" s="22" t="str">
        <x:f>"512.182.908-62"</x:f>
        <x:v>512.182.908-62</x:v>
      </x:c>
      <x:c r="W2597" s="22" t="str">
        <x:f>"51218290862"</x:f>
        <x:v>51218290862</x:v>
      </x:c>
      <x:c r="X2597" s="23" t="str">
        <x:v>familiabambo@gmail.com</x:v>
      </x:c>
      <x:c r="Y2597" s="22" t="str">
        <x:f>"17 997343046"</x:f>
        <x:v>17 997343046</x:v>
      </x:c>
      <x:c r="Z2597" s="30" t="n">
        <x:v>46322</x:v>
      </x:c>
    </x:row>
    <x:row r="2598" ht="18" customHeight="1">
      <x:c r="A2598" s="22" t="str">
        <x:f>"5e738d2f-f2ca-495c-9881-02a3abe9d5eb"</x:f>
        <x:v>5e738d2f-f2ca-495c-9881-02a3abe9d5eb</x:v>
      </x:c>
      <x:c r="B2598" s="23" t="str">
        <x:v>MARCOS ISRAEL ANANIAS</x:v>
      </x:c>
      <x:c r="C2598" s="23" t="str">
        <x:v>marcos israel ananias</x:v>
      </x:c>
      <x:c r="D2598" s="22" t="str">
        <x:f>"62.060.464/0001-40"</x:f>
        <x:v>62.060.464/0001-40</x:v>
      </x:c>
      <x:c r="E2598" s="22" t="str">
        <x:f>"62060464000140"</x:f>
        <x:v>62060464000140</x:v>
      </x:c>
      <x:c r="F2598" s="22" t="str">
        <x:f>"450.715.908-32"</x:f>
        <x:v>450.715.908-32</x:v>
      </x:c>
      <x:c r="G2598" s="22" t="str">
        <x:f>"45071590832"</x:f>
        <x:v>45071590832</x:v>
      </x:c>
      <x:c r="H2598" s="23" t="str">
        <x:v>Marcosananias096@gmail.com</x:v>
      </x:c>
      <x:c r="I2598" s="22" t="str">
        <x:f>"16991507976"</x:f>
        <x:v>16991507976</x:v>
      </x:c>
      <x:c r="J2598" s="23" t="str">
        <x:v>RENTAL</x:v>
      </x:c>
      <x:c r="K2598" s="23" t="str">
        <x:v>rental_company</x:v>
      </x:c>
      <x:c r="L2598" s="24" t="b">
        <x:v>1</x:v>
      </x:c>
      <x:c r="M2598" s="23" t="n">
        <x:v>1</x:v>
      </x:c>
      <x:c r="N2598" s="28" t="n">
        <x:v>46203.921887453704</x:v>
      </x:c>
      <x:c r="O2598" s="28" t="n">
        <x:v>46219.812988715275</x:v>
      </x:c>
      <x:c r="P2598" s="23" t="str">
        <x:v>RIBEIRAO PRETO</x:v>
      </x:c>
      <x:c r="Q2598" s="30" t="n">
        <x:v>35226</x:v>
      </x:c>
      <x:c r="R2598" s="22" t="str">
        <x:f>"49950883"</x:f>
        <x:v>49950883</x:v>
      </x:c>
      <x:c r="S2598" s="23" t="str">
        <x:v>masculino</x:v>
      </x:c>
      <x:c r="T2598" s="22" t="str"/>
      <x:c r="U2598" s="23" t="str">
        <x:v>MARCOS ISRAEL ANANIAS</x:v>
      </x:c>
      <x:c r="V2598" s="22" t="str">
        <x:f>"450.715.908-32"</x:f>
        <x:v>450.715.908-32</x:v>
      </x:c>
      <x:c r="W2598" s="22" t="str">
        <x:f>"45071590832"</x:f>
        <x:v>45071590832</x:v>
      </x:c>
      <x:c r="X2598" s="23" t="str">
        <x:v>Marcosananias096@gmail.com</x:v>
      </x:c>
      <x:c r="Y2598" s="22" t="str">
        <x:f>"16991507976"</x:f>
        <x:v>16991507976</x:v>
      </x:c>
      <x:c r="Z2598" s="30" t="n">
        <x:v>46326</x:v>
      </x:c>
    </x:row>
    <x:row r="2599" ht="18" customHeight="1">
      <x:c r="A2599" s="22" t="str">
        <x:f>"d1485a09-f3a8-4946-987b-75edf009d6db"</x:f>
        <x:v>d1485a09-f3a8-4946-987b-75edf009d6db</x:v>
      </x:c>
      <x:c r="B2599" s="23" t="str">
        <x:v>MARCOS JOSE DA SILVA</x:v>
      </x:c>
      <x:c r="C2599" s="23" t="str">
        <x:v>marcos jose da silva</x:v>
      </x:c>
      <x:c r="D2599" s="22" t="str">
        <x:f>"52.769.987/0001-07"</x:f>
        <x:v>52.769.987/0001-07</x:v>
      </x:c>
      <x:c r="E2599" s="22" t="str">
        <x:f>"52769987000107"</x:f>
        <x:v>52769987000107</x:v>
      </x:c>
      <x:c r="F2599" s="22" t="str">
        <x:f>"014.169.916-70"</x:f>
        <x:v>014.169.916-70</x:v>
      </x:c>
      <x:c r="G2599" s="22" t="str">
        <x:f>"01416991670"</x:f>
        <x:v>01416991670</x:v>
      </x:c>
      <x:c r="H2599" s="23" t="str">
        <x:v>marcosjsilvaguaxupe@gmail.com</x:v>
      </x:c>
      <x:c r="I2599" s="22" t="str">
        <x:f>"35 98882-5560"</x:f>
        <x:v>35 98882-5560</x:v>
      </x:c>
      <x:c r="J2599" s="23" t="str">
        <x:v>SPOT</x:v>
      </x:c>
      <x:c r="K2599" s="23" t="str">
        <x:v>favored_only</x:v>
      </x:c>
      <x:c r="L2599" s="24" t="b">
        <x:v>1</x:v>
      </x:c>
      <x:c r="M2599" s="23" t="n">
        <x:v>1</x:v>
      </x:c>
      <x:c r="N2599" s="28" t="n">
        <x:v>46205.60634024306</x:v>
      </x:c>
      <x:c r="O2599" s="28" t="n">
        <x:v>46219.812988715275</x:v>
      </x:c>
      <x:c r="P2599" s="23" t="str">
        <x:v>GUAXUPE</x:v>
      </x:c>
      <x:c r="Q2599" s="30" t="n">
        <x:v>29829</x:v>
      </x:c>
      <x:c r="R2599" s="22" t="str">
        <x:f>"11590713"</x:f>
        <x:v>11590713</x:v>
      </x:c>
      <x:c r="S2599" s="23" t="str">
        <x:v>masculino</x:v>
      </x:c>
      <x:c r="T2599" s="22" t="str">
        <x:f>"HHK2H02"</x:f>
        <x:v>HHK2H02</x:v>
      </x:c>
      <x:c r="U2599" s="23" t="str">
        <x:v>REINALDO CORSI LEITE</x:v>
      </x:c>
      <x:c r="V2599" s="22" t="str">
        <x:f>"015.364.116-98"</x:f>
        <x:v>015.364.116-98</x:v>
      </x:c>
      <x:c r="W2599" s="22" t="str">
        <x:f>"01536411698"</x:f>
        <x:v>01536411698</x:v>
      </x:c>
      <x:c r="X2599" s="23" t="str">
        <x:v>reinaldocorsi@hotmail.com</x:v>
      </x:c>
      <x:c r="Y2599" s="22" t="str">
        <x:f>"35 9157-9570"</x:f>
        <x:v>35 9157-9570</x:v>
      </x:c>
      <x:c r="Z2599" s="30" t="n">
        <x:v>46354</x:v>
      </x:c>
    </x:row>
    <x:row r="2600" ht="18" customHeight="1">
      <x:c r="A2600" s="22" t="str">
        <x:f>"399a157b-eaed-46ec-8529-b7889879a8e3"</x:f>
        <x:v>399a157b-eaed-46ec-8529-b7889879a8e3</x:v>
      </x:c>
      <x:c r="B2600" s="23" t="str">
        <x:v>MARCOS JOSUE MARQUES COSTA FERREIRA</x:v>
      </x:c>
      <x:c r="C2600" s="23" t="str">
        <x:v>marcos josue marques costa ferreira</x:v>
      </x:c>
      <x:c r="D2600" s="22" t="str">
        <x:f>"61.968.481/0001-18"</x:f>
        <x:v>61.968.481/0001-18</x:v>
      </x:c>
      <x:c r="E2600" s="22" t="str">
        <x:f>"61968481000118"</x:f>
        <x:v>61968481000118</x:v>
      </x:c>
      <x:c r="F2600" s="22" t="str">
        <x:f>"140.080.756-58"</x:f>
        <x:v>140.080.756-58</x:v>
      </x:c>
      <x:c r="G2600" s="22" t="str">
        <x:f>"14008075658"</x:f>
        <x:v>14008075658</x:v>
      </x:c>
      <x:c r="H2600" s="23" t="str">
        <x:v>marcosjosueep3@gmail.com</x:v>
      </x:c>
      <x:c r="I2600" s="22" t="str">
        <x:f>"(35)99720-6024"</x:f>
        <x:v>(35)99720-6024</x:v>
      </x:c>
      <x:c r="J2600" s="23" t="str">
        <x:v>RENTAL</x:v>
      </x:c>
      <x:c r="K2600" s="23" t="str">
        <x:v>rental_company</x:v>
      </x:c>
      <x:c r="L2600" s="24" t="b">
        <x:v>1</x:v>
      </x:c>
      <x:c r="M2600" s="23" t="n">
        <x:v>1</x:v>
      </x:c>
      <x:c r="N2600" s="28" t="n">
        <x:v>46203.92184908565</x:v>
      </x:c>
      <x:c r="O2600" s="28" t="n">
        <x:v>46205.60519793982</x:v>
      </x:c>
      <x:c r="P2600" s="23" t="str">
        <x:v>POUSO ALEGRE</x:v>
      </x:c>
      <x:c r="Q2600" s="30" t="n">
        <x:v>37608</x:v>
      </x:c>
      <x:c r="R2600" s="22" t="str">
        <x:f>"MG20407897"</x:f>
        <x:v>MG20407897</x:v>
      </x:c>
      <x:c r="S2600" s="23" t="str">
        <x:v>Masculino</x:v>
      </x:c>
      <x:c r="T2600" s="22" t="str"/>
      <x:c r="U2600" s="23" t="str">
        <x:v>MARCOS JOSUE MARQUES COSTA FERREIRA</x:v>
      </x:c>
      <x:c r="V2600" s="22" t="str">
        <x:f>"140.080.756-58"</x:f>
        <x:v>140.080.756-58</x:v>
      </x:c>
      <x:c r="W2600" s="22" t="str">
        <x:f>"14008075658"</x:f>
        <x:v>14008075658</x:v>
      </x:c>
      <x:c r="X2600" s="23" t="str">
        <x:v>marcosjosueep3@gmail.com</x:v>
      </x:c>
      <x:c r="Y2600" s="22" t="str">
        <x:f>"(35)99720-6024"</x:f>
        <x:v>(35)99720-6024</x:v>
      </x:c>
      <x:c r="Z2600" s="30" t="n">
        <x:v>46232</x:v>
      </x:c>
    </x:row>
    <x:row r="2601" ht="18" customHeight="1">
      <x:c r="A2601" s="22" t="str">
        <x:f>"7369feb6-1123-4355-bd48-2e9958b0512e"</x:f>
        <x:v>7369feb6-1123-4355-bd48-2e9958b0512e</x:v>
      </x:c>
      <x:c r="B2601" s="23" t="str">
        <x:v>MARCOS JUNIO SOARES VIANA</x:v>
      </x:c>
      <x:c r="C2601" s="23" t="str">
        <x:v>marcos junio soares viana</x:v>
      </x:c>
      <x:c r="D2601" s="22" t="str">
        <x:f>"59.199.278/0001-82"</x:f>
        <x:v>59.199.278/0001-82</x:v>
      </x:c>
      <x:c r="E2601" s="22" t="str">
        <x:f>"59199278000182"</x:f>
        <x:v>59199278000182</x:v>
      </x:c>
      <x:c r="F2601" s="22" t="str">
        <x:f>"703.112.876-54"</x:f>
        <x:v>703.112.876-54</x:v>
      </x:c>
      <x:c r="G2601" s="22" t="str">
        <x:f>"70311287654"</x:f>
        <x:v>70311287654</x:v>
      </x:c>
      <x:c r="H2601" s="23" t="str">
        <x:v>vianasoares35@gmail.com</x:v>
      </x:c>
      <x:c r="I2601" s="22" t="str">
        <x:f>"31985685648"</x:f>
        <x:v>31985685648</x:v>
      </x:c>
      <x:c r="J2601" s="23" t="str">
        <x:v>SPOT</x:v>
      </x:c>
      <x:c r="K2601" s="23" t="str">
        <x:v>favored_only</x:v>
      </x:c>
      <x:c r="L2601" s="24" t="b">
        <x:v>1</x:v>
      </x:c>
      <x:c r="M2601" s="23" t="n">
        <x:v>1</x:v>
      </x:c>
      <x:c r="N2601" s="28" t="n">
        <x:v>46219.812988715275</x:v>
      </x:c>
      <x:c r="O2601" s="28" t="n">
        <x:v>46219.812988715275</x:v>
      </x:c>
      <x:c r="P2601" s="23" t="str">
        <x:v>NOVA LIMA</x:v>
      </x:c>
      <x:c r="Q2601" s="30" t="n">
        <x:v>36687</x:v>
      </x:c>
      <x:c r="R2601" s="22" t="str">
        <x:f>"19292206"</x:f>
        <x:v>19292206</x:v>
      </x:c>
      <x:c r="S2601" s="23" t="str">
        <x:v>masculino</x:v>
      </x:c>
      <x:c r="T2601" s="22" t="str">
        <x:f>"RNV2A36"</x:f>
        <x:v>RNV2A36</x:v>
      </x:c>
      <x:c r="U2601" s="23" t="str">
        <x:v>MARCOS JUNIO SOARES VIANA</x:v>
      </x:c>
      <x:c r="V2601" s="22" t="str">
        <x:f>"703.112.876-54"</x:f>
        <x:v>703.112.876-54</x:v>
      </x:c>
      <x:c r="W2601" s="22" t="str">
        <x:f>"70311287654"</x:f>
        <x:v>70311287654</x:v>
      </x:c>
      <x:c r="X2601" s="23" t="str">
        <x:v>vianasoares35@gmail.com</x:v>
      </x:c>
      <x:c r="Y2601" s="22" t="str">
        <x:f>"31985685648"</x:f>
        <x:v>31985685648</x:v>
      </x:c>
      <x:c r="Z2601" s="30" t="n">
        <x:v>46536</x:v>
      </x:c>
    </x:row>
    <x:row r="2602" ht="18" customHeight="1">
      <x:c r="A2602" s="22" t="str">
        <x:f>"0506a6a4-2a13-4d2a-9363-c2c40889898b"</x:f>
        <x:v>0506a6a4-2a13-4d2a-9363-c2c40889898b</x:v>
      </x:c>
      <x:c r="B2602" s="23" t="str">
        <x:v>MARCOS LUCIANO MACEDO BORGES</x:v>
      </x:c>
      <x:c r="C2602" s="23" t="str">
        <x:v>marcos luciano macedo borges</x:v>
      </x:c>
      <x:c r="D2602" s="22" t="str">
        <x:f>"59.350.562/0001-08"</x:f>
        <x:v>59.350.562/0001-08</x:v>
      </x:c>
      <x:c r="E2602" s="22" t="str">
        <x:f>"59350562000108"</x:f>
        <x:v>59350562000108</x:v>
      </x:c>
      <x:c r="F2602" s="22" t="str">
        <x:f>"416.724.536-15"</x:f>
        <x:v>416.724.536-15</x:v>
      </x:c>
      <x:c r="G2602" s="22" t="str">
        <x:f>"41672453615"</x:f>
        <x:v>41672453615</x:v>
      </x:c>
      <x:c r="H2602" s="23" t="str">
        <x:v>marcoslucianozero@hotmail.com</x:v>
      </x:c>
      <x:c r="I2602" s="22" t="str">
        <x:f>"(34) 99649-4338"</x:f>
        <x:v>(34) 99649-4338</x:v>
      </x:c>
      <x:c r="J2602" s="23" t="str">
        <x:v>RENTAL</x:v>
      </x:c>
      <x:c r="K2602" s="23" t="str">
        <x:v>rental_company</x:v>
      </x:c>
      <x:c r="L2602" s="24" t="b">
        <x:v>1</x:v>
      </x:c>
      <x:c r="M2602" s="23" t="n">
        <x:v>1</x:v>
      </x:c>
      <x:c r="N2602" s="28" t="n">
        <x:v>46203.921824756944</x:v>
      </x:c>
      <x:c r="O2602" s="28" t="n">
        <x:v>46219.812988715275</x:v>
      </x:c>
      <x:c r="P2602" s="23" t="str">
        <x:v>UBERABA</x:v>
      </x:c>
      <x:c r="Q2602" s="30" t="n">
        <x:v>22772</x:v>
      </x:c>
      <x:c r="R2602" s="22" t="str">
        <x:f>"2474205"</x:f>
        <x:v>2474205</x:v>
      </x:c>
      <x:c r="S2602" s="23" t="str">
        <x:v>masculino</x:v>
      </x:c>
      <x:c r="T2602" s="22" t="str"/>
      <x:c r="U2602" s="23" t="str">
        <x:v>MARCOS LUCIANO MACEDO BORGES</x:v>
      </x:c>
      <x:c r="V2602" s="22" t="str">
        <x:f>"416.724.536-15"</x:f>
        <x:v>416.724.536-15</x:v>
      </x:c>
      <x:c r="W2602" s="22" t="str">
        <x:f>"41672453615"</x:f>
        <x:v>41672453615</x:v>
      </x:c>
      <x:c r="X2602" s="23" t="str">
        <x:v>marcoslucianozero@hotmail.com</x:v>
      </x:c>
      <x:c r="Y2602" s="22" t="str">
        <x:f>"(34) 99649-4338"</x:f>
        <x:v>(34) 99649-4338</x:v>
      </x:c>
      <x:c r="Z2602" s="30" t="n">
        <x:v>46332</x:v>
      </x:c>
    </x:row>
    <x:row r="2603" ht="18" customHeight="1">
      <x:c r="A2603" s="22" t="str">
        <x:f>"50c5bf52-9267-4568-9ad2-886e64e6dfd7"</x:f>
        <x:v>50c5bf52-9267-4568-9ad2-886e64e6dfd7</x:v>
      </x:c>
      <x:c r="B2603" s="23" t="str">
        <x:v>MARCOS LUIZ DE OLIVEIRA</x:v>
      </x:c>
      <x:c r="C2603" s="23" t="str">
        <x:v>marcos luiz de oliveira</x:v>
      </x:c>
      <x:c r="D2603" s="22" t="str">
        <x:f>"67.069.058/0001-62"</x:f>
        <x:v>67.069.058/0001-62</x:v>
      </x:c>
      <x:c r="E2603" s="22" t="str">
        <x:f>"67069058000162"</x:f>
        <x:v>67069058000162</x:v>
      </x:c>
      <x:c r="F2603" s="22" t="str">
        <x:f>"059.193.271-70"</x:f>
        <x:v>059.193.271-70</x:v>
      </x:c>
      <x:c r="G2603" s="22" t="str">
        <x:f>"05919327170"</x:f>
        <x:v>05919327170</x:v>
      </x:c>
      <x:c r="H2603" s="23" t="str">
        <x:v>Marc.luizoliveira@gmail.com</x:v>
      </x:c>
      <x:c r="I2603" s="22" t="str">
        <x:f>"65 9288-5258"</x:f>
        <x:v>65 9288-5258</x:v>
      </x:c>
      <x:c r="J2603" s="23" t="str">
        <x:v>RENTAL</x:v>
      </x:c>
      <x:c r="K2603" s="23" t="str">
        <x:v>rental_company</x:v>
      </x:c>
      <x:c r="L2603" s="24" t="b">
        <x:v>1</x:v>
      </x:c>
      <x:c r="M2603" s="23" t="n">
        <x:v>1</x:v>
      </x:c>
      <x:c r="N2603" s="28" t="n">
        <x:v>46219.812988715275</x:v>
      </x:c>
      <x:c r="O2603" s="28" t="n">
        <x:v>46219.812988715275</x:v>
      </x:c>
      <x:c r="P2603" s="23" t="str">
        <x:v>CUIABA</x:v>
      </x:c>
      <x:c r="Q2603" s="30" t="n">
        <x:v>34704</x:v>
      </x:c>
      <x:c r="R2603" s="22" t="str">
        <x:f>"26857480"</x:f>
        <x:v>26857480</x:v>
      </x:c>
      <x:c r="S2603" s="23" t="str">
        <x:v>masculino</x:v>
      </x:c>
      <x:c r="T2603" s="22" t="str"/>
      <x:c r="U2603" s="23" t="str">
        <x:v>MARCOS LUIZ DE OLIVEIRA</x:v>
      </x:c>
      <x:c r="V2603" s="22" t="str">
        <x:f>"059.193.271-70"</x:f>
        <x:v>059.193.271-70</x:v>
      </x:c>
      <x:c r="W2603" s="22" t="str">
        <x:f>"05919327170"</x:f>
        <x:v>05919327170</x:v>
      </x:c>
      <x:c r="X2603" s="23" t="str">
        <x:v>Marc.luizoliveira@gmail.com</x:v>
      </x:c>
      <x:c r="Y2603" s="22" t="str">
        <x:f>"65 9288-5258"</x:f>
        <x:v>65 9288-5258</x:v>
      </x:c>
      <x:c r="Z2603" s="30" t="n">
        <x:v>46561</x:v>
      </x:c>
    </x:row>
    <x:row r="2604" ht="18" customHeight="1">
      <x:c r="A2604" s="22" t="str">
        <x:f>"31b7e33d-ac36-4da9-86fc-dd92e1cda3c4"</x:f>
        <x:v>31b7e33d-ac36-4da9-86fc-dd92e1cda3c4</x:v>
      </x:c>
      <x:c r="B2604" s="23" t="str">
        <x:v>MARCOS MEDEIROS DA SILVA</x:v>
      </x:c>
      <x:c r="C2604" s="23" t="str">
        <x:v>marcos medeiros da silva</x:v>
      </x:c>
      <x:c r="D2604" s="22" t="str">
        <x:f>"58.475.992/0001-93"</x:f>
        <x:v>58.475.992/0001-93</x:v>
      </x:c>
      <x:c r="E2604" s="22" t="str">
        <x:f>"58475992000193"</x:f>
        <x:v>58475992000193</x:v>
      </x:c>
      <x:c r="F2604" s="22" t="str">
        <x:f>"116.148.286-52"</x:f>
        <x:v>116.148.286-52</x:v>
      </x:c>
      <x:c r="G2604" s="22" t="str">
        <x:f>"11614828652"</x:f>
        <x:v>11614828652</x:v>
      </x:c>
      <x:c r="H2604" s="23" t="str">
        <x:v>marcosduu17@gmail.com</x:v>
      </x:c>
      <x:c r="I2604" s="22" t="str">
        <x:f>"16 98162-7973"</x:f>
        <x:v>16 98162-7973</x:v>
      </x:c>
      <x:c r="J2604" s="23" t="str">
        <x:v>SPOT</x:v>
      </x:c>
      <x:c r="K2604" s="23" t="str">
        <x:v>favored_only</x:v>
      </x:c>
      <x:c r="L2604" s="24" t="b">
        <x:v>1</x:v>
      </x:c>
      <x:c r="M2604" s="23" t="n">
        <x:v>1</x:v>
      </x:c>
      <x:c r="N2604" s="28" t="n">
        <x:v>46203.92188238426</x:v>
      </x:c>
      <x:c r="O2604" s="28" t="n">
        <x:v>46219.812988715275</x:v>
      </x:c>
      <x:c r="P2604" s="23" t="str">
        <x:v>RIBEIRAO PRETO</x:v>
      </x:c>
      <x:c r="Q2604" s="30" t="n">
        <x:v>35600</x:v>
      </x:c>
      <x:c r="R2604" s="22" t="str">
        <x:f>"MG20224396"</x:f>
        <x:v>MG20224396</x:v>
      </x:c>
      <x:c r="S2604" s="23" t="str">
        <x:v>masculino</x:v>
      </x:c>
      <x:c r="T2604" s="22" t="str">
        <x:f>"FND3E68"</x:f>
        <x:v>FND3E68</x:v>
      </x:c>
      <x:c r="U2604" s="23" t="str">
        <x:v>MARCOS MEDEIROS DA SILVA</x:v>
      </x:c>
      <x:c r="V2604" s="22" t="str">
        <x:f>"116.148.286-52"</x:f>
        <x:v>116.148.286-52</x:v>
      </x:c>
      <x:c r="W2604" s="22" t="str">
        <x:f>"11614828652"</x:f>
        <x:v>11614828652</x:v>
      </x:c>
      <x:c r="X2604" s="23" t="str">
        <x:v>marcosduu17@gmail.com</x:v>
      </x:c>
      <x:c r="Y2604" s="22" t="str">
        <x:f>"16 98162-7973"</x:f>
        <x:v>16 98162-7973</x:v>
      </x:c>
      <x:c r="Z2604" s="30" t="n">
        <x:v>46318</x:v>
      </x:c>
    </x:row>
    <x:row r="2605" ht="18" customHeight="1">
      <x:c r="A2605" s="22" t="str">
        <x:f>"8ca9cda8-a5f4-4101-a560-effb296dfe95"</x:f>
        <x:v>8ca9cda8-a5f4-4101-a560-effb296dfe95</x:v>
      </x:c>
      <x:c r="B2605" s="23" t="str">
        <x:v>MARCOS ORLANDO DE SOUZA</x:v>
      </x:c>
      <x:c r="C2605" s="23" t="str">
        <x:v>marcos orlando de souza</x:v>
      </x:c>
      <x:c r="D2605" s="22" t="str">
        <x:f>"63.780.367/0001-95"</x:f>
        <x:v>63.780.367/0001-95</x:v>
      </x:c>
      <x:c r="E2605" s="22" t="str">
        <x:f>"63780367000195"</x:f>
        <x:v>63780367000195</x:v>
      </x:c>
      <x:c r="F2605" s="22" t="str">
        <x:f>"145.721.756-24"</x:f>
        <x:v>145.721.756-24</x:v>
      </x:c>
      <x:c r="G2605" s="22" t="str">
        <x:f>"14572175624"</x:f>
        <x:v>14572175624</x:v>
      </x:c>
      <x:c r="H2605" s="23" t="str">
        <x:v>marcos.marcosaouza.santos32@gmail.com</x:v>
      </x:c>
      <x:c r="I2605" s="22" t="str">
        <x:f>"(35) 98478-5826"</x:f>
        <x:v>(35) 98478-5826</x:v>
      </x:c>
      <x:c r="J2605" s="23" t="str">
        <x:v>RENTAL</x:v>
      </x:c>
      <x:c r="K2605" s="23" t="str">
        <x:v>rental_company</x:v>
      </x:c>
      <x:c r="L2605" s="24" t="b">
        <x:v>1</x:v>
      </x:c>
      <x:c r="M2605" s="23" t="n">
        <x:v>1</x:v>
      </x:c>
      <x:c r="N2605" s="28" t="n">
        <x:v>46203.92189965278</x:v>
      </x:c>
      <x:c r="O2605" s="28" t="n">
        <x:v>46219.812988715275</x:v>
      </x:c>
      <x:c r="P2605" s="23" t="str">
        <x:v>POUSO ALEGRE</x:v>
      </x:c>
      <x:c r="Q2605" s="30" t="n">
        <x:v>36787</x:v>
      </x:c>
      <x:c r="R2605" s="22" t="str">
        <x:f>"MG22242135 PC MG"</x:f>
        <x:v>MG22242135 PC MG</x:v>
      </x:c>
      <x:c r="S2605" s="23" t="str">
        <x:v>masculino</x:v>
      </x:c>
      <x:c r="T2605" s="22" t="str"/>
      <x:c r="U2605" s="23" t="str">
        <x:v>MARCOS ORLANDO DE SOUZA</x:v>
      </x:c>
      <x:c r="V2605" s="22" t="str">
        <x:f>"145.721.756-24"</x:f>
        <x:v>145.721.756-24</x:v>
      </x:c>
      <x:c r="W2605" s="22" t="str">
        <x:f>"14572175624"</x:f>
        <x:v>14572175624</x:v>
      </x:c>
      <x:c r="X2605" s="23" t="str">
        <x:v>marcos.marcosaouza.santos32@gmail.com</x:v>
      </x:c>
      <x:c r="Y2605" s="22" t="str">
        <x:f>"(35) 98478-5826"</x:f>
        <x:v>(35) 98478-5826</x:v>
      </x:c>
      <x:c r="Z2605" s="30" t="n">
        <x:v>46357</x:v>
      </x:c>
    </x:row>
    <x:row r="2606" ht="18" customHeight="1">
      <x:c r="A2606" s="22" t="str">
        <x:f>"282f6a05-d089-4f53-83f8-581c551e3234"</x:f>
        <x:v>282f6a05-d089-4f53-83f8-581c551e3234</x:v>
      </x:c>
      <x:c r="B2606" s="23" t="str">
        <x:v>MARCOS PAULO DO NASCIMENTO MOTA</x:v>
      </x:c>
      <x:c r="C2606" s="23" t="str">
        <x:v>marcos paulo do nascimento mota</x:v>
      </x:c>
      <x:c r="D2606" s="22" t="str">
        <x:f>"64.027.441/0001-60"</x:f>
        <x:v>64.027.441/0001-60</x:v>
      </x:c>
      <x:c r="E2606" s="22" t="str">
        <x:f>"64027441000160"</x:f>
        <x:v>64027441000160</x:v>
      </x:c>
      <x:c r="F2606" s="22" t="str">
        <x:f>"104.502.227-64"</x:f>
        <x:v>104.502.227-64</x:v>
      </x:c>
      <x:c r="G2606" s="22" t="str">
        <x:f>"10450222764"</x:f>
        <x:v>10450222764</x:v>
      </x:c>
      <x:c r="H2606" s="23" t="str">
        <x:v>marcospaulonmota3@yahoo.com.br</x:v>
      </x:c>
      <x:c r="I2606" s="22" t="str">
        <x:f>"2199097-7406"</x:f>
        <x:v>2199097-7406</x:v>
      </x:c>
      <x:c r="J2606" s="23" t="str">
        <x:v>SPOT</x:v>
      </x:c>
      <x:c r="K2606" s="23" t="str">
        <x:v>favored_only</x:v>
      </x:c>
      <x:c r="L2606" s="24" t="b">
        <x:v>1</x:v>
      </x:c>
      <x:c r="M2606" s="23" t="n">
        <x:v>1</x:v>
      </x:c>
      <x:c r="N2606" s="28" t="n">
        <x:v>46203.9219084375</x:v>
      </x:c>
      <x:c r="O2606" s="28" t="n">
        <x:v>46219.812988715275</x:v>
      </x:c>
      <x:c r="P2606" s="23" t="str">
        <x:v>CORDOVIL</x:v>
      </x:c>
      <x:c r="Q2606" s="30" t="n">
        <x:v>28086</x:v>
      </x:c>
      <x:c r="R2606" s="22" t="str">
        <x:f>"103564373"</x:f>
        <x:v>103564373</x:v>
      </x:c>
      <x:c r="S2606" s="23" t="str">
        <x:v>masculino</x:v>
      </x:c>
      <x:c r="T2606" s="22" t="str">
        <x:f>"PPZ0C29"</x:f>
        <x:v>PPZ0C29</x:v>
      </x:c>
      <x:c r="U2606" s="23" t="str">
        <x:v>MARCOS PAULO DO NASCIMENTO MOTA</x:v>
      </x:c>
      <x:c r="V2606" s="22" t="str">
        <x:f>"104.502.227-64"</x:f>
        <x:v>104.502.227-64</x:v>
      </x:c>
      <x:c r="W2606" s="22" t="str">
        <x:f>"10450222764"</x:f>
        <x:v>10450222764</x:v>
      </x:c>
      <x:c r="X2606" s="23" t="str">
        <x:v>marcospaulonmota3@yahoo.com.br</x:v>
      </x:c>
      <x:c r="Y2606" s="22" t="str">
        <x:f>"2199097-7406"</x:f>
        <x:v>2199097-7406</x:v>
      </x:c>
      <x:c r="Z2606" s="30" t="n">
        <x:v>46399</x:v>
      </x:c>
    </x:row>
    <x:row r="2607" ht="18" customHeight="1">
      <x:c r="A2607" s="22" t="str">
        <x:f>"3de674bb-b28a-41f8-ac96-77d25af350c5"</x:f>
        <x:v>3de674bb-b28a-41f8-ac96-77d25af350c5</x:v>
      </x:c>
      <x:c r="B2607" s="23" t="str">
        <x:v>MARCOS PAULO LEITE</x:v>
      </x:c>
      <x:c r="C2607" s="23" t="str">
        <x:v>marcos paulo leite</x:v>
      </x:c>
      <x:c r="D2607" s="22" t="str">
        <x:f>"64.089.046/0001-01"</x:f>
        <x:v>64.089.046/0001-01</x:v>
      </x:c>
      <x:c r="E2607" s="22" t="str">
        <x:f>"64089046000101"</x:f>
        <x:v>64089046000101</x:v>
      </x:c>
      <x:c r="F2607" s="22" t="str">
        <x:f>"090.009.906-29"</x:f>
        <x:v>090.009.906-29</x:v>
      </x:c>
      <x:c r="G2607" s="22" t="str">
        <x:f>"09000990629"</x:f>
        <x:v>09000990629</x:v>
      </x:c>
      <x:c r="H2607" s="23" t="str">
        <x:v>ommarcosleite1997@gmail.com</x:v>
      </x:c>
      <x:c r="I2607" s="22" t="str">
        <x:f>"35 99771-9826"</x:f>
        <x:v>35 99771-9826</x:v>
      </x:c>
      <x:c r="J2607" s="23" t="str">
        <x:v>RENTAL</x:v>
      </x:c>
      <x:c r="K2607" s="23" t="str">
        <x:v>rental_company</x:v>
      </x:c>
      <x:c r="L2607" s="24" t="b">
        <x:v>1</x:v>
      </x:c>
      <x:c r="M2607" s="23" t="n">
        <x:v>1</x:v>
      </x:c>
      <x:c r="N2607" s="28" t="n">
        <x:v>46203.921904421295</x:v>
      </x:c>
      <x:c r="O2607" s="28" t="n">
        <x:v>46219.812988715275</x:v>
      </x:c>
      <x:c r="P2607" s="23" t="str">
        <x:v>POUSO ALEGRE</x:v>
      </x:c>
      <x:c r="Q2607" s="30" t="n">
        <x:v>35623</x:v>
      </x:c>
      <x:c r="R2607" s="22" t="str">
        <x:f>"17610538"</x:f>
        <x:v>17610538</x:v>
      </x:c>
      <x:c r="S2607" s="23" t="str">
        <x:v>masculino</x:v>
      </x:c>
      <x:c r="T2607" s="22" t="str"/>
      <x:c r="U2607" s="23" t="str">
        <x:v>MARCOS PAULO LEITE</x:v>
      </x:c>
      <x:c r="V2607" s="22" t="str">
        <x:f>"090.009.906-29"</x:f>
        <x:v>090.009.906-29</x:v>
      </x:c>
      <x:c r="W2607" s="22" t="str">
        <x:f>"09000990629"</x:f>
        <x:v>09000990629</x:v>
      </x:c>
      <x:c r="X2607" s="23" t="str">
        <x:v>ommarcosleite1997@gmail.com</x:v>
      </x:c>
      <x:c r="Y2607" s="22" t="str">
        <x:f>"35 99771-9826"</x:f>
        <x:v>35 99771-9826</x:v>
      </x:c>
      <x:c r="Z2607" s="30" t="n">
        <x:v>46373</x:v>
      </x:c>
    </x:row>
    <x:row r="2608" ht="18" customHeight="1">
      <x:c r="A2608" s="22" t="str">
        <x:f>"47ef1f9c-f88f-4bc2-a8a5-2585d204853c"</x:f>
        <x:v>47ef1f9c-f88f-4bc2-a8a5-2585d204853c</x:v>
      </x:c>
      <x:c r="B2608" s="23" t="str">
        <x:v>MARCOS PAULO MESTAS</x:v>
      </x:c>
      <x:c r="C2608" s="23" t="str">
        <x:v>marcos paulo mestas</x:v>
      </x:c>
      <x:c r="D2608" s="22" t="str">
        <x:f>"53.931.395/0001-02"</x:f>
        <x:v>53.931.395/0001-02</x:v>
      </x:c>
      <x:c r="E2608" s="22" t="str">
        <x:f>"53931395000102"</x:f>
        <x:v>53931395000102</x:v>
      </x:c>
      <x:c r="F2608" s="22" t="str">
        <x:f>"127.788.286-05"</x:f>
        <x:v>127.788.286-05</x:v>
      </x:c>
      <x:c r="G2608" s="22" t="str">
        <x:f>"12778828605"</x:f>
        <x:v>12778828605</x:v>
      </x:c>
      <x:c r="H2608" s="23" t="str">
        <x:v>Mpgamermestyt@gmail.com</x:v>
      </x:c>
      <x:c r="I2608" s="22" t="str">
        <x:f>"35 998065439"</x:f>
        <x:v>35 998065439</x:v>
      </x:c>
      <x:c r="J2608" s="23" t="str">
        <x:v>SPOT</x:v>
      </x:c>
      <x:c r="K2608" s="23" t="str">
        <x:v>favored_only</x:v>
      </x:c>
      <x:c r="L2608" s="24" t="b">
        <x:v>1</x:v>
      </x:c>
      <x:c r="M2608" s="23" t="n">
        <x:v>1</x:v>
      </x:c>
      <x:c r="N2608" s="28" t="n">
        <x:v>46205.60634482639</x:v>
      </x:c>
      <x:c r="O2608" s="28" t="n">
        <x:v>46219.812988715275</x:v>
      </x:c>
      <x:c r="P2608" s="23" t="str">
        <x:v>GUAXUPE</x:v>
      </x:c>
      <x:c r="Q2608" s="30" t="n">
        <x:v>37631</x:v>
      </x:c>
      <x:c r="R2608" s="22" t="str">
        <x:f>"21669168"</x:f>
        <x:v>21669168</x:v>
      </x:c>
      <x:c r="S2608" s="23" t="str">
        <x:v>masculino</x:v>
      </x:c>
      <x:c r="T2608" s="22" t="str">
        <x:f>"QPB5071"</x:f>
        <x:v>QPB5071</x:v>
      </x:c>
      <x:c r="U2608" s="23" t="str">
        <x:v>RAFAEL LUIZ ALVES</x:v>
      </x:c>
      <x:c r="V2608" s="22" t="str">
        <x:f>"116.097.676-75"</x:f>
        <x:v>116.097.676-75</x:v>
      </x:c>
      <x:c r="W2608" s="22" t="str">
        <x:f>"11609767675"</x:f>
        <x:v>11609767675</x:v>
      </x:c>
      <x:c r="X2608" s="23" t="str">
        <x:v>RAFINHALUIZALVES2@GMAIL.COM</x:v>
      </x:c>
      <x:c r="Y2608" s="22" t="str">
        <x:f>"35 9247-1497"</x:f>
        <x:v>35 9247-1497</x:v>
      </x:c>
      <x:c r="Z2608" s="30" t="n">
        <x:v>46354</x:v>
      </x:c>
    </x:row>
    <x:row r="2609" ht="18" customHeight="1">
      <x:c r="A2609" s="22" t="str">
        <x:f>"d7f438da-09d6-4cde-ab34-43ee517721a9"</x:f>
        <x:v>d7f438da-09d6-4cde-ab34-43ee517721a9</x:v>
      </x:c>
      <x:c r="B2609" s="23" t="str">
        <x:v>MARCOS PAULO TEIXEIRA CAMPOS</x:v>
      </x:c>
      <x:c r="C2609" s="23" t="str">
        <x:v>marcos paulo teixeira campos</x:v>
      </x:c>
      <x:c r="D2609" s="22" t="str">
        <x:f>"65.817.417/0001-97"</x:f>
        <x:v>65.817.417/0001-97</x:v>
      </x:c>
      <x:c r="E2609" s="22" t="str">
        <x:f>"65817417000197"</x:f>
        <x:v>65817417000197</x:v>
      </x:c>
      <x:c r="F2609" s="22" t="str">
        <x:f>"145.731.296-42"</x:f>
        <x:v>145.731.296-42</x:v>
      </x:c>
      <x:c r="G2609" s="22" t="str">
        <x:f>"14573129642"</x:f>
        <x:v>14573129642</x:v>
      </x:c>
      <x:c r="H2609" s="23" t="str">
        <x:v>eomarquincampos7@gmail.com</x:v>
      </x:c>
      <x:c r="I2609" s="22" t="str">
        <x:f>"(12)98866-2856"</x:f>
        <x:v>(12)98866-2856</x:v>
      </x:c>
      <x:c r="J2609" s="23" t="str">
        <x:v>RENTAL</x:v>
      </x:c>
      <x:c r="K2609" s="23" t="str">
        <x:v>rental_company</x:v>
      </x:c>
      <x:c r="L2609" s="24" t="b">
        <x:v>1</x:v>
      </x:c>
      <x:c r="M2609" s="23" t="n">
        <x:v>1</x:v>
      </x:c>
      <x:c r="N2609" s="28" t="n">
        <x:v>46219.812988715275</x:v>
      </x:c>
      <x:c r="O2609" s="28" t="n">
        <x:v>46219.812988715275</x:v>
      </x:c>
      <x:c r="P2609" s="23" t="str">
        <x:v>POUSO ALEGRE</x:v>
      </x:c>
      <x:c r="Q2609" s="30" t="n">
        <x:v>38901</x:v>
      </x:c>
      <x:c r="R2609" s="22" t="str">
        <x:f>"MG22705909 SSP MG"</x:f>
        <x:v>MG22705909 SSP MG</x:v>
      </x:c>
      <x:c r="S2609" s="23" t="str">
        <x:v>masculino</x:v>
      </x:c>
      <x:c r="T2609" s="22" t="str"/>
      <x:c r="U2609" s="23" t="str">
        <x:v>MARCOS PAULO TEIXEIRA CAMPOS</x:v>
      </x:c>
      <x:c r="V2609" s="22" t="str">
        <x:f>"145.731.296-42"</x:f>
        <x:v>145.731.296-42</x:v>
      </x:c>
      <x:c r="W2609" s="22" t="str">
        <x:f>"14573129642"</x:f>
        <x:v>14573129642</x:v>
      </x:c>
      <x:c r="X2609" s="23" t="str">
        <x:v>eomarquincampos7@gmail.com</x:v>
      </x:c>
      <x:c r="Y2609" s="22" t="str">
        <x:f>"(12)98866-2856"</x:f>
        <x:v>(12)98866-2856</x:v>
      </x:c>
      <x:c r="Z2609" s="30" t="n">
        <x:v>46541</x:v>
      </x:c>
    </x:row>
    <x:row r="2610" ht="18" customHeight="1">
      <x:c r="A2610" s="22" t="str">
        <x:f>"daf856d7-e2ae-4e3c-bfd2-417acd67bdb0"</x:f>
        <x:v>daf856d7-e2ae-4e3c-bfd2-417acd67bdb0</x:v>
      </x:c>
      <x:c r="B2610" s="23" t="str">
        <x:v>MARCOS ROBERTO DA SILVA</x:v>
      </x:c>
      <x:c r="C2610" s="23" t="str">
        <x:v>marcos roberto da silva</x:v>
      </x:c>
      <x:c r="D2610" s="22" t="str">
        <x:f>"59.496.393/0001-19"</x:f>
        <x:v>59.496.393/0001-19</x:v>
      </x:c>
      <x:c r="E2610" s="22" t="str">
        <x:f>"59496393000119"</x:f>
        <x:v>59496393000119</x:v>
      </x:c>
      <x:c r="F2610" s="22" t="str">
        <x:f>"843.787.276-68"</x:f>
        <x:v>843.787.276-68</x:v>
      </x:c>
      <x:c r="G2610" s="22" t="str">
        <x:f>"84378727668"</x:f>
        <x:v>84378727668</x:v>
      </x:c>
      <x:c r="H2610" s="23" t="str">
        <x:v>smarcosroberto839@gmail.com</x:v>
      </x:c>
      <x:c r="I2610" s="22" t="str">
        <x:f>"34999768520"</x:f>
        <x:v>34999768520</x:v>
      </x:c>
      <x:c r="J2610" s="23" t="str">
        <x:v>SPOT</x:v>
      </x:c>
      <x:c r="K2610" s="23" t="str">
        <x:v>favored_only</x:v>
      </x:c>
      <x:c r="L2610" s="24" t="b">
        <x:v>1</x:v>
      </x:c>
      <x:c r="M2610" s="23" t="n">
        <x:v>1</x:v>
      </x:c>
      <x:c r="N2610" s="28" t="n">
        <x:v>46219.812988715275</x:v>
      </x:c>
      <x:c r="O2610" s="28" t="n">
        <x:v>46219.812988715275</x:v>
      </x:c>
      <x:c r="P2610" s="23" t="str">
        <x:v>PATOS DE MINAS</x:v>
      </x:c>
      <x:c r="Q2610" s="30" t="n">
        <x:v>26067</x:v>
      </x:c>
      <x:c r="R2610" s="22" t="str">
        <x:f>"MG 15165404"</x:f>
        <x:v>MG 15165404</x:v>
      </x:c>
      <x:c r="S2610" s="23" t="str">
        <x:v>masculino</x:v>
      </x:c>
      <x:c r="T2610" s="22" t="str">
        <x:f>"PAZ5887"</x:f>
        <x:v>PAZ5887</x:v>
      </x:c>
      <x:c r="U2610" s="23" t="str">
        <x:v>MARCOS ROBERTO DA SILVA</x:v>
      </x:c>
      <x:c r="V2610" s="22" t="str">
        <x:f>"843.787.276-68"</x:f>
        <x:v>843.787.276-68</x:v>
      </x:c>
      <x:c r="W2610" s="22" t="str">
        <x:f>"84378727668"</x:f>
        <x:v>84378727668</x:v>
      </x:c>
      <x:c r="X2610" s="23" t="str">
        <x:v>smarcosroberto839@gmail.com</x:v>
      </x:c>
      <x:c r="Y2610" s="22" t="str">
        <x:f>"34999768520"</x:f>
        <x:v>34999768520</x:v>
      </x:c>
      <x:c r="Z2610" s="30" t="n">
        <x:v>46259</x:v>
      </x:c>
    </x:row>
    <x:row r="2611" ht="18" customHeight="1">
      <x:c r="A2611" s="22" t="str">
        <x:f>"7046c11a-4cfa-400c-bb66-4342e4f541e0"</x:f>
        <x:v>7046c11a-4cfa-400c-bb66-4342e4f541e0</x:v>
      </x:c>
      <x:c r="B2611" s="23" t="str">
        <x:v>MARCOS ROBERTO DE LIMA FILHO</x:v>
      </x:c>
      <x:c r="C2611" s="23" t="str">
        <x:v>marcos roberto de lima filho</x:v>
      </x:c>
      <x:c r="D2611" s="22" t="str">
        <x:f>"67.552.431/0001-31"</x:f>
        <x:v>67.552.431/0001-31</x:v>
      </x:c>
      <x:c r="E2611" s="22" t="str">
        <x:f>"67552431000131"</x:f>
        <x:v>67552431000131</x:v>
      </x:c>
      <x:c r="F2611" s="22" t="str">
        <x:f>"501.797.368-09"</x:f>
        <x:v>501.797.368-09</x:v>
      </x:c>
      <x:c r="G2611" s="22" t="str">
        <x:f>"50179736809"</x:f>
        <x:v>50179736809</x:v>
      </x:c>
      <x:c r="H2611" s="23" t="str">
        <x:v>ja_limaoliveira@hotmail.com</x:v>
      </x:c>
      <x:c r="I2611" s="22" t="str">
        <x:f>"18997257032"</x:f>
        <x:v>18997257032</x:v>
      </x:c>
      <x:c r="J2611" s="23" t="str">
        <x:v>RENTAL</x:v>
      </x:c>
      <x:c r="K2611" s="23" t="str">
        <x:v>rental_company</x:v>
      </x:c>
      <x:c r="L2611" s="24" t="b">
        <x:v>1</x:v>
      </x:c>
      <x:c r="M2611" s="23" t="n">
        <x:v>1</x:v>
      </x:c>
      <x:c r="N2611" s="28" t="n">
        <x:v>46219.812988715275</x:v>
      </x:c>
      <x:c r="O2611" s="28" t="n">
        <x:v>46219.812988715275</x:v>
      </x:c>
      <x:c r="P2611" s="23" t="str">
        <x:v>PRESIDENTE PRUDENTE</x:v>
      </x:c>
      <x:c r="Q2611" s="30" t="n">
        <x:v>37794</x:v>
      </x:c>
      <x:c r="R2611" s="22" t="str">
        <x:f>"603387111"</x:f>
        <x:v>603387111</x:v>
      </x:c>
      <x:c r="S2611" s="23" t="str">
        <x:v>masculino</x:v>
      </x:c>
      <x:c r="T2611" s="22" t="str"/>
      <x:c r="U2611" s="23" t="str">
        <x:v>MARCOS ROBERTO DE LIMA FILHO</x:v>
      </x:c>
      <x:c r="V2611" s="22" t="str">
        <x:f>"501.797.368-09"</x:f>
        <x:v>501.797.368-09</x:v>
      </x:c>
      <x:c r="W2611" s="22" t="str">
        <x:f>"50179736809"</x:f>
        <x:v>50179736809</x:v>
      </x:c>
      <x:c r="X2611" s="23" t="str">
        <x:v>ja_limaoliveira@hotmail.com</x:v>
      </x:c>
      <x:c r="Y2611" s="22" t="str">
        <x:f>"18997257032"</x:f>
        <x:v>18997257032</x:v>
      </x:c>
      <x:c r="Z2611" s="30" t="n">
        <x:v>46568</x:v>
      </x:c>
    </x:row>
    <x:row r="2612" ht="18" customHeight="1">
      <x:c r="A2612" s="22" t="str">
        <x:f>"2fd70651-e845-4406-97b9-b0285d66f3c9"</x:f>
        <x:v>2fd70651-e845-4406-97b9-b0285d66f3c9</x:v>
      </x:c>
      <x:c r="B2612" s="23" t="str">
        <x:v>MARCOS SILVA DOS SANTOS</x:v>
      </x:c>
      <x:c r="C2612" s="23" t="str">
        <x:v>marcos silva dos santos</x:v>
      </x:c>
      <x:c r="D2612" s="22" t="str">
        <x:f>"37.213.674/0001-84"</x:f>
        <x:v>37.213.674/0001-84</x:v>
      </x:c>
      <x:c r="E2612" s="22" t="str">
        <x:f>"37213674000184"</x:f>
        <x:v>37213674000184</x:v>
      </x:c>
      <x:c r="F2612" s="22" t="str">
        <x:f>"702.321.081-45"</x:f>
        <x:v>702.321.081-45</x:v>
      </x:c>
      <x:c r="G2612" s="22" t="str">
        <x:f>"70232108145"</x:f>
        <x:v>70232108145</x:v>
      </x:c>
      <x:c r="H2612" s="23" t="str">
        <x:v>marcosilva2996@gmail.com</x:v>
      </x:c>
      <x:c r="I2612" s="22" t="str">
        <x:f>"62991541104"</x:f>
        <x:v>62991541104</x:v>
      </x:c>
      <x:c r="J2612" s="23" t="str">
        <x:v>RENTAL</x:v>
      </x:c>
      <x:c r="K2612" s="23" t="str">
        <x:v>rental_company</x:v>
      </x:c>
      <x:c r="L2612" s="24" t="b">
        <x:v>1</x:v>
      </x:c>
      <x:c r="M2612" s="23" t="n">
        <x:v>1</x:v>
      </x:c>
      <x:c r="N2612" s="28" t="n">
        <x:v>46203.9218771875</x:v>
      </x:c>
      <x:c r="O2612" s="28" t="n">
        <x:v>46219.812988715275</x:v>
      </x:c>
      <x:c r="P2612" s="23" t="str">
        <x:v>GOIANIA</x:v>
      </x:c>
      <x:c r="Q2612" s="30" t="n">
        <x:v>35561</x:v>
      </x:c>
      <x:c r="R2612" s="22" t="str">
        <x:f>"6148270"</x:f>
        <x:v>6148270</x:v>
      </x:c>
      <x:c r="S2612" s="23" t="str">
        <x:v>masculino</x:v>
      </x:c>
      <x:c r="T2612" s="22" t="str"/>
      <x:c r="U2612" s="23" t="str">
        <x:v>MARCOS SILVA DOS SANTOS</x:v>
      </x:c>
      <x:c r="V2612" s="22" t="str">
        <x:f>"702.321.081-45"</x:f>
        <x:v>702.321.081-45</x:v>
      </x:c>
      <x:c r="W2612" s="22" t="str">
        <x:f>"70232108145"</x:f>
        <x:v>70232108145</x:v>
      </x:c>
      <x:c r="X2612" s="23" t="str">
        <x:v>marcosilva2996@gmail.com</x:v>
      </x:c>
      <x:c r="Y2612" s="22" t="str">
        <x:f>"62991541104"</x:f>
        <x:v>62991541104</x:v>
      </x:c>
      <x:c r="Z2612" s="30" t="n">
        <x:v>46312</x:v>
      </x:c>
    </x:row>
    <x:row r="2613" ht="18" customHeight="1">
      <x:c r="A2613" s="22" t="str">
        <x:f>"3a41fd2b-4a1f-4b5d-b5fa-6f7db09e9183"</x:f>
        <x:v>3a41fd2b-4a1f-4b5d-b5fa-6f7db09e9183</x:v>
      </x:c>
      <x:c r="B2613" s="23" t="str">
        <x:v>MARCOS TADEU DA SILVA CAVALCANTI</x:v>
      </x:c>
      <x:c r="C2613" s="23" t="str">
        <x:v>marcos tadeu da silva cavalcanti</x:v>
      </x:c>
      <x:c r="D2613" s="22" t="str">
        <x:f>"37.624.531/0001-65"</x:f>
        <x:v>37.624.531/0001-65</x:v>
      </x:c>
      <x:c r="E2613" s="22" t="str">
        <x:f>"37624531000165"</x:f>
        <x:v>37624531000165</x:v>
      </x:c>
      <x:c r="F2613" s="22" t="str">
        <x:f>"019.317.751-09"</x:f>
        <x:v>019.317.751-09</x:v>
      </x:c>
      <x:c r="G2613" s="22" t="str">
        <x:f>"01931775109"</x:f>
        <x:v>01931775109</x:v>
      </x:c>
      <x:c r="H2613" s="23" t="str">
        <x:v>marcostadeudasilvacavalcanti@gmail.com</x:v>
      </x:c>
      <x:c r="I2613" s="22" t="str">
        <x:f>"65999102920"</x:f>
        <x:v>65999102920</x:v>
      </x:c>
      <x:c r="J2613" s="23" t="str">
        <x:v>SPOT</x:v>
      </x:c>
      <x:c r="K2613" s="23" t="str">
        <x:v>favored_only</x:v>
      </x:c>
      <x:c r="L2613" s="24" t="b">
        <x:v>1</x:v>
      </x:c>
      <x:c r="M2613" s="23" t="n">
        <x:v>1</x:v>
      </x:c>
      <x:c r="N2613" s="28" t="n">
        <x:v>46219.812988715275</x:v>
      </x:c>
      <x:c r="O2613" s="28" t="n">
        <x:v>46219.812988715275</x:v>
      </x:c>
      <x:c r="P2613" s="23" t="str">
        <x:v>CÁCERES</x:v>
      </x:c>
      <x:c r="Q2613" s="30" t="n">
        <x:v>31316</x:v>
      </x:c>
      <x:c r="R2613" s="22" t="str">
        <x:f>"14118459"</x:f>
        <x:v>14118459</x:v>
      </x:c>
      <x:c r="S2613" s="23" t="str">
        <x:v>masculino</x:v>
      </x:c>
      <x:c r="T2613" s="22" t="str">
        <x:f>"FRW8A99"</x:f>
        <x:v>FRW8A99</x:v>
      </x:c>
      <x:c r="U2613" s="23" t="str">
        <x:v>OLDAIR JOSE RIBEIRO MATOS</x:v>
      </x:c>
      <x:c r="V2613" s="22" t="str">
        <x:f>"901.012.430-49"</x:f>
        <x:v>901.012.430-49</x:v>
      </x:c>
      <x:c r="W2613" s="22" t="str">
        <x:f>"90101243049"</x:f>
        <x:v>90101243049</x:v>
      </x:c>
      <x:c r="X2613" s="23" t="str">
        <x:v>oldairmatos73@gmail.com</x:v>
      </x:c>
      <x:c r="Y2613" s="22" t="str">
        <x:f>"67996224877"</x:f>
        <x:v>67996224877</x:v>
      </x:c>
      <x:c r="Z2613" s="30" t="n">
        <x:v>46465</x:v>
      </x:c>
    </x:row>
    <x:row r="2614" ht="18" customHeight="1">
      <x:c r="A2614" s="22" t="str">
        <x:f>"cc0f2a5f-1231-4bca-9f71-75661d36c162"</x:f>
        <x:v>cc0f2a5f-1231-4bca-9f71-75661d36c162</x:v>
      </x:c>
      <x:c r="B2614" s="23" t="str">
        <x:v>MARCOS TULIO DE SA OLIVEIRA</x:v>
      </x:c>
      <x:c r="C2614" s="23" t="str">
        <x:v>marcos tulio de sa oliveira</x:v>
      </x:c>
      <x:c r="D2614" s="22" t="str">
        <x:f>"62.683.433/0001-46"</x:f>
        <x:v>62.683.433/0001-46</x:v>
      </x:c>
      <x:c r="E2614" s="22" t="str">
        <x:f>"62683433000146"</x:f>
        <x:v>62683433000146</x:v>
      </x:c>
      <x:c r="F2614" s="22" t="str">
        <x:f>"017.578.591-01"</x:f>
        <x:v>017.578.591-01</x:v>
      </x:c>
      <x:c r="G2614" s="22" t="str">
        <x:f>"01757859101"</x:f>
        <x:v>01757859101</x:v>
      </x:c>
      <x:c r="H2614" s="23" t="str">
        <x:v>marcostuliogv@gmail.com</x:v>
      </x:c>
      <x:c r="I2614" s="22" t="str">
        <x:f>"(62) 9 8267- 8488"</x:f>
        <x:v>(62) 9 8267- 8488</x:v>
      </x:c>
      <x:c r="J2614" s="23" t="str">
        <x:v>RENTAL</x:v>
      </x:c>
      <x:c r="K2614" s="23" t="str">
        <x:v>rental_company</x:v>
      </x:c>
      <x:c r="L2614" s="24" t="b">
        <x:v>1</x:v>
      </x:c>
      <x:c r="M2614" s="23" t="n">
        <x:v>1</x:v>
      </x:c>
      <x:c r="N2614" s="28" t="n">
        <x:v>46203.92186888889</x:v>
      </x:c>
      <x:c r="O2614" s="28" t="n">
        <x:v>46219.812988715275</x:v>
      </x:c>
      <x:c r="P2614" s="23" t="str">
        <x:v>GOIANIA</x:v>
      </x:c>
      <x:c r="Q2614" s="30" t="n">
        <x:v>33315</x:v>
      </x:c>
      <x:c r="R2614" s="22" t="str">
        <x:f>"5020086"</x:f>
        <x:v>5020086</x:v>
      </x:c>
      <x:c r="S2614" s="23" t="str">
        <x:v>masculino</x:v>
      </x:c>
      <x:c r="T2614" s="22" t="str"/>
      <x:c r="U2614" s="23" t="str">
        <x:v>MARCOS TULIO DE SA OLIVEIRA</x:v>
      </x:c>
      <x:c r="V2614" s="22" t="str">
        <x:f>"017.578.591-01"</x:f>
        <x:v>017.578.591-01</x:v>
      </x:c>
      <x:c r="W2614" s="22" t="str">
        <x:f>"01757859101"</x:f>
        <x:v>01757859101</x:v>
      </x:c>
      <x:c r="X2614" s="23" t="str">
        <x:v>marcostuliogv@gmail.com</x:v>
      </x:c>
      <x:c r="Y2614" s="22" t="str">
        <x:f>"(62) 9 8267- 8488"</x:f>
        <x:v>(62) 9 8267- 8488</x:v>
      </x:c>
      <x:c r="Z2614" s="30" t="n">
        <x:v>46297</x:v>
      </x:c>
    </x:row>
    <x:row r="2615" ht="18" customHeight="1">
      <x:c r="A2615" s="22" t="str">
        <x:f>"72d3414f-7c8f-4339-b25e-aecf3939308a"</x:f>
        <x:v>72d3414f-7c8f-4339-b25e-aecf3939308a</x:v>
      </x:c>
      <x:c r="B2615" s="23" t="str">
        <x:v>MARCOS VINICIUS DA COSTA RODRIGUES</x:v>
      </x:c>
      <x:c r="C2615" s="23" t="str">
        <x:v>marcos vinicius da costa rodrigues</x:v>
      </x:c>
      <x:c r="D2615" s="22" t="str">
        <x:f>"42.348.028/0001-64"</x:f>
        <x:v>42.348.028/0001-64</x:v>
      </x:c>
      <x:c r="E2615" s="22" t="str">
        <x:f>"42348028000164"</x:f>
        <x:v>42348028000164</x:v>
      </x:c>
      <x:c r="F2615" s="22" t="str">
        <x:f>"157.652.257-13"</x:f>
        <x:v>157.652.257-13</x:v>
      </x:c>
      <x:c r="G2615" s="22" t="str">
        <x:f>"15765225713"</x:f>
        <x:v>15765225713</x:v>
      </x:c>
      <x:c r="H2615" s="23" t="str">
        <x:v>marcoscrod@gmail.com</x:v>
      </x:c>
      <x:c r="I2615" s="22" t="str">
        <x:f>"21985798225"</x:f>
        <x:v>21985798225</x:v>
      </x:c>
      <x:c r="J2615" s="23" t="str">
        <x:v>SPOT</x:v>
      </x:c>
      <x:c r="K2615" s="23" t="str">
        <x:v>favored_only</x:v>
      </x:c>
      <x:c r="L2615" s="24" t="b">
        <x:v>1</x:v>
      </x:c>
      <x:c r="M2615" s="23" t="n">
        <x:v>1</x:v>
      </x:c>
      <x:c r="N2615" s="28" t="n">
        <x:v>46203.92189965278</x:v>
      </x:c>
      <x:c r="O2615" s="28" t="n">
        <x:v>46219.812988715275</x:v>
      </x:c>
      <x:c r="P2615" s="23" t="str">
        <x:v>CORDOVIL</x:v>
      </x:c>
      <x:c r="Q2615" s="30" t="n">
        <x:v>34403</x:v>
      </x:c>
      <x:c r="R2615" s="22" t="str">
        <x:f>"237080031"</x:f>
        <x:v>237080031</x:v>
      </x:c>
      <x:c r="S2615" s="23" t="str">
        <x:v>masculino</x:v>
      </x:c>
      <x:c r="T2615" s="22" t="str">
        <x:f>"PXQ2D17"</x:f>
        <x:v>PXQ2D17</x:v>
      </x:c>
      <x:c r="U2615" s="23" t="str">
        <x:v>MARCOS VINICIUS DA COSTA RODRIGUES</x:v>
      </x:c>
      <x:c r="V2615" s="22" t="str">
        <x:f>"157.652.257-13"</x:f>
        <x:v>157.652.257-13</x:v>
      </x:c>
      <x:c r="W2615" s="22" t="str">
        <x:f>"15765225713"</x:f>
        <x:v>15765225713</x:v>
      </x:c>
      <x:c r="X2615" s="23" t="str">
        <x:v>marcoscrod@gmail.com</x:v>
      </x:c>
      <x:c r="Y2615" s="22" t="str">
        <x:f>"21985798225"</x:f>
        <x:v>21985798225</x:v>
      </x:c>
      <x:c r="Z2615" s="30" t="n">
        <x:v>46357</x:v>
      </x:c>
    </x:row>
    <x:row r="2616" ht="18" customHeight="1">
      <x:c r="A2616" s="22" t="str">
        <x:f>"e60fbe6e-d8d0-4469-8acb-4620e500d647"</x:f>
        <x:v>e60fbe6e-d8d0-4469-8acb-4620e500d647</x:v>
      </x:c>
      <x:c r="B2616" s="23" t="str">
        <x:v>MARCOS VINICIUS DOS SANTOS SOUZA</x:v>
      </x:c>
      <x:c r="C2616" s="23" t="str">
        <x:v>marcos vinicius dos santos souza</x:v>
      </x:c>
      <x:c r="D2616" s="22" t="str">
        <x:f>"66.248.283/0001-01"</x:f>
        <x:v>66.248.283/0001-01</x:v>
      </x:c>
      <x:c r="E2616" s="22" t="str">
        <x:f>"66248283000101"</x:f>
        <x:v>66248283000101</x:v>
      </x:c>
      <x:c r="F2616" s="22" t="str">
        <x:f>"703.173.296-42"</x:f>
        <x:v>703.173.296-42</x:v>
      </x:c>
      <x:c r="G2616" s="22" t="str">
        <x:f>"70317329642"</x:f>
        <x:v>70317329642</x:v>
      </x:c>
      <x:c r="H2616" s="23" t="str">
        <x:v>Marcos.tsl5729@gmail.com</x:v>
      </x:c>
      <x:c r="I2616" s="22" t="str">
        <x:f>"31988910576"</x:f>
        <x:v>31988910576</x:v>
      </x:c>
      <x:c r="J2616" s="23" t="str">
        <x:v>RENTAL</x:v>
      </x:c>
      <x:c r="K2616" s="23" t="str">
        <x:v>rental_company</x:v>
      </x:c>
      <x:c r="L2616" s="24" t="b">
        <x:v>1</x:v>
      </x:c>
      <x:c r="M2616" s="23" t="n">
        <x:v>1</x:v>
      </x:c>
      <x:c r="N2616" s="28" t="n">
        <x:v>46219.812988715275</x:v>
      </x:c>
      <x:c r="O2616" s="28" t="n">
        <x:v>46219.812988715275</x:v>
      </x:c>
      <x:c r="P2616" s="23" t="str">
        <x:v>CONTAGEM</x:v>
      </x:c>
      <x:c r="Q2616" s="30" t="n">
        <x:v>37170</x:v>
      </x:c>
      <x:c r="R2616" s="22" t="str">
        <x:f>"mg22067298"</x:f>
        <x:v>mg22067298</x:v>
      </x:c>
      <x:c r="S2616" s="23" t="str">
        <x:v>masculino</x:v>
      </x:c>
      <x:c r="T2616" s="22" t="str"/>
      <x:c r="U2616" s="23" t="str">
        <x:v>MARCOS VINICIUS DOS SANTOS SOUZA</x:v>
      </x:c>
      <x:c r="V2616" s="22" t="str">
        <x:f>"703.173.296-42"</x:f>
        <x:v>703.173.296-42</x:v>
      </x:c>
      <x:c r="W2616" s="22" t="str">
        <x:f>"70317329642"</x:f>
        <x:v>70317329642</x:v>
      </x:c>
      <x:c r="X2616" s="23" t="str">
        <x:v>Marcos.tsl5729@gmail.com</x:v>
      </x:c>
      <x:c r="Y2616" s="22" t="str">
        <x:f>"31988910576"</x:f>
        <x:v>31988910576</x:v>
      </x:c>
      <x:c r="Z2616" s="30" t="n">
        <x:v>46491</x:v>
      </x:c>
    </x:row>
    <x:row r="2617" ht="18" customHeight="1">
      <x:c r="A2617" s="22" t="str">
        <x:f>"7d0e5039-3674-45fd-877f-1507c97dd997"</x:f>
        <x:v>7d0e5039-3674-45fd-877f-1507c97dd997</x:v>
      </x:c>
      <x:c r="B2617" s="23" t="str">
        <x:v>MARCOS VINICIUS DOS SANTOS THADEU</x:v>
      </x:c>
      <x:c r="C2617" s="23" t="str">
        <x:v>marcos vinicius dos santos thadeu</x:v>
      </x:c>
      <x:c r="D2617" s="22" t="str">
        <x:f>"67.183.985/0001-09"</x:f>
        <x:v>67.183.985/0001-09</x:v>
      </x:c>
      <x:c r="E2617" s="22" t="str">
        <x:f>"67183985000109"</x:f>
        <x:v>67183985000109</x:v>
      </x:c>
      <x:c r="F2617" s="22" t="str">
        <x:f>"708.230.081-69"</x:f>
        <x:v>708.230.081-69</x:v>
      </x:c>
      <x:c r="G2617" s="22" t="str">
        <x:f>"70823008169"</x:f>
        <x:v>70823008169</x:v>
      </x:c>
      <x:c r="H2617" s="23" t="str">
        <x:v>MARCOS.7897.COM@GMAIL.COM</x:v>
      </x:c>
      <x:c r="I2617" s="22" t="str">
        <x:f>"64996606250"</x:f>
        <x:v>64996606250</x:v>
      </x:c>
      <x:c r="J2617" s="23" t="str">
        <x:v>RENTAL</x:v>
      </x:c>
      <x:c r="K2617" s="23" t="str">
        <x:v>rental_company</x:v>
      </x:c>
      <x:c r="L2617" s="24" t="b">
        <x:v>1</x:v>
      </x:c>
      <x:c r="M2617" s="23" t="n">
        <x:v>1</x:v>
      </x:c>
      <x:c r="N2617" s="28" t="n">
        <x:v>46219.812988715275</x:v>
      </x:c>
      <x:c r="O2617" s="28" t="n">
        <x:v>46219.812988715275</x:v>
      </x:c>
      <x:c r="P2617" s="23" t="str">
        <x:v>UBERLANDIA</x:v>
      </x:c>
      <x:c r="Q2617" s="30" t="n">
        <x:v>37090</x:v>
      </x:c>
      <x:c r="R2617" s="22" t="str">
        <x:f>"6791493"</x:f>
        <x:v>6791493</x:v>
      </x:c>
      <x:c r="S2617" s="23" t="str">
        <x:v>masculino</x:v>
      </x:c>
      <x:c r="T2617" s="22" t="str"/>
      <x:c r="U2617" s="23" t="str">
        <x:v>MARCOS VINICIUS DOS SANTOS THADEU</x:v>
      </x:c>
      <x:c r="V2617" s="22" t="str">
        <x:f>"708.230.081-69"</x:f>
        <x:v>708.230.081-69</x:v>
      </x:c>
      <x:c r="W2617" s="22" t="str">
        <x:f>"70823008169"</x:f>
        <x:v>70823008169</x:v>
      </x:c>
      <x:c r="X2617" s="23" t="str">
        <x:v>MARCOS.7897.COM@GMAIL.COM</x:v>
      </x:c>
      <x:c r="Y2617" s="22" t="str">
        <x:f>"64996606250"</x:f>
        <x:v>64996606250</x:v>
      </x:c>
      <x:c r="Z2617" s="30" t="n">
        <x:v>46546</x:v>
      </x:c>
    </x:row>
    <x:row r="2618" ht="18" customHeight="1">
      <x:c r="A2618" s="22" t="str">
        <x:f>"c84adcda-6e05-4fa8-a92a-0694bc78f78e"</x:f>
        <x:v>c84adcda-6e05-4fa8-a92a-0694bc78f78e</x:v>
      </x:c>
      <x:c r="B2618" s="23" t="str">
        <x:v>MARCOS VINICIUS FERREIRA</x:v>
      </x:c>
      <x:c r="C2618" s="23" t="str">
        <x:v>marcos vinicius ferreira</x:v>
      </x:c>
      <x:c r="D2618" s="22" t="str">
        <x:f>"46.712.240/0001-10"</x:f>
        <x:v>46.712.240/0001-10</x:v>
      </x:c>
      <x:c r="E2618" s="22" t="str">
        <x:f>"46712240000110"</x:f>
        <x:v>46712240000110</x:v>
      </x:c>
      <x:c r="F2618" s="22" t="str">
        <x:f>"703.822.731-92"</x:f>
        <x:v>703.822.731-92</x:v>
      </x:c>
      <x:c r="G2618" s="22" t="str">
        <x:f>"70382273192"</x:f>
        <x:v>70382273192</x:v>
      </x:c>
      <x:c r="H2618" s="23" t="str">
        <x:v>martimopen@gmail.com</x:v>
      </x:c>
      <x:c r="I2618" s="22" t="str">
        <x:f>"17 98160-2841"</x:f>
        <x:v>17 98160-2841</x:v>
      </x:c>
      <x:c r="J2618" s="23" t="str">
        <x:v>SPOT</x:v>
      </x:c>
      <x:c r="K2618" s="23" t="str">
        <x:v>favored_only</x:v>
      </x:c>
      <x:c r="L2618" s="24" t="b">
        <x:v>1</x:v>
      </x:c>
      <x:c r="M2618" s="23" t="n">
        <x:v>1</x:v>
      </x:c>
      <x:c r="N2618" s="28" t="n">
        <x:v>46219.812988715275</x:v>
      </x:c>
      <x:c r="O2618" s="28" t="n">
        <x:v>46219.812988715275</x:v>
      </x:c>
      <x:c r="P2618" s="23" t="str">
        <x:v>BARRETOS</x:v>
      </x:c>
      <x:c r="Q2618" s="30" t="n">
        <x:v>37848</x:v>
      </x:c>
      <x:c r="R2618" s="22" t="str">
        <x:f>"672899565"</x:f>
        <x:v>672899565</x:v>
      </x:c>
      <x:c r="S2618" s="23" t="str">
        <x:v>masculino</x:v>
      </x:c>
      <x:c r="T2618" s="22" t="str">
        <x:f>"GHS9G42"</x:f>
        <x:v>GHS9G42</x:v>
      </x:c>
      <x:c r="U2618" s="23" t="str">
        <x:v>MARCOS VINICIUS FERREIRA</x:v>
      </x:c>
      <x:c r="V2618" s="22" t="str">
        <x:f>"703.822.731-92"</x:f>
        <x:v>703.822.731-92</x:v>
      </x:c>
      <x:c r="W2618" s="22" t="str">
        <x:f>"70382273192"</x:f>
        <x:v>70382273192</x:v>
      </x:c>
      <x:c r="X2618" s="23" t="str">
        <x:v>martimopen@gmail.com</x:v>
      </x:c>
      <x:c r="Y2618" s="22" t="str">
        <x:f>"17 98160-2841"</x:f>
        <x:v>17 98160-2841</x:v>
      </x:c>
      <x:c r="Z2618" s="30" t="n">
        <x:v>46455</x:v>
      </x:c>
    </x:row>
    <x:row r="2619" ht="18" customHeight="1">
      <x:c r="A2619" s="22" t="str">
        <x:f>"3a725b8c-342c-4dcd-94d0-8c4ffd4eed83"</x:f>
        <x:v>3a725b8c-342c-4dcd-94d0-8c4ffd4eed83</x:v>
      </x:c>
      <x:c r="B2619" s="23" t="str">
        <x:v>MARCOS VINICIUS FERREIRA COELHO</x:v>
      </x:c>
      <x:c r="C2619" s="23" t="str">
        <x:v>marcos vinicius ferreira coelho</x:v>
      </x:c>
      <x:c r="D2619" s="22" t="str">
        <x:f>"63.437.787/0001-73"</x:f>
        <x:v>63.437.787/0001-73</x:v>
      </x:c>
      <x:c r="E2619" s="22" t="str">
        <x:f>"63437787000173"</x:f>
        <x:v>63437787000173</x:v>
      </x:c>
      <x:c r="F2619" s="22" t="str">
        <x:f>"413.378.058-23"</x:f>
        <x:v>413.378.058-23</x:v>
      </x:c>
      <x:c r="G2619" s="22" t="str">
        <x:f>"41337805823"</x:f>
        <x:v>41337805823</x:v>
      </x:c>
      <x:c r="H2619" s="23" t="str">
        <x:v>mv6103691@gmail.com</x:v>
      </x:c>
      <x:c r="I2619" s="22" t="str">
        <x:f>"18997251239"</x:f>
        <x:v>18997251239</x:v>
      </x:c>
      <x:c r="J2619" s="23" t="str">
        <x:v>RENTAL</x:v>
      </x:c>
      <x:c r="K2619" s="23" t="str">
        <x:v>rental_company</x:v>
      </x:c>
      <x:c r="L2619" s="24" t="b">
        <x:v>1</x:v>
      </x:c>
      <x:c r="M2619" s="23" t="n">
        <x:v>1</x:v>
      </x:c>
      <x:c r="N2619" s="28" t="n">
        <x:v>46203.921887453704</x:v>
      </x:c>
      <x:c r="O2619" s="28" t="n">
        <x:v>46219.812988715275</x:v>
      </x:c>
      <x:c r="P2619" s="23" t="str">
        <x:v>PRESIDENTE PRUDENTE</x:v>
      </x:c>
      <x:c r="Q2619" s="30" t="n">
        <x:v>37998</x:v>
      </x:c>
      <x:c r="R2619" s="22" t="str">
        <x:f>"393865472"</x:f>
        <x:v>393865472</x:v>
      </x:c>
      <x:c r="S2619" s="23" t="str">
        <x:v>masculino</x:v>
      </x:c>
      <x:c r="T2619" s="22" t="str"/>
      <x:c r="U2619" s="23" t="str">
        <x:v>MARCOS VINICIUS FERREIRA COELHO</x:v>
      </x:c>
      <x:c r="V2619" s="22" t="str">
        <x:f>"413.378.058-23"</x:f>
        <x:v>413.378.058-23</x:v>
      </x:c>
      <x:c r="W2619" s="22" t="str">
        <x:f>"41337805823"</x:f>
        <x:v>41337805823</x:v>
      </x:c>
      <x:c r="X2619" s="23" t="str">
        <x:v>mv6103691@gmail.com</x:v>
      </x:c>
      <x:c r="Y2619" s="22" t="str">
        <x:f>"18997251239"</x:f>
        <x:v>18997251239</x:v>
      </x:c>
      <x:c r="Z2619" s="30" t="n">
        <x:v>46331</x:v>
      </x:c>
    </x:row>
    <x:row r="2620" ht="18" customHeight="1">
      <x:c r="A2620" s="22" t="str">
        <x:f>"9753a2e4-8e08-44ff-99d5-b317c725a829"</x:f>
        <x:v>9753a2e4-8e08-44ff-99d5-b317c725a829</x:v>
      </x:c>
      <x:c r="B2620" s="23" t="str">
        <x:v>MARCOS VINICIUS MIRANDA DE OLIVEIRA</x:v>
      </x:c>
      <x:c r="C2620" s="23" t="str">
        <x:v>marcos vinicius miranda de oliveira</x:v>
      </x:c>
      <x:c r="D2620" s="22" t="str">
        <x:f>"58.547.763/0001-37"</x:f>
        <x:v>58.547.763/0001-37</x:v>
      </x:c>
      <x:c r="E2620" s="22" t="str">
        <x:f>"58547763000137"</x:f>
        <x:v>58547763000137</x:v>
      </x:c>
      <x:c r="F2620" s="22" t="str">
        <x:f>"184.953.277-08"</x:f>
        <x:v>184.953.277-08</x:v>
      </x:c>
      <x:c r="G2620" s="22" t="str">
        <x:f>"18495327708"</x:f>
        <x:v>18495327708</x:v>
      </x:c>
      <x:c r="H2620" s="23" t="str">
        <x:v>Onlinejogos694@gmail.com</x:v>
      </x:c>
      <x:c r="I2620" s="22" t="str">
        <x:f>"22998080289"</x:f>
        <x:v>22998080289</x:v>
      </x:c>
      <x:c r="J2620" s="23" t="str">
        <x:v>SPOT</x:v>
      </x:c>
      <x:c r="K2620" s="23" t="str">
        <x:v>favored_only</x:v>
      </x:c>
      <x:c r="L2620" s="24" t="b">
        <x:v>1</x:v>
      </x:c>
      <x:c r="M2620" s="23" t="n">
        <x:v>1</x:v>
      </x:c>
      <x:c r="N2620" s="28" t="n">
        <x:v>46219.812988715275</x:v>
      </x:c>
      <x:c r="O2620" s="28" t="n">
        <x:v>46219.812988715275</x:v>
      </x:c>
      <x:c r="P2620" s="23" t="str">
        <x:v>CAMPOS DOS GOYTACAZES</x:v>
      </x:c>
      <x:c r="Q2620" s="30" t="n">
        <x:v>37458</x:v>
      </x:c>
      <x:c r="R2620" s="22" t="str">
        <x:f>"316031194"</x:f>
        <x:v>316031194</x:v>
      </x:c>
      <x:c r="S2620" s="23" t="str">
        <x:v>masculino</x:v>
      </x:c>
      <x:c r="T2620" s="22" t="str">
        <x:f>"KWG9J82"</x:f>
        <x:v>KWG9J82</x:v>
      </x:c>
      <x:c r="U2620" s="23" t="str">
        <x:v>GIAN LUIZ FERREIRA MENDES</x:v>
      </x:c>
      <x:c r="V2620" s="22" t="str">
        <x:f>"150.312.347-25"</x:f>
        <x:v>150.312.347-25</x:v>
      </x:c>
      <x:c r="W2620" s="22" t="str">
        <x:f>"15031234725"</x:f>
        <x:v>15031234725</x:v>
      </x:c>
      <x:c r="X2620" s="23" t="str">
        <x:v>gianluizmendes@gmail.com</x:v>
      </x:c>
      <x:c r="Y2620" s="22" t="str">
        <x:f>"22 998287560"</x:f>
        <x:v>22 998287560</x:v>
      </x:c>
      <x:c r="Z2620" s="30" t="n">
        <x:v>46408</x:v>
      </x:c>
    </x:row>
    <x:row r="2621" ht="18" customHeight="1">
      <x:c r="A2621" s="22" t="str">
        <x:f>"b3ae4c0c-1ccf-4f13-a7c3-adc46ea8b265"</x:f>
        <x:v>b3ae4c0c-1ccf-4f13-a7c3-adc46ea8b265</x:v>
      </x:c>
      <x:c r="B2621" s="23" t="str">
        <x:v>MARCOS VINICIUS MIRANDA DE OLIVEIRA</x:v>
      </x:c>
      <x:c r="C2621" s="23" t="str">
        <x:v>marcos vinicius miranda de oliveira</x:v>
      </x:c>
      <x:c r="D2621" s="22" t="str">
        <x:f>"66.869.168/0001-46"</x:f>
        <x:v>66.869.168/0001-46</x:v>
      </x:c>
      <x:c r="E2621" s="22" t="str">
        <x:f>"66869168000146"</x:f>
        <x:v>66869168000146</x:v>
      </x:c>
      <x:c r="F2621" s="22" t="str">
        <x:f>"184.953.277-08"</x:f>
        <x:v>184.953.277-08</x:v>
      </x:c>
      <x:c r="G2621" s="22" t="str">
        <x:f>"18495327708"</x:f>
        <x:v>18495327708</x:v>
      </x:c>
      <x:c r="H2621" s="23" t="str">
        <x:v>marcosoliveiracardec1@gmail.com</x:v>
      </x:c>
      <x:c r="I2621" s="22" t="str">
        <x:f>"+55 22 99808-0289"</x:f>
        <x:v>+55 22 99808-0289</x:v>
      </x:c>
      <x:c r="J2621" s="23" t="str">
        <x:v>RENTAL</x:v>
      </x:c>
      <x:c r="K2621" s="23" t="str">
        <x:v>rental_company</x:v>
      </x:c>
      <x:c r="L2621" s="24" t="b">
        <x:v>1</x:v>
      </x:c>
      <x:c r="M2621" s="23" t="n">
        <x:v>1</x:v>
      </x:c>
      <x:c r="N2621" s="28" t="n">
        <x:v>46219.812988715275</x:v>
      </x:c>
      <x:c r="O2621" s="28" t="n">
        <x:v>46219.812988715275</x:v>
      </x:c>
      <x:c r="P2621" s="23" t="str">
        <x:v>CAMPOS DOS GOYTACAZES</x:v>
      </x:c>
      <x:c r="Q2621" s="30" t="n">
        <x:v>37458</x:v>
      </x:c>
      <x:c r="R2621" s="22" t="str">
        <x:f>"316031194"</x:f>
        <x:v>316031194</x:v>
      </x:c>
      <x:c r="S2621" s="23" t="str">
        <x:v>masculino</x:v>
      </x:c>
      <x:c r="T2621" s="22" t="str"/>
      <x:c r="U2621" s="23" t="str">
        <x:v>MARCOS VINICIUS MIRANDA DE OLIVEIRA</x:v>
      </x:c>
      <x:c r="V2621" s="22" t="str">
        <x:f>"184.953.277-08"</x:f>
        <x:v>184.953.277-08</x:v>
      </x:c>
      <x:c r="W2621" s="22" t="str">
        <x:f>"18495327708"</x:f>
        <x:v>18495327708</x:v>
      </x:c>
      <x:c r="X2621" s="23" t="str">
        <x:v>marcosoliveiracardec1@gmail.com</x:v>
      </x:c>
      <x:c r="Y2621" s="22" t="str">
        <x:f>"+55 22 99808-0289"</x:f>
        <x:v>+55 22 99808-0289</x:v>
      </x:c>
      <x:c r="Z2621" s="30" t="n">
        <x:v>46408</x:v>
      </x:c>
    </x:row>
    <x:row r="2622" ht="18" customHeight="1">
      <x:c r="A2622" s="22" t="str">
        <x:f>"3cfac398-3c26-4174-b4aa-cff4704844d5"</x:f>
        <x:v>3cfac398-3c26-4174-b4aa-cff4704844d5</x:v>
      </x:c>
      <x:c r="B2622" s="23" t="str">
        <x:v>MARCOS VINICIUS SALES ROCHA</x:v>
      </x:c>
      <x:c r="C2622" s="23" t="str">
        <x:v>marcos vinicius sales rocha</x:v>
      </x:c>
      <x:c r="D2622" s="22" t="str">
        <x:f>"65.142.364/0001-51"</x:f>
        <x:v>65.142.364/0001-51</x:v>
      </x:c>
      <x:c r="E2622" s="22" t="str">
        <x:f>"65142364000151"</x:f>
        <x:v>65142364000151</x:v>
      </x:c>
      <x:c r="F2622" s="22" t="str">
        <x:f>"141.194.197-70"</x:f>
        <x:v>141.194.197-70</x:v>
      </x:c>
      <x:c r="G2622" s="22" t="str">
        <x:f>"14119419770"</x:f>
        <x:v>14119419770</x:v>
      </x:c>
      <x:c r="H2622" s="23" t="str">
        <x:v>marcos.v.rocha8@aluno.senai.br</x:v>
      </x:c>
      <x:c r="I2622" s="22" t="str">
        <x:f>"21982933573"</x:f>
        <x:v>21982933573</x:v>
      </x:c>
      <x:c r="J2622" s="23" t="str">
        <x:v>SPOT</x:v>
      </x:c>
      <x:c r="K2622" s="23" t="str">
        <x:v>favored_only</x:v>
      </x:c>
      <x:c r="L2622" s="24" t="b">
        <x:v>1</x:v>
      </x:c>
      <x:c r="M2622" s="23" t="n">
        <x:v>1</x:v>
      </x:c>
      <x:c r="N2622" s="28" t="n">
        <x:v>46219.812988715275</x:v>
      </x:c>
      <x:c r="O2622" s="28" t="n">
        <x:v>46219.812988715275</x:v>
      </x:c>
      <x:c r="P2622" s="23" t="str">
        <x:v>QUEIMADOS</x:v>
      </x:c>
      <x:c r="Q2622" s="30" t="n">
        <x:v>33441</x:v>
      </x:c>
      <x:c r="R2622" s="22" t="str">
        <x:f>"275266021"</x:f>
        <x:v>275266021</x:v>
      </x:c>
      <x:c r="S2622" s="23" t="str">
        <x:v>masculino</x:v>
      </x:c>
      <x:c r="T2622" s="22" t="str">
        <x:f>"KRY9C40"</x:f>
        <x:v>KRY9C40</x:v>
      </x:c>
      <x:c r="U2622" s="23" t="str">
        <x:v>LILIAN FERNANDA DE OLIVEIRA XAVIER SALES</x:v>
      </x:c>
      <x:c r="V2622" s="22" t="str">
        <x:f>"124.739.676-28"</x:f>
        <x:v>124.739.676-28</x:v>
      </x:c>
      <x:c r="W2622" s="22" t="str">
        <x:f>"12473967628"</x:f>
        <x:v>12473967628</x:v>
      </x:c>
      <x:c r="X2622" s="23" t="str">
        <x:v>marcos.v.rocha8@aluno.senai.br</x:v>
      </x:c>
      <x:c r="Y2622" s="22" t="str">
        <x:f>"21982933573"</x:f>
        <x:v>21982933573</x:v>
      </x:c>
      <x:c r="Z2622" s="30" t="n">
        <x:v>46434</x:v>
      </x:c>
    </x:row>
    <x:row r="2623" ht="18" customHeight="1">
      <x:c r="A2623" s="22" t="str">
        <x:f>"8c8dde36-758d-4d52-be19-eca658bee716"</x:f>
        <x:v>8c8dde36-758d-4d52-be19-eca658bee716</x:v>
      </x:c>
      <x:c r="B2623" s="23" t="str">
        <x:v>MARCOS VINICIUS STRAMBECK MAXIMO</x:v>
      </x:c>
      <x:c r="C2623" s="23" t="str">
        <x:v>marcos vinicius strambeck maximo</x:v>
      </x:c>
      <x:c r="D2623" s="22" t="str">
        <x:f>"37.390.998/0001-98"</x:f>
        <x:v>37.390.998/0001-98</x:v>
      </x:c>
      <x:c r="E2623" s="22" t="str">
        <x:f>"37390998000198"</x:f>
        <x:v>37390998000198</x:v>
      </x:c>
      <x:c r="F2623" s="22" t="str">
        <x:f>"064.952.081-54"</x:f>
        <x:v>064.952.081-54</x:v>
      </x:c>
      <x:c r="G2623" s="22" t="str">
        <x:f>"06495208154"</x:f>
        <x:v>06495208154</x:v>
      </x:c>
      <x:c r="H2623" s="23" t="str">
        <x:v>mviniciusmaximo9@hotmail.com</x:v>
      </x:c>
      <x:c r="I2623" s="22" t="str">
        <x:f>"65 9265-1624"</x:f>
        <x:v>65 9265-1624</x:v>
      </x:c>
      <x:c r="J2623" s="23" t="str">
        <x:v>RENTAL</x:v>
      </x:c>
      <x:c r="K2623" s="23" t="str">
        <x:v>rental_company</x:v>
      </x:c>
      <x:c r="L2623" s="24" t="b">
        <x:v>1</x:v>
      </x:c>
      <x:c r="M2623" s="23" t="n">
        <x:v>1</x:v>
      </x:c>
      <x:c r="N2623" s="28" t="n">
        <x:v>46203.921887453704</x:v>
      </x:c>
      <x:c r="O2623" s="28" t="n">
        <x:v>46219.812988715275</x:v>
      </x:c>
      <x:c r="P2623" s="23" t="str">
        <x:v>CUIABA</x:v>
      </x:c>
      <x:c r="Q2623" s="30" t="n">
        <x:v>36319</x:v>
      </x:c>
      <x:c r="R2623" s="22" t="str">
        <x:f>"22012036"</x:f>
        <x:v>22012036</x:v>
      </x:c>
      <x:c r="S2623" s="23" t="str">
        <x:v>masculino</x:v>
      </x:c>
      <x:c r="T2623" s="22" t="str"/>
      <x:c r="U2623" s="23" t="str">
        <x:v>MARCOS VINICIUS STRAMBECK MAXIMO</x:v>
      </x:c>
      <x:c r="V2623" s="22" t="str">
        <x:f>"064.952.081-54"</x:f>
        <x:v>064.952.081-54</x:v>
      </x:c>
      <x:c r="W2623" s="22" t="str">
        <x:f>"06495208154"</x:f>
        <x:v>06495208154</x:v>
      </x:c>
      <x:c r="X2623" s="23" t="str">
        <x:v>mviniciusmaximo9@hotmail.com</x:v>
      </x:c>
      <x:c r="Y2623" s="22" t="str">
        <x:f>"65 9265-1624"</x:f>
        <x:v>65 9265-1624</x:v>
      </x:c>
      <x:c r="Z2623" s="30" t="n">
        <x:v>46332</x:v>
      </x:c>
    </x:row>
    <x:row r="2624" ht="18" customHeight="1">
      <x:c r="A2624" s="22" t="str">
        <x:f>"23bfe08e-8ee9-40c8-b4d8-6ece8b8a4ffc"</x:f>
        <x:v>23bfe08e-8ee9-40c8-b4d8-6ece8b8a4ffc</x:v>
      </x:c>
      <x:c r="B2624" s="23" t="str">
        <x:v>MARCOTULHO DELFINO OTAVIANO</x:v>
      </x:c>
      <x:c r="C2624" s="23" t="str">
        <x:v>marcotulho delfino otaviano</x:v>
      </x:c>
      <x:c r="D2624" s="22" t="str">
        <x:f>"65.805.439/0001-37"</x:f>
        <x:v>65.805.439/0001-37</x:v>
      </x:c>
      <x:c r="E2624" s="22" t="str">
        <x:f>"65805439000137"</x:f>
        <x:v>65805439000137</x:v>
      </x:c>
      <x:c r="F2624" s="22" t="str">
        <x:f>"027.929.981-80"</x:f>
        <x:v>027.929.981-80</x:v>
      </x:c>
      <x:c r="G2624" s="22" t="str">
        <x:f>"02792998180"</x:f>
        <x:v>02792998180</x:v>
      </x:c>
      <x:c r="H2624" s="23" t="str">
        <x:v>omarcotulho@gmail.com</x:v>
      </x:c>
      <x:c r="I2624" s="22" t="str">
        <x:f>"62981344850"</x:f>
        <x:v>62981344850</x:v>
      </x:c>
      <x:c r="J2624" s="23" t="str">
        <x:v>SPOT</x:v>
      </x:c>
      <x:c r="K2624" s="23" t="str">
        <x:v>favored_only</x:v>
      </x:c>
      <x:c r="L2624" s="24" t="b">
        <x:v>1</x:v>
      </x:c>
      <x:c r="M2624" s="23" t="n">
        <x:v>1</x:v>
      </x:c>
      <x:c r="N2624" s="28" t="n">
        <x:v>46203.92191240741</x:v>
      </x:c>
      <x:c r="O2624" s="28" t="n">
        <x:v>46205.60886658565</x:v>
      </x:c>
      <x:c r="P2624" s="23" t="str">
        <x:v>HIDROLANDIA</x:v>
      </x:c>
      <x:c r="Q2624" s="30" t="n">
        <x:v>33040</x:v>
      </x:c>
      <x:c r="R2624" s="22" t="str">
        <x:f>"4999452"</x:f>
        <x:v>4999452</x:v>
      </x:c>
      <x:c r="S2624" s="23" t="str">
        <x:v>Feminino</x:v>
      </x:c>
      <x:c r="T2624" s="22" t="str">
        <x:f>"OWG8J07"</x:f>
        <x:v>OWG8J07</x:v>
      </x:c>
      <x:c r="U2624" s="23" t="str">
        <x:v>Marcotulho Delfino Otaviano</x:v>
      </x:c>
      <x:c r="V2624" s="22" t="str">
        <x:f>"02792998180"</x:f>
        <x:v>02792998180</x:v>
      </x:c>
      <x:c r="W2624" s="22" t="str">
        <x:f>"02792998180"</x:f>
        <x:v>02792998180</x:v>
      </x:c>
      <x:c r="X2624" s="23" t="str">
        <x:v>omarcotulho@gmail.com</x:v>
      </x:c>
      <x:c r="Y2624" s="22" t="str">
        <x:f>"62981344850"</x:f>
        <x:v>62981344850</x:v>
      </x:c>
      <x:c r="Z2624" s="30" t="n">
        <x:v>46283</x:v>
      </x:c>
    </x:row>
    <x:row r="2625" ht="18" customHeight="1">
      <x:c r="A2625" s="22" t="str">
        <x:f>"6e0d291f-be99-4144-8443-ba0af6a4e0cc"</x:f>
        <x:v>6e0d291f-be99-4144-8443-ba0af6a4e0cc</x:v>
      </x:c>
      <x:c r="B2625" s="23" t="str">
        <x:v>MARCO TULIO DE OLIVEIRA MELLO</x:v>
      </x:c>
      <x:c r="C2625" s="23" t="str">
        <x:v>marco tulio de oliveira mello</x:v>
      </x:c>
      <x:c r="D2625" s="22" t="str">
        <x:f>"26.532.518/0001-60"</x:f>
        <x:v>26.532.518/0001-60</x:v>
      </x:c>
      <x:c r="E2625" s="22" t="str">
        <x:f>"26532518000160"</x:f>
        <x:v>26532518000160</x:v>
      </x:c>
      <x:c r="F2625" s="22" t="str">
        <x:f>"641.983.676-04"</x:f>
        <x:v>641.983.676-04</x:v>
      </x:c>
      <x:c r="G2625" s="22" t="str">
        <x:f>"64198367604"</x:f>
        <x:v>64198367604</x:v>
      </x:c>
      <x:c r="H2625" s="23" t="str">
        <x:v>marcotulio.alc@gmail.com</x:v>
      </x:c>
      <x:c r="I2625" s="22" t="str">
        <x:f>"31998068885"</x:f>
        <x:v>31998068885</x:v>
      </x:c>
      <x:c r="J2625" s="23" t="str">
        <x:v>SPOT</x:v>
      </x:c>
      <x:c r="K2625" s="23" t="str">
        <x:v>favored_only</x:v>
      </x:c>
      <x:c r="L2625" s="24" t="b">
        <x:v>1</x:v>
      </x:c>
      <x:c r="M2625" s="23" t="n">
        <x:v>1</x:v>
      </x:c>
      <x:c r="N2625" s="28" t="n">
        <x:v>46205.603766134256</x:v>
      </x:c>
      <x:c r="O2625" s="28" t="n">
        <x:v>46219.812988715275</x:v>
      </x:c>
      <x:c r="P2625" s="23" t="str">
        <x:v>CONTAGEM</x:v>
      </x:c>
      <x:c r="Q2625" s="30" t="n">
        <x:v>25654</x:v>
      </x:c>
      <x:c r="R2625" s="22" t="str">
        <x:f>"4306636"</x:f>
        <x:v>4306636</x:v>
      </x:c>
      <x:c r="S2625" s="23" t="str">
        <x:v>masculino</x:v>
      </x:c>
      <x:c r="T2625" s="22" t="str">
        <x:f>"LMP7F57"</x:f>
        <x:v>LMP7F57</x:v>
      </x:c>
      <x:c r="U2625" s="23" t="str">
        <x:v>WEVERTON JOSE DA SILVA</x:v>
      </x:c>
      <x:c r="V2625" s="22" t="str">
        <x:f>"087.467.726-26"</x:f>
        <x:v>087.467.726-26</x:v>
      </x:c>
      <x:c r="W2625" s="22" t="str">
        <x:f>"08746772626"</x:f>
        <x:v>08746772626</x:v>
      </x:c>
      <x:c r="X2625" s="23" t="str">
        <x:v>weverton.rafacarol@hotmail.com</x:v>
      </x:c>
      <x:c r="Y2625" s="22" t="str">
        <x:f>"31996014275"</x:f>
        <x:v>31996014275</x:v>
      </x:c>
      <x:c r="Z2625" s="30" t="n">
        <x:v>46239</x:v>
      </x:c>
    </x:row>
    <x:row r="2626" ht="18" customHeight="1">
      <x:c r="A2626" s="22" t="str">
        <x:f>"b81a2ea3-c7e2-4cf1-b43d-969d1e1a0593"</x:f>
        <x:v>b81a2ea3-c7e2-4cf1-b43d-969d1e1a0593</x:v>
      </x:c>
      <x:c r="B2626" s="23" t="str">
        <x:v>MARCO TULIO FEDRIGO SILVA</x:v>
      </x:c>
      <x:c r="C2626" s="23" t="str">
        <x:v>marco tulio fedrigo silva</x:v>
      </x:c>
      <x:c r="D2626" s="22" t="str">
        <x:f>"44.170.483/0001-48"</x:f>
        <x:v>44.170.483/0001-48</x:v>
      </x:c>
      <x:c r="E2626" s="22" t="str">
        <x:f>"44170483000148"</x:f>
        <x:v>44170483000148</x:v>
      </x:c>
      <x:c r="F2626" s="22" t="str">
        <x:f>"117.163.656-35"</x:f>
        <x:v>117.163.656-35</x:v>
      </x:c>
      <x:c r="G2626" s="22" t="str">
        <x:f>"11716365635"</x:f>
        <x:v>11716365635</x:v>
      </x:c>
      <x:c r="H2626" s="23" t="str">
        <x:v>marcofedrigo.silva@gmail.com</x:v>
      </x:c>
      <x:c r="I2626" s="22" t="str">
        <x:f>"(34) 9 9195 2266"</x:f>
        <x:v>(34) 9 9195 2266</x:v>
      </x:c>
      <x:c r="J2626" s="23" t="str">
        <x:v>RENTAL</x:v>
      </x:c>
      <x:c r="K2626" s="23" t="str">
        <x:v>rental_company</x:v>
      </x:c>
      <x:c r="L2626" s="24" t="b">
        <x:v>1</x:v>
      </x:c>
      <x:c r="M2626" s="23" t="n">
        <x:v>1</x:v>
      </x:c>
      <x:c r="N2626" s="28" t="n">
        <x:v>46203.921824756944</x:v>
      </x:c>
      <x:c r="O2626" s="28" t="n">
        <x:v>46219.812988715275</x:v>
      </x:c>
      <x:c r="P2626" s="23" t="str">
        <x:v>UBERABA</x:v>
      </x:c>
      <x:c r="Q2626" s="30" t="n">
        <x:v>34326</x:v>
      </x:c>
      <x:c r="R2626" s="22" t="str">
        <x:f>"18157742"</x:f>
        <x:v>18157742</x:v>
      </x:c>
      <x:c r="S2626" s="23" t="str">
        <x:v>masculino</x:v>
      </x:c>
      <x:c r="T2626" s="22" t="str"/>
      <x:c r="U2626" s="23" t="str">
        <x:v>MARCO TULIO FEDRIGO SILVA</x:v>
      </x:c>
      <x:c r="V2626" s="22" t="str">
        <x:f>"117.163.656-35"</x:f>
        <x:v>117.163.656-35</x:v>
      </x:c>
      <x:c r="W2626" s="22" t="str">
        <x:f>"11716365635"</x:f>
        <x:v>11716365635</x:v>
      </x:c>
      <x:c r="X2626" s="23" t="str">
        <x:v>marcofedrigo.silva@gmail.com</x:v>
      </x:c>
      <x:c r="Y2626" s="22" t="str">
        <x:f>"(34) 9 9195 2266"</x:f>
        <x:v>(34) 9 9195 2266</x:v>
      </x:c>
      <x:c r="Z2626" s="30" t="n">
        <x:v>46521</x:v>
      </x:c>
    </x:row>
    <x:row r="2627" ht="18" customHeight="1">
      <x:c r="A2627" s="22" t="str">
        <x:f>"9fb00948-49da-429d-afb0-95ef12fbab3c"</x:f>
        <x:v>9fb00948-49da-429d-afb0-95ef12fbab3c</x:v>
      </x:c>
      <x:c r="B2627" s="23" t="str">
        <x:v>MARCO TULIO RIBEIRO DE OLIVEIRA</x:v>
      </x:c>
      <x:c r="C2627" s="23" t="str">
        <x:v>marco tulio ribeiro de oliveira</x:v>
      </x:c>
      <x:c r="D2627" s="22" t="str">
        <x:f>"57.847.433/0001-02"</x:f>
        <x:v>57.847.433/0001-02</x:v>
      </x:c>
      <x:c r="E2627" s="22" t="str">
        <x:f>"57847433000102"</x:f>
        <x:v>57847433000102</x:v>
      </x:c>
      <x:c r="F2627" s="22" t="str">
        <x:f>"079.048.166-95"</x:f>
        <x:v>079.048.166-95</x:v>
      </x:c>
      <x:c r="G2627" s="22" t="str">
        <x:f>"07904816695"</x:f>
        <x:v>07904816695</x:v>
      </x:c>
      <x:c r="H2627" s="23" t="str">
        <x:v>mtulioribeiro@hotmail.com</x:v>
      </x:c>
      <x:c r="I2627" s="22" t="str">
        <x:f>"(34)9948-4041"</x:f>
        <x:v>(34)9948-4041</x:v>
      </x:c>
      <x:c r="J2627" s="23" t="str">
        <x:v>RENTAL</x:v>
      </x:c>
      <x:c r="K2627" s="23" t="str">
        <x:v>rental_company</x:v>
      </x:c>
      <x:c r="L2627" s="24" t="b">
        <x:v>1</x:v>
      </x:c>
      <x:c r="M2627" s="23" t="n">
        <x:v>1</x:v>
      </x:c>
      <x:c r="N2627" s="28" t="n">
        <x:v>46203.921824756944</x:v>
      </x:c>
      <x:c r="O2627" s="28" t="n">
        <x:v>46219.812988715275</x:v>
      </x:c>
      <x:c r="P2627" s="23" t="str">
        <x:v>PATOS DE MINAS</x:v>
      </x:c>
      <x:c r="Q2627" s="30" t="n">
        <x:v>31779</x:v>
      </x:c>
      <x:c r="R2627" s="22" t="str">
        <x:f>"12344102"</x:f>
        <x:v>12344102</x:v>
      </x:c>
      <x:c r="S2627" s="23" t="str">
        <x:v>masculino</x:v>
      </x:c>
      <x:c r="T2627" s="22" t="str"/>
      <x:c r="U2627" s="23" t="str">
        <x:v>MARCO TULIO RIBEIRO DE OLIVEIRA</x:v>
      </x:c>
      <x:c r="V2627" s="22" t="str">
        <x:f>"079.048.166-95"</x:f>
        <x:v>079.048.166-95</x:v>
      </x:c>
      <x:c r="W2627" s="22" t="str">
        <x:f>"07904816695"</x:f>
        <x:v>07904816695</x:v>
      </x:c>
      <x:c r="X2627" s="23" t="str">
        <x:v>mtulioribeiro@hotmail.com</x:v>
      </x:c>
      <x:c r="Y2627" s="22" t="str">
        <x:f>"(34)9948-4041"</x:f>
        <x:v>(34)9948-4041</x:v>
      </x:c>
      <x:c r="Z2627" s="30" t="n">
        <x:v>46253</x:v>
      </x:c>
    </x:row>
    <x:row r="2628" ht="18" customHeight="1">
      <x:c r="A2628" s="22" t="str">
        <x:f>"c11104f8-46d8-4e3f-833a-774dd9e614a0"</x:f>
        <x:v>c11104f8-46d8-4e3f-833a-774dd9e614a0</x:v>
      </x:c>
      <x:c r="B2628" s="23" t="str">
        <x:v>MARCO TÚLIO SANTOS ANDRADE</x:v>
      </x:c>
      <x:c r="C2628" s="23" t="str">
        <x:v>marco tulio santos andrade</x:v>
      </x:c>
      <x:c r="D2628" s="22" t="str">
        <x:f>"58.351.246/0001-98"</x:f>
        <x:v>58.351.246/0001-98</x:v>
      </x:c>
      <x:c r="E2628" s="22" t="str">
        <x:f>"58351246000198"</x:f>
        <x:v>58351246000198</x:v>
      </x:c>
      <x:c r="F2628" s="22" t="str">
        <x:f>"012.420.186-54"</x:f>
        <x:v>012.420.186-54</x:v>
      </x:c>
      <x:c r="G2628" s="22" t="str">
        <x:f>"01242018654"</x:f>
        <x:v>01242018654</x:v>
      </x:c>
      <x:c r="H2628" s="23" t="str">
        <x:v>tuliofacvest@gmail.com</x:v>
      </x:c>
      <x:c r="I2628" s="22" t="str">
        <x:f>"3199232-8704"</x:f>
        <x:v>3199232-8704</x:v>
      </x:c>
      <x:c r="J2628" s="23" t="str">
        <x:v>RENTAL</x:v>
      </x:c>
      <x:c r="K2628" s="23" t="str">
        <x:v>rental_company</x:v>
      </x:c>
      <x:c r="L2628" s="24" t="b">
        <x:v>1</x:v>
      </x:c>
      <x:c r="M2628" s="23" t="n">
        <x:v>1</x:v>
      </x:c>
      <x:c r="N2628" s="28" t="n">
        <x:v>46203.92183332176</x:v>
      </x:c>
      <x:c r="O2628" s="28" t="n">
        <x:v>46205.604705798614</x:v>
      </x:c>
      <x:c r="P2628" s="23" t="str">
        <x:v>CONTAGEM</x:v>
      </x:c>
      <x:c r="Q2628" s="30" t="n">
        <x:v>29689</x:v>
      </x:c>
      <x:c r="R2628" s="22" t="str">
        <x:f>"000000010549852"</x:f>
        <x:v>000000010549852</x:v>
      </x:c>
      <x:c r="S2628" s="23" t="str">
        <x:v>Masculino</x:v>
      </x:c>
      <x:c r="T2628" s="22" t="str"/>
      <x:c r="U2628" s="23" t="str">
        <x:v>MARCO TÚLIO SANTOS ANDRADE</x:v>
      </x:c>
      <x:c r="V2628" s="22" t="str">
        <x:f>"012.420.186-54"</x:f>
        <x:v>012.420.186-54</x:v>
      </x:c>
      <x:c r="W2628" s="22" t="str">
        <x:f>"01242018654"</x:f>
        <x:v>01242018654</x:v>
      </x:c>
      <x:c r="X2628" s="23" t="str">
        <x:v>tuliofacvest@gmail.com</x:v>
      </x:c>
      <x:c r="Y2628" s="22" t="str">
        <x:f>"3199232-8704"</x:f>
        <x:v>3199232-8704</x:v>
      </x:c>
      <x:c r="Z2628" s="30" t="n">
        <x:v>46208</x:v>
      </x:c>
    </x:row>
    <x:row r="2629" ht="18" customHeight="1">
      <x:c r="A2629" s="22" t="str">
        <x:f>"c7255237-a63a-481f-bbb2-db1478c0c7b8"</x:f>
        <x:v>c7255237-a63a-481f-bbb2-db1478c0c7b8</x:v>
      </x:c>
      <x:c r="B2629" s="23" t="str">
        <x:v>MARCO TULIO SANTOS DE OLIVEIRA</x:v>
      </x:c>
      <x:c r="C2629" s="23" t="str">
        <x:v>marco tulio santos de oliveira</x:v>
      </x:c>
      <x:c r="D2629" s="22" t="str">
        <x:f>"23.957.730/0001-80"</x:f>
        <x:v>23.957.730/0001-80</x:v>
      </x:c>
      <x:c r="E2629" s="22" t="str">
        <x:f>"23957730000180"</x:f>
        <x:v>23957730000180</x:v>
      </x:c>
      <x:c r="F2629" s="22" t="str">
        <x:f>"066.521.896-66"</x:f>
        <x:v>066.521.896-66</x:v>
      </x:c>
      <x:c r="G2629" s="22" t="str">
        <x:f>"06652189666"</x:f>
        <x:v>06652189666</x:v>
      </x:c>
      <x:c r="H2629" s="23" t="str">
        <x:v>TULIOSANTOSOLIVEIRA@OUTLOOK.COM</x:v>
      </x:c>
      <x:c r="I2629" s="22" t="str">
        <x:f>"(31) 9290-6537"</x:f>
        <x:v>(31) 9290-6537</x:v>
      </x:c>
      <x:c r="J2629" s="23" t="str">
        <x:v>RENTAL</x:v>
      </x:c>
      <x:c r="K2629" s="23" t="str">
        <x:v>rental_company</x:v>
      </x:c>
      <x:c r="L2629" s="24" t="b">
        <x:v>1</x:v>
      </x:c>
      <x:c r="M2629" s="23" t="n">
        <x:v>1</x:v>
      </x:c>
      <x:c r="N2629" s="28" t="n">
        <x:v>46203.92183017361</x:v>
      </x:c>
      <x:c r="O2629" s="28" t="n">
        <x:v>46219.812988715275</x:v>
      </x:c>
      <x:c r="P2629" s="23" t="str">
        <x:v>IPATINGA</x:v>
      </x:c>
      <x:c r="Q2629" s="30" t="n">
        <x:v>30712</x:v>
      </x:c>
      <x:c r="R2629" s="22" t="str">
        <x:f>"14045501"</x:f>
        <x:v>14045501</x:v>
      </x:c>
      <x:c r="S2629" s="23" t="str">
        <x:v>masculino</x:v>
      </x:c>
      <x:c r="T2629" s="22" t="str"/>
      <x:c r="U2629" s="23" t="str">
        <x:v>MARCO TULIO SANTOS DE OLIVEIRA</x:v>
      </x:c>
      <x:c r="V2629" s="22" t="str">
        <x:f>"066.521.896-66"</x:f>
        <x:v>066.521.896-66</x:v>
      </x:c>
      <x:c r="W2629" s="22" t="str">
        <x:f>"06652189666"</x:f>
        <x:v>06652189666</x:v>
      </x:c>
      <x:c r="X2629" s="23" t="str">
        <x:v>TULIOSANTOSOLIVEIRA@OUTLOOK.COM</x:v>
      </x:c>
      <x:c r="Y2629" s="22" t="str">
        <x:f>"(31) 9290-6537"</x:f>
        <x:v>(31) 9290-6537</x:v>
      </x:c>
      <x:c r="Z2629" s="30" t="n">
        <x:v>46294</x:v>
      </x:c>
    </x:row>
    <x:row r="2630" ht="18" customHeight="1">
      <x:c r="A2630" s="22" t="str">
        <x:f>"f6e17b2e-fed4-4c76-bf37-e852e3dc6cd7"</x:f>
        <x:v>f6e17b2e-fed4-4c76-bf37-e852e3dc6cd7</x:v>
      </x:c>
      <x:c r="B2630" s="23" t="str">
        <x:v>MARCO TULIO SANTOS SILVA</x:v>
      </x:c>
      <x:c r="C2630" s="23" t="str">
        <x:v>marco tulio santos silva</x:v>
      </x:c>
      <x:c r="D2630" s="22" t="str">
        <x:f>"67.729.208/0001-17"</x:f>
        <x:v>67.729.208/0001-17</x:v>
      </x:c>
      <x:c r="E2630" s="22" t="str">
        <x:f>"67729208000117"</x:f>
        <x:v>67729208000117</x:v>
      </x:c>
      <x:c r="F2630" s="22" t="str">
        <x:f>"478.948.651-68"</x:f>
        <x:v>478.948.651-68</x:v>
      </x:c>
      <x:c r="G2630" s="22" t="str">
        <x:f>"47894865168"</x:f>
        <x:v>47894865168</x:v>
      </x:c>
      <x:c r="H2630" s="23" t="str">
        <x:v>marcotuliossilva1@gmail.com</x:v>
      </x:c>
      <x:c r="I2630" s="22" t="str">
        <x:f>"62991661027"</x:f>
        <x:v>62991661027</x:v>
      </x:c>
      <x:c r="J2630" s="23" t="str">
        <x:v>RENTAL</x:v>
      </x:c>
      <x:c r="K2630" s="23" t="str">
        <x:v>rental_company</x:v>
      </x:c>
      <x:c r="L2630" s="24" t="b">
        <x:v>1</x:v>
      </x:c>
      <x:c r="M2630" s="23" t="n">
        <x:v>1</x:v>
      </x:c>
      <x:c r="N2630" s="28" t="n">
        <x:v>46219.812988715275</x:v>
      </x:c>
      <x:c r="O2630" s="28" t="n">
        <x:v>46219.812988715275</x:v>
      </x:c>
      <x:c r="P2630" s="23" t="str">
        <x:v>GOIANIA</x:v>
      </x:c>
      <x:c r="Q2630" s="30" t="n">
        <x:v>25578</x:v>
      </x:c>
      <x:c r="R2630" s="22" t="str">
        <x:f>"1707530"</x:f>
        <x:v>1707530</x:v>
      </x:c>
      <x:c r="S2630" s="23" t="str">
        <x:v>masculino</x:v>
      </x:c>
      <x:c r="T2630" s="22" t="str"/>
      <x:c r="U2630" s="23" t="str">
        <x:v>MARCO TULIO SANTOS SILVA</x:v>
      </x:c>
      <x:c r="V2630" s="22" t="str">
        <x:f>"478.948.651-68"</x:f>
        <x:v>478.948.651-68</x:v>
      </x:c>
      <x:c r="W2630" s="22" t="str">
        <x:f>"47894865168"</x:f>
        <x:v>47894865168</x:v>
      </x:c>
      <x:c r="X2630" s="23" t="str">
        <x:v>marcotuliossilva1@gmail.com</x:v>
      </x:c>
      <x:c r="Y2630" s="22" t="str">
        <x:f>"62991661027"</x:f>
        <x:v>62991661027</x:v>
      </x:c>
      <x:c r="Z2630" s="30" t="n">
        <x:v>46565</x:v>
      </x:c>
    </x:row>
    <x:row r="2631" ht="18" customHeight="1">
      <x:c r="A2631" s="22" t="str">
        <x:f>"35d2a8f2-108c-4e18-a7d3-5b11992fe12a"</x:f>
        <x:v>35d2a8f2-108c-4e18-a7d3-5b11992fe12a</x:v>
      </x:c>
      <x:c r="B2631" s="23" t="str">
        <x:v>MARCUS DA SILVA SA</x:v>
      </x:c>
      <x:c r="C2631" s="23" t="str">
        <x:v>marcus da silva sa</x:v>
      </x:c>
      <x:c r="D2631" s="22" t="str">
        <x:f>"64.919.774/0001-01"</x:f>
        <x:v>64.919.774/0001-01</x:v>
      </x:c>
      <x:c r="E2631" s="22" t="str">
        <x:f>"64919774000101"</x:f>
        <x:v>64919774000101</x:v>
      </x:c>
      <x:c r="F2631" s="22" t="str">
        <x:f>"139.295.487-80"</x:f>
        <x:v>139.295.487-80</x:v>
      </x:c>
      <x:c r="G2631" s="22" t="str">
        <x:f>"13929548780"</x:f>
        <x:v>13929548780</x:v>
      </x:c>
      <x:c r="H2631" s="23" t="str">
        <x:v>marcussilvasa3@hotmail.com</x:v>
      </x:c>
      <x:c r="I2631" s="22" t="str">
        <x:f>"22999499917"</x:f>
        <x:v>22999499917</x:v>
      </x:c>
      <x:c r="J2631" s="23" t="str">
        <x:v>SPOT</x:v>
      </x:c>
      <x:c r="K2631" s="23" t="str">
        <x:v>favored_only</x:v>
      </x:c>
      <x:c r="L2631" s="24" t="b">
        <x:v>1</x:v>
      </x:c>
      <x:c r="M2631" s="23" t="n">
        <x:v>1</x:v>
      </x:c>
      <x:c r="N2631" s="28" t="n">
        <x:v>46219.812988715275</x:v>
      </x:c>
      <x:c r="O2631" s="28" t="n">
        <x:v>46219.812988715275</x:v>
      </x:c>
      <x:c r="P2631" s="23" t="str">
        <x:v>CAMPOS DOS GOYTACAZES</x:v>
      </x:c>
      <x:c r="Q2631" s="30" t="n">
        <x:v>32889</x:v>
      </x:c>
      <x:c r="R2631" s="22" t="str">
        <x:f>"217730720"</x:f>
        <x:v>217730720</x:v>
      </x:c>
      <x:c r="S2631" s="23" t="str">
        <x:v>masculino</x:v>
      </x:c>
      <x:c r="T2631" s="22" t="str">
        <x:f>"PVA3G44"</x:f>
        <x:v>PVA3G44</x:v>
      </x:c>
      <x:c r="U2631" s="23" t="str">
        <x:v>MARCUS DA SILVA SA</x:v>
      </x:c>
      <x:c r="V2631" s="22" t="str">
        <x:f>"139.295.487-80"</x:f>
        <x:v>139.295.487-80</x:v>
      </x:c>
      <x:c r="W2631" s="22" t="str">
        <x:f>"13929548780"</x:f>
        <x:v>13929548780</x:v>
      </x:c>
      <x:c r="X2631" s="23" t="str">
        <x:v>marcussilvasa3@hotmail.com</x:v>
      </x:c>
      <x:c r="Y2631" s="22" t="str">
        <x:f>"22999499917"</x:f>
        <x:v>22999499917</x:v>
      </x:c>
      <x:c r="Z2631" s="30" t="n">
        <x:v>46525</x:v>
      </x:c>
    </x:row>
    <x:row r="2632" ht="18" customHeight="1">
      <x:c r="A2632" s="22" t="str">
        <x:f>"98c289c9-4875-4209-9863-e03074148368"</x:f>
        <x:v>98c289c9-4875-4209-9863-e03074148368</x:v>
      </x:c>
      <x:c r="B2632" s="23" t="str">
        <x:v>MARCUS PAULO MOTTA MELLO</x:v>
      </x:c>
      <x:c r="C2632" s="23" t="str">
        <x:v>marcus paulo motta mello</x:v>
      </x:c>
      <x:c r="D2632" s="22" t="str">
        <x:f>"53.600.087/0001-02"</x:f>
        <x:v>53.600.087/0001-02</x:v>
      </x:c>
      <x:c r="E2632" s="22" t="str">
        <x:f>"53600087000102"</x:f>
        <x:v>53600087000102</x:v>
      </x:c>
      <x:c r="F2632" s="22" t="str">
        <x:f>"013.420.441-77"</x:f>
        <x:v>013.420.441-77</x:v>
      </x:c>
      <x:c r="G2632" s="22" t="str">
        <x:f>"01342044177"</x:f>
        <x:v>01342044177</x:v>
      </x:c>
      <x:c r="H2632" s="23" t="str">
        <x:v>marcuspaulo197715@gmail.com</x:v>
      </x:c>
      <x:c r="I2632" s="22" t="str">
        <x:f>"65)98154-5531"</x:f>
        <x:v>65)98154-5531</x:v>
      </x:c>
      <x:c r="J2632" s="23" t="str">
        <x:v>RENTAL</x:v>
      </x:c>
      <x:c r="K2632" s="23" t="str">
        <x:v>rental_company</x:v>
      </x:c>
      <x:c r="L2632" s="24" t="b">
        <x:v>1</x:v>
      </x:c>
      <x:c r="M2632" s="23" t="n">
        <x:v>1</x:v>
      </x:c>
      <x:c r="N2632" s="28" t="n">
        <x:v>46219.812988715275</x:v>
      </x:c>
      <x:c r="O2632" s="28" t="n">
        <x:v>46219.812988715275</x:v>
      </x:c>
      <x:c r="P2632" s="23" t="str">
        <x:v>CUIABA</x:v>
      </x:c>
      <x:c r="Q2632" s="30" t="n">
        <x:v>28412</x:v>
      </x:c>
      <x:c r="R2632" s="22" t="str">
        <x:f>"11197056"</x:f>
        <x:v>11197056</x:v>
      </x:c>
      <x:c r="S2632" s="23" t="str">
        <x:v>masculino</x:v>
      </x:c>
      <x:c r="T2632" s="22" t="str"/>
      <x:c r="U2632" s="23" t="str">
        <x:v>MARCUS PAULO MOTTA MELLO</x:v>
      </x:c>
      <x:c r="V2632" s="22" t="str">
        <x:f>"013.420.441-77"</x:f>
        <x:v>013.420.441-77</x:v>
      </x:c>
      <x:c r="W2632" s="22" t="str">
        <x:f>"01342044177"</x:f>
        <x:v>01342044177</x:v>
      </x:c>
      <x:c r="X2632" s="23" t="str">
        <x:v>marcuspaulo197715@gmail.com</x:v>
      </x:c>
      <x:c r="Y2632" s="22" t="str">
        <x:f>"65)98154-5531"</x:f>
        <x:v>65)98154-5531</x:v>
      </x:c>
      <x:c r="Z2632" s="30" t="n">
        <x:v>46520</x:v>
      </x:c>
    </x:row>
    <x:row r="2633" ht="18" customHeight="1">
      <x:c r="A2633" s="22" t="str">
        <x:f>"0f7af712-812e-4723-b861-c3f24f1fa484"</x:f>
        <x:v>0f7af712-812e-4723-b861-c3f24f1fa484</x:v>
      </x:c>
      <x:c r="B2633" s="23" t="str">
        <x:v>MARCUS VINICIUS BARBOSA ALVES</x:v>
      </x:c>
      <x:c r="C2633" s="23" t="str">
        <x:v>marcus vinicius barbosa alves</x:v>
      </x:c>
      <x:c r="D2633" s="22" t="str">
        <x:f>"62.892.375/0001-60"</x:f>
        <x:v>62.892.375/0001-60</x:v>
      </x:c>
      <x:c r="E2633" s="22" t="str">
        <x:f>"62892375000160"</x:f>
        <x:v>62892375000160</x:v>
      </x:c>
      <x:c r="F2633" s="22" t="str">
        <x:f>"442.975.598-11"</x:f>
        <x:v>442.975.598-11</x:v>
      </x:c>
      <x:c r="G2633" s="22" t="str">
        <x:f>"44297559811"</x:f>
        <x:v>44297559811</x:v>
      </x:c>
      <x:c r="H2633" s="23" t="str">
        <x:v>marcusmvinicius11@gmail.com</x:v>
      </x:c>
      <x:c r="I2633" s="22" t="str">
        <x:f>"18997221358"</x:f>
        <x:v>18997221358</x:v>
      </x:c>
      <x:c r="J2633" s="23" t="str">
        <x:v>RENTAL</x:v>
      </x:c>
      <x:c r="K2633" s="23" t="str">
        <x:v>rental_company</x:v>
      </x:c>
      <x:c r="L2633" s="24" t="b">
        <x:v>1</x:v>
      </x:c>
      <x:c r="M2633" s="23" t="n">
        <x:v>1</x:v>
      </x:c>
      <x:c r="N2633" s="28" t="n">
        <x:v>46203.92186888889</x:v>
      </x:c>
      <x:c r="O2633" s="28" t="n">
        <x:v>46219.812988715275</x:v>
      </x:c>
      <x:c r="P2633" s="23" t="str">
        <x:v>PRESIDENTE PRUDENTE</x:v>
      </x:c>
      <x:c r="Q2633" s="30" t="n">
        <x:v>36669</x:v>
      </x:c>
      <x:c r="R2633" s="22" t="str">
        <x:f>"55618218"</x:f>
        <x:v>55618218</x:v>
      </x:c>
      <x:c r="S2633" s="23" t="str">
        <x:v>masculino</x:v>
      </x:c>
      <x:c r="T2633" s="22" t="str"/>
      <x:c r="U2633" s="23" t="str">
        <x:v>MARCUS VINICIUS BARBOSA ALVES</x:v>
      </x:c>
      <x:c r="V2633" s="22" t="str">
        <x:f>"442.975.598-11"</x:f>
        <x:v>442.975.598-11</x:v>
      </x:c>
      <x:c r="W2633" s="22" t="str">
        <x:f>"44297559811"</x:f>
        <x:v>44297559811</x:v>
      </x:c>
      <x:c r="X2633" s="23" t="str">
        <x:v>marcusmvinicius11@gmail.com</x:v>
      </x:c>
      <x:c r="Y2633" s="22" t="str">
        <x:f>"18997221358"</x:f>
        <x:v>18997221358</x:v>
      </x:c>
      <x:c r="Z2633" s="30" t="n">
        <x:v>46301</x:v>
      </x:c>
    </x:row>
    <x:row r="2634" ht="18" customHeight="1">
      <x:c r="A2634" s="22" t="str">
        <x:f>"944e428f-035d-461a-9068-63df4e5b1a99"</x:f>
        <x:v>944e428f-035d-461a-9068-63df4e5b1a99</x:v>
      </x:c>
      <x:c r="B2634" s="23" t="str">
        <x:v>MARCUS VINICIUS BERNARDES INACIO</x:v>
      </x:c>
      <x:c r="C2634" s="23" t="str">
        <x:v>marcus vinicius bernardes inacio</x:v>
      </x:c>
      <x:c r="D2634" s="22" t="str">
        <x:f>"47.452.534/0001-12"</x:f>
        <x:v>47.452.534/0001-12</x:v>
      </x:c>
      <x:c r="E2634" s="22" t="str">
        <x:f>"47452534000112"</x:f>
        <x:v>47452534000112</x:v>
      </x:c>
      <x:c r="F2634" s="22" t="str">
        <x:f>"028.345.871-24"</x:f>
        <x:v>028.345.871-24</x:v>
      </x:c>
      <x:c r="G2634" s="22" t="str">
        <x:f>"02834587124"</x:f>
        <x:v>02834587124</x:v>
      </x:c>
      <x:c r="H2634" s="23" t="str">
        <x:v>bernardesmarcus14@gmail.com</x:v>
      </x:c>
      <x:c r="I2634" s="22" t="str">
        <x:f>"+55 65 9680-0084"</x:f>
        <x:v>+55 65 9680-0084</x:v>
      </x:c>
      <x:c r="J2634" s="23" t="str">
        <x:v>SPOT</x:v>
      </x:c>
      <x:c r="K2634" s="23" t="str">
        <x:v>favored_only</x:v>
      </x:c>
      <x:c r="L2634" s="24" t="b">
        <x:v>1</x:v>
      </x:c>
      <x:c r="M2634" s="23" t="n">
        <x:v>1</x:v>
      </x:c>
      <x:c r="N2634" s="28" t="n">
        <x:v>46219.812988715275</x:v>
      </x:c>
      <x:c r="O2634" s="28" t="n">
        <x:v>46219.812988715275</x:v>
      </x:c>
      <x:c r="P2634" s="23" t="str">
        <x:v>PONTES E LACERDA</x:v>
      </x:c>
      <x:c r="Q2634" s="30" t="n">
        <x:v>33554</x:v>
      </x:c>
      <x:c r="R2634" s="22" t="str">
        <x:f>"20902301"</x:f>
        <x:v>20902301</x:v>
      </x:c>
      <x:c r="S2634" s="23" t="str">
        <x:v>masculino</x:v>
      </x:c>
      <x:c r="T2634" s="22" t="str">
        <x:f>"sis1g84"</x:f>
        <x:v>sis1g84</x:v>
      </x:c>
      <x:c r="U2634" s="23" t="str">
        <x:v>GILBERTO OLIVEIRA COSTA</x:v>
      </x:c>
      <x:c r="V2634" s="22" t="str">
        <x:f>"415.078.781-68"</x:f>
        <x:v>415.078.781-68</x:v>
      </x:c>
      <x:c r="W2634" s="22" t="str">
        <x:f>"41507878168"</x:f>
        <x:v>41507878168</x:v>
      </x:c>
      <x:c r="X2634" s="23" t="str">
        <x:v>Gilbertoliveiracost@hotmail.com</x:v>
      </x:c>
      <x:c r="Y2634" s="22" t="str">
        <x:f>"+55 65 9931-1664"</x:f>
        <x:v>+55 65 9931-1664</x:v>
      </x:c>
      <x:c r="Z2634" s="30" t="n">
        <x:v>46459</x:v>
      </x:c>
    </x:row>
    <x:row r="2635" ht="18" customHeight="1">
      <x:c r="A2635" s="22" t="str">
        <x:f>"a678e9a0-c3f4-424b-a64a-641e2dd9c055"</x:f>
        <x:v>a678e9a0-c3f4-424b-a64a-641e2dd9c055</x:v>
      </x:c>
      <x:c r="B2635" s="23" t="str">
        <x:v>MARCUS VINICIUS BIAZINI OLIVEIRA</x:v>
      </x:c>
      <x:c r="C2635" s="23" t="str">
        <x:v>marcus vinicius biazini oliveira</x:v>
      </x:c>
      <x:c r="D2635" s="22" t="str">
        <x:f>"55.565.066/0001-10"</x:f>
        <x:v>55.565.066/0001-10</x:v>
      </x:c>
      <x:c r="E2635" s="22" t="str">
        <x:f>"55565066000110"</x:f>
        <x:v>55565066000110</x:v>
      </x:c>
      <x:c r="F2635" s="22" t="str">
        <x:f>"149.746.587-78"</x:f>
        <x:v>149.746.587-78</x:v>
      </x:c>
      <x:c r="G2635" s="22" t="str">
        <x:f>"14974658778"</x:f>
        <x:v>14974658778</x:v>
      </x:c>
      <x:c r="H2635" s="23" t="str">
        <x:v>viniciusbiazini@icloud.com</x:v>
      </x:c>
      <x:c r="I2635" s="22" t="str">
        <x:f>"22  999371190"</x:f>
        <x:v>22  999371190</x:v>
      </x:c>
      <x:c r="J2635" s="23" t="str">
        <x:v>SPOT</x:v>
      </x:c>
      <x:c r="K2635" s="23" t="str">
        <x:v>favored_only</x:v>
      </x:c>
      <x:c r="L2635" s="24" t="b">
        <x:v>1</x:v>
      </x:c>
      <x:c r="M2635" s="23" t="n">
        <x:v>1</x:v>
      </x:c>
      <x:c r="N2635" s="28" t="n">
        <x:v>46205.60641851852</x:v>
      </x:c>
      <x:c r="O2635" s="28" t="n">
        <x:v>46219.812988715275</x:v>
      </x:c>
      <x:c r="P2635" s="23" t="str">
        <x:v>CAMPOS DOS GOYTACAZES</x:v>
      </x:c>
      <x:c r="Q2635" s="30" t="n">
        <x:v>33915</x:v>
      </x:c>
      <x:c r="R2635" s="22" t="str">
        <x:f>"273748038"</x:f>
        <x:v>273748038</x:v>
      </x:c>
      <x:c r="S2635" s="23" t="str">
        <x:v>masculino</x:v>
      </x:c>
      <x:c r="T2635" s="22" t="str">
        <x:f>"KXL4H38"</x:f>
        <x:v>KXL4H38</x:v>
      </x:c>
      <x:c r="U2635" s="23" t="str">
        <x:v>LAURA RANGEL GRAVINA</x:v>
      </x:c>
      <x:c r="V2635" s="22" t="str">
        <x:f>"182.895.287-79"</x:f>
        <x:v>182.895.287-79</x:v>
      </x:c>
      <x:c r="W2635" s="22" t="str">
        <x:f>"18289528779"</x:f>
        <x:v>18289528779</x:v>
      </x:c>
      <x:c r="X2635" s="23" t="str">
        <x:v>laura_gravina@hotmail.com</x:v>
      </x:c>
      <x:c r="Y2635" s="22" t="str">
        <x:f>"(22)999882213"</x:f>
        <x:v>(22)999882213</x:v>
      </x:c>
      <x:c r="Z2635" s="30" t="n">
        <x:v>46359</x:v>
      </x:c>
    </x:row>
    <x:row r="2636" ht="18" customHeight="1">
      <x:c r="A2636" s="22" t="str">
        <x:f>"dd9c8f6b-9c82-4054-aa78-0ad8013d7abe"</x:f>
        <x:v>dd9c8f6b-9c82-4054-aa78-0ad8013d7abe</x:v>
      </x:c>
      <x:c r="B2636" s="23" t="str">
        <x:v>MARCUS VINICIUS MOREIRA</x:v>
      </x:c>
      <x:c r="C2636" s="23" t="str">
        <x:v>marcus vinicius moreira</x:v>
      </x:c>
      <x:c r="D2636" s="22" t="str">
        <x:f>"64.493.434/0001-53"</x:f>
        <x:v>64.493.434/0001-53</x:v>
      </x:c>
      <x:c r="E2636" s="22" t="str">
        <x:f>"64493434000153"</x:f>
        <x:v>64493434000153</x:v>
      </x:c>
      <x:c r="F2636" s="22" t="str">
        <x:f>"094.865.046-01"</x:f>
        <x:v>094.865.046-01</x:v>
      </x:c>
      <x:c r="G2636" s="22" t="str">
        <x:f>"09486504601"</x:f>
        <x:v>09486504601</x:v>
      </x:c>
      <x:c r="H2636" s="23" t="str">
        <x:v>central.gmservicos@gmail.com</x:v>
      </x:c>
      <x:c r="I2636" s="22" t="str">
        <x:f>"31988580193"</x:f>
        <x:v>31988580193</x:v>
      </x:c>
      <x:c r="J2636" s="23" t="str">
        <x:v>SPOT</x:v>
      </x:c>
      <x:c r="K2636" s="23" t="str">
        <x:v>favored_only</x:v>
      </x:c>
      <x:c r="L2636" s="24" t="b">
        <x:v>1</x:v>
      </x:c>
      <x:c r="M2636" s="23" t="n">
        <x:v>1</x:v>
      </x:c>
      <x:c r="N2636" s="28" t="n">
        <x:v>46219.812988715275</x:v>
      </x:c>
      <x:c r="O2636" s="28" t="n">
        <x:v>46219.812988715275</x:v>
      </x:c>
      <x:c r="P2636" s="23" t="str">
        <x:v>VESPASIANO</x:v>
      </x:c>
      <x:c r="Q2636" s="30" t="n">
        <x:v>32112</x:v>
      </x:c>
      <x:c r="R2636" s="22" t="str">
        <x:f>"RG: mg15096229"</x:f>
        <x:v>RG: mg15096229</x:v>
      </x:c>
      <x:c r="S2636" s="23" t="str">
        <x:v>masculino</x:v>
      </x:c>
      <x:c r="T2636" s="22" t="str">
        <x:f>"MJP2548"</x:f>
        <x:v>MJP2548</x:v>
      </x:c>
      <x:c r="U2636" s="23" t="str">
        <x:v>MARCUS VINICIUS MOREIRA</x:v>
      </x:c>
      <x:c r="V2636" s="22" t="str">
        <x:f>"094.865.046-01"</x:f>
        <x:v>094.865.046-01</x:v>
      </x:c>
      <x:c r="W2636" s="22" t="str">
        <x:f>"09486504601"</x:f>
        <x:v>09486504601</x:v>
      </x:c>
      <x:c r="X2636" s="23" t="str">
        <x:v>central.gmservicos@gmail.com</x:v>
      </x:c>
      <x:c r="Y2636" s="22" t="str">
        <x:f>"31988580193"</x:f>
        <x:v>31988580193</x:v>
      </x:c>
      <x:c r="Z2636" s="30" t="n">
        <x:v>46410</x:v>
      </x:c>
    </x:row>
    <x:row r="2637" ht="18" customHeight="1">
      <x:c r="A2637" s="22" t="str">
        <x:f>"61cd3adc-4075-4608-a99e-589a501f27a5"</x:f>
        <x:v>61cd3adc-4075-4608-a99e-589a501f27a5</x:v>
      </x:c>
      <x:c r="B2637" s="23" t="str">
        <x:v>MARCUS VINICIUS RODRIGUES</x:v>
      </x:c>
      <x:c r="C2637" s="23" t="str">
        <x:v>marcus vinicius rodrigues</x:v>
      </x:c>
      <x:c r="D2637" s="22" t="str">
        <x:f>"61.857.726/0001-30"</x:f>
        <x:v>61.857.726/0001-30</x:v>
      </x:c>
      <x:c r="E2637" s="22" t="str">
        <x:f>"61857726000130"</x:f>
        <x:v>61857726000130</x:v>
      </x:c>
      <x:c r="F2637" s="22" t="str">
        <x:f>"134.892.196-00"</x:f>
        <x:v>134.892.196-00</x:v>
      </x:c>
      <x:c r="G2637" s="22" t="str">
        <x:f>"13489219600"</x:f>
        <x:v>13489219600</x:v>
      </x:c>
      <x:c r="H2637" s="23" t="str">
        <x:v>marcusviniciusrodrigues399@gmail.com</x:v>
      </x:c>
      <x:c r="I2637" s="22" t="str">
        <x:f>"31973090805"</x:f>
        <x:v>31973090805</x:v>
      </x:c>
      <x:c r="J2637" s="23" t="str">
        <x:v>RENTAL</x:v>
      </x:c>
      <x:c r="K2637" s="23" t="str">
        <x:v>rental_company</x:v>
      </x:c>
      <x:c r="L2637" s="24" t="b">
        <x:v>1</x:v>
      </x:c>
      <x:c r="M2637" s="23" t="n">
        <x:v>1</x:v>
      </x:c>
      <x:c r="N2637" s="28" t="n">
        <x:v>46203.92184908565</x:v>
      </x:c>
      <x:c r="O2637" s="28" t="n">
        <x:v>46219.812988715275</x:v>
      </x:c>
      <x:c r="P2637" s="23" t="str">
        <x:v>CONTAGEM</x:v>
      </x:c>
      <x:c r="Q2637" s="30" t="n">
        <x:v>36491</x:v>
      </x:c>
      <x:c r="R2637" s="22" t="str">
        <x:f>"19843381"</x:f>
        <x:v>19843381</x:v>
      </x:c>
      <x:c r="S2637" s="23" t="str">
        <x:v>masculino</x:v>
      </x:c>
      <x:c r="T2637" s="22" t="str"/>
      <x:c r="U2637" s="23" t="str">
        <x:v>MARCUS VINICIUS RODRIGUES</x:v>
      </x:c>
      <x:c r="V2637" s="22" t="str">
        <x:f>"134.892.196-00"</x:f>
        <x:v>134.892.196-00</x:v>
      </x:c>
      <x:c r="W2637" s="22" t="str">
        <x:f>"13489219600"</x:f>
        <x:v>13489219600</x:v>
      </x:c>
      <x:c r="X2637" s="23" t="str">
        <x:v>marcusviniciusrodrigues399@gmail.com</x:v>
      </x:c>
      <x:c r="Y2637" s="22" t="str">
        <x:f>"31973090805"</x:f>
        <x:v>31973090805</x:v>
      </x:c>
      <x:c r="Z2637" s="30" t="n">
        <x:v>46246</x:v>
      </x:c>
    </x:row>
    <x:row r="2638" ht="18" customHeight="1">
      <x:c r="A2638" s="22" t="str">
        <x:f>"0784b50d-94d1-475f-ac49-c655fd6a2506"</x:f>
        <x:v>0784b50d-94d1-475f-ac49-c655fd6a2506</x:v>
      </x:c>
      <x:c r="B2638" s="23" t="str">
        <x:v>MARCUS VINICIUS SAMPAIO APPARECIDO</x:v>
      </x:c>
      <x:c r="C2638" s="23" t="str">
        <x:v>marcus vinicius sampaio apparecido</x:v>
      </x:c>
      <x:c r="D2638" s="22" t="str">
        <x:f>"63.949.436/0001-41"</x:f>
        <x:v>63.949.436/0001-41</x:v>
      </x:c>
      <x:c r="E2638" s="22" t="str">
        <x:f>"63949436000141"</x:f>
        <x:v>63949436000141</x:v>
      </x:c>
      <x:c r="F2638" s="22" t="str">
        <x:f>"108.730.037-13"</x:f>
        <x:v>108.730.037-13</x:v>
      </x:c>
      <x:c r="G2638" s="22" t="str">
        <x:f>"10873003713"</x:f>
        <x:v>10873003713</x:v>
      </x:c>
      <x:c r="H2638" s="23" t="str">
        <x:v>Marcussampaiio@icloud.com</x:v>
      </x:c>
      <x:c r="I2638" s="22" t="str">
        <x:f>"21920184001"</x:f>
        <x:v>21920184001</x:v>
      </x:c>
      <x:c r="J2638" s="23" t="str">
        <x:v>SPOT</x:v>
      </x:c>
      <x:c r="K2638" s="23" t="str">
        <x:v>favored_only</x:v>
      </x:c>
      <x:c r="L2638" s="24" t="b">
        <x:v>1</x:v>
      </x:c>
      <x:c r="M2638" s="23" t="n">
        <x:v>1</x:v>
      </x:c>
      <x:c r="N2638" s="28" t="n">
        <x:v>46219.812988715275</x:v>
      </x:c>
      <x:c r="O2638" s="28" t="n">
        <x:v>46219.812988715275</x:v>
      </x:c>
      <x:c r="P2638" s="23" t="str">
        <x:v>ITABORAI</x:v>
      </x:c>
      <x:c r="Q2638" s="30" t="n">
        <x:v>31463</x:v>
      </x:c>
      <x:c r="R2638" s="22" t="str">
        <x:f>"211800784"</x:f>
        <x:v>211800784</x:v>
      </x:c>
      <x:c r="S2638" s="23" t="str">
        <x:v>masculino</x:v>
      </x:c>
      <x:c r="T2638" s="22" t="str">
        <x:f>"LMJ8H51"</x:f>
        <x:v>LMJ8H51</x:v>
      </x:c>
      <x:c r="U2638" s="23" t="str">
        <x:v>MARCUS VINICIUS SAMPAIO APPARECIDO</x:v>
      </x:c>
      <x:c r="V2638" s="22" t="str">
        <x:f>"108.730.037-13"</x:f>
        <x:v>108.730.037-13</x:v>
      </x:c>
      <x:c r="W2638" s="22" t="str">
        <x:f>"10873003713"</x:f>
        <x:v>10873003713</x:v>
      </x:c>
      <x:c r="X2638" s="23" t="str">
        <x:v>Marcussampaiio@icloud.com</x:v>
      </x:c>
      <x:c r="Y2638" s="22" t="str">
        <x:f>"21920184001"</x:f>
        <x:v>21920184001</x:v>
      </x:c>
      <x:c r="Z2638" s="30" t="n">
        <x:v>46490</x:v>
      </x:c>
    </x:row>
    <x:row r="2639" ht="18" customHeight="1">
      <x:c r="A2639" s="22" t="str">
        <x:f>"96d098bd-8677-4260-b6f3-66984b70a9cc"</x:f>
        <x:v>96d098bd-8677-4260-b6f3-66984b70a9cc</x:v>
      </x:c>
      <x:c r="B2639" s="23" t="str">
        <x:v>MARIA ANDREIA MISAEL</x:v>
      </x:c>
      <x:c r="C2639" s="23" t="str">
        <x:v>maria andreia misael</x:v>
      </x:c>
      <x:c r="D2639" s="22" t="str">
        <x:f>"62.877.650/0001-77"</x:f>
        <x:v>62.877.650/0001-77</x:v>
      </x:c>
      <x:c r="E2639" s="22" t="str">
        <x:f>"62877650000177"</x:f>
        <x:v>62877650000177</x:v>
      </x:c>
      <x:c r="F2639" s="22" t="str">
        <x:f>"809.967.109-06"</x:f>
        <x:v>809.967.109-06</x:v>
      </x:c>
      <x:c r="G2639" s="22" t="str">
        <x:f>"80996710906"</x:f>
        <x:v>80996710906</x:v>
      </x:c>
      <x:c r="H2639" s="23" t="str">
        <x:v>Misaelzinha@hotmail.com</x:v>
      </x:c>
      <x:c r="I2639" s="22" t="str">
        <x:f>"18-981888502"</x:f>
        <x:v>18-981888502</x:v>
      </x:c>
      <x:c r="J2639" s="23" t="str">
        <x:v>RENTAL</x:v>
      </x:c>
      <x:c r="K2639" s="23" t="str">
        <x:v>rental_company</x:v>
      </x:c>
      <x:c r="L2639" s="24" t="b">
        <x:v>1</x:v>
      </x:c>
      <x:c r="M2639" s="23" t="n">
        <x:v>1</x:v>
      </x:c>
      <x:c r="N2639" s="28" t="n">
        <x:v>46203.92189965278</x:v>
      </x:c>
      <x:c r="O2639" s="28" t="n">
        <x:v>46219.812988715275</x:v>
      </x:c>
      <x:c r="P2639" s="23" t="str">
        <x:v>PRESIDENTE PRUDENTE</x:v>
      </x:c>
      <x:c r="Q2639" s="30" t="n">
        <x:v>26243</x:v>
      </x:c>
      <x:c r="R2639" s="22" t="str">
        <x:f>"265050182"</x:f>
        <x:v>265050182</x:v>
      </x:c>
      <x:c r="S2639" s="23" t="str">
        <x:v>feminino</x:v>
      </x:c>
      <x:c r="T2639" s="22" t="str"/>
      <x:c r="U2639" s="23" t="str">
        <x:v>MARIA ANDREIA MISAEL</x:v>
      </x:c>
      <x:c r="V2639" s="22" t="str">
        <x:f>"809.967.109-06"</x:f>
        <x:v>809.967.109-06</x:v>
      </x:c>
      <x:c r="W2639" s="22" t="str">
        <x:f>"80996710906"</x:f>
        <x:v>80996710906</x:v>
      </x:c>
      <x:c r="X2639" s="23" t="str">
        <x:v>Misaelzinha@hotmail.com</x:v>
      </x:c>
      <x:c r="Y2639" s="22" t="str">
        <x:f>"18-981888502"</x:f>
        <x:v>18-981888502</x:v>
      </x:c>
      <x:c r="Z2639" s="30" t="n">
        <x:v>46348</x:v>
      </x:c>
    </x:row>
    <x:row r="2640" ht="18" customHeight="1">
      <x:c r="A2640" s="22" t="str">
        <x:f>"ee8f9e58-051a-4e3a-af1e-f9633e5747ad"</x:f>
        <x:v>ee8f9e58-051a-4e3a-af1e-f9633e5747ad</x:v>
      </x:c>
      <x:c r="B2640" s="23" t="str">
        <x:v>MARIA APARECIDA DOS SANTOS FERREIRA</x:v>
      </x:c>
      <x:c r="C2640" s="23" t="str">
        <x:v>maria aparecida dos santos ferreira</x:v>
      </x:c>
      <x:c r="D2640" s="22" t="str">
        <x:f>"50.266.947/0001-17"</x:f>
        <x:v>50.266.947/0001-17</x:v>
      </x:c>
      <x:c r="E2640" s="22" t="str">
        <x:f>"50266947000117"</x:f>
        <x:v>50266947000117</x:v>
      </x:c>
      <x:c r="F2640" s="22" t="str">
        <x:f>"057.470.187-79"</x:f>
        <x:v>057.470.187-79</x:v>
      </x:c>
      <x:c r="G2640" s="22" t="str">
        <x:f>"05747018779"</x:f>
        <x:v>05747018779</x:v>
      </x:c>
      <x:c r="H2640" s="23" t="str">
        <x:v>cida.ferreira252813@gmail.com</x:v>
      </x:c>
      <x:c r="I2640" s="22" t="str">
        <x:f>"21996784775"</x:f>
        <x:v>21996784775</x:v>
      </x:c>
      <x:c r="J2640" s="23" t="str">
        <x:v>SPOT</x:v>
      </x:c>
      <x:c r="K2640" s="23" t="str">
        <x:v>favored_only</x:v>
      </x:c>
      <x:c r="L2640" s="24" t="b">
        <x:v>1</x:v>
      </x:c>
      <x:c r="M2640" s="23" t="n">
        <x:v>1</x:v>
      </x:c>
      <x:c r="N2640" s="28" t="n">
        <x:v>46219.812988715275</x:v>
      </x:c>
      <x:c r="O2640" s="28" t="n">
        <x:v>46219.812988715275</x:v>
      </x:c>
      <x:c r="P2640" s="23" t="str">
        <x:v>SÃO JOAO DE MERITI</x:v>
      </x:c>
      <x:c r="Q2640" s="30" t="n">
        <x:v>28558</x:v>
      </x:c>
      <x:c r="R2640" s="22" t="str">
        <x:f>"123366874"</x:f>
        <x:v>123366874</x:v>
      </x:c>
      <x:c r="S2640" s="23" t="str">
        <x:v>feminino</x:v>
      </x:c>
      <x:c r="T2640" s="22" t="str">
        <x:f>"QOW9D21"</x:f>
        <x:v>QOW9D21</x:v>
      </x:c>
      <x:c r="U2640" s="23" t="str">
        <x:v>SAULO DE AGUIAR PEREIRA SOBRINHO</x:v>
      </x:c>
      <x:c r="V2640" s="22" t="str">
        <x:f>"126.143.647-46"</x:f>
        <x:v>126.143.647-46</x:v>
      </x:c>
      <x:c r="W2640" s="22" t="str">
        <x:f>"12614364746"</x:f>
        <x:v>12614364746</x:v>
      </x:c>
      <x:c r="X2640" s="23" t="str">
        <x:v>saulodeaguiar0408@gmail.com</x:v>
      </x:c>
      <x:c r="Y2640" s="22" t="str">
        <x:f>"21997064854"</x:f>
        <x:v>21997064854</x:v>
      </x:c>
      <x:c r="Z2640" s="30" t="n">
        <x:v>46438</x:v>
      </x:c>
    </x:row>
    <x:row r="2641" ht="18" customHeight="1">
      <x:c r="A2641" s="22" t="str">
        <x:f>"7f6447e2-48d2-4382-a7e4-50d02f45621e"</x:f>
        <x:v>7f6447e2-48d2-4382-a7e4-50d02f45621e</x:v>
      </x:c>
      <x:c r="B2641" s="23" t="str">
        <x:v>MARIA APARECIDA PENA DE SIQUEIRA</x:v>
      </x:c>
      <x:c r="C2641" s="23" t="str">
        <x:v>maria aparecida pena de siqueira</x:v>
      </x:c>
      <x:c r="D2641" s="22" t="str">
        <x:f>"62.123.895/0001-09"</x:f>
        <x:v>62.123.895/0001-09</x:v>
      </x:c>
      <x:c r="E2641" s="22" t="str">
        <x:f>"62123895000109"</x:f>
        <x:v>62123895000109</x:v>
      </x:c>
      <x:c r="F2641" s="22" t="str">
        <x:f>"513.088.516-34"</x:f>
        <x:v>513.088.516-34</x:v>
      </x:c>
      <x:c r="G2641" s="22" t="str">
        <x:f>"51308851634"</x:f>
        <x:v>51308851634</x:v>
      </x:c>
      <x:c r="H2641" s="23" t="str">
        <x:v>Nemcentenario25@gmail.com</x:v>
      </x:c>
      <x:c r="I2641" s="22" t="str">
        <x:f>"33988312025"</x:f>
        <x:v>33988312025</x:v>
      </x:c>
      <x:c r="J2641" s="23" t="str">
        <x:v>SPOT</x:v>
      </x:c>
      <x:c r="K2641" s="23" t="str">
        <x:v>favored_only</x:v>
      </x:c>
      <x:c r="L2641" s="24" t="b">
        <x:v>1</x:v>
      </x:c>
      <x:c r="M2641" s="23" t="n">
        <x:v>1</x:v>
      </x:c>
      <x:c r="N2641" s="28" t="n">
        <x:v>46205.60592065972</x:v>
      </x:c>
      <x:c r="O2641" s="28" t="n">
        <x:v>46219.812988715275</x:v>
      </x:c>
      <x:c r="P2641" s="23" t="str">
        <x:v>GUANHAES</x:v>
      </x:c>
      <x:c r="Q2641" s="30" t="n">
        <x:v>21390</x:v>
      </x:c>
      <x:c r="R2641" s="22" t="str">
        <x:f>"3957087"</x:f>
        <x:v>3957087</x:v>
      </x:c>
      <x:c r="S2641" s="23" t="str">
        <x:v>feminino</x:v>
      </x:c>
      <x:c r="T2641" s="22" t="str">
        <x:f>"HEM0F20"</x:f>
        <x:v>HEM0F20</x:v>
      </x:c>
      <x:c r="U2641" s="23" t="str">
        <x:v>FLAVIANO SIMOES DA SILVA</x:v>
      </x:c>
      <x:c r="V2641" s="22" t="str">
        <x:f>"074.451.386-33"</x:f>
        <x:v>074.451.386-33</x:v>
      </x:c>
      <x:c r="W2641" s="22" t="str">
        <x:f>"07445138633"</x:f>
        <x:v>07445138633</x:v>
      </x:c>
      <x:c r="X2641" s="23" t="str">
        <x:v>flavianosimoesdasilvaflsimoes@gmail.com</x:v>
      </x:c>
      <x:c r="Y2641" s="22" t="str">
        <x:f>"33999202644"</x:f>
        <x:v>33999202644</x:v>
      </x:c>
      <x:c r="Z2641" s="30" t="n">
        <x:v>46522</x:v>
      </x:c>
    </x:row>
    <x:row r="2642" ht="18" customHeight="1">
      <x:c r="A2642" s="22" t="str">
        <x:f>"5c8a016e-b133-4185-b2ef-6b305b3beb83"</x:f>
        <x:v>5c8a016e-b133-4185-b2ef-6b305b3beb83</x:v>
      </x:c>
      <x:c r="B2642" s="23" t="str">
        <x:v>Maria Cabral da Silva Filha Dantas</x:v>
      </x:c>
      <x:c r="C2642" s="23" t="str">
        <x:v>maria cabral da silva filha dantas</x:v>
      </x:c>
      <x:c r="D2642" s="22" t="str">
        <x:f>"40467543000138"</x:f>
        <x:v>40467543000138</x:v>
      </x:c>
      <x:c r="E2642" s="22" t="str">
        <x:f>"40467543000138"</x:f>
        <x:v>40467543000138</x:v>
      </x:c>
      <x:c r="F2642" s="22" t="str">
        <x:f>"051.923.244.59"</x:f>
        <x:v>051.923.244.59</x:v>
      </x:c>
      <x:c r="G2642" s="22" t="str">
        <x:f>"05192324459"</x:f>
        <x:v>05192324459</x:v>
      </x:c>
      <x:c r="H2642" s="23" t="str">
        <x:v>mariadantas01101981@gmail.com</x:v>
      </x:c>
      <x:c r="I2642" s="22" t="str">
        <x:f>"67984471632"</x:f>
        <x:v>67984471632</x:v>
      </x:c>
      <x:c r="J2642" s="23" t="str">
        <x:v>SPOT</x:v>
      </x:c>
      <x:c r="K2642" s="23" t="str">
        <x:v>favored_only</x:v>
      </x:c>
      <x:c r="L2642" s="24" t="b">
        <x:v>1</x:v>
      </x:c>
      <x:c r="M2642" s="23" t="n">
        <x:v>1</x:v>
      </x:c>
      <x:c r="N2642" s="28" t="n">
        <x:v>46203.92183017361</x:v>
      </x:c>
      <x:c r="O2642" s="28" t="n">
        <x:v>46203.92183017361</x:v>
      </x:c>
      <x:c r="P2642" s="23" t="str"/>
      <x:c r="Q2642" s="30" t="str"/>
      <x:c r="R2642" s="22" t="str"/>
      <x:c r="S2642" s="23" t="str"/>
      <x:c r="T2642" s="22" t="str"/>
      <x:c r="U2642" s="23" t="str">
        <x:v>Maria Cabral da Silva Filha Dantas</x:v>
      </x:c>
      <x:c r="V2642" s="22" t="str">
        <x:f>"051.923.244.59"</x:f>
        <x:v>051.923.244.59</x:v>
      </x:c>
      <x:c r="W2642" s="22" t="str">
        <x:f>"05192324459"</x:f>
        <x:v>05192324459</x:v>
      </x:c>
      <x:c r="X2642" s="23" t="str">
        <x:v>mariadantas01101981@gmail.com</x:v>
      </x:c>
      <x:c r="Y2642" s="22" t="str">
        <x:f>"67984471632"</x:f>
        <x:v>67984471632</x:v>
      </x:c>
      <x:c r="Z2642" s="30" t="str"/>
    </x:row>
    <x:row r="2643" ht="18" customHeight="1">
      <x:c r="A2643" s="22" t="str">
        <x:f>"099473c5-5136-4b44-9951-d6fdbf15bb4f"</x:f>
        <x:v>099473c5-5136-4b44-9951-d6fdbf15bb4f</x:v>
      </x:c>
      <x:c r="B2643" s="23" t="str">
        <x:v>MARIA CICERA LOURENCO FIGUEIREDO</x:v>
      </x:c>
      <x:c r="C2643" s="23" t="str">
        <x:v>maria cicera lourenco figueiredo</x:v>
      </x:c>
      <x:c r="D2643" s="22" t="str">
        <x:f>"51.437.752/0001-55"</x:f>
        <x:v>51.437.752/0001-55</x:v>
      </x:c>
      <x:c r="E2643" s="22" t="str">
        <x:f>"51437752000155"</x:f>
        <x:v>51437752000155</x:v>
      </x:c>
      <x:c r="F2643" s="22" t="str">
        <x:f>"281.443.458-60"</x:f>
        <x:v>281.443.458-60</x:v>
      </x:c>
      <x:c r="G2643" s="22" t="str">
        <x:f>"28144345860"</x:f>
        <x:v>28144345860</x:v>
      </x:c>
      <x:c r="H2643" s="23" t="str">
        <x:v>cicerafigueiredo40@gmail.com</x:v>
      </x:c>
      <x:c r="I2643" s="22" t="str">
        <x:f>"16 996052974"</x:f>
        <x:v>16 996052974</x:v>
      </x:c>
      <x:c r="J2643" s="23" t="str">
        <x:v>RENTAL</x:v>
      </x:c>
      <x:c r="K2643" s="23" t="str">
        <x:v>rental_company</x:v>
      </x:c>
      <x:c r="L2643" s="24" t="b">
        <x:v>1</x:v>
      </x:c>
      <x:c r="M2643" s="23" t="n">
        <x:v>1</x:v>
      </x:c>
      <x:c r="N2643" s="28" t="n">
        <x:v>46203.92183017361</x:v>
      </x:c>
      <x:c r="O2643" s="28" t="n">
        <x:v>46219.812988715275</x:v>
      </x:c>
      <x:c r="P2643" s="23" t="str">
        <x:v>SÃO CARLOS</x:v>
      </x:c>
      <x:c r="Q2643" s="30" t="n">
        <x:v>29598</x:v>
      </x:c>
      <x:c r="R2643" s="22" t="str">
        <x:f>"40296446"</x:f>
        <x:v>40296446</x:v>
      </x:c>
      <x:c r="S2643" s="23" t="str">
        <x:v>feminino</x:v>
      </x:c>
      <x:c r="T2643" s="22" t="str"/>
      <x:c r="U2643" s="23" t="str">
        <x:v>MARIA CICERA LOURENCO FIGUEIREDO</x:v>
      </x:c>
      <x:c r="V2643" s="22" t="str">
        <x:f>"281.443.458-60"</x:f>
        <x:v>281.443.458-60</x:v>
      </x:c>
      <x:c r="W2643" s="22" t="str">
        <x:f>"28144345860"</x:f>
        <x:v>28144345860</x:v>
      </x:c>
      <x:c r="X2643" s="23" t="str">
        <x:v>cicerafigueiredo40@gmail.com</x:v>
      </x:c>
      <x:c r="Y2643" s="22" t="str">
        <x:f>"16 996052974"</x:f>
        <x:v>16 996052974</x:v>
      </x:c>
      <x:c r="Z2643" s="30" t="n">
        <x:v>46525</x:v>
      </x:c>
    </x:row>
    <x:row r="2644" ht="18" customHeight="1">
      <x:c r="A2644" s="22" t="str">
        <x:f>"b17bea2e-1cbf-4cb7-818b-b5303250e43c"</x:f>
        <x:v>b17bea2e-1cbf-4cb7-818b-b5303250e43c</x:v>
      </x:c>
      <x:c r="B2644" s="23" t="str">
        <x:v>MARIA DE LOURDES MARTINS ARAUJO</x:v>
      </x:c>
      <x:c r="C2644" s="23" t="str">
        <x:v>maria de lourdes martins araujo</x:v>
      </x:c>
      <x:c r="D2644" s="22" t="str">
        <x:f>"54.889.181/0001-88"</x:f>
        <x:v>54.889.181/0001-88</x:v>
      </x:c>
      <x:c r="E2644" s="22" t="str">
        <x:f>"54889181000188"</x:f>
        <x:v>54889181000188</x:v>
      </x:c>
      <x:c r="F2644" s="22" t="str">
        <x:f>"240.784.096-87"</x:f>
        <x:v>240.784.096-87</x:v>
      </x:c>
      <x:c r="G2644" s="22" t="str">
        <x:f>"24078409687"</x:f>
        <x:v>24078409687</x:v>
      </x:c>
      <x:c r="H2644" s="23" t="str">
        <x:v>mariadelourdesmartinsaraujo@gmail.com</x:v>
      </x:c>
      <x:c r="I2644" s="22" t="str">
        <x:f>"34 9124-2728"</x:f>
        <x:v>34 9124-2728</x:v>
      </x:c>
      <x:c r="J2644" s="23" t="str">
        <x:v>spot</x:v>
      </x:c>
      <x:c r="K2644" s="23" t="str">
        <x:v>favored_only</x:v>
      </x:c>
      <x:c r="L2644" s="24" t="b">
        <x:v>1</x:v>
      </x:c>
      <x:c r="M2644" s="23" t="n">
        <x:v>1</x:v>
      </x:c>
      <x:c r="N2644" s="28" t="n">
        <x:v>46219.812988715275</x:v>
      </x:c>
      <x:c r="O2644" s="28" t="n">
        <x:v>46219.812988715275</x:v>
      </x:c>
      <x:c r="P2644" s="23" t="str">
        <x:v>ARAXÁ</x:v>
      </x:c>
      <x:c r="Q2644" s="30" t="n">
        <x:v>20686</x:v>
      </x:c>
      <x:c r="R2644" s="22" t="str">
        <x:f>"M11977864"</x:f>
        <x:v>M11977864</x:v>
      </x:c>
      <x:c r="S2644" s="23" t="str">
        <x:v>feminino</x:v>
      </x:c>
      <x:c r="T2644" s="22" t="str">
        <x:f>"OPT7H18"</x:f>
        <x:v>OPT7H18</x:v>
      </x:c>
      <x:c r="U2644" s="23" t="str">
        <x:v>GUSTAVO HUMBERTO DE ARAUJO</x:v>
      </x:c>
      <x:c r="V2644" s="22" t="str">
        <x:f>"065.109.556-52"</x:f>
        <x:v>065.109.556-52</x:v>
      </x:c>
      <x:c r="W2644" s="22" t="str">
        <x:f>"06510955652"</x:f>
        <x:v>06510955652</x:v>
      </x:c>
      <x:c r="X2644" s="23" t="str">
        <x:v>Gustavohumbertoaraujo@gmail.com</x:v>
      </x:c>
      <x:c r="Y2644" s="22" t="str">
        <x:f>"34 9124-2728"</x:f>
        <x:v>34 9124-2728</x:v>
      </x:c>
      <x:c r="Z2644" s="30" t="n">
        <x:v>46551</x:v>
      </x:c>
    </x:row>
    <x:row r="2645" ht="18" customHeight="1">
      <x:c r="A2645" s="22" t="str">
        <x:f>"f28c8b46-f0e5-4adc-ad72-0128ce446339"</x:f>
        <x:v>f28c8b46-f0e5-4adc-ad72-0128ce446339</x:v>
      </x:c>
      <x:c r="B2645" s="23" t="str">
        <x:v>MARIA EDUARDA DE OLIVEIRA CRUZ</x:v>
      </x:c>
      <x:c r="C2645" s="23" t="str">
        <x:v>maria eduarda de oliveira cruz</x:v>
      </x:c>
      <x:c r="D2645" s="22" t="str">
        <x:f>"67.551.415/0001-24"</x:f>
        <x:v>67.551.415/0001-24</x:v>
      </x:c>
      <x:c r="E2645" s="22" t="str">
        <x:f>"67551415000124"</x:f>
        <x:v>67551415000124</x:v>
      </x:c>
      <x:c r="F2645" s="22" t="str">
        <x:f>"076.004.361-24"</x:f>
        <x:v>076.004.361-24</x:v>
      </x:c>
      <x:c r="G2645" s="22" t="str">
        <x:f>"07600436124"</x:f>
        <x:v>07600436124</x:v>
      </x:c>
      <x:c r="H2645" s="23" t="str">
        <x:v>maduoli2628e@outlook.com</x:v>
      </x:c>
      <x:c r="I2645" s="22" t="str">
        <x:f>"65 984771929"</x:f>
        <x:v>65 984771929</x:v>
      </x:c>
      <x:c r="J2645" s="23" t="str">
        <x:v>SPOT</x:v>
      </x:c>
      <x:c r="K2645" s="23" t="str">
        <x:v>favored_only</x:v>
      </x:c>
      <x:c r="L2645" s="24" t="b">
        <x:v>1</x:v>
      </x:c>
      <x:c r="M2645" s="23" t="n">
        <x:v>1</x:v>
      </x:c>
      <x:c r="N2645" s="28" t="n">
        <x:v>46219.812988715275</x:v>
      </x:c>
      <x:c r="O2645" s="28" t="n">
        <x:v>46219.812988715275</x:v>
      </x:c>
      <x:c r="P2645" s="23" t="str">
        <x:v>ARAPUTANGA</x:v>
      </x:c>
      <x:c r="Q2645" s="30" t="n">
        <x:v>38554</x:v>
      </x:c>
      <x:c r="R2645" s="22" t="str">
        <x:f>"07600436124  SSP MT"</x:f>
        <x:v>07600436124  SSP MT</x:v>
      </x:c>
      <x:c r="S2645" s="23" t="str">
        <x:v>feminino</x:v>
      </x:c>
      <x:c r="T2645" s="22" t="str">
        <x:f>"NPJ9J06"</x:f>
        <x:v>NPJ9J06</x:v>
      </x:c>
      <x:c r="U2645" s="23" t="str">
        <x:v>MARIA EDUARDA DE OLIVEIRA CRUZ</x:v>
      </x:c>
      <x:c r="V2645" s="22" t="str">
        <x:f>"076.004.361-24"</x:f>
        <x:v>076.004.361-24</x:v>
      </x:c>
      <x:c r="W2645" s="22" t="str">
        <x:f>"07600436124"</x:f>
        <x:v>07600436124</x:v>
      </x:c>
      <x:c r="X2645" s="23" t="str">
        <x:v>maduoli2628e@outlook.com</x:v>
      </x:c>
      <x:c r="Y2645" s="22" t="str">
        <x:f>"65 984771929"</x:f>
        <x:v>65 984771929</x:v>
      </x:c>
      <x:c r="Z2645" s="30" t="n">
        <x:v>46560</x:v>
      </x:c>
    </x:row>
    <x:row r="2646" ht="18" customHeight="1">
      <x:c r="A2646" s="22" t="str">
        <x:f>"edf3a7fe-6ac9-432e-b67f-77f498eb23ac"</x:f>
        <x:v>edf3a7fe-6ac9-432e-b67f-77f498eb23ac</x:v>
      </x:c>
      <x:c r="B2646" s="23" t="str">
        <x:v>MARIA FABIANA BISPO DA SILVA</x:v>
      </x:c>
      <x:c r="C2646" s="23" t="str">
        <x:v>maria fabiana bispo da silva</x:v>
      </x:c>
      <x:c r="D2646" s="22" t="str">
        <x:f>"58.690.491/0001-20"</x:f>
        <x:v>58.690.491/0001-20</x:v>
      </x:c>
      <x:c r="E2646" s="22" t="str">
        <x:f>"58690491000120"</x:f>
        <x:v>58690491000120</x:v>
      </x:c>
      <x:c r="F2646" s="22" t="str">
        <x:f>"428.568.108-02"</x:f>
        <x:v>428.568.108-02</x:v>
      </x:c>
      <x:c r="G2646" s="22" t="str">
        <x:f>"42856810802"</x:f>
        <x:v>42856810802</x:v>
      </x:c>
      <x:c r="H2646" s="23" t="str">
        <x:v>Fabiannabispo08@gmail.com</x:v>
      </x:c>
      <x:c r="I2646" s="22" t="str">
        <x:f>"+55 14 98826-7663"</x:f>
        <x:v>+55 14 98826-7663</x:v>
      </x:c>
      <x:c r="J2646" s="23" t="str">
        <x:v>SPOT</x:v>
      </x:c>
      <x:c r="K2646" s="23" t="str">
        <x:v>favored_only</x:v>
      </x:c>
      <x:c r="L2646" s="24" t="b">
        <x:v>1</x:v>
      </x:c>
      <x:c r="M2646" s="23" t="n">
        <x:v>1</x:v>
      </x:c>
      <x:c r="N2646" s="28" t="n">
        <x:v>46219.812988715275</x:v>
      </x:c>
      <x:c r="O2646" s="28" t="n">
        <x:v>46219.812988715275</x:v>
      </x:c>
      <x:c r="P2646" s="23" t="str">
        <x:v>MARILIA</x:v>
      </x:c>
      <x:c r="Q2646" s="30" t="n">
        <x:v>35558</x:v>
      </x:c>
      <x:c r="R2646" s="22" t="str">
        <x:f>"45321083"</x:f>
        <x:v>45321083</x:v>
      </x:c>
      <x:c r="S2646" s="23" t="str">
        <x:v>feminino</x:v>
      </x:c>
      <x:c r="T2646" s="22" t="str">
        <x:f>"PXB0I01"</x:f>
        <x:v>PXB0I01</x:v>
      </x:c>
      <x:c r="U2646" s="23" t="str">
        <x:v>MARIA FABIANA BISPO DA SILVA</x:v>
      </x:c>
      <x:c r="V2646" s="22" t="str">
        <x:f>"428.568.108-02"</x:f>
        <x:v>428.568.108-02</x:v>
      </x:c>
      <x:c r="W2646" s="22" t="str">
        <x:f>"42856810802"</x:f>
        <x:v>42856810802</x:v>
      </x:c>
      <x:c r="X2646" s="23" t="str">
        <x:v>Fabiannabispo08@gmail.com</x:v>
      </x:c>
      <x:c r="Y2646" s="22" t="str">
        <x:f>"+55 14 98826-7663"</x:f>
        <x:v>+55 14 98826-7663</x:v>
      </x:c>
      <x:c r="Z2646" s="30" t="n">
        <x:v>46556</x:v>
      </x:c>
    </x:row>
    <x:row r="2647" ht="18" customHeight="1">
      <x:c r="A2647" s="22" t="str">
        <x:f>"fcffdd28-a876-46fe-90fb-d86e7b57cd7f"</x:f>
        <x:v>fcffdd28-a876-46fe-90fb-d86e7b57cd7f</x:v>
      </x:c>
      <x:c r="B2647" s="23" t="str">
        <x:v>MARIA JOICE DA SILVA</x:v>
      </x:c>
      <x:c r="C2647" s="23" t="str">
        <x:v>maria joice da silva</x:v>
      </x:c>
      <x:c r="D2647" s="22" t="str">
        <x:f>"39.697.732/0001-18"</x:f>
        <x:v>39.697.732/0001-18</x:v>
      </x:c>
      <x:c r="E2647" s="22" t="str">
        <x:f>"39697732000118"</x:f>
        <x:v>39697732000118</x:v>
      </x:c>
      <x:c r="F2647" s="22" t="str">
        <x:f>"436.292.688-70"</x:f>
        <x:v>436.292.688-70</x:v>
      </x:c>
      <x:c r="G2647" s="22" t="str">
        <x:f>"43629268870"</x:f>
        <x:v>43629268870</x:v>
      </x:c>
      <x:c r="H2647" s="23" t="str">
        <x:v>mjoicemax@gmail.com</x:v>
      </x:c>
      <x:c r="I2647" s="22" t="str">
        <x:f>"16993784679"</x:f>
        <x:v>16993784679</x:v>
      </x:c>
      <x:c r="J2647" s="23" t="str">
        <x:v>SPOT</x:v>
      </x:c>
      <x:c r="K2647" s="23" t="str">
        <x:v>favored_only</x:v>
      </x:c>
      <x:c r="L2647" s="24" t="b">
        <x:v>1</x:v>
      </x:c>
      <x:c r="M2647" s="23" t="n">
        <x:v>1</x:v>
      </x:c>
      <x:c r="N2647" s="28" t="n">
        <x:v>46219.812988715275</x:v>
      </x:c>
      <x:c r="O2647" s="28" t="n">
        <x:v>46219.812988715275</x:v>
      </x:c>
      <x:c r="P2647" s="23" t="str">
        <x:v>RIBEIRAO PRETO</x:v>
      </x:c>
      <x:c r="Q2647" s="30" t="n">
        <x:v>34998</x:v>
      </x:c>
      <x:c r="R2647" s="22" t="str">
        <x:f>"49922827"</x:f>
        <x:v>49922827</x:v>
      </x:c>
      <x:c r="S2647" s="23" t="str">
        <x:v>feminino</x:v>
      </x:c>
      <x:c r="T2647" s="22" t="str">
        <x:f>"UQI3H17"</x:f>
        <x:v>UQI3H17</x:v>
      </x:c>
      <x:c r="U2647" s="23" t="str">
        <x:v>MARIA JOICE DA SILVA</x:v>
      </x:c>
      <x:c r="V2647" s="22" t="str">
        <x:f>"436.292.688-70"</x:f>
        <x:v>436.292.688-70</x:v>
      </x:c>
      <x:c r="W2647" s="22" t="str">
        <x:f>"43629268870"</x:f>
        <x:v>43629268870</x:v>
      </x:c>
      <x:c r="X2647" s="23" t="str">
        <x:v>mjoicemax@gmail.com</x:v>
      </x:c>
      <x:c r="Y2647" s="22" t="str">
        <x:f>"16993784679"</x:f>
        <x:v>16993784679</x:v>
      </x:c>
      <x:c r="Z2647" s="30" t="n">
        <x:v>46555</x:v>
      </x:c>
    </x:row>
    <x:row r="2648" ht="18" customHeight="1">
      <x:c r="A2648" s="22" t="str">
        <x:f>"b3b875ed-871c-4654-9f1f-505299755fc5"</x:f>
        <x:v>b3b875ed-871c-4654-9f1f-505299755fc5</x:v>
      </x:c>
      <x:c r="B2648" s="23" t="str">
        <x:v>MARIA KATIA GONCALVES SANTOS</x:v>
      </x:c>
      <x:c r="C2648" s="23" t="str">
        <x:v>maria katia goncalves santos</x:v>
      </x:c>
      <x:c r="D2648" s="22" t="str">
        <x:f>"62.507.626/0001-46"</x:f>
        <x:v>62.507.626/0001-46</x:v>
      </x:c>
      <x:c r="E2648" s="22" t="str">
        <x:f>"62507626000146"</x:f>
        <x:v>62507626000146</x:v>
      </x:c>
      <x:c r="F2648" s="22" t="str">
        <x:f>"061.151.406-09"</x:f>
        <x:v>061.151.406-09</x:v>
      </x:c>
      <x:c r="G2648" s="22" t="str">
        <x:f>"06115140609"</x:f>
        <x:v>06115140609</x:v>
      </x:c>
      <x:c r="H2648" s="23" t="str">
        <x:v>mariakatiagramos@gmail.com</x:v>
      </x:c>
      <x:c r="I2648" s="22" t="str">
        <x:f>"33999202060"</x:f>
        <x:v>33999202060</x:v>
      </x:c>
      <x:c r="J2648" s="23" t="str">
        <x:v>SPOT</x:v>
      </x:c>
      <x:c r="K2648" s="23" t="str">
        <x:v>favored_only</x:v>
      </x:c>
      <x:c r="L2648" s="24" t="b">
        <x:v>1</x:v>
      </x:c>
      <x:c r="M2648" s="23" t="n">
        <x:v>1</x:v>
      </x:c>
      <x:c r="N2648" s="28" t="n">
        <x:v>46205.60432025463</x:v>
      </x:c>
      <x:c r="O2648" s="28" t="n">
        <x:v>46219.812988715275</x:v>
      </x:c>
      <x:c r="P2648" s="23" t="str">
        <x:v>TEOFILO OTONI</x:v>
      </x:c>
      <x:c r="Q2648" s="30" t="n">
        <x:v>27191</x:v>
      </x:c>
      <x:c r="R2648" s="22" t="str">
        <x:f>"7712723"</x:f>
        <x:v>7712723</x:v>
      </x:c>
      <x:c r="S2648" s="23" t="str">
        <x:v>feminino</x:v>
      </x:c>
      <x:c r="T2648" s="22" t="str">
        <x:f>"PWU4D42"</x:f>
        <x:v>PWU4D42</x:v>
      </x:c>
      <x:c r="U2648" s="23" t="str">
        <x:v>EDUARDA GONCALVES RAMOS</x:v>
      </x:c>
      <x:c r="V2648" s="22" t="str">
        <x:f>"127.540.916-45"</x:f>
        <x:v>127.540.916-45</x:v>
      </x:c>
      <x:c r="W2648" s="22" t="str">
        <x:f>"12754091645"</x:f>
        <x:v>12754091645</x:v>
      </x:c>
      <x:c r="X2648" s="23" t="str">
        <x:v>eduardagramos04@gmail.com</x:v>
      </x:c>
      <x:c r="Y2648" s="22" t="str">
        <x:f>"33999202060"</x:f>
        <x:v>33999202060</x:v>
      </x:c>
      <x:c r="Z2648" s="30" t="n">
        <x:v>46268</x:v>
      </x:c>
    </x:row>
    <x:row r="2649" ht="18" customHeight="1">
      <x:c r="A2649" s="22" t="str">
        <x:f>"c290e7b8-c8f7-41f7-bfa8-c598451c7034"</x:f>
        <x:v>c290e7b8-c8f7-41f7-bfa8-c598451c7034</x:v>
      </x:c>
      <x:c r="B2649" s="23" t="str">
        <x:v>MARIA KATIA GONCALVES SANTOS</x:v>
      </x:c>
      <x:c r="C2649" s="23" t="str">
        <x:v>maria katia goncalves santos</x:v>
      </x:c>
      <x:c r="D2649" s="22" t="str">
        <x:f>"62.408.328/0001-07"</x:f>
        <x:v>62.408.328/0001-07</x:v>
      </x:c>
      <x:c r="E2649" s="22" t="str">
        <x:f>"62408328000107"</x:f>
        <x:v>62408328000107</x:v>
      </x:c>
      <x:c r="F2649" s="22" t="str">
        <x:f>"061.151.406-09"</x:f>
        <x:v>061.151.406-09</x:v>
      </x:c>
      <x:c r="G2649" s="22" t="str">
        <x:f>"06115140609"</x:f>
        <x:v>06115140609</x:v>
      </x:c>
      <x:c r="H2649" s="23" t="str">
        <x:v>mariakatiagramos@gmail.com</x:v>
      </x:c>
      <x:c r="I2649" s="22" t="str">
        <x:f>"33987080880"</x:f>
        <x:v>33987080880</x:v>
      </x:c>
      <x:c r="J2649" s="23" t="str">
        <x:v>SPOT</x:v>
      </x:c>
      <x:c r="K2649" s="23" t="str">
        <x:v>favored_only</x:v>
      </x:c>
      <x:c r="L2649" s="24" t="b">
        <x:v>1</x:v>
      </x:c>
      <x:c r="M2649" s="23" t="n">
        <x:v>1</x:v>
      </x:c>
      <x:c r="N2649" s="28" t="n">
        <x:v>46205.60422337963</x:v>
      </x:c>
      <x:c r="O2649" s="28" t="n">
        <x:v>46219.812988715275</x:v>
      </x:c>
      <x:c r="P2649" s="23" t="str">
        <x:v>TEOFILO OTONI</x:v>
      </x:c>
      <x:c r="Q2649" s="30" t="n">
        <x:v>27191</x:v>
      </x:c>
      <x:c r="R2649" s="22" t="str">
        <x:f>"7712723"</x:f>
        <x:v>7712723</x:v>
      </x:c>
      <x:c r="S2649" s="23" t="str">
        <x:v>feminino</x:v>
      </x:c>
      <x:c r="T2649" s="22" t="str">
        <x:f>"EQM2E18"</x:f>
        <x:v>EQM2E18</x:v>
      </x:c>
      <x:c r="U2649" s="23" t="str">
        <x:v>HONORIO ISRAEL GONCALVES PEREIRA</x:v>
      </x:c>
      <x:c r="V2649" s="22" t="str">
        <x:f>"012.474.489-73"</x:f>
        <x:v>012.474.489-73</x:v>
      </x:c>
      <x:c r="W2649" s="22" t="str">
        <x:f>"01247448973"</x:f>
        <x:v>01247448973</x:v>
      </x:c>
      <x:c r="X2649" s="23" t="str">
        <x:v>mariakatiagramos@gmail.com</x:v>
      </x:c>
      <x:c r="Y2649" s="22" t="str">
        <x:f>"33987080880"</x:f>
        <x:v>33987080880</x:v>
      </x:c>
      <x:c r="Z2649" s="30" t="n">
        <x:v>46262</x:v>
      </x:c>
    </x:row>
    <x:row r="2650" ht="18" customHeight="1">
      <x:c r="A2650" s="22" t="str">
        <x:f>"b5863146-02c1-4673-b6d8-536af313904a"</x:f>
        <x:v>b5863146-02c1-4673-b6d8-536af313904a</x:v>
      </x:c>
      <x:c r="B2650" s="23" t="str">
        <x:v>MARIA LUZIA ALVES DE SOUZA</x:v>
      </x:c>
      <x:c r="C2650" s="23" t="str">
        <x:v>maria luzia alves de souza</x:v>
      </x:c>
      <x:c r="D2650" s="22" t="str">
        <x:f>"66.994.715/0001-15"</x:f>
        <x:v>66.994.715/0001-15</x:v>
      </x:c>
      <x:c r="E2650" s="22" t="str">
        <x:f>"66994715000115"</x:f>
        <x:v>66994715000115</x:v>
      </x:c>
      <x:c r="F2650" s="22" t="str">
        <x:f>"779.092.081-20"</x:f>
        <x:v>779.092.081-20</x:v>
      </x:c>
      <x:c r="G2650" s="22" t="str">
        <x:f>"77909208120"</x:f>
        <x:v>77909208120</x:v>
      </x:c>
      <x:c r="H2650" s="23" t="str">
        <x:v>marialuziaalvesdesouza4@gmail.com</x:v>
      </x:c>
      <x:c r="I2650" s="22" t="str">
        <x:f>"67-996470933"</x:f>
        <x:v>67-996470933</x:v>
      </x:c>
      <x:c r="J2650" s="23" t="str">
        <x:v>spot</x:v>
      </x:c>
      <x:c r="K2650" s="23" t="str">
        <x:v>favored_only</x:v>
      </x:c>
      <x:c r="L2650" s="24" t="b">
        <x:v>1</x:v>
      </x:c>
      <x:c r="M2650" s="23" t="n">
        <x:v>1</x:v>
      </x:c>
      <x:c r="N2650" s="28" t="n">
        <x:v>46219.812988715275</x:v>
      </x:c>
      <x:c r="O2650" s="28" t="n">
        <x:v>46219.812988715275</x:v>
      </x:c>
      <x:c r="P2650" s="23" t="str">
        <x:v>CHAPADÃO DO SUL</x:v>
      </x:c>
      <x:c r="Q2650" s="30" t="n">
        <x:v>27376</x:v>
      </x:c>
      <x:c r="R2650" s="22" t="str">
        <x:f>"779.092.081-20"</x:f>
        <x:v>779.092.081-20</x:v>
      </x:c>
      <x:c r="S2650" s="23" t="str">
        <x:v>feminino</x:v>
      </x:c>
      <x:c r="T2650" s="22" t="str">
        <x:f>"HSX8F17"</x:f>
        <x:v>HSX8F17</x:v>
      </x:c>
      <x:c r="U2650" s="23" t="str">
        <x:v>MARIA LUZIA ALVES DE SOUZA</x:v>
      </x:c>
      <x:c r="V2650" s="22" t="str">
        <x:f>"779.092.081-20"</x:f>
        <x:v>779.092.081-20</x:v>
      </x:c>
      <x:c r="W2650" s="22" t="str">
        <x:f>"77909208120"</x:f>
        <x:v>77909208120</x:v>
      </x:c>
      <x:c r="X2650" s="23" t="str">
        <x:v>marialuziaalvesdesouza4@gmail.com</x:v>
      </x:c>
      <x:c r="Y2650" s="22" t="str">
        <x:f>"67-996470933"</x:f>
        <x:v>67-996470933</x:v>
      </x:c>
      <x:c r="Z2650" s="30" t="n">
        <x:v>46539</x:v>
      </x:c>
    </x:row>
    <x:row r="2651" ht="18" customHeight="1">
      <x:c r="A2651" s="22" t="str">
        <x:f>"efe4ccf8-3d51-470e-9176-79d86d0466d2"</x:f>
        <x:v>efe4ccf8-3d51-470e-9176-79d86d0466d2</x:v>
      </x:c>
      <x:c r="B2651" s="23" t="str">
        <x:v>MARIANA KESLEY ALVES JORGE</x:v>
      </x:c>
      <x:c r="C2651" s="23" t="str">
        <x:v>mariana kesley alves jorge</x:v>
      </x:c>
      <x:c r="D2651" s="22" t="str">
        <x:f>"63.075.292/0001-41"</x:f>
        <x:v>63.075.292/0001-41</x:v>
      </x:c>
      <x:c r="E2651" s="22" t="str">
        <x:f>"63075292000141"</x:f>
        <x:v>63075292000141</x:v>
      </x:c>
      <x:c r="F2651" s="22" t="str">
        <x:f>"49207272830"</x:f>
        <x:v>49207272830</x:v>
      </x:c>
      <x:c r="G2651" s="22" t="str">
        <x:f>"49207272830"</x:f>
        <x:v>49207272830</x:v>
      </x:c>
      <x:c r="H2651" s="23" t="str">
        <x:v>marianajorge533@gmail.com</x:v>
      </x:c>
      <x:c r="I2651" s="22" t="str">
        <x:f>"17 98110-6966"</x:f>
        <x:v>17 98110-6966</x:v>
      </x:c>
      <x:c r="J2651" s="23" t="str">
        <x:v>SPOT</x:v>
      </x:c>
      <x:c r="K2651" s="23" t="str">
        <x:v>favored_only</x:v>
      </x:c>
      <x:c r="L2651" s="24" t="b">
        <x:v>1</x:v>
      </x:c>
      <x:c r="M2651" s="23" t="n">
        <x:v>1</x:v>
      </x:c>
      <x:c r="N2651" s="28" t="n">
        <x:v>46203.92186888889</x:v>
      </x:c>
      <x:c r="O2651" s="28" t="n">
        <x:v>46203.92186888889</x:v>
      </x:c>
      <x:c r="P2651" s="23" t="str"/>
      <x:c r="Q2651" s="30" t="str"/>
      <x:c r="R2651" s="22" t="str"/>
      <x:c r="S2651" s="23" t="str"/>
      <x:c r="T2651" s="22" t="str"/>
      <x:c r="U2651" s="23" t="str">
        <x:v>MARIANA KESLEY ALVES JORGE</x:v>
      </x:c>
      <x:c r="V2651" s="22" t="str">
        <x:f>"49207272830"</x:f>
        <x:v>49207272830</x:v>
      </x:c>
      <x:c r="W2651" s="22" t="str">
        <x:f>"49207272830"</x:f>
        <x:v>49207272830</x:v>
      </x:c>
      <x:c r="X2651" s="23" t="str">
        <x:v>marianajorge533@gmail.com</x:v>
      </x:c>
      <x:c r="Y2651" s="22" t="str">
        <x:f>"17 98110-6966"</x:f>
        <x:v>17 98110-6966</x:v>
      </x:c>
      <x:c r="Z2651" s="30" t="str"/>
    </x:row>
    <x:row r="2652" ht="18" customHeight="1">
      <x:c r="A2652" s="22" t="str">
        <x:f>"1e6ed644-c503-48e0-9da4-31cd0ff7c7d8"</x:f>
        <x:v>1e6ed644-c503-48e0-9da4-31cd0ff7c7d8</x:v>
      </x:c>
      <x:c r="B2652" s="23" t="str">
        <x:v>MARIANA MENDES MONTEIRO</x:v>
      </x:c>
      <x:c r="C2652" s="23" t="str">
        <x:v>mariana mendes monteiro</x:v>
      </x:c>
      <x:c r="D2652" s="22" t="str">
        <x:f>"57.905.953/0001-16"</x:f>
        <x:v>57.905.953/0001-16</x:v>
      </x:c>
      <x:c r="E2652" s="22" t="str">
        <x:f>"57905953000116"</x:f>
        <x:v>57905953000116</x:v>
      </x:c>
      <x:c r="F2652" s="22" t="str">
        <x:f>"090.851.486-77"</x:f>
        <x:v>090.851.486-77</x:v>
      </x:c>
      <x:c r="G2652" s="22" t="str">
        <x:f>"09085148677"</x:f>
        <x:v>09085148677</x:v>
      </x:c>
      <x:c r="H2652" s="23" t="str">
        <x:v>marianamendesm2021@gmail.com</x:v>
      </x:c>
      <x:c r="I2652" s="22" t="str">
        <x:f>"34996513007"</x:f>
        <x:v>34996513007</x:v>
      </x:c>
      <x:c r="J2652" s="23" t="str">
        <x:v>RENTAL</x:v>
      </x:c>
      <x:c r="K2652" s="23" t="str">
        <x:v>rental_company</x:v>
      </x:c>
      <x:c r="L2652" s="24" t="b">
        <x:v>1</x:v>
      </x:c>
      <x:c r="M2652" s="23" t="n">
        <x:v>1</x:v>
      </x:c>
      <x:c r="N2652" s="28" t="n">
        <x:v>46203.921824756944</x:v>
      </x:c>
      <x:c r="O2652" s="28" t="n">
        <x:v>46219.812988715275</x:v>
      </x:c>
      <x:c r="P2652" s="23" t="str">
        <x:v>UBERLANDIA</x:v>
      </x:c>
      <x:c r="Q2652" s="30" t="n">
        <x:v>32660</x:v>
      </x:c>
      <x:c r="R2652" s="22" t="str">
        <x:f>"MG15515837"</x:f>
        <x:v>MG15515837</x:v>
      </x:c>
      <x:c r="S2652" s="23" t="str">
        <x:v>feminino</x:v>
      </x:c>
      <x:c r="T2652" s="22" t="str"/>
      <x:c r="U2652" s="23" t="str">
        <x:v>MARIANA MENDES MONTEIRO</x:v>
      </x:c>
      <x:c r="V2652" s="22" t="str">
        <x:f>"090.851.486-77"</x:f>
        <x:v>090.851.486-77</x:v>
      </x:c>
      <x:c r="W2652" s="22" t="str">
        <x:f>"09085148677"</x:f>
        <x:v>09085148677</x:v>
      </x:c>
      <x:c r="X2652" s="23" t="str">
        <x:v>marianamendesm2021@gmail.com</x:v>
      </x:c>
      <x:c r="Y2652" s="22" t="str">
        <x:f>"34996513007"</x:f>
        <x:v>34996513007</x:v>
      </x:c>
      <x:c r="Z2652" s="30" t="n">
        <x:v>46294</x:v>
      </x:c>
    </x:row>
    <x:row r="2653" ht="18" customHeight="1">
      <x:c r="A2653" s="22" t="str">
        <x:f>"8abad301-20b5-4d70-8558-33d07043cbea"</x:f>
        <x:v>8abad301-20b5-4d70-8558-33d07043cbea</x:v>
      </x:c>
      <x:c r="B2653" s="23" t="str">
        <x:v>MARIA NEUZA RODRIGUES LOBO</x:v>
      </x:c>
      <x:c r="C2653" s="23" t="str">
        <x:v>maria neuza rodrigues lobo</x:v>
      </x:c>
      <x:c r="D2653" s="22" t="str">
        <x:f>"63.293.326/0001-74"</x:f>
        <x:v>63.293.326/0001-74</x:v>
      </x:c>
      <x:c r="E2653" s="22" t="str">
        <x:f>"63293326000174"</x:f>
        <x:v>63293326000174</x:v>
      </x:c>
      <x:c r="F2653" s="22" t="str">
        <x:f>"786.015.251-72"</x:f>
        <x:v>786.015.251-72</x:v>
      </x:c>
      <x:c r="G2653" s="22" t="str">
        <x:f>"78601525172"</x:f>
        <x:v>78601525172</x:v>
      </x:c>
      <x:c r="H2653" s="23" t="str">
        <x:v>neuzavsd@hotmail.com</x:v>
      </x:c>
      <x:c r="I2653" s="22" t="str">
        <x:f>"65 99942-0378"</x:f>
        <x:v>65 99942-0378</x:v>
      </x:c>
      <x:c r="J2653" s="23" t="str">
        <x:v>SPOT</x:v>
      </x:c>
      <x:c r="K2653" s="23" t="str">
        <x:v>favored_only</x:v>
      </x:c>
      <x:c r="L2653" s="24" t="b">
        <x:v>1</x:v>
      </x:c>
      <x:c r="M2653" s="23" t="n">
        <x:v>1</x:v>
      </x:c>
      <x:c r="N2653" s="28" t="n">
        <x:v>46205.60693775463</x:v>
      </x:c>
      <x:c r="O2653" s="28" t="n">
        <x:v>46219.812988715275</x:v>
      </x:c>
      <x:c r="P2653" s="23" t="str">
        <x:v>ARAPUTANGA</x:v>
      </x:c>
      <x:c r="Q2653" s="30" t="n">
        <x:v>24169</x:v>
      </x:c>
      <x:c r="R2653" s="22" t="str">
        <x:f>"11225734 SSP MT"</x:f>
        <x:v>11225734 SSP MT</x:v>
      </x:c>
      <x:c r="S2653" s="23" t="str">
        <x:v>feminino</x:v>
      </x:c>
      <x:c r="T2653" s="22" t="str">
        <x:f>"QXL5G43"</x:f>
        <x:v>QXL5G43</x:v>
      </x:c>
      <x:c r="U2653" s="23" t="str">
        <x:v>LUCIMAR GOMES HARTHCOPF</x:v>
      </x:c>
      <x:c r="V2653" s="22" t="str">
        <x:f>"050.840.511-45"</x:f>
        <x:v>050.840.511-45</x:v>
      </x:c>
      <x:c r="W2653" s="22" t="str">
        <x:f>"05084051145"</x:f>
        <x:v>05084051145</x:v>
      </x:c>
      <x:c r="X2653" s="23" t="str">
        <x:v>lucimar_harthcopf@hotmail.com</x:v>
      </x:c>
      <x:c r="Y2653" s="22" t="str">
        <x:f>"65 98405-0346"</x:f>
        <x:v>65 98405-0346</x:v>
      </x:c>
      <x:c r="Z2653" s="30" t="n">
        <x:v>46389</x:v>
      </x:c>
    </x:row>
    <x:row r="2654" ht="18" customHeight="1">
      <x:c r="A2654" s="22" t="str">
        <x:f>"4017b3b7-b944-419c-a5f8-f34fe4e823fd"</x:f>
        <x:v>4017b3b7-b944-419c-a5f8-f34fe4e823fd</x:v>
      </x:c>
      <x:c r="B2654" s="23" t="str">
        <x:v>MARIA RITA DE ALMEIDA SILVA</x:v>
      </x:c>
      <x:c r="C2654" s="23" t="str">
        <x:v>maria rita de almeida silva</x:v>
      </x:c>
      <x:c r="D2654" s="22" t="str">
        <x:f>"63.096.732/0001-47"</x:f>
        <x:v>63.096.732/0001-47</x:v>
      </x:c>
      <x:c r="E2654" s="22" t="str">
        <x:f>"63096732000147"</x:f>
        <x:v>63096732000147</x:v>
      </x:c>
      <x:c r="F2654" s="22" t="str">
        <x:f>"348.791.248-18"</x:f>
        <x:v>348.791.248-18</x:v>
      </x:c>
      <x:c r="G2654" s="22" t="str">
        <x:f>"34879124818"</x:f>
        <x:v>34879124818</x:v>
      </x:c>
      <x:c r="H2654" s="23" t="str">
        <x:v>fmhf_transporte4@outlook.com</x:v>
      </x:c>
      <x:c r="I2654" s="22" t="str">
        <x:f>"18 99169-4814"</x:f>
        <x:v>18 99169-4814</x:v>
      </x:c>
      <x:c r="J2654" s="23" t="str">
        <x:v>SPOT</x:v>
      </x:c>
      <x:c r="K2654" s="23" t="str">
        <x:v>favored_only</x:v>
      </x:c>
      <x:c r="L2654" s="24" t="b">
        <x:v>1</x:v>
      </x:c>
      <x:c r="M2654" s="23" t="n">
        <x:v>1</x:v>
      </x:c>
      <x:c r="N2654" s="28" t="n">
        <x:v>46205.605407152776</x:v>
      </x:c>
      <x:c r="O2654" s="28" t="n">
        <x:v>46219.812988715275</x:v>
      </x:c>
      <x:c r="P2654" s="23" t="str">
        <x:v>ARAÇATUBA</x:v>
      </x:c>
      <x:c r="Q2654" s="30" t="n">
        <x:v>31698</x:v>
      </x:c>
      <x:c r="R2654" s="22" t="str">
        <x:f>"41489642"</x:f>
        <x:v>41489642</x:v>
      </x:c>
      <x:c r="S2654" s="23" t="str">
        <x:v>feminino</x:v>
      </x:c>
      <x:c r="T2654" s="22" t="str">
        <x:f>"OJQ2I28"</x:f>
        <x:v>OJQ2I28</x:v>
      </x:c>
      <x:c r="U2654" s="23" t="str">
        <x:v>FABRICIO PEREIRA DA SILVA</x:v>
      </x:c>
      <x:c r="V2654" s="22" t="str">
        <x:f>"315.826.678-45"</x:f>
        <x:v>315.826.678-45</x:v>
      </x:c>
      <x:c r="W2654" s="22" t="str">
        <x:f>"31582667845"</x:f>
        <x:v>31582667845</x:v>
      </x:c>
      <x:c r="X2654" s="23" t="str">
        <x:v>fmhf_transporte4@outlook.com</x:v>
      </x:c>
      <x:c r="Y2654" s="22" t="str">
        <x:f>"18 99169-4814"</x:f>
        <x:v>18 99169-4814</x:v>
      </x:c>
      <x:c r="Z2654" s="30" t="n">
        <x:v>46322</x:v>
      </x:c>
    </x:row>
    <x:row r="2655" ht="18" customHeight="1">
      <x:c r="A2655" s="22" t="str">
        <x:f>"e9a9100a-1cf0-416c-acf9-ed42606b440c"</x:f>
        <x:v>e9a9100a-1cf0-416c-acf9-ed42606b440c</x:v>
      </x:c>
      <x:c r="B2655" s="23" t="str">
        <x:v>MARIA RITA DE OLIVEIRA MENDES</x:v>
      </x:c>
      <x:c r="C2655" s="23" t="str">
        <x:v>maria rita de oliveira mendes</x:v>
      </x:c>
      <x:c r="D2655" s="22" t="str">
        <x:f>"51.952.357/0001-00"</x:f>
        <x:v>51.952.357/0001-00</x:v>
      </x:c>
      <x:c r="E2655" s="22" t="str">
        <x:f>"51952357000100"</x:f>
        <x:v>51952357000100</x:v>
      </x:c>
      <x:c r="F2655" s="22" t="str">
        <x:f>"22897233710"</x:f>
        <x:v>22897233710</x:v>
      </x:c>
      <x:c r="G2655" s="22" t="str">
        <x:f>"22897233710"</x:f>
        <x:v>22897233710</x:v>
      </x:c>
      <x:c r="H2655" s="23" t="str">
        <x:v>rafaeldiasmotorista10@gmail.com</x:v>
      </x:c>
      <x:c r="I2655" s="22" t="str">
        <x:f>"21986903103"</x:f>
        <x:v>21986903103</x:v>
      </x:c>
      <x:c r="J2655" s="23" t="str">
        <x:v>SPOT</x:v>
      </x:c>
      <x:c r="K2655" s="23" t="str">
        <x:v>favored_only</x:v>
      </x:c>
      <x:c r="L2655" s="24" t="b">
        <x:v>1</x:v>
      </x:c>
      <x:c r="M2655" s="23" t="n">
        <x:v>3</x:v>
      </x:c>
      <x:c r="N2655" s="28" t="n">
        <x:v>46203.92188238426</x:v>
      </x:c>
      <x:c r="O2655" s="28" t="n">
        <x:v>46203.92188238426</x:v>
      </x:c>
      <x:c r="P2655" s="23" t="str"/>
      <x:c r="Q2655" s="30" t="str"/>
      <x:c r="R2655" s="22" t="str"/>
      <x:c r="S2655" s="23" t="str"/>
      <x:c r="T2655" s="22" t="str"/>
      <x:c r="U2655" s="23" t="str">
        <x:v>MARIA RITA DE OLIVEIRA MENDES</x:v>
      </x:c>
      <x:c r="V2655" s="22" t="str">
        <x:f>"22897233710"</x:f>
        <x:v>22897233710</x:v>
      </x:c>
      <x:c r="W2655" s="22" t="str">
        <x:f>"22897233710"</x:f>
        <x:v>22897233710</x:v>
      </x:c>
      <x:c r="X2655" s="23" t="str">
        <x:v>silvamonseri03@gmail.com</x:v>
      </x:c>
      <x:c r="Y2655" s="22" t="str">
        <x:f>"21959258360"</x:f>
        <x:v>21959258360</x:v>
      </x:c>
      <x:c r="Z2655" s="30" t="str"/>
    </x:row>
    <x:row r="2656" ht="18" customHeight="1">
      <x:c r="A2656" s="22" t="str">
        <x:f>"019a44c5-0a9a-40e4-8442-759ef34917fb"</x:f>
        <x:v>019a44c5-0a9a-40e4-8442-759ef34917fb</x:v>
      </x:c>
      <x:c r="B2656" s="23" t="str">
        <x:v>MARILEIDE APARECIDA DA SILVA</x:v>
      </x:c>
      <x:c r="C2656" s="23" t="str">
        <x:v>marileide aparecida da silva</x:v>
      </x:c>
      <x:c r="D2656" s="22" t="str">
        <x:f>"55.481.677/0001-80"</x:f>
        <x:v>55.481.677/0001-80</x:v>
      </x:c>
      <x:c r="E2656" s="22" t="str">
        <x:f>"55481677000180"</x:f>
        <x:v>55481677000180</x:v>
      </x:c>
      <x:c r="F2656" s="22" t="str">
        <x:f>"102.463.016-19"</x:f>
        <x:v>102.463.016-19</x:v>
      </x:c>
      <x:c r="G2656" s="22" t="str">
        <x:f>"10246301619"</x:f>
        <x:v>10246301619</x:v>
      </x:c>
      <x:c r="H2656" s="23" t="str">
        <x:v>mary372408@gmail.com</x:v>
      </x:c>
      <x:c r="I2656" s="22" t="str">
        <x:f>"31991255201"</x:f>
        <x:v>31991255201</x:v>
      </x:c>
      <x:c r="J2656" s="23" t="str">
        <x:v>RENTAL</x:v>
      </x:c>
      <x:c r="K2656" s="23" t="str">
        <x:v>rental_company</x:v>
      </x:c>
      <x:c r="L2656" s="24" t="b">
        <x:v>1</x:v>
      </x:c>
      <x:c r="M2656" s="23" t="n">
        <x:v>1</x:v>
      </x:c>
      <x:c r="N2656" s="28" t="n">
        <x:v>46203.92186462963</x:v>
      </x:c>
      <x:c r="O2656" s="28" t="n">
        <x:v>46219.812988715275</x:v>
      </x:c>
      <x:c r="P2656" s="23" t="str">
        <x:v>NOVA LIMA</x:v>
      </x:c>
      <x:c r="Q2656" s="30" t="n">
        <x:v>31988</x:v>
      </x:c>
      <x:c r="R2656" s="22" t="str">
        <x:f>"8044659116"</x:f>
        <x:v>8044659116</x:v>
      </x:c>
      <x:c r="S2656" s="23" t="str">
        <x:v>feminino</x:v>
      </x:c>
      <x:c r="T2656" s="22" t="str"/>
      <x:c r="U2656" s="23" t="str">
        <x:v>MARILEIDE APARECIDA DA SILVA</x:v>
      </x:c>
      <x:c r="V2656" s="22" t="str">
        <x:f>"102.463.016-19"</x:f>
        <x:v>102.463.016-19</x:v>
      </x:c>
      <x:c r="W2656" s="22" t="str">
        <x:f>"10246301619"</x:f>
        <x:v>10246301619</x:v>
      </x:c>
      <x:c r="X2656" s="23" t="str">
        <x:v>mary372408@gmail.com</x:v>
      </x:c>
      <x:c r="Y2656" s="22" t="str">
        <x:f>"31991255201"</x:f>
        <x:v>31991255201</x:v>
      </x:c>
      <x:c r="Z2656" s="30" t="n">
        <x:v>46474</x:v>
      </x:c>
    </x:row>
    <x:row r="2657" ht="18" customHeight="1">
      <x:c r="A2657" s="22" t="str">
        <x:f>"4da36e73-8cc9-440e-a062-bbf326437e7c"</x:f>
        <x:v>4da36e73-8cc9-440e-a062-bbf326437e7c</x:v>
      </x:c>
      <x:c r="B2657" s="23" t="str">
        <x:v>MARILEIDE DA SILVA STASIAK</x:v>
      </x:c>
      <x:c r="C2657" s="23" t="str">
        <x:v>marileide da silva stasiak</x:v>
      </x:c>
      <x:c r="D2657" s="22" t="str">
        <x:f>"64.305.878/0001-18"</x:f>
        <x:v>64.305.878/0001-18</x:v>
      </x:c>
      <x:c r="E2657" s="22" t="str">
        <x:f>"64305878000118"</x:f>
        <x:v>64305878000118</x:v>
      </x:c>
      <x:c r="F2657" s="22" t="str">
        <x:f>"003.556.691-45"</x:f>
        <x:v>003.556.691-45</x:v>
      </x:c>
      <x:c r="G2657" s="22" t="str">
        <x:f>"00355669145"</x:f>
        <x:v>00355669145</x:v>
      </x:c>
      <x:c r="H2657" s="23" t="str">
        <x:v>marileidestasiak@gmail.com</x:v>
      </x:c>
      <x:c r="I2657" s="22" t="str">
        <x:f>"(65)99258-2958"</x:f>
        <x:v>(65)99258-2958</x:v>
      </x:c>
      <x:c r="J2657" s="23" t="str">
        <x:v>RENTAL</x:v>
      </x:c>
      <x:c r="K2657" s="23" t="str">
        <x:v>rental_company</x:v>
      </x:c>
      <x:c r="L2657" s="24" t="b">
        <x:v>1</x:v>
      </x:c>
      <x:c r="M2657" s="23" t="n">
        <x:v>2</x:v>
      </x:c>
      <x:c r="N2657" s="28" t="n">
        <x:v>46219.812988715275</x:v>
      </x:c>
      <x:c r="O2657" s="28" t="n">
        <x:v>46219.812988715275</x:v>
      </x:c>
      <x:c r="P2657" s="23" t="str">
        <x:v>CUIABA</x:v>
      </x:c>
      <x:c r="Q2657" s="30" t="n">
        <x:v>30114</x:v>
      </x:c>
      <x:c r="R2657" s="22" t="str">
        <x:f>"13158422"</x:f>
        <x:v>13158422</x:v>
      </x:c>
      <x:c r="S2657" s="23" t="str">
        <x:v>feminino</x:v>
      </x:c>
      <x:c r="T2657" s="22" t="str">
        <x:f>"QUX3B18"</x:f>
        <x:v>QUX3B18</x:v>
      </x:c>
      <x:c r="U2657" s="23" t="str">
        <x:v>MARILEIDE DA SILVA STASIAK</x:v>
      </x:c>
      <x:c r="V2657" s="22" t="str">
        <x:f>"003.556.691-45"</x:f>
        <x:v>003.556.691-45</x:v>
      </x:c>
      <x:c r="W2657" s="22" t="str">
        <x:f>"00355669145"</x:f>
        <x:v>00355669145</x:v>
      </x:c>
      <x:c r="X2657" s="23" t="str">
        <x:v>marileidestasiak@gmail.com</x:v>
      </x:c>
      <x:c r="Y2657" s="22" t="str">
        <x:f>"(65)99258-2958"</x:f>
        <x:v>(65)99258-2958</x:v>
      </x:c>
      <x:c r="Z2657" s="30" t="n">
        <x:v>46462</x:v>
      </x:c>
    </x:row>
    <x:row r="2658" ht="18" customHeight="1">
      <x:c r="A2658" s="22" t="str">
        <x:f>"702c975e-afd2-475b-b92f-66a610de864e"</x:f>
        <x:v>702c975e-afd2-475b-b92f-66a610de864e</x:v>
      </x:c>
      <x:c r="B2658" s="23" t="str">
        <x:v>MARILIA FARNEZI</x:v>
      </x:c>
      <x:c r="C2658" s="23" t="str">
        <x:v>marilia farnezi</x:v>
      </x:c>
      <x:c r="D2658" s="22" t="str">
        <x:f>"58.406.325/0001-59"</x:f>
        <x:v>58.406.325/0001-59</x:v>
      </x:c>
      <x:c r="E2658" s="22" t="str">
        <x:f>"58406325000159"</x:f>
        <x:v>58406325000159</x:v>
      </x:c>
      <x:c r="F2658" s="22" t="str">
        <x:f>"106.775.766-09"</x:f>
        <x:v>106.775.766-09</x:v>
      </x:c>
      <x:c r="G2658" s="22" t="str">
        <x:f>"10677576609"</x:f>
        <x:v>10677576609</x:v>
      </x:c>
      <x:c r="H2658" s="23" t="str">
        <x:v>mariliafarnezi24@gmail.com</x:v>
      </x:c>
      <x:c r="I2658" s="22" t="str">
        <x:f>"(34) 9 8427 0706"</x:f>
        <x:v>(34) 9 8427 0706</x:v>
      </x:c>
      <x:c r="J2658" s="23" t="str">
        <x:v>RENTAL</x:v>
      </x:c>
      <x:c r="K2658" s="23" t="str">
        <x:v>rental_company</x:v>
      </x:c>
      <x:c r="L2658" s="24" t="b">
        <x:v>1</x:v>
      </x:c>
      <x:c r="M2658" s="23" t="n">
        <x:v>1</x:v>
      </x:c>
      <x:c r="N2658" s="28" t="n">
        <x:v>46219.79396105324</x:v>
      </x:c>
      <x:c r="O2658" s="28" t="n">
        <x:v>46219.812988715275</x:v>
      </x:c>
      <x:c r="P2658" s="23" t="str">
        <x:v>UBERABA</x:v>
      </x:c>
      <x:c r="Q2658" s="30" t="n">
        <x:v>33111</x:v>
      </x:c>
      <x:c r="R2658" s="22" t="str">
        <x:f>"15635409"</x:f>
        <x:v>15635409</x:v>
      </x:c>
      <x:c r="S2658" s="23" t="str">
        <x:v>feminino</x:v>
      </x:c>
      <x:c r="T2658" s="22" t="str"/>
      <x:c r="U2658" s="23" t="str">
        <x:v>MARILIA FARNEZI</x:v>
      </x:c>
      <x:c r="V2658" s="22" t="str">
        <x:f>"106.775.766-09"</x:f>
        <x:v>106.775.766-09</x:v>
      </x:c>
      <x:c r="W2658" s="22" t="str">
        <x:f>"10677576609"</x:f>
        <x:v>10677576609</x:v>
      </x:c>
      <x:c r="X2658" s="23" t="str">
        <x:v>mariliafarnezi24@gmail.com</x:v>
      </x:c>
      <x:c r="Y2658" s="22" t="str">
        <x:f>"(34) 9 8427 0706"</x:f>
        <x:v>(34) 9 8427 0706</x:v>
      </x:c>
      <x:c r="Z2658" s="30" t="n">
        <x:v>46344</x:v>
      </x:c>
    </x:row>
    <x:row r="2659" ht="18" customHeight="1">
      <x:c r="A2659" s="22" t="str">
        <x:f>"3c98199d-0012-4cb4-8c12-7571c640f822"</x:f>
        <x:v>3c98199d-0012-4cb4-8c12-7571c640f822</x:v>
      </x:c>
      <x:c r="B2659" s="23" t="str">
        <x:v>MARILZA DO ROSARIO CARVALHO CUNHA</x:v>
      </x:c>
      <x:c r="C2659" s="23" t="str">
        <x:v>marilza do rosario carvalho cunha</x:v>
      </x:c>
      <x:c r="D2659" s="22" t="str">
        <x:f>"60.407.075/0001-13"</x:f>
        <x:v>60.407.075/0001-13</x:v>
      </x:c>
      <x:c r="E2659" s="22" t="str">
        <x:f>"60407075000113"</x:f>
        <x:v>60407075000113</x:v>
      </x:c>
      <x:c r="F2659" s="22" t="str">
        <x:f>"034.450.456-58"</x:f>
        <x:v>034.450.456-58</x:v>
      </x:c>
      <x:c r="G2659" s="22" t="str">
        <x:f>"03445045658"</x:f>
        <x:v>03445045658</x:v>
      </x:c>
      <x:c r="H2659" s="23" t="str">
        <x:v>Marilzarcc@gmail.com</x:v>
      </x:c>
      <x:c r="I2659" s="22" t="str">
        <x:f>"35998729076"</x:f>
        <x:v>35998729076</x:v>
      </x:c>
      <x:c r="J2659" s="23" t="str">
        <x:v>SPOT</x:v>
      </x:c>
      <x:c r="K2659" s="23" t="str">
        <x:v>favored_only</x:v>
      </x:c>
      <x:c r="L2659" s="24" t="b">
        <x:v>1</x:v>
      </x:c>
      <x:c r="M2659" s="23" t="n">
        <x:v>1</x:v>
      </x:c>
      <x:c r="N2659" s="28" t="n">
        <x:v>46205.605457384256</x:v>
      </x:c>
      <x:c r="O2659" s="28" t="n">
        <x:v>46219.812988715275</x:v>
      </x:c>
      <x:c r="P2659" s="23" t="str">
        <x:v>GUAXUPE</x:v>
      </x:c>
      <x:c r="Q2659" s="30" t="n">
        <x:v>28041</x:v>
      </x:c>
      <x:c r="R2659" s="22" t="str">
        <x:f>"10374236"</x:f>
        <x:v>10374236</x:v>
      </x:c>
      <x:c r="S2659" s="23" t="str">
        <x:v>feminino</x:v>
      </x:c>
      <x:c r="T2659" s="22" t="str">
        <x:f>"FPQ5I77"</x:f>
        <x:v>FPQ5I77</x:v>
      </x:c>
      <x:c r="U2659" s="23" t="str">
        <x:v>MICHAEL CARVALHO CUNHA</x:v>
      </x:c>
      <x:c r="V2659" s="22" t="str">
        <x:f>"127.444.106-40"</x:f>
        <x:v>127.444.106-40</x:v>
      </x:c>
      <x:c r="W2659" s="22" t="str">
        <x:f>"12744410640"</x:f>
        <x:v>12744410640</x:v>
      </x:c>
      <x:c r="X2659" s="23" t="str">
        <x:v>MICHAELMERCADOLIVRE21@GMAIL.COM</x:v>
      </x:c>
      <x:c r="Y2659" s="22" t="str">
        <x:f>"35998729076"</x:f>
        <x:v>35998729076</x:v>
      </x:c>
      <x:c r="Z2659" s="30" t="n">
        <x:v>46323</x:v>
      </x:c>
    </x:row>
    <x:row r="2660" ht="18" customHeight="1">
      <x:c r="A2660" s="22" t="str">
        <x:f>"fa921b29-3c43-454a-9309-10e24c8947cf"</x:f>
        <x:v>fa921b29-3c43-454a-9309-10e24c8947cf</x:v>
      </x:c>
      <x:c r="B2660" s="23" t="str">
        <x:v>MARIO ANGELO VIEIRA CRUVINEL</x:v>
      </x:c>
      <x:c r="C2660" s="23" t="str">
        <x:v>mario angelo vieira cruvinel</x:v>
      </x:c>
      <x:c r="D2660" s="22" t="str">
        <x:f>"46.063.070/0001-90"</x:f>
        <x:v>46.063.070/0001-90</x:v>
      </x:c>
      <x:c r="E2660" s="22" t="str">
        <x:f>"46063070000190"</x:f>
        <x:v>46063070000190</x:v>
      </x:c>
      <x:c r="F2660" s="22" t="str">
        <x:f>"307.898.341-20"</x:f>
        <x:v>307.898.341-20</x:v>
      </x:c>
      <x:c r="G2660" s="22" t="str">
        <x:f>"30789834120"</x:f>
        <x:v>30789834120</x:v>
      </x:c>
      <x:c r="H2660" s="23" t="str">
        <x:v>angelocruvinel@hotmail.com</x:v>
      </x:c>
      <x:c r="I2660" s="22" t="str">
        <x:f>"64999314301"</x:f>
        <x:v>64999314301</x:v>
      </x:c>
      <x:c r="J2660" s="23" t="str">
        <x:v>DESCONHECIDO</x:v>
      </x:c>
      <x:c r="K2660" s="23" t="str">
        <x:v>favored_only</x:v>
      </x:c>
      <x:c r="L2660" s="24" t="b">
        <x:v>1</x:v>
      </x:c>
      <x:c r="M2660" s="23" t="n">
        <x:v>1</x:v>
      </x:c>
      <x:c r="N2660" s="28" t="n">
        <x:v>46203.92191240741</x:v>
      </x:c>
      <x:c r="O2660" s="28" t="n">
        <x:v>46219.812988715275</x:v>
      </x:c>
      <x:c r="P2660" s="23" t="str">
        <x:v>RIO VERDE</x:v>
      </x:c>
      <x:c r="Q2660" s="30" t="str"/>
      <x:c r="R2660" s="22" t="str">
        <x:f>"1440599"</x:f>
        <x:v>1440599</x:v>
      </x:c>
      <x:c r="S2660" s="23" t="str">
        <x:v>masculino</x:v>
      </x:c>
      <x:c r="T2660" s="22" t="str">
        <x:f>"RTK1D01"</x:f>
        <x:v>RTK1D01</x:v>
      </x:c>
      <x:c r="U2660" s="23" t="str">
        <x:v>MARIO ANGELO VIEIRA CRUVINEL</x:v>
      </x:c>
      <x:c r="V2660" s="22" t="str">
        <x:f>"307.898.341-20"</x:f>
        <x:v>307.898.341-20</x:v>
      </x:c>
      <x:c r="W2660" s="22" t="str">
        <x:f>"30789834120"</x:f>
        <x:v>30789834120</x:v>
      </x:c>
      <x:c r="X2660" s="23" t="str">
        <x:v>angelocruvinel@hotmail.com</x:v>
      </x:c>
      <x:c r="Y2660" s="22" t="str">
        <x:f>"64999314301"</x:f>
        <x:v>64999314301</x:v>
      </x:c>
      <x:c r="Z2660" s="30" t="n">
        <x:v>46343</x:v>
      </x:c>
    </x:row>
    <x:row r="2661" ht="18" customHeight="1">
      <x:c r="A2661" s="22" t="str">
        <x:f>"234c8515-e743-468e-8198-2747db638928"</x:f>
        <x:v>234c8515-e743-468e-8198-2747db638928</x:v>
      </x:c>
      <x:c r="B2661" s="23" t="str">
        <x:v>MARIO JORGE BATISTA GONCALVES</x:v>
      </x:c>
      <x:c r="C2661" s="23" t="str">
        <x:v>mario jorge batista goncalves</x:v>
      </x:c>
      <x:c r="D2661" s="22" t="str">
        <x:f>"63.575.303/0001-52"</x:f>
        <x:v>63.575.303/0001-52</x:v>
      </x:c>
      <x:c r="E2661" s="22" t="str">
        <x:f>"63575303000152"</x:f>
        <x:v>63575303000152</x:v>
      </x:c>
      <x:c r="F2661" s="22" t="str">
        <x:f>"327.329.118-44"</x:f>
        <x:v>327.329.118-44</x:v>
      </x:c>
      <x:c r="G2661" s="22" t="str">
        <x:f>"32732911844"</x:f>
        <x:v>32732911844</x:v>
      </x:c>
      <x:c r="H2661" s="23" t="str">
        <x:v>mario.jorge958@gmail.com</x:v>
      </x:c>
      <x:c r="I2661" s="22" t="str">
        <x:f>"11964726747"</x:f>
        <x:v>11964726747</x:v>
      </x:c>
      <x:c r="J2661" s="23" t="str">
        <x:v>SPOT</x:v>
      </x:c>
      <x:c r="K2661" s="23" t="str">
        <x:v>favored_only</x:v>
      </x:c>
      <x:c r="L2661" s="24" t="b">
        <x:v>1</x:v>
      </x:c>
      <x:c r="M2661" s="23" t="n">
        <x:v>1</x:v>
      </x:c>
      <x:c r="N2661" s="28" t="n">
        <x:v>46203.92189349537</x:v>
      </x:c>
      <x:c r="O2661" s="28" t="n">
        <x:v>46219.812988715275</x:v>
      </x:c>
      <x:c r="P2661" s="23" t="str">
        <x:v>BARUERI</x:v>
      </x:c>
      <x:c r="Q2661" s="30" t="n">
        <x:v>30476</x:v>
      </x:c>
      <x:c r="R2661" s="22" t="str">
        <x:f>"41506719"</x:f>
        <x:v>41506719</x:v>
      </x:c>
      <x:c r="S2661" s="23" t="str">
        <x:v>masculino</x:v>
      </x:c>
      <x:c r="T2661" s="22" t="str">
        <x:f>"DYJ2J10"</x:f>
        <x:v>DYJ2J10</x:v>
      </x:c>
      <x:c r="U2661" s="23" t="str">
        <x:v>MARIO JORGE BATISTA GONCALVES</x:v>
      </x:c>
      <x:c r="V2661" s="22" t="str">
        <x:f>"327.329.118-44"</x:f>
        <x:v>327.329.118-44</x:v>
      </x:c>
      <x:c r="W2661" s="22" t="str">
        <x:f>"32732911844"</x:f>
        <x:v>32732911844</x:v>
      </x:c>
      <x:c r="X2661" s="23" t="str">
        <x:v>mario.jorge958@gmail.com</x:v>
      </x:c>
      <x:c r="Y2661" s="22" t="str">
        <x:f>"11964726747"</x:f>
        <x:v>11964726747</x:v>
      </x:c>
      <x:c r="Z2661" s="30" t="n">
        <x:v>46340</x:v>
      </x:c>
    </x:row>
    <x:row r="2662" ht="18" customHeight="1">
      <x:c r="A2662" s="22" t="str">
        <x:f>"d92d7665-33c9-451a-8137-d8ec6167b37b"</x:f>
        <x:v>d92d7665-33c9-451a-8137-d8ec6167b37b</x:v>
      </x:c>
      <x:c r="B2662" s="23" t="str">
        <x:v>MARIO JORGE BATISTA GONCALVES</x:v>
      </x:c>
      <x:c r="C2662" s="23" t="str">
        <x:v>mario jorge batista goncalves</x:v>
      </x:c>
      <x:c r="D2662" s="22" t="str">
        <x:f>"49.942.404/0001-93"</x:f>
        <x:v>49.942.404/0001-93</x:v>
      </x:c>
      <x:c r="E2662" s="22" t="str">
        <x:f>"49942404000193"</x:f>
        <x:v>49942404000193</x:v>
      </x:c>
      <x:c r="F2662" s="22" t="str">
        <x:f>"327.329.118-44"</x:f>
        <x:v>327.329.118-44</x:v>
      </x:c>
      <x:c r="G2662" s="22" t="str">
        <x:f>"32732911844"</x:f>
        <x:v>32732911844</x:v>
      </x:c>
      <x:c r="H2662" s="23" t="str">
        <x:v>mario.jorge958@gmail.com</x:v>
      </x:c>
      <x:c r="I2662" s="22" t="str">
        <x:f>"11915692890"</x:f>
        <x:v>11915692890</x:v>
      </x:c>
      <x:c r="J2662" s="23" t="str">
        <x:v>SPOT</x:v>
      </x:c>
      <x:c r="K2662" s="23" t="str">
        <x:v>favored_only</x:v>
      </x:c>
      <x:c r="L2662" s="24" t="b">
        <x:v>1</x:v>
      </x:c>
      <x:c r="M2662" s="23" t="n">
        <x:v>1</x:v>
      </x:c>
      <x:c r="N2662" s="28" t="n">
        <x:v>46205.60400375</x:v>
      </x:c>
      <x:c r="O2662" s="28" t="n">
        <x:v>46219.812988715275</x:v>
      </x:c>
      <x:c r="P2662" s="23" t="str">
        <x:v>BARUERI</x:v>
      </x:c>
      <x:c r="Q2662" s="30" t="n">
        <x:v>30476</x:v>
      </x:c>
      <x:c r="R2662" s="22" t="str">
        <x:f>"41506719"</x:f>
        <x:v>41506719</x:v>
      </x:c>
      <x:c r="S2662" s="23" t="str">
        <x:v>masculino</x:v>
      </x:c>
      <x:c r="T2662" s="22" t="str">
        <x:f>"DYJ2J10"</x:f>
        <x:v>DYJ2J10</x:v>
      </x:c>
      <x:c r="U2662" s="23" t="str">
        <x:v>MATHEUS BATISTA GONCALVES</x:v>
      </x:c>
      <x:c r="V2662" s="22" t="str">
        <x:f>"445.477.028-02"</x:f>
        <x:v>445.477.028-02</x:v>
      </x:c>
      <x:c r="W2662" s="22" t="str">
        <x:f>"44547702802"</x:f>
        <x:v>44547702802</x:v>
      </x:c>
      <x:c r="X2662" s="23" t="str">
        <x:v>matheuslhp13@gmail.com</x:v>
      </x:c>
      <x:c r="Y2662" s="22" t="str">
        <x:f>"(11) 971333748"</x:f>
        <x:v>(11) 971333748</x:v>
      </x:c>
      <x:c r="Z2662" s="30" t="n">
        <x:v>46253</x:v>
      </x:c>
    </x:row>
    <x:row r="2663" ht="18" customHeight="1">
      <x:c r="A2663" s="22" t="str">
        <x:f>"b950b13e-99c7-49d4-892b-0e8dc2bb47f0"</x:f>
        <x:v>b950b13e-99c7-49d4-892b-0e8dc2bb47f0</x:v>
      </x:c>
      <x:c r="B2663" s="23" t="str">
        <x:v>MARIO JOSE PINHEIRO NETO</x:v>
      </x:c>
      <x:c r="C2663" s="23" t="str">
        <x:v>mario jose pinheiro neto</x:v>
      </x:c>
      <x:c r="D2663" s="22" t="str">
        <x:f>"38.187.041/0001-01"</x:f>
        <x:v>38.187.041/0001-01</x:v>
      </x:c>
      <x:c r="E2663" s="22" t="str">
        <x:f>"38187041000101"</x:f>
        <x:v>38187041000101</x:v>
      </x:c>
      <x:c r="F2663" s="22" t="str">
        <x:f>"701.369.436-32"</x:f>
        <x:v>701.369.436-32</x:v>
      </x:c>
      <x:c r="G2663" s="22" t="str">
        <x:f>"70136943632"</x:f>
        <x:v>70136943632</x:v>
      </x:c>
      <x:c r="H2663" s="23" t="str">
        <x:v>mnbmario@hotmail.com</x:v>
      </x:c>
      <x:c r="I2663" s="22" t="str">
        <x:f>"(34) 99869-7672"</x:f>
        <x:v>(34) 99869-7672</x:v>
      </x:c>
      <x:c r="J2663" s="23" t="str">
        <x:v>SPOT</x:v>
      </x:c>
      <x:c r="K2663" s="23" t="str">
        <x:v>favored_only</x:v>
      </x:c>
      <x:c r="L2663" s="24" t="b">
        <x:v>1</x:v>
      </x:c>
      <x:c r="M2663" s="23" t="n">
        <x:v>1</x:v>
      </x:c>
      <x:c r="N2663" s="28" t="n">
        <x:v>46205.60526304398</x:v>
      </x:c>
      <x:c r="O2663" s="28" t="n">
        <x:v>46219.812988715275</x:v>
      </x:c>
      <x:c r="P2663" s="23" t="str">
        <x:v>UBERABA</x:v>
      </x:c>
      <x:c r="Q2663" s="30" t="n">
        <x:v>36713</x:v>
      </x:c>
      <x:c r="R2663" s="22" t="str">
        <x:f>"21421875"</x:f>
        <x:v>21421875</x:v>
      </x:c>
      <x:c r="S2663" s="23" t="str">
        <x:v>masculino</x:v>
      </x:c>
      <x:c r="T2663" s="22" t="str">
        <x:f>"OEP1D24"</x:f>
        <x:v>OEP1D24</x:v>
      </x:c>
      <x:c r="U2663" s="23" t="str">
        <x:v>VALTER BARBOSA ALVES JUNIOR</x:v>
      </x:c>
      <x:c r="V2663" s="22" t="str">
        <x:f>"044.659.716-30"</x:f>
        <x:v>044.659.716-30</x:v>
      </x:c>
      <x:c r="W2663" s="22" t="str">
        <x:f>"04465971630"</x:f>
        <x:v>04465971630</x:v>
      </x:c>
      <x:c r="X2663" s="23" t="str">
        <x:v>valterbarbosatur@gmail.com</x:v>
      </x:c>
      <x:c r="Y2663" s="22" t="str">
        <x:f>"34988155496"</x:f>
        <x:v>34988155496</x:v>
      </x:c>
      <x:c r="Z2663" s="30" t="n">
        <x:v>46317</x:v>
      </x:c>
    </x:row>
    <x:row r="2664" ht="18" customHeight="1">
      <x:c r="A2664" s="22" t="str">
        <x:f>"5b7c0950-ead5-48d1-8d4d-2198f96d6a1b"</x:f>
        <x:v>5b7c0950-ead5-48d1-8d4d-2198f96d6a1b</x:v>
      </x:c>
      <x:c r="B2664" s="23" t="str">
        <x:v>MARIO LUIZ DA SILVA</x:v>
      </x:c>
      <x:c r="C2664" s="23" t="str">
        <x:v>mario luiz da silva</x:v>
      </x:c>
      <x:c r="D2664" s="22" t="str">
        <x:f>"55.331.948/0001-11"</x:f>
        <x:v>55.331.948/0001-11</x:v>
      </x:c>
      <x:c r="E2664" s="22" t="str">
        <x:f>"55331948000111"</x:f>
        <x:v>55331948000111</x:v>
      </x:c>
      <x:c r="F2664" s="22" t="str">
        <x:f>"322.381.267-91"</x:f>
        <x:v>322.381.267-91</x:v>
      </x:c>
      <x:c r="G2664" s="22" t="str">
        <x:f>"32238126791"</x:f>
        <x:v>32238126791</x:v>
      </x:c>
      <x:c r="H2664" s="23" t="str">
        <x:v>mariomandu7@gmail.com</x:v>
      </x:c>
      <x:c r="I2664" s="22" t="str">
        <x:f>"22 99842-0769"</x:f>
        <x:v>22 99842-0769</x:v>
      </x:c>
      <x:c r="J2664" s="23" t="str">
        <x:v>RENTAL</x:v>
      </x:c>
      <x:c r="K2664" s="23" t="str">
        <x:v>rental_company</x:v>
      </x:c>
      <x:c r="L2664" s="24" t="b">
        <x:v>1</x:v>
      </x:c>
      <x:c r="M2664" s="23" t="n">
        <x:v>1</x:v>
      </x:c>
      <x:c r="N2664" s="28" t="n">
        <x:v>46203.921824756944</x:v>
      </x:c>
      <x:c r="O2664" s="28" t="n">
        <x:v>46219.812988715275</x:v>
      </x:c>
      <x:c r="P2664" s="23" t="str">
        <x:v>CAMPOS DOS GOYTACAZES</x:v>
      </x:c>
      <x:c r="Q2664" s="30" t="n">
        <x:v>19766</x:v>
      </x:c>
      <x:c r="R2664" s="22" t="str">
        <x:f>"920050960"</x:f>
        <x:v>920050960</x:v>
      </x:c>
      <x:c r="S2664" s="23" t="str">
        <x:v>masculino</x:v>
      </x:c>
      <x:c r="T2664" s="22" t="str"/>
      <x:c r="U2664" s="23" t="str">
        <x:v>MARIO LUIZ DA SILVA</x:v>
      </x:c>
      <x:c r="V2664" s="22" t="str">
        <x:f>"322.381.267-91"</x:f>
        <x:v>322.381.267-91</x:v>
      </x:c>
      <x:c r="W2664" s="22" t="str">
        <x:f>"32238126791"</x:f>
        <x:v>32238126791</x:v>
      </x:c>
      <x:c r="X2664" s="23" t="str">
        <x:v>mariomandu7@gmail.com</x:v>
      </x:c>
      <x:c r="Y2664" s="22" t="str">
        <x:f>"22 99842-0769"</x:f>
        <x:v>22 99842-0769</x:v>
      </x:c>
      <x:c r="Z2664" s="30" t="n">
        <x:v>46412</x:v>
      </x:c>
    </x:row>
    <x:row r="2665" ht="18" customHeight="1">
      <x:c r="A2665" s="22" t="str">
        <x:f>"5d0da212-7f1b-432c-a10d-c048ccae0a4c"</x:f>
        <x:v>5d0da212-7f1b-432c-a10d-c048ccae0a4c</x:v>
      </x:c>
      <x:c r="B2665" s="23" t="str">
        <x:v>MARIO LUIZ DA SILVA</x:v>
      </x:c>
      <x:c r="C2665" s="23" t="str">
        <x:v>mario luiz da silva</x:v>
      </x:c>
      <x:c r="D2665" s="22" t="str">
        <x:f>"64.062.124/0001-84"</x:f>
        <x:v>64.062.124/0001-84</x:v>
      </x:c>
      <x:c r="E2665" s="22" t="str">
        <x:f>"64062124000184"</x:f>
        <x:v>64062124000184</x:v>
      </x:c>
      <x:c r="F2665" s="22" t="str">
        <x:f>"322.381.267-91"</x:f>
        <x:v>322.381.267-91</x:v>
      </x:c>
      <x:c r="G2665" s="22" t="str">
        <x:f>"32238126791"</x:f>
        <x:v>32238126791</x:v>
      </x:c>
      <x:c r="H2665" s="23" t="str">
        <x:v>marioluiz215@gmail.com</x:v>
      </x:c>
      <x:c r="I2665" s="22" t="str">
        <x:f>"22998420769"</x:f>
        <x:v>22998420769</x:v>
      </x:c>
      <x:c r="J2665" s="23" t="str">
        <x:v>SPOT</x:v>
      </x:c>
      <x:c r="K2665" s="23" t="str">
        <x:v>favored_only</x:v>
      </x:c>
      <x:c r="L2665" s="24" t="b">
        <x:v>1</x:v>
      </x:c>
      <x:c r="M2665" s="23" t="n">
        <x:v>1</x:v>
      </x:c>
      <x:c r="N2665" s="28" t="n">
        <x:v>46219.812988715275</x:v>
      </x:c>
      <x:c r="O2665" s="28" t="n">
        <x:v>46219.812988715275</x:v>
      </x:c>
      <x:c r="P2665" s="23" t="str">
        <x:v>CAMPOS DOS GOYTACAZES</x:v>
      </x:c>
      <x:c r="Q2665" s="30" t="n">
        <x:v>19766</x:v>
      </x:c>
      <x:c r="R2665" s="22" t="str">
        <x:f>"920050960"</x:f>
        <x:v>920050960</x:v>
      </x:c>
      <x:c r="S2665" s="23" t="str">
        <x:v>masculino</x:v>
      </x:c>
      <x:c r="T2665" s="22" t="str">
        <x:f>"MSX6C18"</x:f>
        <x:v>MSX6C18</x:v>
      </x:c>
      <x:c r="U2665" s="23" t="str">
        <x:v>MARIO LUIZ DA SILVA</x:v>
      </x:c>
      <x:c r="V2665" s="22" t="str">
        <x:f>"322.381.267-91"</x:f>
        <x:v>322.381.267-91</x:v>
      </x:c>
      <x:c r="W2665" s="22" t="str">
        <x:f>"32238126791"</x:f>
        <x:v>32238126791</x:v>
      </x:c>
      <x:c r="X2665" s="23" t="str">
        <x:v>marioluiz215@gmail.com</x:v>
      </x:c>
      <x:c r="Y2665" s="22" t="str">
        <x:f>"22998420769"</x:f>
        <x:v>22998420769</x:v>
      </x:c>
      <x:c r="Z2665" s="30" t="n">
        <x:v>46412</x:v>
      </x:c>
    </x:row>
    <x:row r="2666" ht="18" customHeight="1">
      <x:c r="A2666" s="22" t="str">
        <x:f>"ba7900f5-aa4f-406a-bf6a-42e34dcc4730"</x:f>
        <x:v>ba7900f5-aa4f-406a-bf6a-42e34dcc4730</x:v>
      </x:c>
      <x:c r="B2666" s="23" t="str">
        <x:v>MARIO LUIZ MANDU SILVA</x:v>
      </x:c>
      <x:c r="C2666" s="23" t="str">
        <x:v>mario luiz mandu silva</x:v>
      </x:c>
      <x:c r="D2666" s="22" t="str">
        <x:f>"44.255.666/0001-66"</x:f>
        <x:v>44.255.666/0001-66</x:v>
      </x:c>
      <x:c r="E2666" s="22" t="str">
        <x:f>"44255666000166"</x:f>
        <x:v>44255666000166</x:v>
      </x:c>
      <x:c r="F2666" s="22" t="str">
        <x:f>"149.797.477-10"</x:f>
        <x:v>149.797.477-10</x:v>
      </x:c>
      <x:c r="G2666" s="22" t="str">
        <x:f>"14979747710"</x:f>
        <x:v>14979747710</x:v>
      </x:c>
      <x:c r="H2666" s="23" t="str">
        <x:v>mariomandu7@gmail.com</x:v>
      </x:c>
      <x:c r="I2666" s="22" t="str">
        <x:f>"22998417962"</x:f>
        <x:v>22998417962</x:v>
      </x:c>
      <x:c r="J2666" s="23" t="str">
        <x:v>RENTAL</x:v>
      </x:c>
      <x:c r="K2666" s="23" t="str">
        <x:v>rental_company</x:v>
      </x:c>
      <x:c r="L2666" s="24" t="b">
        <x:v>1</x:v>
      </x:c>
      <x:c r="M2666" s="23" t="n">
        <x:v>1</x:v>
      </x:c>
      <x:c r="N2666" s="28" t="n">
        <x:v>46219.812988715275</x:v>
      </x:c>
      <x:c r="O2666" s="28" t="n">
        <x:v>46219.812988715275</x:v>
      </x:c>
      <x:c r="P2666" s="23" t="str">
        <x:v>CAMPOS DOS GOYTACAZES</x:v>
      </x:c>
      <x:c r="Q2666" s="30" t="n">
        <x:v>34459</x:v>
      </x:c>
      <x:c r="R2666" s="22" t="str">
        <x:f>"270868656"</x:f>
        <x:v>270868656</x:v>
      </x:c>
      <x:c r="S2666" s="23" t="str">
        <x:v>masculino</x:v>
      </x:c>
      <x:c r="T2666" s="22" t="str"/>
      <x:c r="U2666" s="23" t="str">
        <x:v>MARIO LUIZ MANDU SILVA</x:v>
      </x:c>
      <x:c r="V2666" s="22" t="str">
        <x:f>"149.797.477-10"</x:f>
        <x:v>149.797.477-10</x:v>
      </x:c>
      <x:c r="W2666" s="22" t="str">
        <x:f>"14979747710"</x:f>
        <x:v>14979747710</x:v>
      </x:c>
      <x:c r="X2666" s="23" t="str">
        <x:v>mariomandu7@gmail.com</x:v>
      </x:c>
      <x:c r="Y2666" s="22" t="str">
        <x:f>"22998417962"</x:f>
        <x:v>22998417962</x:v>
      </x:c>
      <x:c r="Z2666" s="30" t="n">
        <x:v>46519</x:v>
      </x:c>
    </x:row>
    <x:row r="2667" ht="18" customHeight="1">
      <x:c r="A2667" s="22" t="str">
        <x:f>"4c15953a-bd83-41c2-b9f4-da812ea9a06a"</x:f>
        <x:v>4c15953a-bd83-41c2-b9f4-da812ea9a06a</x:v>
      </x:c>
      <x:c r="B2667" s="23" t="str">
        <x:v>MARIOSON EVANGELISTA DE JESUS</x:v>
      </x:c>
      <x:c r="C2667" s="23" t="str">
        <x:v>marioson evangelista de jesus</x:v>
      </x:c>
      <x:c r="D2667" s="22" t="str">
        <x:f>"00.070.015/9466-06"</x:f>
        <x:v>00.070.015/9466-06</x:v>
      </x:c>
      <x:c r="E2667" s="22" t="str">
        <x:f>"00070015946606"</x:f>
        <x:v>00070015946606</x:v>
      </x:c>
      <x:c r="F2667" s="22" t="str">
        <x:f>"095.520.446-18"</x:f>
        <x:v>095.520.446-18</x:v>
      </x:c>
      <x:c r="G2667" s="22" t="str">
        <x:f>"09552044618"</x:f>
        <x:v>09552044618</x:v>
      </x:c>
      <x:c r="H2667" s="23" t="str">
        <x:v>mariosanevangelista817@gmail.com</x:v>
      </x:c>
      <x:c r="I2667" s="22" t="str">
        <x:f>"3199679018"</x:f>
        <x:v>3199679018</x:v>
      </x:c>
      <x:c r="J2667" s="23" t="str">
        <x:v>SPOT</x:v>
      </x:c>
      <x:c r="K2667" s="23" t="str">
        <x:v>favored_only</x:v>
      </x:c>
      <x:c r="L2667" s="24" t="b">
        <x:v>1</x:v>
      </x:c>
      <x:c r="M2667" s="23" t="n">
        <x:v>1</x:v>
      </x:c>
      <x:c r="N2667" s="28" t="n">
        <x:v>46219.812988715275</x:v>
      </x:c>
      <x:c r="O2667" s="28" t="n">
        <x:v>46219.812988715275</x:v>
      </x:c>
      <x:c r="P2667" s="23" t="str">
        <x:v>CONCEIÇÃO DO MATO DENTRO</x:v>
      </x:c>
      <x:c r="Q2667" s="30" t="n">
        <x:v>32074</x:v>
      </x:c>
      <x:c r="R2667" s="22" t="str">
        <x:f>"MG15855755"</x:f>
        <x:v>MG15855755</x:v>
      </x:c>
      <x:c r="S2667" s="23" t="str">
        <x:v>masculino</x:v>
      </x:c>
      <x:c r="T2667" s="22" t="str">
        <x:f>"OPO3H82"</x:f>
        <x:v>OPO3H82</x:v>
      </x:c>
      <x:c r="U2667" s="23" t="str">
        <x:v>TIAGO WESLEN MODESTO DE ASSIS</x:v>
      </x:c>
      <x:c r="V2667" s="22" t="str">
        <x:f>"095.520.446-18"</x:f>
        <x:v>095.520.446-18</x:v>
      </x:c>
      <x:c r="W2667" s="22" t="str">
        <x:f>"09552044618"</x:f>
        <x:v>09552044618</x:v>
      </x:c>
      <x:c r="X2667" s="23" t="str">
        <x:v>tiagoweslen282@gmail.com</x:v>
      </x:c>
      <x:c r="Y2667" s="22" t="str">
        <x:f>"3199679018"</x:f>
        <x:v>3199679018</x:v>
      </x:c>
      <x:c r="Z2667" s="30" t="n">
        <x:v>46464</x:v>
      </x:c>
    </x:row>
    <x:row r="2668" ht="18" customHeight="1">
      <x:c r="A2668" s="22" t="str">
        <x:f>"9e767cf6-48a6-4a5d-a3e3-b1efeb23941b"</x:f>
        <x:v>9e767cf6-48a6-4a5d-a3e3-b1efeb23941b</x:v>
      </x:c>
      <x:c r="B2668" s="23" t="str">
        <x:v>MARISA SOARES DA ROCHA</x:v>
      </x:c>
      <x:c r="C2668" s="23" t="str">
        <x:v>marisa soares da rocha</x:v>
      </x:c>
      <x:c r="D2668" s="22" t="str">
        <x:f>"34.538.263/0001-70"</x:f>
        <x:v>34.538.263/0001-70</x:v>
      </x:c>
      <x:c r="E2668" s="22" t="str">
        <x:f>"34538263000170"</x:f>
        <x:v>34538263000170</x:v>
      </x:c>
      <x:c r="F2668" s="22" t="str">
        <x:f>"114.955.818-02"</x:f>
        <x:v>114.955.818-02</x:v>
      </x:c>
      <x:c r="G2668" s="22" t="str">
        <x:f>"11495581802"</x:f>
        <x:v>11495581802</x:v>
      </x:c>
      <x:c r="H2668" s="23" t="str">
        <x:v>marisinhanet@gmail.com</x:v>
      </x:c>
      <x:c r="I2668" s="22" t="str">
        <x:f>"17 99157-6338"</x:f>
        <x:v>17 99157-6338</x:v>
      </x:c>
      <x:c r="J2668" s="23" t="str">
        <x:v>SPOT</x:v>
      </x:c>
      <x:c r="K2668" s="23" t="str">
        <x:v>favored_only</x:v>
      </x:c>
      <x:c r="L2668" s="24" t="b">
        <x:v>1</x:v>
      </x:c>
      <x:c r="M2668" s="23" t="n">
        <x:v>1</x:v>
      </x:c>
      <x:c r="N2668" s="28" t="n">
        <x:v>46219.812988715275</x:v>
      </x:c>
      <x:c r="O2668" s="28" t="n">
        <x:v>46219.812988715275</x:v>
      </x:c>
      <x:c r="P2668" s="23" t="str">
        <x:v>SÃO JOSE DO RIO PRETO</x:v>
      </x:c>
      <x:c r="Q2668" s="30" t="n">
        <x:v>27886</x:v>
      </x:c>
      <x:c r="R2668" s="22" t="str">
        <x:f>"23675084"</x:f>
        <x:v>23675084</x:v>
      </x:c>
      <x:c r="S2668" s="23" t="str">
        <x:v>feminino</x:v>
      </x:c>
      <x:c r="T2668" s="22" t="str">
        <x:f>"GIZ8H17"</x:f>
        <x:v>GIZ8H17</x:v>
      </x:c>
      <x:c r="U2668" s="23" t="str">
        <x:v>MARISA SOARES DA ROCHA</x:v>
      </x:c>
      <x:c r="V2668" s="22" t="str">
        <x:f>"006.067.656-26"</x:f>
        <x:v>006.067.656-26</x:v>
      </x:c>
      <x:c r="W2668" s="22" t="str">
        <x:f>"00606765626"</x:f>
        <x:v>00606765626</x:v>
      </x:c>
      <x:c r="X2668" s="23" t="str">
        <x:v>marisinhanet@gmail.com</x:v>
      </x:c>
      <x:c r="Y2668" s="22" t="str">
        <x:f>"17 99157-6338"</x:f>
        <x:v>17 99157-6338</x:v>
      </x:c>
      <x:c r="Z2668" s="30" t="n">
        <x:v>46554</x:v>
      </x:c>
    </x:row>
    <x:row r="2669" ht="18" customHeight="1">
      <x:c r="A2669" s="22" t="str">
        <x:f>"a62e1a2a-e263-4668-a267-c94ad92ffade"</x:f>
        <x:v>a62e1a2a-e263-4668-a267-c94ad92ffade</x:v>
      </x:c>
      <x:c r="B2669" s="23" t="str">
        <x:v>MARIZA ROBERTA RODRIGUES DOS SANTOS</x:v>
      </x:c>
      <x:c r="C2669" s="23" t="str">
        <x:v>mariza roberta rodrigues dos santos</x:v>
      </x:c>
      <x:c r="D2669" s="22" t="str">
        <x:f>"48.538.752/0001-37"</x:f>
        <x:v>48.538.752/0001-37</x:v>
      </x:c>
      <x:c r="E2669" s="22" t="str">
        <x:f>"48538752000137"</x:f>
        <x:v>48538752000137</x:v>
      </x:c>
      <x:c r="F2669" s="22" t="str">
        <x:f>"413.851.658-12"</x:f>
        <x:v>413.851.658-12</x:v>
      </x:c>
      <x:c r="G2669" s="22" t="str">
        <x:f>"41385165812"</x:f>
        <x:v>41385165812</x:v>
      </x:c>
      <x:c r="H2669" s="23" t="str">
        <x:v>marizaroberta15@gmail.com</x:v>
      </x:c>
      <x:c r="I2669" s="22" t="str">
        <x:f>"11993805210"</x:f>
        <x:v>11993805210</x:v>
      </x:c>
      <x:c r="J2669" s="23" t="str">
        <x:v>SPOT</x:v>
      </x:c>
      <x:c r="K2669" s="23" t="str">
        <x:v>favored_only</x:v>
      </x:c>
      <x:c r="L2669" s="24" t="b">
        <x:v>1</x:v>
      </x:c>
      <x:c r="M2669" s="23" t="n">
        <x:v>1</x:v>
      </x:c>
      <x:c r="N2669" s="28" t="n">
        <x:v>46203.9219084375</x:v>
      </x:c>
      <x:c r="O2669" s="28" t="n">
        <x:v>46219.812988715275</x:v>
      </x:c>
      <x:c r="P2669" s="23" t="str">
        <x:v>BARUERI</x:v>
      </x:c>
      <x:c r="Q2669" s="30" t="n">
        <x:v>36022</x:v>
      </x:c>
      <x:c r="R2669" s="22" t="str">
        <x:f>"50624389"</x:f>
        <x:v>50624389</x:v>
      </x:c>
      <x:c r="S2669" s="23" t="str">
        <x:v>feminino</x:v>
      </x:c>
      <x:c r="T2669" s="22" t="str">
        <x:f>"EEH1A71"</x:f>
        <x:v>EEH1A71</x:v>
      </x:c>
      <x:c r="U2669" s="23" t="str">
        <x:v>MARIZA ROBERTA RODRIGUES DOS SANTOS</x:v>
      </x:c>
      <x:c r="V2669" s="22" t="str">
        <x:f>"413.851.658-12"</x:f>
        <x:v>413.851.658-12</x:v>
      </x:c>
      <x:c r="W2669" s="22" t="str">
        <x:f>"41385165812"</x:f>
        <x:v>41385165812</x:v>
      </x:c>
      <x:c r="X2669" s="23" t="str">
        <x:v>marizaroberta15@gmail.com</x:v>
      </x:c>
      <x:c r="Y2669" s="22" t="str">
        <x:f>"11 99380-5210"</x:f>
        <x:v>11 99380-5210</x:v>
      </x:c>
      <x:c r="Z2669" s="30" t="n">
        <x:v>46392</x:v>
      </x:c>
    </x:row>
    <x:row r="2670" ht="18" customHeight="1">
      <x:c r="A2670" s="22" t="str">
        <x:f>"d685a193-5a39-4002-b213-ea9c6441ca55"</x:f>
        <x:v>d685a193-5a39-4002-b213-ea9c6441ca55</x:v>
      </x:c>
      <x:c r="B2670" s="23" t="str">
        <x:v>MARLEN FELEX ROSA LIMA</x:v>
      </x:c>
      <x:c r="C2670" s="23" t="str">
        <x:v>marlen felex rosa lima</x:v>
      </x:c>
      <x:c r="D2670" s="22" t="str">
        <x:f>"62.834.391/0001-05"</x:f>
        <x:v>62.834.391/0001-05</x:v>
      </x:c>
      <x:c r="E2670" s="22" t="str">
        <x:f>"62834391000105"</x:f>
        <x:v>62834391000105</x:v>
      </x:c>
      <x:c r="F2670" s="22" t="str">
        <x:f>"022.877.036-08"</x:f>
        <x:v>022.877.036-08</x:v>
      </x:c>
      <x:c r="G2670" s="22" t="str">
        <x:f>"02287703608"</x:f>
        <x:v>02287703608</x:v>
      </x:c>
      <x:c r="H2670" s="23" t="str">
        <x:v>marlenfelex470@gmail.com</x:v>
      </x:c>
      <x:c r="I2670" s="22" t="str">
        <x:f>"(31)97239-4573"</x:f>
        <x:v>(31)97239-4573</x:v>
      </x:c>
      <x:c r="J2670" s="23" t="str">
        <x:v>SPOT</x:v>
      </x:c>
      <x:c r="K2670" s="23" t="str">
        <x:v>favored_only</x:v>
      </x:c>
      <x:c r="L2670" s="24" t="b">
        <x:v>1</x:v>
      </x:c>
      <x:c r="M2670" s="23" t="n">
        <x:v>1</x:v>
      </x:c>
      <x:c r="N2670" s="28" t="n">
        <x:v>46203.9218771875</x:v>
      </x:c>
      <x:c r="O2670" s="28" t="n">
        <x:v>46219.812988715275</x:v>
      </x:c>
      <x:c r="P2670" s="23" t="str">
        <x:v>VESPASIANO</x:v>
      </x:c>
      <x:c r="Q2670" s="30" t="n">
        <x:v>37126</x:v>
      </x:c>
      <x:c r="R2670" s="22" t="str">
        <x:f>"* MG 20.766.754"</x:f>
        <x:v>* MG 20.766.754</x:v>
      </x:c>
      <x:c r="S2670" s="23" t="str">
        <x:v>masculino</x:v>
      </x:c>
      <x:c r="T2670" s="22" t="str">
        <x:f>"PWZ9C24"</x:f>
        <x:v>PWZ9C24</x:v>
      </x:c>
      <x:c r="U2670" s="23" t="str">
        <x:v>MARLEN FELEX ROSA LIMA</x:v>
      </x:c>
      <x:c r="V2670" s="22" t="str">
        <x:f>"022.877.036-08"</x:f>
        <x:v>022.877.036-08</x:v>
      </x:c>
      <x:c r="W2670" s="22" t="str">
        <x:f>"02287703608"</x:f>
        <x:v>02287703608</x:v>
      </x:c>
      <x:c r="X2670" s="23" t="str">
        <x:v>marlenfelex470@gmail.com</x:v>
      </x:c>
      <x:c r="Y2670" s="22" t="str">
        <x:f>"(31)97239-4573"</x:f>
        <x:v>(31)97239-4573</x:v>
      </x:c>
      <x:c r="Z2670" s="30" t="n">
        <x:v>46312</x:v>
      </x:c>
    </x:row>
    <x:row r="2671" ht="18" customHeight="1">
      <x:c r="A2671" s="22" t="str">
        <x:f>"b14bd6e8-ec47-405b-97d9-942ee413176c"</x:f>
        <x:v>b14bd6e8-ec47-405b-97d9-942ee413176c</x:v>
      </x:c>
      <x:c r="B2671" s="23" t="str">
        <x:v>MARLI DE OLIVEIRA ALVES</x:v>
      </x:c>
      <x:c r="C2671" s="23" t="str">
        <x:v>marli de oliveira alves</x:v>
      </x:c>
      <x:c r="D2671" s="22" t="str">
        <x:f>"40.111.046/0001-00"</x:f>
        <x:v>40.111.046/0001-00</x:v>
      </x:c>
      <x:c r="E2671" s="22" t="str">
        <x:f>"40111046000100"</x:f>
        <x:v>40111046000100</x:v>
      </x:c>
      <x:c r="F2671" s="22" t="str">
        <x:f>"709.831.006-91"</x:f>
        <x:v>709.831.006-91</x:v>
      </x:c>
      <x:c r="G2671" s="22" t="str">
        <x:f>"70983100691"</x:f>
        <x:v>70983100691</x:v>
      </x:c>
      <x:c r="H2671" s="23" t="str">
        <x:v>membracinho@gmail.com</x:v>
      </x:c>
      <x:c r="I2671" s="22" t="str">
        <x:f>"35 997341921"</x:f>
        <x:v>35 997341921</x:v>
      </x:c>
      <x:c r="J2671" s="23" t="str">
        <x:v>RENTAL</x:v>
      </x:c>
      <x:c r="K2671" s="23" t="str">
        <x:v>rental_company</x:v>
      </x:c>
      <x:c r="L2671" s="24" t="b">
        <x:v>1</x:v>
      </x:c>
      <x:c r="M2671" s="23" t="n">
        <x:v>3</x:v>
      </x:c>
      <x:c r="N2671" s="28" t="n">
        <x:v>46203.92191240741</x:v>
      </x:c>
      <x:c r="O2671" s="28" t="n">
        <x:v>46219.812988715275</x:v>
      </x:c>
      <x:c r="P2671" s="23" t="str">
        <x:v>POCOS DE CALDAS</x:v>
      </x:c>
      <x:c r="Q2671" s="30" t="n">
        <x:v>26602</x:v>
      </x:c>
      <x:c r="R2671" s="22" t="str">
        <x:f>"9233341"</x:f>
        <x:v>9233341</x:v>
      </x:c>
      <x:c r="S2671" s="23" t="str">
        <x:v>feminino</x:v>
      </x:c>
      <x:c r="T2671" s="22" t="str">
        <x:f>"PYV5B63"</x:f>
        <x:v>PYV5B63</x:v>
      </x:c>
      <x:c r="U2671" s="23" t="str">
        <x:v>MARLI DE OLIVEIRA ALVES</x:v>
      </x:c>
      <x:c r="V2671" s="22" t="str">
        <x:f>"709.831.006-91"</x:f>
        <x:v>709.831.006-91</x:v>
      </x:c>
      <x:c r="W2671" s="22" t="str">
        <x:f>"70983100691"</x:f>
        <x:v>70983100691</x:v>
      </x:c>
      <x:c r="X2671" s="23" t="str">
        <x:v>membracinho@gmail.com</x:v>
      </x:c>
      <x:c r="Y2671" s="22" t="str">
        <x:f>"35 997341921"</x:f>
        <x:v>35 997341921</x:v>
      </x:c>
      <x:c r="Z2671" s="30" t="n">
        <x:v>46558</x:v>
      </x:c>
    </x:row>
    <x:row r="2672" ht="18" customHeight="1">
      <x:c r="A2672" s="22" t="str">
        <x:f>"49a3d4ad-b395-45c9-93ac-8296644e1504"</x:f>
        <x:v>49a3d4ad-b395-45c9-93ac-8296644e1504</x:v>
      </x:c>
      <x:c r="B2672" s="23" t="str">
        <x:v>MARLLON CHRISTIAN SILVA FERREIRA</x:v>
      </x:c>
      <x:c r="C2672" s="23" t="str">
        <x:v>marllon christian silva ferreira</x:v>
      </x:c>
      <x:c r="D2672" s="22" t="str">
        <x:f>"51.180.249/0001-67"</x:f>
        <x:v>51.180.249/0001-67</x:v>
      </x:c>
      <x:c r="E2672" s="22" t="str">
        <x:f>"51180249000167"</x:f>
        <x:v>51180249000167</x:v>
      </x:c>
      <x:c r="F2672" s="22" t="str">
        <x:f>"109.487.706-94"</x:f>
        <x:v>109.487.706-94</x:v>
      </x:c>
      <x:c r="G2672" s="22" t="str">
        <x:f>"10948770694"</x:f>
        <x:v>10948770694</x:v>
      </x:c>
      <x:c r="H2672" s="23" t="str">
        <x:v>marlloncsf@gmail.com</x:v>
      </x:c>
      <x:c r="I2672" s="22" t="str">
        <x:f>"31982607657"</x:f>
        <x:v>31982607657</x:v>
      </x:c>
      <x:c r="J2672" s="23" t="str">
        <x:v>SPOT</x:v>
      </x:c>
      <x:c r="K2672" s="23" t="str">
        <x:v>favored_only</x:v>
      </x:c>
      <x:c r="L2672" s="24" t="b">
        <x:v>1</x:v>
      </x:c>
      <x:c r="M2672" s="23" t="n">
        <x:v>1</x:v>
      </x:c>
      <x:c r="N2672" s="28" t="n">
        <x:v>46203.921840393516</x:v>
      </x:c>
      <x:c r="O2672" s="28" t="n">
        <x:v>46219.812988715275</x:v>
      </x:c>
      <x:c r="P2672" s="23" t="str">
        <x:v>CONCEIÇÃO DO MATO DENTRO</x:v>
      </x:c>
      <x:c r="Q2672" s="30" t="n">
        <x:v>33627</x:v>
      </x:c>
      <x:c r="R2672" s="22" t="str">
        <x:f>"MG-15842632"</x:f>
        <x:v>MG-15842632</x:v>
      </x:c>
      <x:c r="S2672" s="23" t="str">
        <x:v>masculino</x:v>
      </x:c>
      <x:c r="T2672" s="22" t="str">
        <x:f>"EQJ0F01"</x:f>
        <x:v>EQJ0F01</x:v>
      </x:c>
      <x:c r="U2672" s="23" t="str">
        <x:v>MARLLON CHRISTIAN SILVA FERREIRA</x:v>
      </x:c>
      <x:c r="V2672" s="22" t="str">
        <x:f>"109.487.706-94"</x:f>
        <x:v>109.487.706-94</x:v>
      </x:c>
      <x:c r="W2672" s="22" t="str">
        <x:f>"10948770694"</x:f>
        <x:v>10948770694</x:v>
      </x:c>
      <x:c r="X2672" s="23" t="str">
        <x:v>marlloncsf@gmail.com</x:v>
      </x:c>
      <x:c r="Y2672" s="22" t="str">
        <x:f>"31982607657"</x:f>
        <x:v>31982607657</x:v>
      </x:c>
      <x:c r="Z2672" s="30" t="n">
        <x:v>46268</x:v>
      </x:c>
    </x:row>
    <x:row r="2673" ht="18" customHeight="1">
      <x:c r="A2673" s="22" t="str">
        <x:f>"12a8112e-9087-4528-a6de-b8f7c6509c9b"</x:f>
        <x:v>12a8112e-9087-4528-a6de-b8f7c6509c9b</x:v>
      </x:c>
      <x:c r="B2673" s="23" t="str">
        <x:v>MARLON ALESSANDRO MERCADANTE GOMES</x:v>
      </x:c>
      <x:c r="C2673" s="23" t="str">
        <x:v>marlon alessandro mercadante gomes</x:v>
      </x:c>
      <x:c r="D2673" s="22" t="str">
        <x:f>"46.790.379/0001-81"</x:f>
        <x:v>46.790.379/0001-81</x:v>
      </x:c>
      <x:c r="E2673" s="22" t="str">
        <x:f>"46790379000181"</x:f>
        <x:v>46790379000181</x:v>
      </x:c>
      <x:c r="F2673" s="22" t="str">
        <x:f>"133.930.107-51"</x:f>
        <x:v>133.930.107-51</x:v>
      </x:c>
      <x:c r="G2673" s="22" t="str">
        <x:f>"13393010751"</x:f>
        <x:v>13393010751</x:v>
      </x:c>
      <x:c r="H2673" s="23" t="str">
        <x:v>mercadantefox@gmail.com</x:v>
      </x:c>
      <x:c r="I2673" s="22" t="str">
        <x:f>"21981822076"</x:f>
        <x:v>21981822076</x:v>
      </x:c>
      <x:c r="J2673" s="23" t="str">
        <x:v>SPOT</x:v>
      </x:c>
      <x:c r="K2673" s="23" t="str">
        <x:v>favored_only</x:v>
      </x:c>
      <x:c r="L2673" s="24" t="b">
        <x:v>1</x:v>
      </x:c>
      <x:c r="M2673" s="23" t="n">
        <x:v>1</x:v>
      </x:c>
      <x:c r="N2673" s="28" t="n">
        <x:v>46219.812988715275</x:v>
      </x:c>
      <x:c r="O2673" s="28" t="n">
        <x:v>46219.812988715275</x:v>
      </x:c>
      <x:c r="P2673" s="23" t="str">
        <x:v>CORDOVIL</x:v>
      </x:c>
      <x:c r="Q2673" s="30" t="n">
        <x:v>32784</x:v>
      </x:c>
      <x:c r="R2673" s="22" t="str">
        <x:f>"230868929"</x:f>
        <x:v>230868929</x:v>
      </x:c>
      <x:c r="S2673" s="23" t="str">
        <x:v>masculino</x:v>
      </x:c>
      <x:c r="T2673" s="22" t="str">
        <x:f>"lmv7f36"</x:f>
        <x:v>lmv7f36</x:v>
      </x:c>
      <x:c r="U2673" s="23" t="str">
        <x:v>MARLON ALESSANDRO MERCADANTE GOMES</x:v>
      </x:c>
      <x:c r="V2673" s="22" t="str">
        <x:f>"133.930.107-51"</x:f>
        <x:v>133.930.107-51</x:v>
      </x:c>
      <x:c r="W2673" s="22" t="str">
        <x:f>"13393010751"</x:f>
        <x:v>13393010751</x:v>
      </x:c>
      <x:c r="X2673" s="23" t="str">
        <x:v>mercadantefox@gmail.com</x:v>
      </x:c>
      <x:c r="Y2673" s="22" t="str">
        <x:f>"21981822076"</x:f>
        <x:v>21981822076</x:v>
      </x:c>
      <x:c r="Z2673" s="30" t="n">
        <x:v>46535</x:v>
      </x:c>
    </x:row>
    <x:row r="2674" ht="18" customHeight="1">
      <x:c r="A2674" s="22" t="str">
        <x:f>"9981d77d-f099-4849-9aa7-c4322f150c13"</x:f>
        <x:v>9981d77d-f099-4849-9aa7-c4322f150c13</x:v>
      </x:c>
      <x:c r="B2674" s="23" t="str">
        <x:v>Marlon Francis Muniz da Silva</x:v>
      </x:c>
      <x:c r="C2674" s="23" t="str">
        <x:v>marlon francis muniz da silva</x:v>
      </x:c>
      <x:c r="D2674" s="22" t="str">
        <x:f>"60.988.259/0001-14"</x:f>
        <x:v>60.988.259/0001-14</x:v>
      </x:c>
      <x:c r="E2674" s="22" t="str">
        <x:f>"60988259000114"</x:f>
        <x:v>60988259000114</x:v>
      </x:c>
      <x:c r="F2674" s="22" t="str">
        <x:f>"118.202.086-05"</x:f>
        <x:v>118.202.086-05</x:v>
      </x:c>
      <x:c r="G2674" s="22" t="str">
        <x:f>"11820208605"</x:f>
        <x:v>11820208605</x:v>
      </x:c>
      <x:c r="H2674" s="23" t="str">
        <x:v>marlonfrancis53@gmail.com</x:v>
      </x:c>
      <x:c r="I2674" s="22" t="str">
        <x:f>"31998829141"</x:f>
        <x:v>31998829141</x:v>
      </x:c>
      <x:c r="J2674" s="23" t="str">
        <x:v>RENTAL</x:v>
      </x:c>
      <x:c r="K2674" s="23" t="str">
        <x:v>rental_company</x:v>
      </x:c>
      <x:c r="L2674" s="24" t="b">
        <x:v>1</x:v>
      </x:c>
      <x:c r="M2674" s="23" t="n">
        <x:v>1</x:v>
      </x:c>
      <x:c r="N2674" s="28" t="n">
        <x:v>46203.921840393516</x:v>
      </x:c>
      <x:c r="O2674" s="28" t="n">
        <x:v>46205.604800416666</x:v>
      </x:c>
      <x:c r="P2674" s="23" t="str">
        <x:v>CONTAGEM</x:v>
      </x:c>
      <x:c r="Q2674" s="30" t="n">
        <x:v>33965</x:v>
      </x:c>
      <x:c r="R2674" s="22" t="str">
        <x:f>"18105181"</x:f>
        <x:v>18105181</x:v>
      </x:c>
      <x:c r="S2674" s="23" t="str">
        <x:v>Masculino</x:v>
      </x:c>
      <x:c r="T2674" s="22" t="str"/>
      <x:c r="U2674" s="23" t="str">
        <x:v>Marlon Francis Muniz da Silva</x:v>
      </x:c>
      <x:c r="V2674" s="22" t="str">
        <x:f>"11820208605"</x:f>
        <x:v>11820208605</x:v>
      </x:c>
      <x:c r="W2674" s="22" t="str">
        <x:f>"11820208605"</x:f>
        <x:v>11820208605</x:v>
      </x:c>
      <x:c r="X2674" s="23" t="str">
        <x:v>marlonfrancis53@gmail.com</x:v>
      </x:c>
      <x:c r="Y2674" s="22" t="str">
        <x:f>"31998829141"</x:f>
        <x:v>31998829141</x:v>
      </x:c>
      <x:c r="Z2674" s="30" t="n">
        <x:v>46213</x:v>
      </x:c>
    </x:row>
    <x:row r="2675" ht="18" customHeight="1">
      <x:c r="A2675" s="22" t="str">
        <x:f>"ff8438bb-56dc-46a7-bc4e-d1273cf9dcac"</x:f>
        <x:v>ff8438bb-56dc-46a7-bc4e-d1273cf9dcac</x:v>
      </x:c>
      <x:c r="B2675" s="23" t="str">
        <x:v>MARLON LIMA MARCELINO</x:v>
      </x:c>
      <x:c r="C2675" s="23" t="str">
        <x:v>marlon lima marcelino</x:v>
      </x:c>
      <x:c r="D2675" s="22" t="str">
        <x:f>"63.428.483/0001-40"</x:f>
        <x:v>63.428.483/0001-40</x:v>
      </x:c>
      <x:c r="E2675" s="22" t="str">
        <x:f>"63428483000140"</x:f>
        <x:v>63428483000140</x:v>
      </x:c>
      <x:c r="F2675" s="22" t="str">
        <x:f>"187.031.317-85"</x:f>
        <x:v>187.031.317-85</x:v>
      </x:c>
      <x:c r="G2675" s="22" t="str">
        <x:f>"18703131785"</x:f>
        <x:v>18703131785</x:v>
      </x:c>
      <x:c r="H2675" s="23" t="str">
        <x:v>marlonlima316@yahoo.com</x:v>
      </x:c>
      <x:c r="I2675" s="22" t="str">
        <x:f>"2197084-0118"</x:f>
        <x:v>2197084-0118</x:v>
      </x:c>
      <x:c r="J2675" s="23" t="str">
        <x:v>SPOT</x:v>
      </x:c>
      <x:c r="K2675" s="23" t="str">
        <x:v>favored_only</x:v>
      </x:c>
      <x:c r="L2675" s="24" t="b">
        <x:v>1</x:v>
      </x:c>
      <x:c r="M2675" s="23" t="n">
        <x:v>2</x:v>
      </x:c>
      <x:c r="N2675" s="28" t="n">
        <x:v>46219.812988715275</x:v>
      </x:c>
      <x:c r="O2675" s="28" t="n">
        <x:v>46219.812988715275</x:v>
      </x:c>
      <x:c r="P2675" s="23" t="str">
        <x:v>ITABORAI</x:v>
      </x:c>
      <x:c r="Q2675" s="30" t="n">
        <x:v>36855</x:v>
      </x:c>
      <x:c r="R2675" s="22" t="str">
        <x:f>"299494039"</x:f>
        <x:v>299494039</x:v>
      </x:c>
      <x:c r="S2675" s="23" t="str">
        <x:v>masculino</x:v>
      </x:c>
      <x:c r="T2675" s="22" t="str">
        <x:f>"KRK8160"</x:f>
        <x:v>KRK8160</x:v>
      </x:c>
      <x:c r="U2675" s="23" t="str">
        <x:v>MARLON LIMA MARCELINO</x:v>
      </x:c>
      <x:c r="V2675" s="22" t="str">
        <x:f>"187.031.317-85"</x:f>
        <x:v>187.031.317-85</x:v>
      </x:c>
      <x:c r="W2675" s="22" t="str">
        <x:f>"18703131785"</x:f>
        <x:v>18703131785</x:v>
      </x:c>
      <x:c r="X2675" s="23" t="str">
        <x:v>marlonlima316@yahoo.com</x:v>
      </x:c>
      <x:c r="Y2675" s="22" t="str">
        <x:f>"2197084-0118"</x:f>
        <x:v>2197084-0118</x:v>
      </x:c>
      <x:c r="Z2675" s="30" t="n">
        <x:v>46453</x:v>
      </x:c>
    </x:row>
    <x:row r="2676" ht="18" customHeight="1">
      <x:c r="A2676" s="22" t="str">
        <x:f>"7a74e8da-192d-4793-b58f-a7de944b8913"</x:f>
        <x:v>7a74e8da-192d-4793-b58f-a7de944b8913</x:v>
      </x:c>
      <x:c r="B2676" s="23" t="str">
        <x:v>MARLON MAIA REIS</x:v>
      </x:c>
      <x:c r="C2676" s="23" t="str">
        <x:v>marlon maia reis</x:v>
      </x:c>
      <x:c r="D2676" s="22" t="str">
        <x:f>"58.545.015/0001-15"</x:f>
        <x:v>58.545.015/0001-15</x:v>
      </x:c>
      <x:c r="E2676" s="22" t="str">
        <x:f>"58545015000115"</x:f>
        <x:v>58545015000115</x:v>
      </x:c>
      <x:c r="F2676" s="22" t="str">
        <x:f>"018.451.886-59"</x:f>
        <x:v>018.451.886-59</x:v>
      </x:c>
      <x:c r="G2676" s="22" t="str">
        <x:f>"01845188659"</x:f>
        <x:v>01845188659</x:v>
      </x:c>
      <x:c r="H2676" s="23" t="str">
        <x:v>mrmarlonmaia@gmail.com</x:v>
      </x:c>
      <x:c r="I2676" s="22" t="str">
        <x:f>"31 9562-3526"</x:f>
        <x:v>31 9562-3526</x:v>
      </x:c>
      <x:c r="J2676" s="23" t="str">
        <x:v>RENTAL</x:v>
      </x:c>
      <x:c r="K2676" s="23" t="str">
        <x:v>rental_company</x:v>
      </x:c>
      <x:c r="L2676" s="24" t="b">
        <x:v>1</x:v>
      </x:c>
      <x:c r="M2676" s="23" t="n">
        <x:v>1</x:v>
      </x:c>
      <x:c r="N2676" s="28" t="n">
        <x:v>46219.812988715275</x:v>
      </x:c>
      <x:c r="O2676" s="28" t="n">
        <x:v>46219.812988715275</x:v>
      </x:c>
      <x:c r="P2676" s="23" t="str">
        <x:v>GUANHAES</x:v>
      </x:c>
      <x:c r="Q2676" s="30" t="n">
        <x:v>36293</x:v>
      </x:c>
      <x:c r="R2676" s="22" t="str">
        <x:f>"MG19296047"</x:f>
        <x:v>MG19296047</x:v>
      </x:c>
      <x:c r="S2676" s="23" t="str">
        <x:v>masculino</x:v>
      </x:c>
      <x:c r="T2676" s="22" t="str"/>
      <x:c r="U2676" s="23" t="str">
        <x:v>MARLON MAIA REIS</x:v>
      </x:c>
      <x:c r="V2676" s="22" t="str">
        <x:f>"018.451.886-59"</x:f>
        <x:v>018.451.886-59</x:v>
      </x:c>
      <x:c r="W2676" s="22" t="str">
        <x:f>"01845188659"</x:f>
        <x:v>01845188659</x:v>
      </x:c>
      <x:c r="X2676" s="23" t="str">
        <x:v>mrmarlonmaia@gmail.com</x:v>
      </x:c>
      <x:c r="Y2676" s="22" t="str">
        <x:f>"31 9562-3526"</x:f>
        <x:v>31 9562-3526</x:v>
      </x:c>
      <x:c r="Z2676" s="30" t="n">
        <x:v>46425</x:v>
      </x:c>
    </x:row>
    <x:row r="2677" ht="18" customHeight="1">
      <x:c r="A2677" s="22" t="str">
        <x:f>"b66a94fd-c6d7-489b-8091-9f2c9587d3dc"</x:f>
        <x:v>b66a94fd-c6d7-489b-8091-9f2c9587d3dc</x:v>
      </x:c>
      <x:c r="B2677" s="23" t="str">
        <x:v>MARLON ZARIFE SILVEIRA DOS SANTOS SAMPAIO</x:v>
      </x:c>
      <x:c r="C2677" s="23" t="str">
        <x:v>marlon zarife silveira dos santos sampaio</x:v>
      </x:c>
      <x:c r="D2677" s="22" t="str">
        <x:f>"62.328.264/0001-26"</x:f>
        <x:v>62.328.264/0001-26</x:v>
      </x:c>
      <x:c r="E2677" s="22" t="str">
        <x:f>"62328264000126"</x:f>
        <x:v>62328264000126</x:v>
      </x:c>
      <x:c r="F2677" s="22" t="str">
        <x:f>"165.143.637-17"</x:f>
        <x:v>165.143.637-17</x:v>
      </x:c>
      <x:c r="G2677" s="22" t="str">
        <x:f>"16514363717"</x:f>
        <x:v>16514363717</x:v>
      </x:c>
      <x:c r="H2677" s="23" t="str">
        <x:v>projeto2023z@gmail.com</x:v>
      </x:c>
      <x:c r="I2677" s="22" t="str">
        <x:f>"21969299996"</x:f>
        <x:v>21969299996</x:v>
      </x:c>
      <x:c r="J2677" s="23" t="str">
        <x:v>SPOT</x:v>
      </x:c>
      <x:c r="K2677" s="23" t="str">
        <x:v>favored_only</x:v>
      </x:c>
      <x:c r="L2677" s="24" t="b">
        <x:v>1</x:v>
      </x:c>
      <x:c r="M2677" s="23" t="n">
        <x:v>1</x:v>
      </x:c>
      <x:c r="N2677" s="28" t="n">
        <x:v>46219.812988715275</x:v>
      </x:c>
      <x:c r="O2677" s="28" t="n">
        <x:v>46219.812988715275</x:v>
      </x:c>
      <x:c r="P2677" s="23" t="str">
        <x:v>SÃO JOAO DE MERITI</x:v>
      </x:c>
      <x:c r="Q2677" s="30" t="n">
        <x:v>35322</x:v>
      </x:c>
      <x:c r="R2677" s="22" t="str">
        <x:f>"241610575"</x:f>
        <x:v>241610575</x:v>
      </x:c>
      <x:c r="S2677" s="23" t="str">
        <x:v>masculino</x:v>
      </x:c>
      <x:c r="T2677" s="22" t="str">
        <x:f>"PXP8G33"</x:f>
        <x:v>PXP8G33</x:v>
      </x:c>
      <x:c r="U2677" s="23" t="str">
        <x:v>MARLON ZARIFE SILVEIRA DOS SANTOS SAMPAIO</x:v>
      </x:c>
      <x:c r="V2677" s="22" t="str">
        <x:f>"165.143.637-17"</x:f>
        <x:v>165.143.637-17</x:v>
      </x:c>
      <x:c r="W2677" s="22" t="str">
        <x:f>"16514363717"</x:f>
        <x:v>16514363717</x:v>
      </x:c>
      <x:c r="X2677" s="23" t="str">
        <x:v>projeto2023z@gmail.com</x:v>
      </x:c>
      <x:c r="Y2677" s="22" t="str">
        <x:f>"21969299996"</x:f>
        <x:v>21969299996</x:v>
      </x:c>
      <x:c r="Z2677" s="30" t="n">
        <x:v>46466</x:v>
      </x:c>
    </x:row>
    <x:row r="2678" ht="18" customHeight="1">
      <x:c r="A2678" s="22" t="str">
        <x:f>"000dd5f1-c101-41cd-9f11-9882a5a829d8"</x:f>
        <x:v>000dd5f1-c101-41cd-9f11-9882a5a829d8</x:v>
      </x:c>
      <x:c r="B2678" s="23" t="str">
        <x:v>MARQUES GONCALVES COIMBRA</x:v>
      </x:c>
      <x:c r="C2678" s="23" t="str">
        <x:v>marques goncalves coimbra</x:v>
      </x:c>
      <x:c r="D2678" s="22" t="str">
        <x:f>"60.647.774/0001-30"</x:f>
        <x:v>60.647.774/0001-30</x:v>
      </x:c>
      <x:c r="E2678" s="22" t="str">
        <x:f>"60647774000130"</x:f>
        <x:v>60647774000130</x:v>
      </x:c>
      <x:c r="F2678" s="22" t="str">
        <x:f>"183.863.686-24"</x:f>
        <x:v>183.863.686-24</x:v>
      </x:c>
      <x:c r="G2678" s="22" t="str">
        <x:f>"18386368624"</x:f>
        <x:v>18386368624</x:v>
      </x:c>
      <x:c r="H2678" s="23" t="str">
        <x:v>coimbramarques9@gmail.com</x:v>
      </x:c>
      <x:c r="I2678" s="22" t="str">
        <x:f>"31986851366"</x:f>
        <x:v>31986851366</x:v>
      </x:c>
      <x:c r="J2678" s="23" t="str">
        <x:v>RENTAL</x:v>
      </x:c>
      <x:c r="K2678" s="23" t="str">
        <x:v>rental_company</x:v>
      </x:c>
      <x:c r="L2678" s="24" t="b">
        <x:v>1</x:v>
      </x:c>
      <x:c r="M2678" s="23" t="n">
        <x:v>1</x:v>
      </x:c>
      <x:c r="N2678" s="28" t="n">
        <x:v>46219.812988715275</x:v>
      </x:c>
      <x:c r="O2678" s="28" t="n">
        <x:v>46219.812988715275</x:v>
      </x:c>
      <x:c r="P2678" s="23" t="str">
        <x:v>CONTAGEM</x:v>
      </x:c>
      <x:c r="Q2678" s="30" t="n">
        <x:v>38599</x:v>
      </x:c>
      <x:c r="R2678" s="22" t="str">
        <x:f>"MG17196756"</x:f>
        <x:v>MG17196756</x:v>
      </x:c>
      <x:c r="S2678" s="23" t="str">
        <x:v>masculino</x:v>
      </x:c>
      <x:c r="T2678" s="22" t="str"/>
      <x:c r="U2678" s="23" t="str">
        <x:v>MARQUES GONCALVES COIMBRA</x:v>
      </x:c>
      <x:c r="V2678" s="22" t="str">
        <x:f>"183.863.686-24"</x:f>
        <x:v>183.863.686-24</x:v>
      </x:c>
      <x:c r="W2678" s="22" t="str">
        <x:f>"18386368624"</x:f>
        <x:v>18386368624</x:v>
      </x:c>
      <x:c r="X2678" s="23" t="str">
        <x:v>coimbramarques9@gmail.com</x:v>
      </x:c>
      <x:c r="Y2678" s="22" t="str">
        <x:f>"31986851366"</x:f>
        <x:v>31986851366</x:v>
      </x:c>
      <x:c r="Z2678" s="30" t="n">
        <x:v>46415</x:v>
      </x:c>
    </x:row>
    <x:row r="2679" ht="18" customHeight="1">
      <x:c r="A2679" s="22" t="str">
        <x:f>"26ae7e2b-5039-48e7-ab9c-b401f7fdbdc7"</x:f>
        <x:v>26ae7e2b-5039-48e7-ab9c-b401f7fdbdc7</x:v>
      </x:c>
      <x:c r="B2679" s="23" t="str">
        <x:v>MARTE APARECIDO NUNES SANTOS</x:v>
      </x:c>
      <x:c r="C2679" s="23" t="str">
        <x:v>marte aparecido nunes santos</x:v>
      </x:c>
      <x:c r="D2679" s="22" t="str">
        <x:f>"37.823.997/0001-90"</x:f>
        <x:v>37.823.997/0001-90</x:v>
      </x:c>
      <x:c r="E2679" s="22" t="str">
        <x:f>"37823997000190"</x:f>
        <x:v>37823997000190</x:v>
      </x:c>
      <x:c r="F2679" s="22" t="str">
        <x:f>"045.491.881-03"</x:f>
        <x:v>045.491.881-03</x:v>
      </x:c>
      <x:c r="G2679" s="22" t="str">
        <x:f>"04549188103"</x:f>
        <x:v>04549188103</x:v>
      </x:c>
      <x:c r="H2679" s="23" t="str">
        <x:v>martinunes3434@gmail.com</x:v>
      </x:c>
      <x:c r="I2679" s="22" t="str">
        <x:f>"67 96657759"</x:f>
        <x:v>67 96657759</x:v>
      </x:c>
      <x:c r="J2679" s="23" t="str">
        <x:v>SPOT</x:v>
      </x:c>
      <x:c r="K2679" s="23" t="str">
        <x:v>favored_only</x:v>
      </x:c>
      <x:c r="L2679" s="24" t="b">
        <x:v>1</x:v>
      </x:c>
      <x:c r="M2679" s="23" t="n">
        <x:v>1</x:v>
      </x:c>
      <x:c r="N2679" s="28" t="n">
        <x:v>46205.60659296296</x:v>
      </x:c>
      <x:c r="O2679" s="28" t="n">
        <x:v>46219.812988715275</x:v>
      </x:c>
      <x:c r="P2679" s="23" t="str">
        <x:v>CHAPADÃO DO SUL</x:v>
      </x:c>
      <x:c r="Q2679" s="30" t="n">
        <x:v>33002</x:v>
      </x:c>
      <x:c r="R2679" s="22" t="str">
        <x:f>"1848709"</x:f>
        <x:v>1848709</x:v>
      </x:c>
      <x:c r="S2679" s="23" t="str">
        <x:v>masculino</x:v>
      </x:c>
      <x:c r="T2679" s="22" t="str">
        <x:f>"OAY2J21"</x:f>
        <x:v>OAY2J21</x:v>
      </x:c>
      <x:c r="U2679" s="23" t="str">
        <x:v>DANILLO BACIEL ALMEIDA</x:v>
      </x:c>
      <x:c r="V2679" s="22" t="str">
        <x:f>"962.005.291-91"</x:f>
        <x:v>962.005.291-91</x:v>
      </x:c>
      <x:c r="W2679" s="22" t="str">
        <x:f>"96200529191"</x:f>
        <x:v>96200529191</x:v>
      </x:c>
      <x:c r="X2679" s="23" t="str">
        <x:v>rpt.cargas@gmail.com</x:v>
      </x:c>
      <x:c r="Y2679" s="22" t="str">
        <x:f>"62 996610607"</x:f>
        <x:v>62 996610607</x:v>
      </x:c>
      <x:c r="Z2679" s="30" t="n">
        <x:v>46366</x:v>
      </x:c>
    </x:row>
    <x:row r="2680" ht="18" customHeight="1">
      <x:c r="A2680" s="22" t="str">
        <x:f>"866439ad-c463-405c-9664-93847f0b9d7e"</x:f>
        <x:v>866439ad-c463-405c-9664-93847f0b9d7e</x:v>
      </x:c>
      <x:c r="B2680" s="23" t="str">
        <x:v>MARTE APARECIDO NUNES SANTOS</x:v>
      </x:c>
      <x:c r="C2680" s="23" t="str">
        <x:v>marte aparecido nunes santos</x:v>
      </x:c>
      <x:c r="D2680" s="22" t="str">
        <x:f>"66.280.067/0001-35"</x:f>
        <x:v>66.280.067/0001-35</x:v>
      </x:c>
      <x:c r="E2680" s="22" t="str">
        <x:f>"66280067000135"</x:f>
        <x:v>66280067000135</x:v>
      </x:c>
      <x:c r="F2680" s="22" t="str">
        <x:f>"045.491.881-03"</x:f>
        <x:v>045.491.881-03</x:v>
      </x:c>
      <x:c r="G2680" s="22" t="str">
        <x:f>"04549188103"</x:f>
        <x:v>04549188103</x:v>
      </x:c>
      <x:c r="H2680" s="23" t="str">
        <x:v>martinunes3434@gmail.com</x:v>
      </x:c>
      <x:c r="I2680" s="22" t="str">
        <x:f>"(67) 9665-77-59"</x:f>
        <x:v>(67) 9665-77-59</x:v>
      </x:c>
      <x:c r="J2680" s="23" t="str">
        <x:v>RENTAL</x:v>
      </x:c>
      <x:c r="K2680" s="23" t="str">
        <x:v>rental_company</x:v>
      </x:c>
      <x:c r="L2680" s="24" t="b">
        <x:v>1</x:v>
      </x:c>
      <x:c r="M2680" s="23" t="n">
        <x:v>2</x:v>
      </x:c>
      <x:c r="N2680" s="28" t="n">
        <x:v>46219.812988715275</x:v>
      </x:c>
      <x:c r="O2680" s="28" t="n">
        <x:v>46219.812988715275</x:v>
      </x:c>
      <x:c r="P2680" s="23" t="str">
        <x:v>CHAPADÃO DO SUL</x:v>
      </x:c>
      <x:c r="Q2680" s="30" t="n">
        <x:v>33002</x:v>
      </x:c>
      <x:c r="R2680" s="22" t="str">
        <x:f>"18.487-09"</x:f>
        <x:v>18.487-09</x:v>
      </x:c>
      <x:c r="S2680" s="23" t="str">
        <x:v>masculino</x:v>
      </x:c>
      <x:c r="T2680" s="22" t="str"/>
      <x:c r="U2680" s="23" t="str">
        <x:v>MARTE APARECIDO NUNES SANTOS</x:v>
      </x:c>
      <x:c r="V2680" s="22" t="str">
        <x:f>"045.491.881-03"</x:f>
        <x:v>045.491.881-03</x:v>
      </x:c>
      <x:c r="W2680" s="22" t="str">
        <x:f>"04549188103"</x:f>
        <x:v>04549188103</x:v>
      </x:c>
      <x:c r="X2680" s="23" t="str">
        <x:v>martinunes3434@gmail.com</x:v>
      </x:c>
      <x:c r="Y2680" s="22" t="str">
        <x:f>"(67) 9665-77-59"</x:f>
        <x:v>(67) 9665-77-59</x:v>
      </x:c>
      <x:c r="Z2680" s="30" t="n">
        <x:v>46508</x:v>
      </x:c>
    </x:row>
    <x:row r="2681" ht="18" customHeight="1">
      <x:c r="A2681" s="22" t="str">
        <x:f>"b770b136-9b7c-4bb6-8756-bf61aba004a0"</x:f>
        <x:v>b770b136-9b7c-4bb6-8756-bf61aba004a0</x:v>
      </x:c>
      <x:c r="B2681" s="23" t="str">
        <x:v>MARTHA SANTOS DA SILVA</x:v>
      </x:c>
      <x:c r="C2681" s="23" t="str">
        <x:v>martha santos da silva</x:v>
      </x:c>
      <x:c r="D2681" s="22" t="str">
        <x:f>"21.320.484/0001-26"</x:f>
        <x:v>21.320.484/0001-26</x:v>
      </x:c>
      <x:c r="E2681" s="22" t="str">
        <x:f>"21320484000126"</x:f>
        <x:v>21320484000126</x:v>
      </x:c>
      <x:c r="F2681" s="22" t="str">
        <x:f>"400.195.538-54"</x:f>
        <x:v>400.195.538-54</x:v>
      </x:c>
      <x:c r="G2681" s="22" t="str">
        <x:f>"40019553854"</x:f>
        <x:v>40019553854</x:v>
      </x:c>
      <x:c r="H2681" s="23" t="str">
        <x:v>marthasantossilva1989@gmail.com</x:v>
      </x:c>
      <x:c r="I2681" s="22" t="str">
        <x:f>"16981105893"</x:f>
        <x:v>16981105893</x:v>
      </x:c>
      <x:c r="J2681" s="23" t="str">
        <x:v>RENTAL</x:v>
      </x:c>
      <x:c r="K2681" s="23" t="str">
        <x:v>rental_company</x:v>
      </x:c>
      <x:c r="L2681" s="24" t="b">
        <x:v>1</x:v>
      </x:c>
      <x:c r="M2681" s="23" t="n">
        <x:v>1</x:v>
      </x:c>
      <x:c r="N2681" s="28" t="n">
        <x:v>46219.812988715275</x:v>
      </x:c>
      <x:c r="O2681" s="28" t="n">
        <x:v>46219.812988715275</x:v>
      </x:c>
      <x:c r="P2681" s="23" t="str">
        <x:v>SÃO CARLOS</x:v>
      </x:c>
      <x:c r="Q2681" s="30" t="n">
        <x:v>32724</x:v>
      </x:c>
      <x:c r="R2681" s="22" t="str">
        <x:f>"509012644"</x:f>
        <x:v>509012644</x:v>
      </x:c>
      <x:c r="S2681" s="23" t="str">
        <x:v>feminino</x:v>
      </x:c>
      <x:c r="T2681" s="22" t="str"/>
      <x:c r="U2681" s="23" t="str">
        <x:v>MARTHA SANTOS DA SILVA</x:v>
      </x:c>
      <x:c r="V2681" s="22" t="str">
        <x:f>"400.195.538-54"</x:f>
        <x:v>400.195.538-54</x:v>
      </x:c>
      <x:c r="W2681" s="22" t="str">
        <x:f>"40019553854"</x:f>
        <x:v>40019553854</x:v>
      </x:c>
      <x:c r="X2681" s="23" t="str">
        <x:v>marthasantossilva1989@gmail.com</x:v>
      </x:c>
      <x:c r="Y2681" s="22" t="str">
        <x:f>"16981105893"</x:f>
        <x:v>16981105893</x:v>
      </x:c>
      <x:c r="Z2681" s="30" t="n">
        <x:v>46568</x:v>
      </x:c>
    </x:row>
    <x:row r="2682" ht="18" customHeight="1">
      <x:c r="A2682" s="22" t="str">
        <x:f>"e5b41607-93aa-4155-8b9e-8d3c5b49c815"</x:f>
        <x:v>e5b41607-93aa-4155-8b9e-8d3c5b49c815</x:v>
      </x:c>
      <x:c r="B2682" s="23" t="str">
        <x:v>MATEUS ANDRADE ALVES</x:v>
      </x:c>
      <x:c r="C2682" s="23" t="str">
        <x:v>mateus andrade alves</x:v>
      </x:c>
      <x:c r="D2682" s="22" t="str">
        <x:f>"59.455.291/0001-55"</x:f>
        <x:v>59.455.291/0001-55</x:v>
      </x:c>
      <x:c r="E2682" s="22" t="str">
        <x:f>"59455291000155"</x:f>
        <x:v>59455291000155</x:v>
      </x:c>
      <x:c r="F2682" s="22" t="str">
        <x:f>"161.404.856-81"</x:f>
        <x:v>161.404.856-81</x:v>
      </x:c>
      <x:c r="G2682" s="22" t="str">
        <x:f>"16140485681"</x:f>
        <x:v>16140485681</x:v>
      </x:c>
      <x:c r="H2682" s="23" t="str">
        <x:v>mateus01112002@gmail.com</x:v>
      </x:c>
      <x:c r="I2682" s="22" t="str">
        <x:f>"31 989488082"</x:f>
        <x:v>31 989488082</x:v>
      </x:c>
      <x:c r="J2682" s="23" t="str">
        <x:v>RENTAL</x:v>
      </x:c>
      <x:c r="K2682" s="23" t="str">
        <x:v>rental_company</x:v>
      </x:c>
      <x:c r="L2682" s="24" t="b">
        <x:v>1</x:v>
      </x:c>
      <x:c r="M2682" s="23" t="n">
        <x:v>1</x:v>
      </x:c>
      <x:c r="N2682" s="28" t="n">
        <x:v>46219.812988715275</x:v>
      </x:c>
      <x:c r="O2682" s="28" t="n">
        <x:v>46219.812988715275</x:v>
      </x:c>
      <x:c r="P2682" s="23" t="str">
        <x:v>CONTAGEM</x:v>
      </x:c>
      <x:c r="Q2682" s="30" t="n">
        <x:v>37561</x:v>
      </x:c>
      <x:c r="R2682" s="22" t="str">
        <x:f>"20219147"</x:f>
        <x:v>20219147</x:v>
      </x:c>
      <x:c r="S2682" s="23" t="str">
        <x:v>masculino</x:v>
      </x:c>
      <x:c r="T2682" s="22" t="str"/>
      <x:c r="U2682" s="23" t="str">
        <x:v>MATEUS ANDRADE ALVES</x:v>
      </x:c>
      <x:c r="V2682" s="22" t="str">
        <x:f>"161.404.856-81"</x:f>
        <x:v>161.404.856-81</x:v>
      </x:c>
      <x:c r="W2682" s="22" t="str">
        <x:f>"16140485681"</x:f>
        <x:v>16140485681</x:v>
      </x:c>
      <x:c r="X2682" s="23" t="str">
        <x:v>mateus01112002@gmail.com</x:v>
      </x:c>
      <x:c r="Y2682" s="22" t="str">
        <x:f>"31 989488082"</x:f>
        <x:v>31 989488082</x:v>
      </x:c>
      <x:c r="Z2682" s="30" t="n">
        <x:v>46564</x:v>
      </x:c>
    </x:row>
    <x:row r="2683" ht="18" customHeight="1">
      <x:c r="A2683" s="22" t="str">
        <x:f>"b536d291-ead0-40ee-8729-63a2e00c4eda"</x:f>
        <x:v>b536d291-ead0-40ee-8729-63a2e00c4eda</x:v>
      </x:c>
      <x:c r="B2683" s="23" t="str">
        <x:v>MATEUS BALBINO MORAIS</x:v>
      </x:c>
      <x:c r="C2683" s="23" t="str">
        <x:v>mateus balbino morais</x:v>
      </x:c>
      <x:c r="D2683" s="22" t="str">
        <x:f>"59.308.178/0001-47"</x:f>
        <x:v>59.308.178/0001-47</x:v>
      </x:c>
      <x:c r="E2683" s="22" t="str">
        <x:f>"59308178000147"</x:f>
        <x:v>59308178000147</x:v>
      </x:c>
      <x:c r="F2683" s="22" t="str">
        <x:f>"116.984.516-95"</x:f>
        <x:v>116.984.516-95</x:v>
      </x:c>
      <x:c r="G2683" s="22" t="str">
        <x:f>"11698451695"</x:f>
        <x:v>11698451695</x:v>
      </x:c>
      <x:c r="H2683" s="23" t="str">
        <x:v>mateusdentist@gmail.com</x:v>
      </x:c>
      <x:c r="I2683" s="22" t="str">
        <x:f>"(37) 99157-7124"</x:f>
        <x:v>(37) 99157-7124</x:v>
      </x:c>
      <x:c r="J2683" s="23" t="str">
        <x:v>SPOT</x:v>
      </x:c>
      <x:c r="K2683" s="23" t="str">
        <x:v>favored_only</x:v>
      </x:c>
      <x:c r="L2683" s="24" t="b">
        <x:v>1</x:v>
      </x:c>
      <x:c r="M2683" s="23" t="n">
        <x:v>1</x:v>
      </x:c>
      <x:c r="N2683" s="28" t="n">
        <x:v>46205.60690298611</x:v>
      </x:c>
      <x:c r="O2683" s="28" t="n">
        <x:v>46219.812988715275</x:v>
      </x:c>
      <x:c r="P2683" s="23" t="str">
        <x:v>ARAXÁ</x:v>
      </x:c>
      <x:c r="Q2683" s="30" t="n">
        <x:v>34141</x:v>
      </x:c>
      <x:c r="R2683" s="22" t="str">
        <x:f>"MG16648422"</x:f>
        <x:v>MG16648422</x:v>
      </x:c>
      <x:c r="S2683" s="23" t="str">
        <x:v>masculino</x:v>
      </x:c>
      <x:c r="T2683" s="22" t="str">
        <x:f>"HHI5A95"</x:f>
        <x:v>HHI5A95</x:v>
      </x:c>
      <x:c r="U2683" s="23" t="str">
        <x:v>KARINE APARECIDA NUNES</x:v>
      </x:c>
      <x:c r="V2683" s="22" t="str">
        <x:f>"148.336.046-63"</x:f>
        <x:v>148.336.046-63</x:v>
      </x:c>
      <x:c r="W2683" s="22" t="str">
        <x:f>"14833604663"</x:f>
        <x:v>14833604663</x:v>
      </x:c>
      <x:c r="X2683" s="23" t="str">
        <x:v>karinenuneskz@hotmail.com</x:v>
      </x:c>
      <x:c r="Y2683" s="22" t="str">
        <x:f>"37 9965-4308"</x:f>
        <x:v>37 9965-4308</x:v>
      </x:c>
      <x:c r="Z2683" s="30" t="n">
        <x:v>46386</x:v>
      </x:c>
    </x:row>
    <x:row r="2684" ht="18" customHeight="1">
      <x:c r="A2684" s="22" t="str">
        <x:f>"cd942ca5-0dff-4872-b462-dbd8694ae0b8"</x:f>
        <x:v>cd942ca5-0dff-4872-b462-dbd8694ae0b8</x:v>
      </x:c>
      <x:c r="B2684" s="23" t="str">
        <x:v>MATEUS BATISTA DE TOLEDO</x:v>
      </x:c>
      <x:c r="C2684" s="23" t="str">
        <x:v>mateus batista de toledo</x:v>
      </x:c>
      <x:c r="D2684" s="22" t="str">
        <x:f>"62.302.923/0001-55"</x:f>
        <x:v>62.302.923/0001-55</x:v>
      </x:c>
      <x:c r="E2684" s="22" t="str">
        <x:f>"62302923000155"</x:f>
        <x:v>62302923000155</x:v>
      </x:c>
      <x:c r="F2684" s="22" t="str">
        <x:f>"073.871.156-05"</x:f>
        <x:v>073.871.156-05</x:v>
      </x:c>
      <x:c r="G2684" s="22" t="str">
        <x:f>"07387115605"</x:f>
        <x:v>07387115605</x:v>
      </x:c>
      <x:c r="H2684" s="23" t="str">
        <x:v>mateustoledo447@gmail.com</x:v>
      </x:c>
      <x:c r="I2684" s="22" t="str">
        <x:f>"(35)98435-9738"</x:f>
        <x:v>(35)98435-9738</x:v>
      </x:c>
      <x:c r="J2684" s="23" t="str">
        <x:v>SPOT</x:v>
      </x:c>
      <x:c r="K2684" s="23" t="str">
        <x:v>favored_only</x:v>
      </x:c>
      <x:c r="L2684" s="24" t="b">
        <x:v>1</x:v>
      </x:c>
      <x:c r="M2684" s="23" t="n">
        <x:v>2</x:v>
      </x:c>
      <x:c r="N2684" s="28" t="n">
        <x:v>46203.921858726855</x:v>
      </x:c>
      <x:c r="O2684" s="28" t="n">
        <x:v>46219.812988715275</x:v>
      </x:c>
      <x:c r="P2684" s="23" t="str">
        <x:v>POUSO ALEGRE</x:v>
      </x:c>
      <x:c r="Q2684" s="30" t="n">
        <x:v>30775</x:v>
      </x:c>
      <x:c r="R2684" s="22" t="str">
        <x:f>"3722220885 SSP SP"</x:f>
        <x:v>3722220885 SSP SP</x:v>
      </x:c>
      <x:c r="S2684" s="23" t="str">
        <x:v>masculino</x:v>
      </x:c>
      <x:c r="T2684" s="22" t="str">
        <x:f>"PAR8B05"</x:f>
        <x:v>PAR8B05</x:v>
      </x:c>
      <x:c r="U2684" s="23" t="str">
        <x:v>MATEUS BATISTA DE TOLEDO</x:v>
      </x:c>
      <x:c r="V2684" s="22" t="str">
        <x:f>"073.871.156-05"</x:f>
        <x:v>073.871.156-05</x:v>
      </x:c>
      <x:c r="W2684" s="22" t="str">
        <x:f>"07387115605"</x:f>
        <x:v>07387115605</x:v>
      </x:c>
      <x:c r="X2684" s="23" t="str">
        <x:v>mateustoledo447@gmail.com</x:v>
      </x:c>
      <x:c r="Y2684" s="22" t="str">
        <x:f>"(35)98435-9738"</x:f>
        <x:v>(35)98435-9738</x:v>
      </x:c>
      <x:c r="Z2684" s="30" t="n">
        <x:v>46350</x:v>
      </x:c>
    </x:row>
    <x:row r="2685" ht="18" customHeight="1">
      <x:c r="A2685" s="22" t="str">
        <x:f>"8c8c2bf3-10f6-4e32-9e0f-9849c7aabf23"</x:f>
        <x:v>8c8c2bf3-10f6-4e32-9e0f-9849c7aabf23</x:v>
      </x:c>
      <x:c r="B2685" s="23" t="str">
        <x:v>MATEUS CANTALICIO DE OLIVEIRA</x:v>
      </x:c>
      <x:c r="C2685" s="23" t="str">
        <x:v>mateus cantalicio de oliveira</x:v>
      </x:c>
      <x:c r="D2685" s="22" t="str">
        <x:f>"66.157.505/0001-72"</x:f>
        <x:v>66.157.505/0001-72</x:v>
      </x:c>
      <x:c r="E2685" s="22" t="str">
        <x:f>"66157505000172"</x:f>
        <x:v>66157505000172</x:v>
      </x:c>
      <x:c r="F2685" s="22" t="str">
        <x:f>"119.957.296-98"</x:f>
        <x:v>119.957.296-98</x:v>
      </x:c>
      <x:c r="G2685" s="22" t="str">
        <x:f>"11995729698"</x:f>
        <x:v>11995729698</x:v>
      </x:c>
      <x:c r="H2685" s="23" t="str">
        <x:v>cantaliciomateus@gmail.com</x:v>
      </x:c>
      <x:c r="I2685" s="22" t="str">
        <x:f>"99806-3085"</x:f>
        <x:v>99806-3085</x:v>
      </x:c>
      <x:c r="J2685" s="23" t="str">
        <x:v>RENTAL</x:v>
      </x:c>
      <x:c r="K2685" s="23" t="str">
        <x:v>rental_company</x:v>
      </x:c>
      <x:c r="L2685" s="24" t="b">
        <x:v>1</x:v>
      </x:c>
      <x:c r="M2685" s="23" t="n">
        <x:v>1</x:v>
      </x:c>
      <x:c r="N2685" s="28" t="n">
        <x:v>46219.812988715275</x:v>
      </x:c>
      <x:c r="O2685" s="28" t="n">
        <x:v>46219.812988715275</x:v>
      </x:c>
      <x:c r="P2685" s="23" t="str">
        <x:v>POCOS DE CALDAS</x:v>
      </x:c>
      <x:c r="Q2685" s="30" t="n">
        <x:v>36556</x:v>
      </x:c>
      <x:c r="R2685" s="22" t="str">
        <x:f>"20227226"</x:f>
        <x:v>20227226</x:v>
      </x:c>
      <x:c r="S2685" s="23" t="str">
        <x:v>masculino</x:v>
      </x:c>
      <x:c r="T2685" s="22" t="str"/>
      <x:c r="U2685" s="23" t="str">
        <x:v>MATEUS CANTALICIO DE OLIVEIRA</x:v>
      </x:c>
      <x:c r="V2685" s="22" t="str">
        <x:f>"119.957.296-98"</x:f>
        <x:v>119.957.296-98</x:v>
      </x:c>
      <x:c r="W2685" s="22" t="str">
        <x:f>"11995729698"</x:f>
        <x:v>11995729698</x:v>
      </x:c>
      <x:c r="X2685" s="23" t="str">
        <x:v>cantaliciomateus@gmail.com</x:v>
      </x:c>
      <x:c r="Y2685" s="22" t="str">
        <x:f>"99806-3085"</x:f>
        <x:v>99806-3085</x:v>
      </x:c>
      <x:c r="Z2685" s="30" t="n">
        <x:v>46582</x:v>
      </x:c>
    </x:row>
    <x:row r="2686" ht="18" customHeight="1">
      <x:c r="A2686" s="22" t="str">
        <x:f>"d02ec5c4-cb29-4c65-b876-53bc1a5cdba6"</x:f>
        <x:v>d02ec5c4-cb29-4c65-b876-53bc1a5cdba6</x:v>
      </x:c>
      <x:c r="B2686" s="23" t="str">
        <x:v>MATEUS DE FRANCA POMPEO</x:v>
      </x:c>
      <x:c r="C2686" s="23" t="str">
        <x:v>mateus de franca pompeo</x:v>
      </x:c>
      <x:c r="D2686" s="22" t="str">
        <x:f>"63.347.994/0001-37"</x:f>
        <x:v>63.347.994/0001-37</x:v>
      </x:c>
      <x:c r="E2686" s="22" t="str">
        <x:f>"63347994000137"</x:f>
        <x:v>63347994000137</x:v>
      </x:c>
      <x:c r="F2686" s="22" t="str">
        <x:f>"508.755.818-62"</x:f>
        <x:v>508.755.818-62</x:v>
      </x:c>
      <x:c r="G2686" s="22" t="str">
        <x:f>"50875581862"</x:f>
        <x:v>50875581862</x:v>
      </x:c>
      <x:c r="H2686" s="23" t="str">
        <x:v>mateus.victoria99@gmail.com</x:v>
      </x:c>
      <x:c r="I2686" s="22" t="str">
        <x:f>"(13) 99726-0496"</x:f>
        <x:v>(13) 99726-0496</x:v>
      </x:c>
      <x:c r="J2686" s="23" t="str">
        <x:v>RENTAL</x:v>
      </x:c>
      <x:c r="K2686" s="23" t="str">
        <x:v>rental_company</x:v>
      </x:c>
      <x:c r="L2686" s="24" t="b">
        <x:v>1</x:v>
      </x:c>
      <x:c r="M2686" s="23" t="n">
        <x:v>1</x:v>
      </x:c>
      <x:c r="N2686" s="28" t="n">
        <x:v>46203.921904421295</x:v>
      </x:c>
      <x:c r="O2686" s="28" t="n">
        <x:v>46219.812988715275</x:v>
      </x:c>
      <x:c r="P2686" s="23" t="str">
        <x:v>BAURU</x:v>
      </x:c>
      <x:c r="Q2686" s="30" t="n">
        <x:v>36226</x:v>
      </x:c>
      <x:c r="R2686" s="22" t="str">
        <x:f>"564140326"</x:f>
        <x:v>564140326</x:v>
      </x:c>
      <x:c r="S2686" s="23" t="str">
        <x:v>masculino</x:v>
      </x:c>
      <x:c r="T2686" s="22" t="str"/>
      <x:c r="U2686" s="23" t="str">
        <x:v>MATEUS DE FRANCA POMPEO</x:v>
      </x:c>
      <x:c r="V2686" s="22" t="str">
        <x:f>"508.755.818-62"</x:f>
        <x:v>508.755.818-62</x:v>
      </x:c>
      <x:c r="W2686" s="22" t="str">
        <x:f>"50875581862"</x:f>
        <x:v>50875581862</x:v>
      </x:c>
      <x:c r="X2686" s="23" t="str">
        <x:v>mateus.victoria99@gmail.com</x:v>
      </x:c>
      <x:c r="Y2686" s="22" t="str">
        <x:f>"(13) 99726-0496"</x:f>
        <x:v>(13) 99726-0496</x:v>
      </x:c>
      <x:c r="Z2686" s="30" t="n">
        <x:v>46361</x:v>
      </x:c>
    </x:row>
    <x:row r="2687" ht="18" customHeight="1">
      <x:c r="A2687" s="22" t="str">
        <x:f>"5749c26c-e4ee-4c4e-ad08-63e83649f4af"</x:f>
        <x:v>5749c26c-e4ee-4c4e-ad08-63e83649f4af</x:v>
      </x:c>
      <x:c r="B2687" s="23" t="str">
        <x:v>MATEUS DE OLIVEIRA</x:v>
      </x:c>
      <x:c r="C2687" s="23" t="str">
        <x:v>mateus de oliveira</x:v>
      </x:c>
      <x:c r="D2687" s="22" t="str">
        <x:f>"63.005.032/0001-08"</x:f>
        <x:v>63.005.032/0001-08</x:v>
      </x:c>
      <x:c r="E2687" s="22" t="str">
        <x:f>"63005032000108"</x:f>
        <x:v>63005032000108</x:v>
      </x:c>
      <x:c r="F2687" s="22" t="str">
        <x:f>"465.466.028-30"</x:f>
        <x:v>465.466.028-30</x:v>
      </x:c>
      <x:c r="G2687" s="22" t="str">
        <x:f>"46546602830"</x:f>
        <x:v>46546602830</x:v>
      </x:c>
      <x:c r="H2687" s="23" t="str">
        <x:v>mateusentregasapp@gmail.com</x:v>
      </x:c>
      <x:c r="I2687" s="22" t="str">
        <x:f>"16997086779"</x:f>
        <x:v>16997086779</x:v>
      </x:c>
      <x:c r="J2687" s="23" t="str">
        <x:v>RENTAL</x:v>
      </x:c>
      <x:c r="K2687" s="23" t="str">
        <x:v>rental_company</x:v>
      </x:c>
      <x:c r="L2687" s="24" t="b">
        <x:v>1</x:v>
      </x:c>
      <x:c r="M2687" s="23" t="n">
        <x:v>1</x:v>
      </x:c>
      <x:c r="N2687" s="28" t="n">
        <x:v>46203.9219084375</x:v>
      </x:c>
      <x:c r="O2687" s="28" t="n">
        <x:v>46219.812988715275</x:v>
      </x:c>
      <x:c r="P2687" s="23" t="str">
        <x:v>SÃO CARLOS</x:v>
      </x:c>
      <x:c r="Q2687" s="30" t="n">
        <x:v>37328</x:v>
      </x:c>
      <x:c r="R2687" s="22" t="str">
        <x:f>"56.619.689-X"</x:f>
        <x:v>56.619.689-X</x:v>
      </x:c>
      <x:c r="S2687" s="23" t="str">
        <x:v>masculino</x:v>
      </x:c>
      <x:c r="T2687" s="22" t="str"/>
      <x:c r="U2687" s="23" t="str">
        <x:v>MATEUS DE OLIVEIRA</x:v>
      </x:c>
      <x:c r="V2687" s="22" t="str">
        <x:f>"465.466.028-30"</x:f>
        <x:v>465.466.028-30</x:v>
      </x:c>
      <x:c r="W2687" s="22" t="str">
        <x:f>"46546602830"</x:f>
        <x:v>46546602830</x:v>
      </x:c>
      <x:c r="X2687" s="23" t="str">
        <x:v>mateusentregasapp@gmail.com</x:v>
      </x:c>
      <x:c r="Y2687" s="22" t="str">
        <x:f>"16997086779"</x:f>
        <x:v>16997086779</x:v>
      </x:c>
      <x:c r="Z2687" s="30" t="n">
        <x:v>46394</x:v>
      </x:c>
    </x:row>
    <x:row r="2688" ht="18" customHeight="1">
      <x:c r="A2688" s="22" t="str">
        <x:f>"4fa7d55b-b750-41f9-bad9-5a23727f95f9"</x:f>
        <x:v>4fa7d55b-b750-41f9-bad9-5a23727f95f9</x:v>
      </x:c>
      <x:c r="B2688" s="23" t="str">
        <x:v>MATEUS DE OLIVEIRA SILVA</x:v>
      </x:c>
      <x:c r="C2688" s="23" t="str">
        <x:v>mateus de oliveira silva</x:v>
      </x:c>
      <x:c r="D2688" s="22" t="str">
        <x:f>"65.482.548/0001-60"</x:f>
        <x:v>65.482.548/0001-60</x:v>
      </x:c>
      <x:c r="E2688" s="22" t="str">
        <x:f>"65482548000160"</x:f>
        <x:v>65482548000160</x:v>
      </x:c>
      <x:c r="F2688" s="22" t="str">
        <x:f>"618.197.443-10"</x:f>
        <x:v>618.197.443-10</x:v>
      </x:c>
      <x:c r="G2688" s="22" t="str">
        <x:f>"61819744310"</x:f>
        <x:v>61819744310</x:v>
      </x:c>
      <x:c r="H2688" s="23" t="str">
        <x:v>mateusoliveira140425@icloud.com</x:v>
      </x:c>
      <x:c r="I2688" s="22" t="str">
        <x:f>"999920002746"</x:f>
        <x:v>999920002746</x:v>
      </x:c>
      <x:c r="J2688" s="23" t="str">
        <x:v>RENTAL</x:v>
      </x:c>
      <x:c r="K2688" s="23" t="str">
        <x:v>rental_company</x:v>
      </x:c>
      <x:c r="L2688" s="24" t="b">
        <x:v>1</x:v>
      </x:c>
      <x:c r="M2688" s="23" t="n">
        <x:v>1</x:v>
      </x:c>
      <x:c r="N2688" s="28" t="n">
        <x:v>46219.812988715275</x:v>
      </x:c>
      <x:c r="O2688" s="28" t="n">
        <x:v>46219.812988715275</x:v>
      </x:c>
      <x:c r="P2688" s="23" t="str">
        <x:v>GOIANIA</x:v>
      </x:c>
      <x:c r="Q2688" s="30" t="n">
        <x:v>35988</x:v>
      </x:c>
      <x:c r="R2688" s="22" t="str">
        <x:f>"522263720157"</x:f>
        <x:v>522263720157</x:v>
      </x:c>
      <x:c r="S2688" s="23" t="str">
        <x:v>masculino</x:v>
      </x:c>
      <x:c r="T2688" s="22" t="str"/>
      <x:c r="U2688" s="23" t="str">
        <x:v>MATEUS DE OLIVEIRA SILVA</x:v>
      </x:c>
      <x:c r="V2688" s="22" t="str">
        <x:f>"618.197.443-10"</x:f>
        <x:v>618.197.443-10</x:v>
      </x:c>
      <x:c r="W2688" s="22" t="str">
        <x:f>"61819744310"</x:f>
        <x:v>61819744310</x:v>
      </x:c>
      <x:c r="X2688" s="23" t="str">
        <x:v>mateusoliveira140425@icloud.com</x:v>
      </x:c>
      <x:c r="Y2688" s="22" t="str">
        <x:f>"999920002746"</x:f>
        <x:v>999920002746</x:v>
      </x:c>
      <x:c r="Z2688" s="30" t="n">
        <x:v>46451</x:v>
      </x:c>
    </x:row>
    <x:row r="2689" ht="18" customHeight="1">
      <x:c r="A2689" s="22" t="str">
        <x:f>"14b23203-1952-441a-a248-83a1ade9e901"</x:f>
        <x:v>14b23203-1952-441a-a248-83a1ade9e901</x:v>
      </x:c>
      <x:c r="B2689" s="23" t="str">
        <x:v>MATEUS DOS SANTOS PINTO</x:v>
      </x:c>
      <x:c r="C2689" s="23" t="str">
        <x:v>mateus dos santos pinto</x:v>
      </x:c>
      <x:c r="D2689" s="22" t="str">
        <x:f>"49.934.576/0001-15"</x:f>
        <x:v>49.934.576/0001-15</x:v>
      </x:c>
      <x:c r="E2689" s="22" t="str">
        <x:f>"49934576000115"</x:f>
        <x:v>49934576000115</x:v>
      </x:c>
      <x:c r="F2689" s="22" t="str">
        <x:f>"126.565.966-45"</x:f>
        <x:v>126.565.966-45</x:v>
      </x:c>
      <x:c r="G2689" s="22" t="str">
        <x:f>"12656596645"</x:f>
        <x:v>12656596645</x:v>
      </x:c>
      <x:c r="H2689" s="23" t="str">
        <x:v>mateusurandi@hotmail.com</x:v>
      </x:c>
      <x:c r="I2689" s="22" t="str">
        <x:f>"(34) 99145-5273"</x:f>
        <x:v>(34) 99145-5273</x:v>
      </x:c>
      <x:c r="J2689" s="23" t="str">
        <x:v>RENTAL</x:v>
      </x:c>
      <x:c r="K2689" s="23" t="str">
        <x:v>rental_company</x:v>
      </x:c>
      <x:c r="L2689" s="24" t="b">
        <x:v>1</x:v>
      </x:c>
      <x:c r="M2689" s="23" t="n">
        <x:v>1</x:v>
      </x:c>
      <x:c r="N2689" s="28" t="n">
        <x:v>46203.921824756944</x:v>
      </x:c>
      <x:c r="O2689" s="28" t="n">
        <x:v>46219.812988715275</x:v>
      </x:c>
      <x:c r="P2689" s="23" t="str">
        <x:v>UBERABA</x:v>
      </x:c>
      <x:c r="Q2689" s="30" t="n">
        <x:v>34900</x:v>
      </x:c>
      <x:c r="R2689" s="22" t="str">
        <x:f>"MG20472271"</x:f>
        <x:v>MG20472271</x:v>
      </x:c>
      <x:c r="S2689" s="23" t="str">
        <x:v>masculino</x:v>
      </x:c>
      <x:c r="T2689" s="22" t="str"/>
      <x:c r="U2689" s="23" t="str">
        <x:v>MATEUS DOS SANTOS PINTO</x:v>
      </x:c>
      <x:c r="V2689" s="22" t="str">
        <x:f>"126.565.966-45"</x:f>
        <x:v>126.565.966-45</x:v>
      </x:c>
      <x:c r="W2689" s="22" t="str">
        <x:f>"12656596645"</x:f>
        <x:v>12656596645</x:v>
      </x:c>
      <x:c r="X2689" s="23" t="str">
        <x:v>mateusurandi@hotmail.com</x:v>
      </x:c>
      <x:c r="Y2689" s="22" t="str">
        <x:f>"(34) 99145-5273"</x:f>
        <x:v>(34) 99145-5273</x:v>
      </x:c>
      <x:c r="Z2689" s="30" t="n">
        <x:v>46375</x:v>
      </x:c>
    </x:row>
    <x:row r="2690" ht="18" customHeight="1">
      <x:c r="A2690" s="22" t="str">
        <x:f>"7f376cf1-163d-48e9-a25c-398b3af4056c"</x:f>
        <x:v>7f376cf1-163d-48e9-a25c-398b3af4056c</x:v>
      </x:c>
      <x:c r="B2690" s="23" t="str">
        <x:v>MATEUS DOS SANTOS SILVA</x:v>
      </x:c>
      <x:c r="C2690" s="23" t="str">
        <x:v>mateus dos santos silva</x:v>
      </x:c>
      <x:c r="D2690" s="22" t="str">
        <x:f>"67.999.642/0001-17"</x:f>
        <x:v>67.999.642/0001-17</x:v>
      </x:c>
      <x:c r="E2690" s="22" t="str">
        <x:f>"67999642000117"</x:f>
        <x:v>67999642000117</x:v>
      </x:c>
      <x:c r="F2690" s="22" t="str">
        <x:f>"431.547.678-19"</x:f>
        <x:v>431.547.678-19</x:v>
      </x:c>
      <x:c r="G2690" s="22" t="str">
        <x:f>"43154767819"</x:f>
        <x:v>43154767819</x:v>
      </x:c>
      <x:c r="H2690" s="23" t="str">
        <x:v>mateusfortunatto4@gmail.com</x:v>
      </x:c>
      <x:c r="I2690" s="22" t="str">
        <x:f>"18 99814-2312"</x:f>
        <x:v>18 99814-2312</x:v>
      </x:c>
      <x:c r="J2690" s="23" t="str">
        <x:v>RENTAL</x:v>
      </x:c>
      <x:c r="K2690" s="23" t="str">
        <x:v>rental_company</x:v>
      </x:c>
      <x:c r="L2690" s="24" t="b">
        <x:v>1</x:v>
      </x:c>
      <x:c r="M2690" s="23" t="n">
        <x:v>1</x:v>
      </x:c>
      <x:c r="N2690" s="28" t="n">
        <x:v>46219.812988715275</x:v>
      </x:c>
      <x:c r="O2690" s="28" t="n">
        <x:v>46219.812988715275</x:v>
      </x:c>
      <x:c r="P2690" s="23" t="str">
        <x:v>PRESIDENTE PRUDENTE</x:v>
      </x:c>
      <x:c r="Q2690" s="30" t="n">
        <x:v>34568</x:v>
      </x:c>
      <x:c r="R2690" s="22" t="str">
        <x:f>"40637825"</x:f>
        <x:v>40637825</x:v>
      </x:c>
      <x:c r="S2690" s="23" t="str">
        <x:v>masculino</x:v>
      </x:c>
      <x:c r="T2690" s="22" t="str"/>
      <x:c r="U2690" s="23" t="str">
        <x:v>MATEUS DOS SANTOS SILVA</x:v>
      </x:c>
      <x:c r="V2690" s="22" t="str">
        <x:f>"431.547.678-19"</x:f>
        <x:v>431.547.678-19</x:v>
      </x:c>
      <x:c r="W2690" s="22" t="str">
        <x:f>"43154767819"</x:f>
        <x:v>43154767819</x:v>
      </x:c>
      <x:c r="X2690" s="23" t="str">
        <x:v>mateusfortunatto4@gmail.com</x:v>
      </x:c>
      <x:c r="Y2690" s="22" t="str">
        <x:f>"18 99814-2312"</x:f>
        <x:v>18 99814-2312</x:v>
      </x:c>
      <x:c r="Z2690" s="30" t="n">
        <x:v>46582</x:v>
      </x:c>
    </x:row>
    <x:row r="2691" ht="18" customHeight="1">
      <x:c r="A2691" s="22" t="str">
        <x:f>"3c5ec76d-ab44-4850-b879-150cecb65144"</x:f>
        <x:v>3c5ec76d-ab44-4850-b879-150cecb65144</x:v>
      </x:c>
      <x:c r="B2691" s="23" t="str">
        <x:v>MATEUS DUARTE LAMOGLIA</x:v>
      </x:c>
      <x:c r="C2691" s="23" t="str">
        <x:v>mateus duarte lamoglia</x:v>
      </x:c>
      <x:c r="D2691" s="22" t="str">
        <x:f>"63.744.736/0001-94"</x:f>
        <x:v>63.744.736/0001-94</x:v>
      </x:c>
      <x:c r="E2691" s="22" t="str">
        <x:f>"63744736000194"</x:f>
        <x:v>63744736000194</x:v>
      </x:c>
      <x:c r="F2691" s="22" t="str">
        <x:f>"027.252.686-05"</x:f>
        <x:v>027.252.686-05</x:v>
      </x:c>
      <x:c r="G2691" s="22" t="str">
        <x:f>"02725268605"</x:f>
        <x:v>02725268605</x:v>
      </x:c>
      <x:c r="H2691" s="23" t="str">
        <x:v>mateuslamoglia88@gmail.com</x:v>
      </x:c>
      <x:c r="I2691" s="22" t="str">
        <x:f>"3498766913"</x:f>
        <x:v>3498766913</x:v>
      </x:c>
      <x:c r="J2691" s="23" t="str">
        <x:v>RENTAL</x:v>
      </x:c>
      <x:c r="K2691" s="23" t="str">
        <x:v>rental_company</x:v>
      </x:c>
      <x:c r="L2691" s="24" t="b">
        <x:v>1</x:v>
      </x:c>
      <x:c r="M2691" s="23" t="n">
        <x:v>1</x:v>
      </x:c>
      <x:c r="N2691" s="28" t="n">
        <x:v>46219.812988715275</x:v>
      </x:c>
      <x:c r="O2691" s="28" t="n">
        <x:v>46219.812988715275</x:v>
      </x:c>
      <x:c r="P2691" s="23" t="str">
        <x:v>UBERABA</x:v>
      </x:c>
      <x:c r="Q2691" s="30" t="n">
        <x:v>27791</x:v>
      </x:c>
      <x:c r="R2691" s="22" t="str">
        <x:f>"8438265"</x:f>
        <x:v>8438265</x:v>
      </x:c>
      <x:c r="S2691" s="23" t="str">
        <x:v>masculino</x:v>
      </x:c>
      <x:c r="T2691" s="22" t="str"/>
      <x:c r="U2691" s="23" t="str">
        <x:v>MATEUS DUARTE LAMOGLIA</x:v>
      </x:c>
      <x:c r="V2691" s="22" t="str">
        <x:f>"027.252.686-05"</x:f>
        <x:v>027.252.686-05</x:v>
      </x:c>
      <x:c r="W2691" s="22" t="str">
        <x:f>"02725268605"</x:f>
        <x:v>02725268605</x:v>
      </x:c>
      <x:c r="X2691" s="23" t="str">
        <x:v>mateuslamoglia88@gmail.com</x:v>
      </x:c>
      <x:c r="Y2691" s="22" t="str">
        <x:f>"3498766913"</x:f>
        <x:v>3498766913</x:v>
      </x:c>
      <x:c r="Z2691" s="30" t="n">
        <x:v>46544</x:v>
      </x:c>
    </x:row>
    <x:row r="2692" ht="18" customHeight="1">
      <x:c r="A2692" s="22" t="str">
        <x:f>"d5d2b004-5b25-4350-b4b8-2284de12ef22"</x:f>
        <x:v>d5d2b004-5b25-4350-b4b8-2284de12ef22</x:v>
      </x:c>
      <x:c r="B2692" s="23" t="str">
        <x:v>MATEUS FELIPE REZENDE DA SILVA</x:v>
      </x:c>
      <x:c r="C2692" s="23" t="str">
        <x:v>mateus felipe rezende da silva</x:v>
      </x:c>
      <x:c r="D2692" s="22" t="str">
        <x:f>"52.664.355/0001-89"</x:f>
        <x:v>52.664.355/0001-89</x:v>
      </x:c>
      <x:c r="E2692" s="22" t="str">
        <x:f>"52664355000189"</x:f>
        <x:v>52664355000189</x:v>
      </x:c>
      <x:c r="F2692" s="22" t="str">
        <x:f>"101.346.056-16"</x:f>
        <x:v>101.346.056-16</x:v>
      </x:c>
      <x:c r="G2692" s="22" t="str">
        <x:f>"10134605616"</x:f>
        <x:v>10134605616</x:v>
      </x:c>
      <x:c r="H2692" s="23" t="str">
        <x:v>mateusfellipe@hotmail.com</x:v>
      </x:c>
      <x:c r="I2692" s="22" t="str">
        <x:f>"34991675931"</x:f>
        <x:v>34991675931</x:v>
      </x:c>
      <x:c r="J2692" s="23" t="str">
        <x:v>SPOT</x:v>
      </x:c>
      <x:c r="K2692" s="23" t="str">
        <x:v>favored_only</x:v>
      </x:c>
      <x:c r="L2692" s="24" t="b">
        <x:v>1</x:v>
      </x:c>
      <x:c r="M2692" s="23" t="n">
        <x:v>1</x:v>
      </x:c>
      <x:c r="N2692" s="28" t="n">
        <x:v>46205.60658608796</x:v>
      </x:c>
      <x:c r="O2692" s="28" t="n">
        <x:v>46219.812988715275</x:v>
      </x:c>
      <x:c r="P2692" s="23" t="str">
        <x:v>ARAXÁ</x:v>
      </x:c>
      <x:c r="Q2692" s="30" t="n">
        <x:v>33021</x:v>
      </x:c>
      <x:c r="R2692" s="22" t="str">
        <x:f>"22491809"</x:f>
        <x:v>22491809</x:v>
      </x:c>
      <x:c r="S2692" s="23" t="str">
        <x:v>masculino</x:v>
      </x:c>
      <x:c r="T2692" s="22" t="str">
        <x:f>"RMR1E90"</x:f>
        <x:v>RMR1E90</x:v>
      </x:c>
      <x:c r="U2692" s="23" t="str">
        <x:v>GIVAGO AUGUSTO REZENDE SILVA</x:v>
      </x:c>
      <x:c r="V2692" s="22" t="str">
        <x:f>"101.346.146-07"</x:f>
        <x:v>101.346.146-07</x:v>
      </x:c>
      <x:c r="W2692" s="22" t="str">
        <x:f>"10134614607"</x:f>
        <x:v>10134614607</x:v>
      </x:c>
      <x:c r="X2692" s="23" t="str">
        <x:v>givagoaugusto28@hotmail.com</x:v>
      </x:c>
      <x:c r="Y2692" s="22" t="str">
        <x:f>"34992472640"</x:f>
        <x:v>34992472640</x:v>
      </x:c>
      <x:c r="Z2692" s="30" t="n">
        <x:v>46366</x:v>
      </x:c>
    </x:row>
    <x:row r="2693" ht="18" customHeight="1">
      <x:c r="A2693" s="22" t="str">
        <x:f>"fde847aa-a614-42bc-ab7a-80456cf8ff43"</x:f>
        <x:v>fde847aa-a614-42bc-ab7a-80456cf8ff43</x:v>
      </x:c>
      <x:c r="B2693" s="23" t="str">
        <x:v>MATEUS FELIPE SOUSA ASANTOS</x:v>
      </x:c>
      <x:c r="C2693" s="23" t="str">
        <x:v>mateus felipe sousa asantos</x:v>
      </x:c>
      <x:c r="D2693" s="22" t="str">
        <x:f>"55.664.660/0001-69"</x:f>
        <x:v>55.664.660/0001-69</x:v>
      </x:c>
      <x:c r="E2693" s="22" t="str">
        <x:f>"55664660000169"</x:f>
        <x:v>55664660000169</x:v>
      </x:c>
      <x:c r="F2693" s="22" t="str">
        <x:f>"706.153.281-56"</x:f>
        <x:v>706.153.281-56</x:v>
      </x:c>
      <x:c r="G2693" s="22" t="str">
        <x:f>"70615328156"</x:f>
        <x:v>70615328156</x:v>
      </x:c>
      <x:c r="H2693" s="23" t="str">
        <x:v>teagalife@gmail.com</x:v>
      </x:c>
      <x:c r="I2693" s="22" t="str">
        <x:f>"62983398397"</x:f>
        <x:v>62983398397</x:v>
      </x:c>
      <x:c r="J2693" s="23" t="str">
        <x:v>RENTAL</x:v>
      </x:c>
      <x:c r="K2693" s="23" t="str">
        <x:v>rental_company</x:v>
      </x:c>
      <x:c r="L2693" s="24" t="b">
        <x:v>1</x:v>
      </x:c>
      <x:c r="M2693" s="23" t="n">
        <x:v>1</x:v>
      </x:c>
      <x:c r="N2693" s="28" t="n">
        <x:v>46219.812988715275</x:v>
      </x:c>
      <x:c r="O2693" s="28" t="n">
        <x:v>46219.812988715275</x:v>
      </x:c>
      <x:c r="P2693" s="23" t="str">
        <x:v>GOIANIA</x:v>
      </x:c>
      <x:c r="Q2693" s="30" t="n">
        <x:v>38577</x:v>
      </x:c>
      <x:c r="R2693" s="22" t="str">
        <x:f>"6553930"</x:f>
        <x:v>6553930</x:v>
      </x:c>
      <x:c r="S2693" s="23" t="str">
        <x:v>masculino</x:v>
      </x:c>
      <x:c r="T2693" s="22" t="str"/>
      <x:c r="U2693" s="23" t="str">
        <x:v>MATEUS FELIPE SOUSA ASANTOS</x:v>
      </x:c>
      <x:c r="V2693" s="22" t="str">
        <x:f>"706.153.281-56"</x:f>
        <x:v>706.153.281-56</x:v>
      </x:c>
      <x:c r="W2693" s="22" t="str">
        <x:f>"70615328156"</x:f>
        <x:v>70615328156</x:v>
      </x:c>
      <x:c r="X2693" s="23" t="str">
        <x:v>teagalife@gmail.com</x:v>
      </x:c>
      <x:c r="Y2693" s="22" t="str">
        <x:f>"62983398397"</x:f>
        <x:v>62983398397</x:v>
      </x:c>
      <x:c r="Z2693" s="30" t="n">
        <x:v>46561</x:v>
      </x:c>
    </x:row>
    <x:row r="2694" ht="18" customHeight="1">
      <x:c r="A2694" s="22" t="str">
        <x:f>"c6a2c57c-7f8f-40e1-901e-0ecbc448de17"</x:f>
        <x:v>c6a2c57c-7f8f-40e1-901e-0ecbc448de17</x:v>
      </x:c>
      <x:c r="B2694" s="23" t="str">
        <x:v>MATEUS GOMES AGUILAR</x:v>
      </x:c>
      <x:c r="C2694" s="23" t="str">
        <x:v>mateus gomes aguilar</x:v>
      </x:c>
      <x:c r="D2694" s="22" t="str">
        <x:f>"60.677.013/0001-21"</x:f>
        <x:v>60.677.013/0001-21</x:v>
      </x:c>
      <x:c r="E2694" s="22" t="str">
        <x:f>"60677013000121"</x:f>
        <x:v>60677013000121</x:v>
      </x:c>
      <x:c r="F2694" s="22" t="str">
        <x:f>"131.511.526-35"</x:f>
        <x:v>131.511.526-35</x:v>
      </x:c>
      <x:c r="G2694" s="22" t="str">
        <x:f>"13151152635"</x:f>
        <x:v>13151152635</x:v>
      </x:c>
      <x:c r="H2694" s="23" t="str">
        <x:v>mateusgomesaguilar@gmail.com</x:v>
      </x:c>
      <x:c r="I2694" s="22" t="str">
        <x:f>"35992751000"</x:f>
        <x:v>35992751000</x:v>
      </x:c>
      <x:c r="J2694" s="23" t="str">
        <x:v>RENTAL</x:v>
      </x:c>
      <x:c r="K2694" s="23" t="str">
        <x:v>rental_company</x:v>
      </x:c>
      <x:c r="L2694" s="24" t="b">
        <x:v>1</x:v>
      </x:c>
      <x:c r="M2694" s="23" t="n">
        <x:v>1</x:v>
      </x:c>
      <x:c r="N2694" s="28" t="n">
        <x:v>46203.921858726855</x:v>
      </x:c>
      <x:c r="O2694" s="28" t="n">
        <x:v>46219.812988715275</x:v>
      </x:c>
      <x:c r="P2694" s="23" t="str">
        <x:v>POUSO ALEGRE</x:v>
      </x:c>
      <x:c r="Q2694" s="30" t="n">
        <x:v>36769</x:v>
      </x:c>
      <x:c r="R2694" s="22" t="str">
        <x:f>"19681193"</x:f>
        <x:v>19681193</x:v>
      </x:c>
      <x:c r="S2694" s="23" t="str">
        <x:v>masculino</x:v>
      </x:c>
      <x:c r="T2694" s="22" t="str"/>
      <x:c r="U2694" s="23" t="str">
        <x:v>MATEUS GOMES AGUILAR</x:v>
      </x:c>
      <x:c r="V2694" s="22" t="str">
        <x:f>"131.511.526-35"</x:f>
        <x:v>131.511.526-35</x:v>
      </x:c>
      <x:c r="W2694" s="22" t="str">
        <x:f>"13151152635"</x:f>
        <x:v>13151152635</x:v>
      </x:c>
      <x:c r="X2694" s="23" t="str">
        <x:v>mateusgomesaguilar@gmail.com</x:v>
      </x:c>
      <x:c r="Y2694" s="22" t="str">
        <x:f>"35992751000"</x:f>
        <x:v>35992751000</x:v>
      </x:c>
      <x:c r="Z2694" s="30" t="n">
        <x:v>46263</x:v>
      </x:c>
    </x:row>
    <x:row r="2695" ht="18" customHeight="1">
      <x:c r="A2695" s="22" t="str">
        <x:f>"eed8cb36-3f67-4fbb-91a5-5216f90d4351"</x:f>
        <x:v>eed8cb36-3f67-4fbb-91a5-5216f90d4351</x:v>
      </x:c>
      <x:c r="B2695" s="23" t="str">
        <x:v>MATEUS JOSE DE SOUZA</x:v>
      </x:c>
      <x:c r="C2695" s="23" t="str">
        <x:v>mateus jose de souza</x:v>
      </x:c>
      <x:c r="D2695" s="22" t="str">
        <x:f>"51.542.760/0001-61"</x:f>
        <x:v>51.542.760/0001-61</x:v>
      </x:c>
      <x:c r="E2695" s="22" t="str">
        <x:f>"51542760000161"</x:f>
        <x:v>51542760000161</x:v>
      </x:c>
      <x:c r="F2695" s="22" t="str">
        <x:f>"459.736.678-47"</x:f>
        <x:v>459.736.678-47</x:v>
      </x:c>
      <x:c r="G2695" s="22" t="str">
        <x:f>"45973667847"</x:f>
        <x:v>45973667847</x:v>
      </x:c>
      <x:c r="H2695" s="23" t="str">
        <x:v>mateusjosedesouza1997@gmail.com</x:v>
      </x:c>
      <x:c r="I2695" s="22" t="str">
        <x:f>"16988509998"</x:f>
        <x:v>16988509998</x:v>
      </x:c>
      <x:c r="J2695" s="23" t="str">
        <x:v>RENTAL</x:v>
      </x:c>
      <x:c r="K2695" s="23" t="str">
        <x:v>rental_company</x:v>
      </x:c>
      <x:c r="L2695" s="24" t="b">
        <x:v>1</x:v>
      </x:c>
      <x:c r="M2695" s="23" t="n">
        <x:v>1</x:v>
      </x:c>
      <x:c r="N2695" s="28" t="n">
        <x:v>46219.812988715275</x:v>
      </x:c>
      <x:c r="O2695" s="28" t="n">
        <x:v>46219.812988715275</x:v>
      </x:c>
      <x:c r="P2695" s="23" t="str">
        <x:v>RIBEIRAO PRETO</x:v>
      </x:c>
      <x:c r="Q2695" s="30" t="n">
        <x:v>35570</x:v>
      </x:c>
      <x:c r="R2695" s="22" t="str">
        <x:f>"42978988"</x:f>
        <x:v>42978988</x:v>
      </x:c>
      <x:c r="S2695" s="23" t="str">
        <x:v>masculino</x:v>
      </x:c>
      <x:c r="T2695" s="22" t="str"/>
      <x:c r="U2695" s="23" t="str">
        <x:v>MATEUS JOSE DE SOUZA</x:v>
      </x:c>
      <x:c r="V2695" s="22" t="str">
        <x:f>"459.736.678-47"</x:f>
        <x:v>459.736.678-47</x:v>
      </x:c>
      <x:c r="W2695" s="22" t="str">
        <x:f>"45973667847"</x:f>
        <x:v>45973667847</x:v>
      </x:c>
      <x:c r="X2695" s="23" t="str">
        <x:v>mateusjosedesouza1997@gmail.com</x:v>
      </x:c>
      <x:c r="Y2695" s="22" t="str">
        <x:f>"16988509998"</x:f>
        <x:v>16988509998</x:v>
      </x:c>
      <x:c r="Z2695" s="30" t="n">
        <x:v>46577</x:v>
      </x:c>
    </x:row>
    <x:row r="2696" ht="18" customHeight="1">
      <x:c r="A2696" s="22" t="str">
        <x:f>"13f1bdb6-8af2-4ff1-ba16-34af05ce3f84"</x:f>
        <x:v>13f1bdb6-8af2-4ff1-ba16-34af05ce3f84</x:v>
      </x:c>
      <x:c r="B2696" s="23" t="str">
        <x:v>MATEUS MOREIRA DE PAULA</x:v>
      </x:c>
      <x:c r="C2696" s="23" t="str">
        <x:v>mateus moreira de paula</x:v>
      </x:c>
      <x:c r="D2696" s="22" t="str">
        <x:f>"67.870.559/0001-43"</x:f>
        <x:v>67.870.559/0001-43</x:v>
      </x:c>
      <x:c r="E2696" s="22" t="str">
        <x:f>"67870559000143"</x:f>
        <x:v>67870559000143</x:v>
      </x:c>
      <x:c r="F2696" s="22" t="str">
        <x:f>"022.550.976-80"</x:f>
        <x:v>022.550.976-80</x:v>
      </x:c>
      <x:c r="G2696" s="22" t="str">
        <x:f>"02255097680"</x:f>
        <x:v>02255097680</x:v>
      </x:c>
      <x:c r="H2696" s="23" t="str">
        <x:v>Mateus.moreira25paula@gmail.com</x:v>
      </x:c>
      <x:c r="I2696" s="22" t="str">
        <x:f>"31998384241"</x:f>
        <x:v>31998384241</x:v>
      </x:c>
      <x:c r="J2696" s="23" t="str">
        <x:v>SPOT</x:v>
      </x:c>
      <x:c r="K2696" s="23" t="str">
        <x:v>favored_only</x:v>
      </x:c>
      <x:c r="L2696" s="24" t="b">
        <x:v>1</x:v>
      </x:c>
      <x:c r="M2696" s="23" t="n">
        <x:v>1</x:v>
      </x:c>
      <x:c r="N2696" s="28" t="n">
        <x:v>46219.812988715275</x:v>
      </x:c>
      <x:c r="O2696" s="28" t="n">
        <x:v>46219.812988715275</x:v>
      </x:c>
      <x:c r="P2696" s="23" t="str">
        <x:v>IPATINGA</x:v>
      </x:c>
      <x:c r="Q2696" s="30" t="n">
        <x:v>37050</x:v>
      </x:c>
      <x:c r="R2696" s="22" t="str">
        <x:f>"MG 20674832 SSP MG"</x:f>
        <x:v>MG 20674832 SSP MG</x:v>
      </x:c>
      <x:c r="S2696" s="23" t="str">
        <x:v>masculino</x:v>
      </x:c>
      <x:c r="T2696" s="22" t="str">
        <x:f>"FGK3E21"</x:f>
        <x:v>FGK3E21</x:v>
      </x:c>
      <x:c r="U2696" s="23" t="str">
        <x:v>MATEUS MOREIRA DE PAULA</x:v>
      </x:c>
      <x:c r="V2696" s="22" t="str">
        <x:f>"022.550.976-80"</x:f>
        <x:v>022.550.976-80</x:v>
      </x:c>
      <x:c r="W2696" s="22" t="str">
        <x:f>"02255097680"</x:f>
        <x:v>02255097680</x:v>
      </x:c>
      <x:c r="X2696" s="23" t="str">
        <x:v>Mateus.moreira25paula@gmail.com</x:v>
      </x:c>
      <x:c r="Y2696" s="22" t="str">
        <x:f>"31998384241"</x:f>
        <x:v>31998384241</x:v>
      </x:c>
      <x:c r="Z2696" s="30" t="n">
        <x:v>46575</x:v>
      </x:c>
    </x:row>
    <x:row r="2697" ht="18" customHeight="1">
      <x:c r="A2697" s="22" t="str">
        <x:f>"6ab1ea56-cb83-4417-8b43-d0147cdef88d"</x:f>
        <x:v>6ab1ea56-cb83-4417-8b43-d0147cdef88d</x:v>
      </x:c>
      <x:c r="B2697" s="23" t="str">
        <x:v>MATEUS PEREIRA DOS SANTOS</x:v>
      </x:c>
      <x:c r="C2697" s="23" t="str">
        <x:v>mateus pereira dos santos</x:v>
      </x:c>
      <x:c r="D2697" s="22" t="str">
        <x:f>"61.334.037/0001-40"</x:f>
        <x:v>61.334.037/0001-40</x:v>
      </x:c>
      <x:c r="E2697" s="22" t="str">
        <x:f>"61334037000140"</x:f>
        <x:v>61334037000140</x:v>
      </x:c>
      <x:c r="F2697" s="22" t="str">
        <x:f>"127.105.836-74"</x:f>
        <x:v>127.105.836-74</x:v>
      </x:c>
      <x:c r="G2697" s="22" t="str">
        <x:f>"12710583674"</x:f>
        <x:v>12710583674</x:v>
      </x:c>
      <x:c r="H2697" s="23" t="str">
        <x:v>Mateusag27@gmail.com</x:v>
      </x:c>
      <x:c r="I2697" s="22" t="str">
        <x:f>"99485-4242"</x:f>
        <x:v>99485-4242</x:v>
      </x:c>
      <x:c r="J2697" s="23" t="str">
        <x:v>SPOT</x:v>
      </x:c>
      <x:c r="K2697" s="23" t="str">
        <x:v>favored_only</x:v>
      </x:c>
      <x:c r="L2697" s="24" t="b">
        <x:v>1</x:v>
      </x:c>
      <x:c r="M2697" s="23" t="n">
        <x:v>1</x:v>
      </x:c>
      <x:c r="N2697" s="28" t="n">
        <x:v>46219.812988715275</x:v>
      </x:c>
      <x:c r="O2697" s="28" t="n">
        <x:v>46219.812988715275</x:v>
      </x:c>
      <x:c r="P2697" s="23" t="str">
        <x:v>VESPASIANO</x:v>
      </x:c>
      <x:c r="Q2697" s="30" t="n">
        <x:v>34558</x:v>
      </x:c>
      <x:c r="R2697" s="22" t="str">
        <x:f>"MG 17417.886"</x:f>
        <x:v>MG 17417.886</x:v>
      </x:c>
      <x:c r="S2697" s="23" t="str">
        <x:v>masculino</x:v>
      </x:c>
      <x:c r="T2697" s="22" t="str">
        <x:f>"FMH8A86"</x:f>
        <x:v>FMH8A86</x:v>
      </x:c>
      <x:c r="U2697" s="23" t="str">
        <x:v>MATEUS PEREIRA DOS SANTOS</x:v>
      </x:c>
      <x:c r="V2697" s="22" t="str">
        <x:f>"127.105.836-74"</x:f>
        <x:v>127.105.836-74</x:v>
      </x:c>
      <x:c r="W2697" s="22" t="str">
        <x:f>"12710583674"</x:f>
        <x:v>12710583674</x:v>
      </x:c>
      <x:c r="X2697" s="23" t="str">
        <x:v>Mateusag27@gmail.com</x:v>
      </x:c>
      <x:c r="Y2697" s="22" t="str">
        <x:f>"(31)99485-4242"</x:f>
        <x:v>(31)99485-4242</x:v>
      </x:c>
      <x:c r="Z2697" s="30" t="n">
        <x:v>46421</x:v>
      </x:c>
    </x:row>
    <x:row r="2698" ht="18" customHeight="1">
      <x:c r="A2698" s="22" t="str">
        <x:f>"03c09e42-9eed-4cf8-a60d-04a01741c047"</x:f>
        <x:v>03c09e42-9eed-4cf8-a60d-04a01741c047</x:v>
      </x:c>
      <x:c r="B2698" s="23" t="str">
        <x:v>MATEUS RIAN VIEIRA SANTOS</x:v>
      </x:c>
      <x:c r="C2698" s="23" t="str">
        <x:v>mateus rian vieira santos</x:v>
      </x:c>
      <x:c r="D2698" s="22" t="str">
        <x:f>"61.842.348/0001-10"</x:f>
        <x:v>61.842.348/0001-10</x:v>
      </x:c>
      <x:c r="E2698" s="22" t="str">
        <x:f>"61842348000110"</x:f>
        <x:v>61842348000110</x:v>
      </x:c>
      <x:c r="F2698" s="22" t="str">
        <x:f>"496.208.118-79"</x:f>
        <x:v>496.208.118-79</x:v>
      </x:c>
      <x:c r="G2698" s="22" t="str">
        <x:f>"49620811879"</x:f>
        <x:v>49620811879</x:v>
      </x:c>
      <x:c r="H2698" s="23" t="str">
        <x:v>mateusrian040@gmail.com</x:v>
      </x:c>
      <x:c r="I2698" s="22" t="str">
        <x:f>"11940457478"</x:f>
        <x:v>11940457478</x:v>
      </x:c>
      <x:c r="J2698" s="23" t="str">
        <x:v>RENTAL</x:v>
      </x:c>
      <x:c r="K2698" s="23" t="str">
        <x:v>rental_company</x:v>
      </x:c>
      <x:c r="L2698" s="24" t="b">
        <x:v>1</x:v>
      </x:c>
      <x:c r="M2698" s="23" t="n">
        <x:v>1</x:v>
      </x:c>
      <x:c r="N2698" s="28" t="n">
        <x:v>46203.92186888889</x:v>
      </x:c>
      <x:c r="O2698" s="28" t="n">
        <x:v>46219.812988715275</x:v>
      </x:c>
      <x:c r="P2698" s="23" t="str">
        <x:v>BARUERI</x:v>
      </x:c>
      <x:c r="Q2698" s="30" t="n">
        <x:v>36838</x:v>
      </x:c>
      <x:c r="R2698" s="22" t="str">
        <x:f>"379876255"</x:f>
        <x:v>379876255</x:v>
      </x:c>
      <x:c r="S2698" s="23" t="str">
        <x:v>masculino</x:v>
      </x:c>
      <x:c r="T2698" s="22" t="str"/>
      <x:c r="U2698" s="23" t="str">
        <x:v>MATEUS RIAN VIEIRA SANTOS</x:v>
      </x:c>
      <x:c r="V2698" s="22" t="str">
        <x:f>"496.208.118-79"</x:f>
        <x:v>496.208.118-79</x:v>
      </x:c>
      <x:c r="W2698" s="22" t="str">
        <x:f>"49620811879"</x:f>
        <x:v>49620811879</x:v>
      </x:c>
      <x:c r="X2698" s="23" t="str">
        <x:v>mateusrian040@gmail.com</x:v>
      </x:c>
      <x:c r="Y2698" s="22" t="str">
        <x:f>"11940457478"</x:f>
        <x:v>11940457478</x:v>
      </x:c>
      <x:c r="Z2698" s="30" t="n">
        <x:v>46295</x:v>
      </x:c>
    </x:row>
    <x:row r="2699" ht="18" customHeight="1">
      <x:c r="A2699" s="22" t="str">
        <x:f>"a14cb44f-adf4-4e70-9a18-25778162b632"</x:f>
        <x:v>a14cb44f-adf4-4e70-9a18-25778162b632</x:v>
      </x:c>
      <x:c r="B2699" s="23" t="str">
        <x:v>MATEUS SAGIO CORREA</x:v>
      </x:c>
      <x:c r="C2699" s="23" t="str">
        <x:v>mateus sagio correa</x:v>
      </x:c>
      <x:c r="D2699" s="22" t="str">
        <x:f>"62.253.999/0001-38"</x:f>
        <x:v>62.253.999/0001-38</x:v>
      </x:c>
      <x:c r="E2699" s="22" t="str">
        <x:f>"62253999000138"</x:f>
        <x:v>62253999000138</x:v>
      </x:c>
      <x:c r="F2699" s="22" t="str">
        <x:f>"146.671.716-50"</x:f>
        <x:v>146.671.716-50</x:v>
      </x:c>
      <x:c r="G2699" s="22" t="str">
        <x:f>"14667171650"</x:f>
        <x:v>14667171650</x:v>
      </x:c>
      <x:c r="H2699" s="23" t="str">
        <x:v>sagiocorreamateus@gmail.com</x:v>
      </x:c>
      <x:c r="I2699" s="22" t="str">
        <x:f>"35 9934-9575"</x:f>
        <x:v>35 9934-9575</x:v>
      </x:c>
      <x:c r="J2699" s="23" t="str">
        <x:v>SPOT</x:v>
      </x:c>
      <x:c r="K2699" s="23" t="str">
        <x:v>favored_only</x:v>
      </x:c>
      <x:c r="L2699" s="24" t="b">
        <x:v>1</x:v>
      </x:c>
      <x:c r="M2699" s="23" t="n">
        <x:v>2</x:v>
      </x:c>
      <x:c r="N2699" s="28" t="n">
        <x:v>46205.60445288195</x:v>
      </x:c>
      <x:c r="O2699" s="28" t="n">
        <x:v>46219.812988715275</x:v>
      </x:c>
      <x:c r="P2699" s="23" t="str">
        <x:v>GUAXUPE</x:v>
      </x:c>
      <x:c r="Q2699" s="30" t="n">
        <x:v>36581</x:v>
      </x:c>
      <x:c r="R2699" s="22" t="str">
        <x:f>"212114893"</x:f>
        <x:v>212114893</x:v>
      </x:c>
      <x:c r="S2699" s="23" t="str">
        <x:v>masculino</x:v>
      </x:c>
      <x:c r="T2699" s="22" t="str">
        <x:f>"ONO9H89"</x:f>
        <x:v>ONO9H89</x:v>
      </x:c>
      <x:c r="U2699" s="23" t="str">
        <x:v>DEBORA DE ALMEIDA LEANDRO</x:v>
      </x:c>
      <x:c r="V2699" s="22" t="str">
        <x:f>"138.751.776-73"</x:f>
        <x:v>138.751.776-73</x:v>
      </x:c>
      <x:c r="W2699" s="22" t="str">
        <x:f>"13875177673"</x:f>
        <x:v>13875177673</x:v>
      </x:c>
      <x:c r="X2699" s="23" t="str">
        <x:v>deboraaleonardo74@yahoo.com</x:v>
      </x:c>
      <x:c r="Y2699" s="22" t="str">
        <x:f>"35 99133-9950"</x:f>
        <x:v>35 99133-9950</x:v>
      </x:c>
      <x:c r="Z2699" s="30" t="n">
        <x:v>46378</x:v>
      </x:c>
    </x:row>
    <x:row r="2700" ht="18" customHeight="1">
      <x:c r="A2700" s="22" t="str">
        <x:f>"500d9c92-dc77-47cb-a654-1a5188429470"</x:f>
        <x:v>500d9c92-dc77-47cb-a654-1a5188429470</x:v>
      </x:c>
      <x:c r="B2700" s="23" t="str">
        <x:v>MATEUS VIEIRA SOUSA</x:v>
      </x:c>
      <x:c r="C2700" s="23" t="str">
        <x:v>mateus vieira sousa</x:v>
      </x:c>
      <x:c r="D2700" s="22" t="str">
        <x:f>"67.228.063/0001-70"</x:f>
        <x:v>67.228.063/0001-70</x:v>
      </x:c>
      <x:c r="E2700" s="22" t="str">
        <x:f>"67228063000170"</x:f>
        <x:v>67228063000170</x:v>
      </x:c>
      <x:c r="F2700" s="22" t="str">
        <x:f>"454.314.808-80"</x:f>
        <x:v>454.314.808-80</x:v>
      </x:c>
      <x:c r="G2700" s="22" t="str">
        <x:f>"45431480880"</x:f>
        <x:v>45431480880</x:v>
      </x:c>
      <x:c r="H2700" s="23" t="str">
        <x:v>theussousa1515@gmail.com</x:v>
      </x:c>
      <x:c r="I2700" s="22" t="str">
        <x:f>"11 95224-4371"</x:f>
        <x:v>11 95224-4371</x:v>
      </x:c>
      <x:c r="J2700" s="23" t="str">
        <x:v>SPOT</x:v>
      </x:c>
      <x:c r="K2700" s="23" t="str">
        <x:v>favored_only</x:v>
      </x:c>
      <x:c r="L2700" s="24" t="b">
        <x:v>1</x:v>
      </x:c>
      <x:c r="M2700" s="23" t="n">
        <x:v>1</x:v>
      </x:c>
      <x:c r="N2700" s="28" t="n">
        <x:v>46219.812988715275</x:v>
      </x:c>
      <x:c r="O2700" s="28" t="n">
        <x:v>46219.812988715275</x:v>
      </x:c>
      <x:c r="P2700" s="23" t="str">
        <x:v>SÃO JOSE DO RIO PRETO</x:v>
      </x:c>
      <x:c r="Q2700" s="30" t="n">
        <x:v>35275</x:v>
      </x:c>
      <x:c r="R2700" s="22" t="str">
        <x:f>"496541493"</x:f>
        <x:v>496541493</x:v>
      </x:c>
      <x:c r="S2700" s="23" t="str">
        <x:v>masculino</x:v>
      </x:c>
      <x:c r="T2700" s="22" t="str">
        <x:f>"HHB7H17"</x:f>
        <x:v>HHB7H17</x:v>
      </x:c>
      <x:c r="U2700" s="23" t="str">
        <x:v>JADER JARDIM COSTA</x:v>
      </x:c>
      <x:c r="V2700" s="22" t="str">
        <x:f>"067.663.795-70"</x:f>
        <x:v>067.663.795-70</x:v>
      </x:c>
      <x:c r="W2700" s="22" t="str">
        <x:f>"06766379570"</x:f>
        <x:v>06766379570</x:v>
      </x:c>
      <x:c r="X2700" s="23" t="str">
        <x:v>jaderjardim2015@outlook.com</x:v>
      </x:c>
      <x:c r="Y2700" s="22" t="str">
        <x:f>"11 95224-4371"</x:f>
        <x:v>11 95224-4371</x:v>
      </x:c>
      <x:c r="Z2700" s="30" t="n">
        <x:v>46563</x:v>
      </x:c>
    </x:row>
    <x:row r="2701" ht="18" customHeight="1">
      <x:c r="A2701" s="22" t="str">
        <x:f>"31c68309-8e8e-43b6-8961-bf599365207b"</x:f>
        <x:v>31c68309-8e8e-43b6-8961-bf599365207b</x:v>
      </x:c>
      <x:c r="B2701" s="23" t="str">
        <x:v>Matheus Aguiar Piler</x:v>
      </x:c>
      <x:c r="C2701" s="23" t="str">
        <x:v>matheus aguiar piler</x:v>
      </x:c>
      <x:c r="D2701" s="22" t="str">
        <x:f>"43621104000126"</x:f>
        <x:v>43621104000126</x:v>
      </x:c>
      <x:c r="E2701" s="22" t="str">
        <x:f>"43621104000126"</x:f>
        <x:v>43621104000126</x:v>
      </x:c>
      <x:c r="F2701" s="22" t="str">
        <x:f>"126.633.896.92"</x:f>
        <x:v>126.633.896.92</x:v>
      </x:c>
      <x:c r="G2701" s="22" t="str">
        <x:f>"12663389692"</x:f>
        <x:v>12663389692</x:v>
      </x:c>
      <x:c r="H2701" s="23" t="str">
        <x:v>matheus_aguiar01@hotmail.com</x:v>
      </x:c>
      <x:c r="I2701" s="22" t="str">
        <x:f>"31983109201"</x:f>
        <x:v>31983109201</x:v>
      </x:c>
      <x:c r="J2701" s="23" t="str">
        <x:v>SPOT</x:v>
      </x:c>
      <x:c r="K2701" s="23" t="str">
        <x:v>favored_only</x:v>
      </x:c>
      <x:c r="L2701" s="24" t="b">
        <x:v>1</x:v>
      </x:c>
      <x:c r="M2701" s="23" t="n">
        <x:v>2</x:v>
      </x:c>
      <x:c r="N2701" s="28" t="n">
        <x:v>46203.92186888889</x:v>
      </x:c>
      <x:c r="O2701" s="28" t="n">
        <x:v>46203.92186888889</x:v>
      </x:c>
      <x:c r="P2701" s="23" t="str"/>
      <x:c r="Q2701" s="30" t="str"/>
      <x:c r="R2701" s="22" t="str"/>
      <x:c r="S2701" s="23" t="str"/>
      <x:c r="T2701" s="22" t="str"/>
      <x:c r="U2701" s="23" t="str">
        <x:v>Matheus Aguiar Piler</x:v>
      </x:c>
      <x:c r="V2701" s="22" t="str">
        <x:f>"12663389692"</x:f>
        <x:v>12663389692</x:v>
      </x:c>
      <x:c r="W2701" s="22" t="str">
        <x:f>"12663389692"</x:f>
        <x:v>12663389692</x:v>
      </x:c>
      <x:c r="X2701" s="23" t="str">
        <x:v>matheus_aguiar01@hotmail.com</x:v>
      </x:c>
      <x:c r="Y2701" s="22" t="str">
        <x:f>"31"</x:f>
        <x:v>31</x:v>
      </x:c>
      <x:c r="Z2701" s="30" t="str"/>
    </x:row>
    <x:row r="2702" ht="18" customHeight="1">
      <x:c r="A2702" s="22" t="str">
        <x:f>"2147b8d2-4e82-465d-a550-98e22096dcfb"</x:f>
        <x:v>2147b8d2-4e82-465d-a550-98e22096dcfb</x:v>
      </x:c>
      <x:c r="B2702" s="23" t="str">
        <x:v>MATHEUS ALVES CAVALHEIRO</x:v>
      </x:c>
      <x:c r="C2702" s="23" t="str">
        <x:v>matheus alves cavalheiro</x:v>
      </x:c>
      <x:c r="D2702" s="22" t="str">
        <x:f>"49.665.527/0001-24"</x:f>
        <x:v>49.665.527/0001-24</x:v>
      </x:c>
      <x:c r="E2702" s="22" t="str">
        <x:f>"49665527000124"</x:f>
        <x:v>49665527000124</x:v>
      </x:c>
      <x:c r="F2702" s="22" t="str">
        <x:f>"534.680.548-66"</x:f>
        <x:v>534.680.548-66</x:v>
      </x:c>
      <x:c r="G2702" s="22" t="str">
        <x:f>"53468054866"</x:f>
        <x:v>53468054866</x:v>
      </x:c>
      <x:c r="H2702" s="23" t="str">
        <x:v>matheusac.empreendedor.net@gmail.com</x:v>
      </x:c>
      <x:c r="I2702" s="22" t="str">
        <x:f>"11 94749-2482"</x:f>
        <x:v>11 94749-2482</x:v>
      </x:c>
      <x:c r="J2702" s="23" t="str">
        <x:v>RENTAL</x:v>
      </x:c>
      <x:c r="K2702" s="23" t="str">
        <x:v>rental_company</x:v>
      </x:c>
      <x:c r="L2702" s="24" t="b">
        <x:v>1</x:v>
      </x:c>
      <x:c r="M2702" s="23" t="n">
        <x:v>1</x:v>
      </x:c>
      <x:c r="N2702" s="28" t="n">
        <x:v>46219.812988715275</x:v>
      </x:c>
      <x:c r="O2702" s="28" t="n">
        <x:v>46219.812988715275</x:v>
      </x:c>
      <x:c r="P2702" s="23" t="str">
        <x:v>BARUERI</x:v>
      </x:c>
      <x:c r="Q2702" s="30" t="n">
        <x:v>37459</x:v>
      </x:c>
      <x:c r="R2702" s="22" t="str">
        <x:f>"578092153"</x:f>
        <x:v>578092153</x:v>
      </x:c>
      <x:c r="S2702" s="23" t="str">
        <x:v>masculino</x:v>
      </x:c>
      <x:c r="T2702" s="22" t="str"/>
      <x:c r="U2702" s="23" t="str">
        <x:v>MATHEUS ALVES CAVALHEIRO</x:v>
      </x:c>
      <x:c r="V2702" s="22" t="str">
        <x:f>"534.680.548-66"</x:f>
        <x:v>534.680.548-66</x:v>
      </x:c>
      <x:c r="W2702" s="22" t="str">
        <x:f>"53468054866"</x:f>
        <x:v>53468054866</x:v>
      </x:c>
      <x:c r="X2702" s="23" t="str">
        <x:v>matheusac.empreendedor.net@gmail.com</x:v>
      </x:c>
      <x:c r="Y2702" s="22" t="str">
        <x:f>"11 94749-2482"</x:f>
        <x:v>11 94749-2482</x:v>
      </x:c>
      <x:c r="Z2702" s="30" t="n">
        <x:v>46311</x:v>
      </x:c>
    </x:row>
    <x:row r="2703" ht="18" customHeight="1">
      <x:c r="A2703" s="22" t="str">
        <x:f>"9683e15e-60f5-4726-abd9-ba8610c4d4ae"</x:f>
        <x:v>9683e15e-60f5-4726-abd9-ba8610c4d4ae</x:v>
      </x:c>
      <x:c r="B2703" s="23" t="str">
        <x:v>MATHEUS AMARAL SOUZA</x:v>
      </x:c>
      <x:c r="C2703" s="23" t="str">
        <x:v>matheus amaral souza</x:v>
      </x:c>
      <x:c r="D2703" s="22" t="str">
        <x:f>"61.677.341/0001-90"</x:f>
        <x:v>61.677.341/0001-90</x:v>
      </x:c>
      <x:c r="E2703" s="22" t="str">
        <x:f>"61677341000190"</x:f>
        <x:v>61677341000190</x:v>
      </x:c>
      <x:c r="F2703" s="22" t="str">
        <x:f>"112.077.736-46"</x:f>
        <x:v>112.077.736-46</x:v>
      </x:c>
      <x:c r="G2703" s="22" t="str">
        <x:f>"11207773646"</x:f>
        <x:v>11207773646</x:v>
      </x:c>
      <x:c r="H2703" s="23" t="str">
        <x:v>amaralimportados2016@gmail.com</x:v>
      </x:c>
      <x:c r="I2703" s="22" t="str">
        <x:f>"31982640884"</x:f>
        <x:v>31982640884</x:v>
      </x:c>
      <x:c r="J2703" s="23" t="str">
        <x:v>SPOT</x:v>
      </x:c>
      <x:c r="K2703" s="23" t="str">
        <x:v>favored_only</x:v>
      </x:c>
      <x:c r="L2703" s="24" t="b">
        <x:v>1</x:v>
      </x:c>
      <x:c r="M2703" s="23" t="n">
        <x:v>1</x:v>
      </x:c>
      <x:c r="N2703" s="28" t="n">
        <x:v>46219.812988715275</x:v>
      </x:c>
      <x:c r="O2703" s="28" t="n">
        <x:v>46219.812988715275</x:v>
      </x:c>
      <x:c r="P2703" s="23" t="str">
        <x:v>IPATINGA</x:v>
      </x:c>
      <x:c r="Q2703" s="30" t="n">
        <x:v>33906</x:v>
      </x:c>
      <x:c r="R2703" s="22" t="str">
        <x:f>"MG 16916304 SSP"</x:f>
        <x:v>MG 16916304 SSP</x:v>
      </x:c>
      <x:c r="S2703" s="23" t="str">
        <x:v>masculino</x:v>
      </x:c>
      <x:c r="T2703" s="22" t="str">
        <x:f>"FDZ9A69"</x:f>
        <x:v>FDZ9A69</x:v>
      </x:c>
      <x:c r="U2703" s="23" t="str">
        <x:v>ALBA VALERIA AMARAL DA CONCEICAO</x:v>
      </x:c>
      <x:c r="V2703" s="22" t="str">
        <x:f>"539.045.086-87"</x:f>
        <x:v>539.045.086-87</x:v>
      </x:c>
      <x:c r="W2703" s="22" t="str">
        <x:f>"53904508687"</x:f>
        <x:v>53904508687</x:v>
      </x:c>
      <x:c r="X2703" s="23" t="str">
        <x:v>amaralimportados2016@gmail.com</x:v>
      </x:c>
      <x:c r="Y2703" s="22" t="str">
        <x:f>"3198564-1745"</x:f>
        <x:v>3198564-1745</x:v>
      </x:c>
      <x:c r="Z2703" s="30" t="n">
        <x:v>46570</x:v>
      </x:c>
    </x:row>
    <x:row r="2704" ht="18" customHeight="1">
      <x:c r="A2704" s="22" t="str">
        <x:f>"3a9365c5-4964-40db-a2ad-9154f6e9186d"</x:f>
        <x:v>3a9365c5-4964-40db-a2ad-9154f6e9186d</x:v>
      </x:c>
      <x:c r="B2704" s="23" t="str">
        <x:v>MATHEUS AUGUSTO KOHL RODRIGUES</x:v>
      </x:c>
      <x:c r="C2704" s="23" t="str">
        <x:v>matheus augusto kohl rodrigues</x:v>
      </x:c>
      <x:c r="D2704" s="22" t="str">
        <x:f>"49.428.240/0001-80"</x:f>
        <x:v>49.428.240/0001-80</x:v>
      </x:c>
      <x:c r="E2704" s="22" t="str">
        <x:f>"49428240000180"</x:f>
        <x:v>49428240000180</x:v>
      </x:c>
      <x:c r="F2704" s="22" t="str">
        <x:f>"134.222.766-29"</x:f>
        <x:v>134.222.766-29</x:v>
      </x:c>
      <x:c r="G2704" s="22" t="str">
        <x:f>"13422276629"</x:f>
        <x:v>13422276629</x:v>
      </x:c>
      <x:c r="H2704" s="23" t="str">
        <x:v>rodrigueshnd10@gmail.com</x:v>
      </x:c>
      <x:c r="I2704" s="22" t="str">
        <x:f>"34992308064"</x:f>
        <x:v>34992308064</x:v>
      </x:c>
      <x:c r="J2704" s="23" t="str">
        <x:v>SPOT</x:v>
      </x:c>
      <x:c r="K2704" s="23" t="str">
        <x:v>favored_only</x:v>
      </x:c>
      <x:c r="L2704" s="24" t="b">
        <x:v>1</x:v>
      </x:c>
      <x:c r="M2704" s="23" t="n">
        <x:v>1</x:v>
      </x:c>
      <x:c r="N2704" s="28" t="n">
        <x:v>46219.812988715275</x:v>
      </x:c>
      <x:c r="O2704" s="28" t="n">
        <x:v>46219.812988715275</x:v>
      </x:c>
      <x:c r="P2704" s="23" t="str">
        <x:v>PATOS DE MINAS</x:v>
      </x:c>
      <x:c r="Q2704" s="30" t="n">
        <x:v>37585</x:v>
      </x:c>
      <x:c r="R2704" s="22" t="str">
        <x:f>"MG19685995"</x:f>
        <x:v>MG19685995</x:v>
      </x:c>
      <x:c r="S2704" s="23" t="str">
        <x:v>masculino</x:v>
      </x:c>
      <x:c r="T2704" s="22" t="str">
        <x:f>"QXN7F85"</x:f>
        <x:v>QXN7F85</x:v>
      </x:c>
      <x:c r="U2704" s="23" t="str">
        <x:v>MATHEUS AUGUSTO KOHL RODRIGUES</x:v>
      </x:c>
      <x:c r="V2704" s="22" t="str">
        <x:f>"134.222.766-29"</x:f>
        <x:v>134.222.766-29</x:v>
      </x:c>
      <x:c r="W2704" s="22" t="str">
        <x:f>"13422276629"</x:f>
        <x:v>13422276629</x:v>
      </x:c>
      <x:c r="X2704" s="23" t="str">
        <x:v>rodrigueshnd10@gmail.com</x:v>
      </x:c>
      <x:c r="Y2704" s="22" t="str">
        <x:f>"34992308064"</x:f>
        <x:v>34992308064</x:v>
      </x:c>
      <x:c r="Z2704" s="30" t="n">
        <x:v>46512</x:v>
      </x:c>
    </x:row>
    <x:row r="2705" ht="18" customHeight="1">
      <x:c r="A2705" s="22" t="str">
        <x:f>"51d10290-7263-4f55-a0d2-71faa0ad5677"</x:f>
        <x:v>51d10290-7263-4f55-a0d2-71faa0ad5677</x:v>
      </x:c>
      <x:c r="B2705" s="23" t="str">
        <x:v>MATHEUS BARROS MARTINS</x:v>
      </x:c>
      <x:c r="C2705" s="23" t="str">
        <x:v>matheus barros martins</x:v>
      </x:c>
      <x:c r="D2705" s="22" t="str">
        <x:f>"52.003.049/0001-00"</x:f>
        <x:v>52.003.049/0001-00</x:v>
      </x:c>
      <x:c r="E2705" s="22" t="str">
        <x:f>"52003049000100"</x:f>
        <x:v>52003049000100</x:v>
      </x:c>
      <x:c r="F2705" s="22" t="str">
        <x:f>"127.721.756-42"</x:f>
        <x:v>127.721.756-42</x:v>
      </x:c>
      <x:c r="G2705" s="22" t="str">
        <x:f>"12772175642"</x:f>
        <x:v>12772175642</x:v>
      </x:c>
      <x:c r="H2705" s="23" t="str">
        <x:v>matheusbarros26@icloud.com</x:v>
      </x:c>
      <x:c r="I2705" s="22" t="str">
        <x:f>"+55 31 8551-2110"</x:f>
        <x:v>+55 31 8551-2110</x:v>
      </x:c>
      <x:c r="J2705" s="23" t="str">
        <x:v>SPOT</x:v>
      </x:c>
      <x:c r="K2705" s="23" t="str">
        <x:v>favored_only</x:v>
      </x:c>
      <x:c r="L2705" s="24" t="b">
        <x:v>1</x:v>
      </x:c>
      <x:c r="M2705" s="23" t="n">
        <x:v>1</x:v>
      </x:c>
      <x:c r="N2705" s="28" t="n">
        <x:v>46203.921852962965</x:v>
      </x:c>
      <x:c r="O2705" s="28" t="n">
        <x:v>46219.812988715275</x:v>
      </x:c>
      <x:c r="P2705" s="23" t="str">
        <x:v>IPATINGA</x:v>
      </x:c>
      <x:c r="Q2705" s="30" t="n">
        <x:v>35060</x:v>
      </x:c>
      <x:c r="R2705" s="22" t="str">
        <x:f>"19069898"</x:f>
        <x:v>19069898</x:v>
      </x:c>
      <x:c r="S2705" s="23" t="str">
        <x:v>masculino</x:v>
      </x:c>
      <x:c r="T2705" s="22" t="str">
        <x:f>"OEO0452"</x:f>
        <x:v>OEO0452</x:v>
      </x:c>
      <x:c r="U2705" s="23" t="str">
        <x:v>MATHEUS BARROS MARTINS</x:v>
      </x:c>
      <x:c r="V2705" s="22" t="str">
        <x:f>"127.721.756-42"</x:f>
        <x:v>127.721.756-42</x:v>
      </x:c>
      <x:c r="W2705" s="22" t="str">
        <x:f>"12772175642"</x:f>
        <x:v>12772175642</x:v>
      </x:c>
      <x:c r="X2705" s="23" t="str">
        <x:v>matheusbarros26@icloud.com</x:v>
      </x:c>
      <x:c r="Y2705" s="22" t="str">
        <x:f>"31 8551-2110"</x:f>
        <x:v>31 8551-2110</x:v>
      </x:c>
      <x:c r="Z2705" s="30" t="n">
        <x:v>46253</x:v>
      </x:c>
    </x:row>
    <x:row r="2706" ht="18" customHeight="1">
      <x:c r="A2706" s="22" t="str">
        <x:f>"66337b95-1b44-4087-adfb-ea0201283eac"</x:f>
        <x:v>66337b95-1b44-4087-adfb-ea0201283eac</x:v>
      </x:c>
      <x:c r="B2706" s="23" t="str">
        <x:v>MATHEUS CADETE PALMA</x:v>
      </x:c>
      <x:c r="C2706" s="23" t="str">
        <x:v>matheus cadete palma</x:v>
      </x:c>
      <x:c r="D2706" s="22" t="str">
        <x:f>"49.045.648/0001-73"</x:f>
        <x:v>49.045.648/0001-73</x:v>
      </x:c>
      <x:c r="E2706" s="22" t="str">
        <x:f>"49045648000173"</x:f>
        <x:v>49045648000173</x:v>
      </x:c>
      <x:c r="F2706" s="22" t="str">
        <x:f>"464.065.718-86"</x:f>
        <x:v>464.065.718-86</x:v>
      </x:c>
      <x:c r="G2706" s="22" t="str">
        <x:f>"46406571886"</x:f>
        <x:v>46406571886</x:v>
      </x:c>
      <x:c r="H2706" s="23" t="str">
        <x:v>Macadete13@gmail.com</x:v>
      </x:c>
      <x:c r="I2706" s="22" t="str">
        <x:f>"11912605871"</x:f>
        <x:v>11912605871</x:v>
      </x:c>
      <x:c r="J2706" s="23" t="str">
        <x:v>RENTAL</x:v>
      </x:c>
      <x:c r="K2706" s="23" t="str">
        <x:v>rental_company</x:v>
      </x:c>
      <x:c r="L2706" s="24" t="b">
        <x:v>1</x:v>
      </x:c>
      <x:c r="M2706" s="23" t="n">
        <x:v>1</x:v>
      </x:c>
      <x:c r="N2706" s="28" t="n">
        <x:v>46219.812988715275</x:v>
      </x:c>
      <x:c r="O2706" s="28" t="n">
        <x:v>46219.812988715275</x:v>
      </x:c>
      <x:c r="P2706" s="23" t="str">
        <x:v>PRESIDENTE PRUDENTE</x:v>
      </x:c>
      <x:c r="Q2706" s="30" t="n">
        <x:v>35354</x:v>
      </x:c>
      <x:c r="R2706" s="22" t="str">
        <x:f>"50402159x"</x:f>
        <x:v>50402159x</x:v>
      </x:c>
      <x:c r="S2706" s="23" t="str">
        <x:v>masculino</x:v>
      </x:c>
      <x:c r="T2706" s="22" t="str"/>
      <x:c r="U2706" s="23" t="str">
        <x:v>MATHEUS CADETE PALMA</x:v>
      </x:c>
      <x:c r="V2706" s="22" t="str">
        <x:f>"464.065.718-86"</x:f>
        <x:v>464.065.718-86</x:v>
      </x:c>
      <x:c r="W2706" s="22" t="str">
        <x:f>"46406571886"</x:f>
        <x:v>46406571886</x:v>
      </x:c>
      <x:c r="X2706" s="23" t="str">
        <x:v>Macadete13@gmail.com</x:v>
      </x:c>
      <x:c r="Y2706" s="22" t="str">
        <x:f>"11912605871"</x:f>
        <x:v>11912605871</x:v>
      </x:c>
      <x:c r="Z2706" s="30" t="n">
        <x:v>46445</x:v>
      </x:c>
    </x:row>
    <x:row r="2707" ht="18" customHeight="1">
      <x:c r="A2707" s="22" t="str">
        <x:f>"6dc24c0a-e993-417e-b944-bbe201929293"</x:f>
        <x:v>6dc24c0a-e993-417e-b944-bbe201929293</x:v>
      </x:c>
      <x:c r="B2707" s="23" t="str">
        <x:v>MATHEUS CAMARGO SILVA</x:v>
      </x:c>
      <x:c r="C2707" s="23" t="str">
        <x:v>matheus camargo silva</x:v>
      </x:c>
      <x:c r="D2707" s="22" t="str">
        <x:f>"65.993.934/0001-17"</x:f>
        <x:v>65.993.934/0001-17</x:v>
      </x:c>
      <x:c r="E2707" s="22" t="str">
        <x:f>"65993934000117"</x:f>
        <x:v>65993934000117</x:v>
      </x:c>
      <x:c r="F2707" s="22" t="str">
        <x:f>"061.596.421-46"</x:f>
        <x:v>061.596.421-46</x:v>
      </x:c>
      <x:c r="G2707" s="22" t="str">
        <x:f>"06159642146"</x:f>
        <x:v>06159642146</x:v>
      </x:c>
      <x:c r="H2707" s="23" t="str">
        <x:v>matheuscamargo1052@gmail.com</x:v>
      </x:c>
      <x:c r="I2707" s="22" t="str">
        <x:f>"65993019750"</x:f>
        <x:v>65993019750</x:v>
      </x:c>
      <x:c r="J2707" s="23" t="str">
        <x:v>SPOT</x:v>
      </x:c>
      <x:c r="K2707" s="23" t="str">
        <x:v>favored_only</x:v>
      </x:c>
      <x:c r="L2707" s="24" t="b">
        <x:v>1</x:v>
      </x:c>
      <x:c r="M2707" s="23" t="n">
        <x:v>1</x:v>
      </x:c>
      <x:c r="N2707" s="28" t="n">
        <x:v>46219.812988715275</x:v>
      </x:c>
      <x:c r="O2707" s="28" t="n">
        <x:v>46219.812988715275</x:v>
      </x:c>
      <x:c r="P2707" s="23" t="str">
        <x:v>CUIABA</x:v>
      </x:c>
      <x:c r="Q2707" s="30" t="n">
        <x:v>38171</x:v>
      </x:c>
      <x:c r="R2707" s="22" t="str">
        <x:f>"30533155"</x:f>
        <x:v>30533155</x:v>
      </x:c>
      <x:c r="S2707" s="23" t="str">
        <x:v>masculino</x:v>
      </x:c>
      <x:c r="T2707" s="22" t="str">
        <x:f>"REC0G30"</x:f>
        <x:v>REC0G30</x:v>
      </x:c>
      <x:c r="U2707" s="23" t="str">
        <x:v>MATHEUS CAMARGO SILVA</x:v>
      </x:c>
      <x:c r="V2707" s="22" t="str">
        <x:f>"061.596.421-46"</x:f>
        <x:v>061.596.421-46</x:v>
      </x:c>
      <x:c r="W2707" s="22" t="str">
        <x:f>"06159642146"</x:f>
        <x:v>06159642146</x:v>
      </x:c>
      <x:c r="X2707" s="23" t="str">
        <x:v>matheuscamargo1052@gmail.com</x:v>
      </x:c>
      <x:c r="Y2707" s="22" t="str">
        <x:f>"65993019750"</x:f>
        <x:v>65993019750</x:v>
      </x:c>
      <x:c r="Z2707" s="30" t="n">
        <x:v>46478</x:v>
      </x:c>
    </x:row>
    <x:row r="2708" ht="18" customHeight="1">
      <x:c r="A2708" s="22" t="str">
        <x:f>"5c26ba37-826d-414d-817b-702d7e149714"</x:f>
        <x:v>5c26ba37-826d-414d-817b-702d7e149714</x:v>
      </x:c>
      <x:c r="B2708" s="23" t="str">
        <x:v>MATHEUS CARDOSO VIANA</x:v>
      </x:c>
      <x:c r="C2708" s="23" t="str">
        <x:v>matheus cardoso viana</x:v>
      </x:c>
      <x:c r="D2708" s="22" t="str">
        <x:f>"63.954.975/0001-79"</x:f>
        <x:v>63.954.975/0001-79</x:v>
      </x:c>
      <x:c r="E2708" s="22" t="str">
        <x:f>"63954975000179"</x:f>
        <x:v>63954975000179</x:v>
      </x:c>
      <x:c r="F2708" s="22" t="str">
        <x:f>"155.101.606-08"</x:f>
        <x:v>155.101.606-08</x:v>
      </x:c>
      <x:c r="G2708" s="22" t="str">
        <x:f>"15510160608"</x:f>
        <x:v>15510160608</x:v>
      </x:c>
      <x:c r="H2708" s="23" t="str">
        <x:v>matheuscardoso1871234@gmail.com</x:v>
      </x:c>
      <x:c r="I2708" s="22" t="str">
        <x:f>"31 995159922"</x:f>
        <x:v>31 995159922</x:v>
      </x:c>
      <x:c r="J2708" s="23" t="str">
        <x:v>SPOT</x:v>
      </x:c>
      <x:c r="K2708" s="23" t="str">
        <x:v>favored_only</x:v>
      </x:c>
      <x:c r="L2708" s="24" t="b">
        <x:v>1</x:v>
      </x:c>
      <x:c r="M2708" s="23" t="n">
        <x:v>1</x:v>
      </x:c>
      <x:c r="N2708" s="28" t="n">
        <x:v>46219.812988715275</x:v>
      </x:c>
      <x:c r="O2708" s="28" t="n">
        <x:v>46219.812988715275</x:v>
      </x:c>
      <x:c r="P2708" s="23" t="str">
        <x:v>NOVA LIMA</x:v>
      </x:c>
      <x:c r="Q2708" s="30" t="n">
        <x:v>37532</x:v>
      </x:c>
      <x:c r="R2708" s="22" t="str">
        <x:f>"19499060"</x:f>
        <x:v>19499060</x:v>
      </x:c>
      <x:c r="S2708" s="23" t="str">
        <x:v>masculino</x:v>
      </x:c>
      <x:c r="T2708" s="22" t="str">
        <x:f>"RTT0J19"</x:f>
        <x:v>RTT0J19</x:v>
      </x:c>
      <x:c r="U2708" s="23" t="str">
        <x:v>MATHEUS CARDOSO VIANA</x:v>
      </x:c>
      <x:c r="V2708" s="22" t="str">
        <x:f>"155.101.606-08"</x:f>
        <x:v>155.101.606-08</x:v>
      </x:c>
      <x:c r="W2708" s="22" t="str">
        <x:f>"15510160608"</x:f>
        <x:v>15510160608</x:v>
      </x:c>
      <x:c r="X2708" s="23" t="str">
        <x:v>matheuscardoso1871234@gmail.com</x:v>
      </x:c>
      <x:c r="Y2708" s="22" t="str">
        <x:f>"31 995159922"</x:f>
        <x:v>31 995159922</x:v>
      </x:c>
      <x:c r="Z2708" s="30" t="n">
        <x:v>46543</x:v>
      </x:c>
    </x:row>
    <x:row r="2709" ht="18" customHeight="1">
      <x:c r="A2709" s="22" t="str">
        <x:f>"d28b64a8-10b0-42de-afeb-f4da2fb4b76d"</x:f>
        <x:v>d28b64a8-10b0-42de-afeb-f4da2fb4b76d</x:v>
      </x:c>
      <x:c r="B2709" s="23" t="str">
        <x:v>MATHEUS CAVALCANTE GREGORIO ALANIZ</x:v>
      </x:c>
      <x:c r="C2709" s="23" t="str">
        <x:v>matheus cavalcante gregorio alaniz</x:v>
      </x:c>
      <x:c r="D2709" s="22" t="str">
        <x:f>"67.300.984/0001-05"</x:f>
        <x:v>67.300.984/0001-05</x:v>
      </x:c>
      <x:c r="E2709" s="22" t="str">
        <x:f>"67300984000105"</x:f>
        <x:v>67300984000105</x:v>
      </x:c>
      <x:c r="F2709" s="22" t="str">
        <x:f>"425.285.788-06"</x:f>
        <x:v>425.285.788-06</x:v>
      </x:c>
      <x:c r="G2709" s="22" t="str">
        <x:f>"42528578806"</x:f>
        <x:v>42528578806</x:v>
      </x:c>
      <x:c r="H2709" s="23" t="str">
        <x:v>matheusgregorio04@gmail.com</x:v>
      </x:c>
      <x:c r="I2709" s="22" t="str">
        <x:f>"18 99806-2388"</x:f>
        <x:v>18 99806-2388</x:v>
      </x:c>
      <x:c r="J2709" s="23" t="str">
        <x:v>RENTAL</x:v>
      </x:c>
      <x:c r="K2709" s="23" t="str">
        <x:v>rental_company</x:v>
      </x:c>
      <x:c r="L2709" s="24" t="b">
        <x:v>1</x:v>
      </x:c>
      <x:c r="M2709" s="23" t="n">
        <x:v>1</x:v>
      </x:c>
      <x:c r="N2709" s="28" t="n">
        <x:v>46219.812988715275</x:v>
      </x:c>
      <x:c r="O2709" s="28" t="n">
        <x:v>46219.812988715275</x:v>
      </x:c>
      <x:c r="P2709" s="23" t="str">
        <x:v>ARAÇATUBA</x:v>
      </x:c>
      <x:c r="Q2709" s="30" t="n">
        <x:v>38273</x:v>
      </x:c>
      <x:c r="R2709" s="22" t="str">
        <x:f>"556362184"</x:f>
        <x:v>556362184</x:v>
      </x:c>
      <x:c r="S2709" s="23" t="str">
        <x:v>masculino</x:v>
      </x:c>
      <x:c r="T2709" s="22" t="str"/>
      <x:c r="U2709" s="23" t="str">
        <x:v>MATHEUS CAVALCANTE GREGORIO ALANIZ</x:v>
      </x:c>
      <x:c r="V2709" s="22" t="str">
        <x:f>"425.285.788-06"</x:f>
        <x:v>425.285.788-06</x:v>
      </x:c>
      <x:c r="W2709" s="22" t="str">
        <x:f>"42528578806"</x:f>
        <x:v>42528578806</x:v>
      </x:c>
      <x:c r="X2709" s="23" t="str">
        <x:v>matheusgregorio04@gmail.com</x:v>
      </x:c>
      <x:c r="Y2709" s="22" t="str">
        <x:f>"18 99806-2388"</x:f>
        <x:v>18 99806-2388</x:v>
      </x:c>
      <x:c r="Z2709" s="30" t="n">
        <x:v>46506</x:v>
      </x:c>
    </x:row>
    <x:row r="2710" ht="18" customHeight="1">
      <x:c r="A2710" s="22" t="str">
        <x:f>"e26572fa-a3cb-4129-b04d-99d601b63606"</x:f>
        <x:v>e26572fa-a3cb-4129-b04d-99d601b63606</x:v>
      </x:c>
      <x:c r="B2710" s="23" t="str">
        <x:v>MATHEUS CIRINO CHAVES</x:v>
      </x:c>
      <x:c r="C2710" s="23" t="str">
        <x:v>matheus cirino chaves</x:v>
      </x:c>
      <x:c r="D2710" s="22" t="str">
        <x:f>"61.973.427/0001-60"</x:f>
        <x:v>61.973.427/0001-60</x:v>
      </x:c>
      <x:c r="E2710" s="22" t="str">
        <x:f>"61973427000160"</x:f>
        <x:v>61973427000160</x:v>
      </x:c>
      <x:c r="F2710" s="22" t="str">
        <x:f>"060.625.906-64"</x:f>
        <x:v>060.625.906-64</x:v>
      </x:c>
      <x:c r="G2710" s="22" t="str">
        <x:f>"06062590664"</x:f>
        <x:v>06062590664</x:v>
      </x:c>
      <x:c r="H2710" s="23" t="str">
        <x:v>matheuscchaves7642@gmail.com</x:v>
      </x:c>
      <x:c r="I2710" s="22" t="str">
        <x:f>"31983186806"</x:f>
        <x:v>31983186806</x:v>
      </x:c>
      <x:c r="J2710" s="23" t="str">
        <x:v>SPOT</x:v>
      </x:c>
      <x:c r="K2710" s="23" t="str">
        <x:v>favored_only</x:v>
      </x:c>
      <x:c r="L2710" s="24" t="b">
        <x:v>1</x:v>
      </x:c>
      <x:c r="M2710" s="23" t="n">
        <x:v>1</x:v>
      </x:c>
      <x:c r="N2710" s="28" t="n">
        <x:v>46203.921852962965</x:v>
      </x:c>
      <x:c r="O2710" s="28" t="n">
        <x:v>46219.812988715275</x:v>
      </x:c>
      <x:c r="P2710" s="23" t="str">
        <x:v>CONCEIÇÃO DO MATO DENTRO</x:v>
      </x:c>
      <x:c r="Q2710" s="30" t="n">
        <x:v>30495</x:v>
      </x:c>
      <x:c r="R2710" s="22" t="str">
        <x:f>"13343843"</x:f>
        <x:v>13343843</x:v>
      </x:c>
      <x:c r="S2710" s="23" t="str">
        <x:v>masculino</x:v>
      </x:c>
      <x:c r="T2710" s="22" t="str">
        <x:f>"JEA9292"</x:f>
        <x:v>JEA9292</x:v>
      </x:c>
      <x:c r="U2710" s="23" t="str">
        <x:v>MATHEUS CIRINO CHAVES</x:v>
      </x:c>
      <x:c r="V2710" s="22" t="str">
        <x:f>"060.625.906-64"</x:f>
        <x:v>060.625.906-64</x:v>
      </x:c>
      <x:c r="W2710" s="22" t="str">
        <x:f>"06062590664"</x:f>
        <x:v>06062590664</x:v>
      </x:c>
      <x:c r="X2710" s="23" t="str">
        <x:v>matheuscchaves7642@gmail.com</x:v>
      </x:c>
      <x:c r="Y2710" s="22" t="str">
        <x:f>"31983186806"</x:f>
        <x:v>31983186806</x:v>
      </x:c>
      <x:c r="Z2710" s="30" t="n">
        <x:v>46241</x:v>
      </x:c>
    </x:row>
    <x:row r="2711" ht="18" customHeight="1">
      <x:c r="A2711" s="22" t="str">
        <x:f>"cc1bf21c-8b18-40f8-af90-414cf4ba572b"</x:f>
        <x:v>cc1bf21c-8b18-40f8-af90-414cf4ba572b</x:v>
      </x:c>
      <x:c r="B2711" s="23" t="str">
        <x:v>MATHEUS DE PAULA COSTA</x:v>
      </x:c>
      <x:c r="C2711" s="23" t="str">
        <x:v>matheus de paula costa</x:v>
      </x:c>
      <x:c r="D2711" s="22" t="str">
        <x:f>"22.504.852/0001-59"</x:f>
        <x:v>22.504.852/0001-59</x:v>
      </x:c>
      <x:c r="E2711" s="22" t="str">
        <x:f>"22504852000159"</x:f>
        <x:v>22504852000159</x:v>
      </x:c>
      <x:c r="F2711" s="22" t="str">
        <x:f>"087.929.706-99"</x:f>
        <x:v>087.929.706-99</x:v>
      </x:c>
      <x:c r="G2711" s="22" t="str">
        <x:f>"08792970699"</x:f>
        <x:v>08792970699</x:v>
      </x:c>
      <x:c r="H2711" s="23" t="str">
        <x:v>nemuviruscb@gmail.com</x:v>
      </x:c>
      <x:c r="I2711" s="22" t="str">
        <x:f>"31992684027"</x:f>
        <x:v>31992684027</x:v>
      </x:c>
      <x:c r="J2711" s="23" t="str">
        <x:v>SPOT</x:v>
      </x:c>
      <x:c r="K2711" s="23" t="str">
        <x:v>favored_only</x:v>
      </x:c>
      <x:c r="L2711" s="24" t="b">
        <x:v>1</x:v>
      </x:c>
      <x:c r="M2711" s="23" t="n">
        <x:v>1</x:v>
      </x:c>
      <x:c r="N2711" s="28" t="n">
        <x:v>46219.812988715275</x:v>
      </x:c>
      <x:c r="O2711" s="28" t="n">
        <x:v>46219.812988715275</x:v>
      </x:c>
      <x:c r="P2711" s="23" t="str">
        <x:v>CONTAGEM</x:v>
      </x:c>
      <x:c r="Q2711" s="30" t="n">
        <x:v>36495</x:v>
      </x:c>
      <x:c r="R2711" s="22" t="str">
        <x:f>"MG15688885"</x:f>
        <x:v>MG15688885</x:v>
      </x:c>
      <x:c r="S2711" s="23" t="str">
        <x:v>masculino</x:v>
      </x:c>
      <x:c r="T2711" s="22" t="str">
        <x:f>"HIX9E78"</x:f>
        <x:v>HIX9E78</x:v>
      </x:c>
      <x:c r="U2711" s="23" t="str">
        <x:v>MATHEUS DE PAULA COSTA</x:v>
      </x:c>
      <x:c r="V2711" s="22" t="str">
        <x:f>"087.929.706-99"</x:f>
        <x:v>087.929.706-99</x:v>
      </x:c>
      <x:c r="W2711" s="22" t="str">
        <x:f>"08792970699"</x:f>
        <x:v>08792970699</x:v>
      </x:c>
      <x:c r="X2711" s="23" t="str">
        <x:v>nemuviruscb@gmail.com</x:v>
      </x:c>
      <x:c r="Y2711" s="22" t="str">
        <x:f>"31992684027"</x:f>
        <x:v>31992684027</x:v>
      </x:c>
      <x:c r="Z2711" s="30" t="n">
        <x:v>46429</x:v>
      </x:c>
    </x:row>
    <x:row r="2712" ht="18" customHeight="1">
      <x:c r="A2712" s="22" t="str">
        <x:f>"83271fb3-cb0e-4b2c-91eb-176fa1eb933d"</x:f>
        <x:v>83271fb3-cb0e-4b2c-91eb-176fa1eb933d</x:v>
      </x:c>
      <x:c r="B2712" s="23" t="str">
        <x:v>MATHEUS DE PAULO LEAL</x:v>
      </x:c>
      <x:c r="C2712" s="23" t="str">
        <x:v>matheus de paulo leal</x:v>
      </x:c>
      <x:c r="D2712" s="22" t="str">
        <x:f>"34.009.170/0001-59"</x:f>
        <x:v>34.009.170/0001-59</x:v>
      </x:c>
      <x:c r="E2712" s="22" t="str">
        <x:f>"34009170000159"</x:f>
        <x:v>34009170000159</x:v>
      </x:c>
      <x:c r="F2712" s="22" t="str">
        <x:f>"161.358.697-36"</x:f>
        <x:v>161.358.697-36</x:v>
      </x:c>
      <x:c r="G2712" s="22" t="str">
        <x:f>"16135869736"</x:f>
        <x:v>16135869736</x:v>
      </x:c>
      <x:c r="H2712" s="23" t="str">
        <x:v>matheuspl12@gmail.com</x:v>
      </x:c>
      <x:c r="I2712" s="22" t="str">
        <x:f>"21983586219"</x:f>
        <x:v>21983586219</x:v>
      </x:c>
      <x:c r="J2712" s="23" t="str">
        <x:v>SPOT</x:v>
      </x:c>
      <x:c r="K2712" s="23" t="str">
        <x:v>favored_only</x:v>
      </x:c>
      <x:c r="L2712" s="24" t="b">
        <x:v>1</x:v>
      </x:c>
      <x:c r="M2712" s="23" t="n">
        <x:v>1</x:v>
      </x:c>
      <x:c r="N2712" s="28" t="n">
        <x:v>46219.812988715275</x:v>
      </x:c>
      <x:c r="O2712" s="28" t="n">
        <x:v>46219.812988715275</x:v>
      </x:c>
      <x:c r="P2712" s="23" t="str">
        <x:v>QUEIMADOS</x:v>
      </x:c>
      <x:c r="Q2712" s="30" t="n">
        <x:v>35691</x:v>
      </x:c>
      <x:c r="R2712" s="22" t="str">
        <x:f>"289499675"</x:f>
        <x:v>289499675</x:v>
      </x:c>
      <x:c r="S2712" s="23" t="str">
        <x:v>masculino</x:v>
      </x:c>
      <x:c r="T2712" s="22" t="str">
        <x:f>"OFY2J91"</x:f>
        <x:v>OFY2J91</x:v>
      </x:c>
      <x:c r="U2712" s="23" t="str">
        <x:v>VITORIA ORUE DA CONCEICAO</x:v>
      </x:c>
      <x:c r="V2712" s="22" t="str">
        <x:f>"120.393.847-07"</x:f>
        <x:v>120.393.847-07</x:v>
      </x:c>
      <x:c r="W2712" s="22" t="str">
        <x:f>"12039384707"</x:f>
        <x:v>12039384707</x:v>
      </x:c>
      <x:c r="X2712" s="23" t="str">
        <x:v>matheuspl12@gmail.com</x:v>
      </x:c>
      <x:c r="Y2712" s="22" t="str">
        <x:f>"21983586219"</x:f>
        <x:v>21983586219</x:v>
      </x:c>
      <x:c r="Z2712" s="30" t="n">
        <x:v>46550</x:v>
      </x:c>
    </x:row>
    <x:row r="2713" ht="18" customHeight="1">
      <x:c r="A2713" s="22" t="str">
        <x:f>"1a04c10d-fb40-40cb-917f-1b66748bd41d"</x:f>
        <x:v>1a04c10d-fb40-40cb-917f-1b66748bd41d</x:v>
      </x:c>
      <x:c r="B2713" s="23" t="str">
        <x:v>MATHEUS DOS SANTOS SILVA</x:v>
      </x:c>
      <x:c r="C2713" s="23" t="str">
        <x:v>matheus dos santos silva</x:v>
      </x:c>
      <x:c r="D2713" s="22" t="str">
        <x:f>"63.758.728/0001-05"</x:f>
        <x:v>63.758.728/0001-05</x:v>
      </x:c>
      <x:c r="E2713" s="22" t="str">
        <x:f>"63758728000105"</x:f>
        <x:v>63758728000105</x:v>
      </x:c>
      <x:c r="F2713" s="22" t="str">
        <x:f>"488.416.578-04"</x:f>
        <x:v>488.416.578-04</x:v>
      </x:c>
      <x:c r="G2713" s="22" t="str">
        <x:f>"48841657804"</x:f>
        <x:v>48841657804</x:v>
      </x:c>
      <x:c r="H2713" s="23" t="str">
        <x:v>matheussilvaachadinhomt@gmail.com</x:v>
      </x:c>
      <x:c r="I2713" s="22" t="str">
        <x:f>"18991657599"</x:f>
        <x:v>18991657599</x:v>
      </x:c>
      <x:c r="J2713" s="23" t="str">
        <x:v>RENTAL</x:v>
      </x:c>
      <x:c r="K2713" s="23" t="str">
        <x:v>rental_company</x:v>
      </x:c>
      <x:c r="L2713" s="24" t="b">
        <x:v>1</x:v>
      </x:c>
      <x:c r="M2713" s="23" t="n">
        <x:v>1</x:v>
      </x:c>
      <x:c r="N2713" s="28" t="n">
        <x:v>46219.812988715275</x:v>
      </x:c>
      <x:c r="O2713" s="28" t="n">
        <x:v>46219.812988715275</x:v>
      </x:c>
      <x:c r="P2713" s="23" t="str">
        <x:v>PRESIDENTE PRUDENTE</x:v>
      </x:c>
      <x:c r="Q2713" s="30" t="n">
        <x:v>36234</x:v>
      </x:c>
      <x:c r="R2713" s="22" t="str">
        <x:f>"48841657804"</x:f>
        <x:v>48841657804</x:v>
      </x:c>
      <x:c r="S2713" s="23" t="str">
        <x:v>masculino</x:v>
      </x:c>
      <x:c r="T2713" s="22" t="str"/>
      <x:c r="U2713" s="23" t="str">
        <x:v>MATHEUS DOS SANTOS SILVA</x:v>
      </x:c>
      <x:c r="V2713" s="22" t="str">
        <x:f>"488.416.578-04"</x:f>
        <x:v>488.416.578-04</x:v>
      </x:c>
      <x:c r="W2713" s="22" t="str">
        <x:f>"48841657804"</x:f>
        <x:v>48841657804</x:v>
      </x:c>
      <x:c r="X2713" s="23" t="str">
        <x:v>matheussilvaachadinhomt@gmail.com</x:v>
      </x:c>
      <x:c r="Y2713" s="22" t="str">
        <x:f>"18991657599"</x:f>
        <x:v>18991657599</x:v>
      </x:c>
      <x:c r="Z2713" s="30" t="n">
        <x:v>46504</x:v>
      </x:c>
    </x:row>
    <x:row r="2714" ht="18" customHeight="1">
      <x:c r="A2714" s="22" t="str">
        <x:f>"3f0af385-b4ba-46e7-95bc-0e9cc3409275"</x:f>
        <x:v>3f0af385-b4ba-46e7-95bc-0e9cc3409275</x:v>
      </x:c>
      <x:c r="B2714" s="23" t="str">
        <x:v>MATHEUS DOS SANTOS SILVA</x:v>
      </x:c>
      <x:c r="C2714" s="23" t="str">
        <x:v>matheus dos santos silva</x:v>
      </x:c>
      <x:c r="D2714" s="22" t="str">
        <x:f>"66.559.412/0001-74"</x:f>
        <x:v>66.559.412/0001-74</x:v>
      </x:c>
      <x:c r="E2714" s="22" t="str">
        <x:f>"66559412000174"</x:f>
        <x:v>66559412000174</x:v>
      </x:c>
      <x:c r="F2714" s="22" t="str">
        <x:f>"178.098.687-48"</x:f>
        <x:v>178.098.687-48</x:v>
      </x:c>
      <x:c r="G2714" s="22" t="str">
        <x:f>"17809868748"</x:f>
        <x:v>17809868748</x:v>
      </x:c>
      <x:c r="H2714" s="23" t="str">
        <x:v>MATHEUSDOSSANTOS8890@GMAIL.COM</x:v>
      </x:c>
      <x:c r="I2714" s="22" t="str">
        <x:f>"21988901768"</x:f>
        <x:v>21988901768</x:v>
      </x:c>
      <x:c r="J2714" s="23" t="str">
        <x:v>RENTAL</x:v>
      </x:c>
      <x:c r="K2714" s="23" t="str">
        <x:v>rental_company</x:v>
      </x:c>
      <x:c r="L2714" s="24" t="b">
        <x:v>1</x:v>
      </x:c>
      <x:c r="M2714" s="23" t="n">
        <x:v>1</x:v>
      </x:c>
      <x:c r="N2714" s="28" t="n">
        <x:v>46219.812988715275</x:v>
      </x:c>
      <x:c r="O2714" s="28" t="n">
        <x:v>46219.812988715275</x:v>
      </x:c>
      <x:c r="P2714" s="23" t="str">
        <x:v>QUEIMADOS</x:v>
      </x:c>
      <x:c r="Q2714" s="30" t="n">
        <x:v>36697</x:v>
      </x:c>
      <x:c r="R2714" s="22" t="str">
        <x:f>"302911698"</x:f>
        <x:v>302911698</x:v>
      </x:c>
      <x:c r="S2714" s="23" t="str">
        <x:v>masculino</x:v>
      </x:c>
      <x:c r="T2714" s="22" t="str"/>
      <x:c r="U2714" s="23" t="str">
        <x:v>MATHEUS DOS SANTOS SILVA</x:v>
      </x:c>
      <x:c r="V2714" s="22" t="str">
        <x:f>"178.098.687-48"</x:f>
        <x:v>178.098.687-48</x:v>
      </x:c>
      <x:c r="W2714" s="22" t="str">
        <x:f>"17809868748"</x:f>
        <x:v>17809868748</x:v>
      </x:c>
      <x:c r="X2714" s="23" t="str">
        <x:v>MATHEUSDOSSANTOS8890@GMAIL.COM</x:v>
      </x:c>
      <x:c r="Y2714" s="22" t="str">
        <x:f>"21988901768"</x:f>
        <x:v>21988901768</x:v>
      </x:c>
      <x:c r="Z2714" s="30" t="n">
        <x:v>46537</x:v>
      </x:c>
    </x:row>
    <x:row r="2715" ht="18" customHeight="1">
      <x:c r="A2715" s="22" t="str">
        <x:f>"ae0ca45c-066c-44c7-9bf3-22142fa51985"</x:f>
        <x:v>ae0ca45c-066c-44c7-9bf3-22142fa51985</x:v>
      </x:c>
      <x:c r="B2715" s="23" t="str">
        <x:v>MATHEUS FELIPE JEREMIAS MOREIRA</x:v>
      </x:c>
      <x:c r="C2715" s="23" t="str">
        <x:v>matheus felipe jeremias moreira</x:v>
      </x:c>
      <x:c r="D2715" s="22" t="str">
        <x:f>"50.893.198/0001-58"</x:f>
        <x:v>50.893.198/0001-58</x:v>
      </x:c>
      <x:c r="E2715" s="22" t="str">
        <x:f>"50893198000158"</x:f>
        <x:v>50893198000158</x:v>
      </x:c>
      <x:c r="F2715" s="22" t="str">
        <x:f>"124.656.536-60"</x:f>
        <x:v>124.656.536-60</x:v>
      </x:c>
      <x:c r="G2715" s="22" t="str">
        <x:f>"12465653660"</x:f>
        <x:v>12465653660</x:v>
      </x:c>
      <x:c r="H2715" s="23" t="str">
        <x:v>natheusmf889@gmail.com</x:v>
      </x:c>
      <x:c r="I2715" s="22" t="str">
        <x:f>"31988781408"</x:f>
        <x:v>31988781408</x:v>
      </x:c>
      <x:c r="J2715" s="23" t="str">
        <x:v>SPOT</x:v>
      </x:c>
      <x:c r="K2715" s="23" t="str">
        <x:v>favored_only</x:v>
      </x:c>
      <x:c r="L2715" s="24" t="b">
        <x:v>1</x:v>
      </x:c>
      <x:c r="M2715" s="23" t="n">
        <x:v>1</x:v>
      </x:c>
      <x:c r="N2715" s="28" t="n">
        <x:v>46203.921858726855</x:v>
      </x:c>
      <x:c r="O2715" s="28" t="n">
        <x:v>46219.812988715275</x:v>
      </x:c>
      <x:c r="P2715" s="23" t="str">
        <x:v>CONTAGEM</x:v>
      </x:c>
      <x:c r="Q2715" s="30" t="n">
        <x:v>36809</x:v>
      </x:c>
      <x:c r="R2715" s="22" t="str">
        <x:f>"19001731"</x:f>
        <x:v>19001731</x:v>
      </x:c>
      <x:c r="S2715" s="23" t="str">
        <x:v>masculino</x:v>
      </x:c>
      <x:c r="T2715" s="22" t="str">
        <x:f>"EFZ9926"</x:f>
        <x:v>EFZ9926</x:v>
      </x:c>
      <x:c r="U2715" s="23" t="str">
        <x:v>MATHEUS FELIPE JEREMIAS MOREIRA</x:v>
      </x:c>
      <x:c r="V2715" s="22" t="str">
        <x:f>"074.755.031-20"</x:f>
        <x:v>074.755.031-20</x:v>
      </x:c>
      <x:c r="W2715" s="22" t="str">
        <x:f>"07475503120"</x:f>
        <x:v>07475503120</x:v>
      </x:c>
      <x:c r="X2715" s="23" t="str">
        <x:v>natheusmf889@gmail.com</x:v>
      </x:c>
      <x:c r="Y2715" s="22" t="str">
        <x:f>"31988781408"</x:f>
        <x:v>31988781408</x:v>
      </x:c>
      <x:c r="Z2715" s="30" t="n">
        <x:v>46262</x:v>
      </x:c>
    </x:row>
    <x:row r="2716" ht="18" customHeight="1">
      <x:c r="A2716" s="22" t="str">
        <x:f>"af3e6fc1-4d09-4649-8d79-99981ebe8d36"</x:f>
        <x:v>af3e6fc1-4d09-4649-8d79-99981ebe8d36</x:v>
      </x:c>
      <x:c r="B2716" s="23" t="str">
        <x:v>MATHEUS FELIX BERNARDES</x:v>
      </x:c>
      <x:c r="C2716" s="23" t="str">
        <x:v>matheus felix bernardes</x:v>
      </x:c>
      <x:c r="D2716" s="22" t="str">
        <x:f>"65.862.180/0001-66"</x:f>
        <x:v>65.862.180/0001-66</x:v>
      </x:c>
      <x:c r="E2716" s="22" t="str">
        <x:f>"65862180000166"</x:f>
        <x:v>65862180000166</x:v>
      </x:c>
      <x:c r="F2716" s="22" t="str">
        <x:f>"118.509.376-13"</x:f>
        <x:v>118.509.376-13</x:v>
      </x:c>
      <x:c r="G2716" s="22" t="str">
        <x:f>"11850937613"</x:f>
        <x:v>11850937613</x:v>
      </x:c>
      <x:c r="H2716" s="23" t="str">
        <x:v>carrouber806@gmail.com</x:v>
      </x:c>
      <x:c r="I2716" s="22" t="str">
        <x:f>"31 97159-1798"</x:f>
        <x:v>31 97159-1798</x:v>
      </x:c>
      <x:c r="J2716" s="23" t="str">
        <x:v>SPOT</x:v>
      </x:c>
      <x:c r="K2716" s="23" t="str">
        <x:v>favored_only</x:v>
      </x:c>
      <x:c r="L2716" s="24" t="b">
        <x:v>1</x:v>
      </x:c>
      <x:c r="M2716" s="23" t="n">
        <x:v>2</x:v>
      </x:c>
      <x:c r="N2716" s="28" t="n">
        <x:v>46219.812988715275</x:v>
      </x:c>
      <x:c r="O2716" s="28" t="n">
        <x:v>46219.812988715275</x:v>
      </x:c>
      <x:c r="P2716" s="23" t="str">
        <x:v>CONTAGEM</x:v>
      </x:c>
      <x:c r="Q2716" s="30" t="n">
        <x:v>34728</x:v>
      </x:c>
      <x:c r="R2716" s="22" t="str">
        <x:f>"17313767"</x:f>
        <x:v>17313767</x:v>
      </x:c>
      <x:c r="S2716" s="23" t="str">
        <x:v>masculino</x:v>
      </x:c>
      <x:c r="T2716" s="22" t="str">
        <x:f>"UBJ3I96"</x:f>
        <x:v>UBJ3I96</x:v>
      </x:c>
      <x:c r="U2716" s="23" t="str">
        <x:v>MATHEUS FELIX BERNARDES</x:v>
      </x:c>
      <x:c r="V2716" s="22" t="str">
        <x:f>"118.509.376-13"</x:f>
        <x:v>118.509.376-13</x:v>
      </x:c>
      <x:c r="W2716" s="22" t="str">
        <x:f>"11850937613"</x:f>
        <x:v>11850937613</x:v>
      </x:c>
      <x:c r="X2716" s="23" t="str">
        <x:v>carrouber806@gmail.com</x:v>
      </x:c>
      <x:c r="Y2716" s="22" t="str">
        <x:f>"31 97159-1798"</x:f>
        <x:v>31 97159-1798</x:v>
      </x:c>
      <x:c r="Z2716" s="30" t="n">
        <x:v>46549</x:v>
      </x:c>
    </x:row>
    <x:row r="2717" ht="18" customHeight="1">
      <x:c r="A2717" s="22" t="str">
        <x:f>"682703d0-159f-41e3-8d35-bcc1684f856d"</x:f>
        <x:v>682703d0-159f-41e3-8d35-bcc1684f856d</x:v>
      </x:c>
      <x:c r="B2717" s="23" t="str">
        <x:v>MATHEUS FERREIRA IBANHEZ</x:v>
      </x:c>
      <x:c r="C2717" s="23" t="str">
        <x:v>matheus ferreira ibanhez</x:v>
      </x:c>
      <x:c r="D2717" s="22" t="str">
        <x:f>"53.498.383/0001-36"</x:f>
        <x:v>53.498.383/0001-36</x:v>
      </x:c>
      <x:c r="E2717" s="22" t="str">
        <x:f>"53498383000136"</x:f>
        <x:v>53498383000136</x:v>
      </x:c>
      <x:c r="F2717" s="22" t="str">
        <x:f>"464.459.958-10"</x:f>
        <x:v>464.459.958-10</x:v>
      </x:c>
      <x:c r="G2717" s="22" t="str">
        <x:f>"46445995810"</x:f>
        <x:v>46445995810</x:v>
      </x:c>
      <x:c r="H2717" s="23" t="str">
        <x:v>mana123.gaa@gmail.com</x:v>
      </x:c>
      <x:c r="I2717" s="22" t="str">
        <x:f>"14 99908-8204"</x:f>
        <x:v>14 99908-8204</x:v>
      </x:c>
      <x:c r="J2717" s="23" t="str">
        <x:v>RENTAL</x:v>
      </x:c>
      <x:c r="K2717" s="23" t="str">
        <x:v>rental_company</x:v>
      </x:c>
      <x:c r="L2717" s="24" t="b">
        <x:v>1</x:v>
      </x:c>
      <x:c r="M2717" s="23" t="n">
        <x:v>1</x:v>
      </x:c>
      <x:c r="N2717" s="28" t="n">
        <x:v>46203.92183017361</x:v>
      </x:c>
      <x:c r="O2717" s="28" t="n">
        <x:v>46219.812988715275</x:v>
      </x:c>
      <x:c r="P2717" s="23" t="str">
        <x:v>MARILIA</x:v>
      </x:c>
      <x:c r="Q2717" s="30" t="n">
        <x:v>37929</x:v>
      </x:c>
      <x:c r="R2717" s="22" t="str">
        <x:f>"59.623.178-7"</x:f>
        <x:v>59.623.178-7</x:v>
      </x:c>
      <x:c r="S2717" s="23" t="str">
        <x:v>masculino</x:v>
      </x:c>
      <x:c r="T2717" s="22" t="str"/>
      <x:c r="U2717" s="23" t="str">
        <x:v>MATHEUS FERREIRA IBANHEZ</x:v>
      </x:c>
      <x:c r="V2717" s="22" t="str">
        <x:f>"464.459.958-10"</x:f>
        <x:v>464.459.958-10</x:v>
      </x:c>
      <x:c r="W2717" s="22" t="str">
        <x:f>"46445995810"</x:f>
        <x:v>46445995810</x:v>
      </x:c>
      <x:c r="X2717" s="23" t="str">
        <x:v>mana123.gaa@gmail.com</x:v>
      </x:c>
      <x:c r="Y2717" s="22" t="str">
        <x:f>"14 99908-8204"</x:f>
        <x:v>14 99908-8204</x:v>
      </x:c>
      <x:c r="Z2717" s="30" t="n">
        <x:v>46375</x:v>
      </x:c>
    </x:row>
    <x:row r="2718" ht="18" customHeight="1">
      <x:c r="A2718" s="22" t="str">
        <x:f>"fb7c23d9-9d62-493e-b60b-51aa9808db14"</x:f>
        <x:v>fb7c23d9-9d62-493e-b60b-51aa9808db14</x:v>
      </x:c>
      <x:c r="B2718" s="23" t="str">
        <x:v>MATHEUS GABRIEL JAMAL CALMON</x:v>
      </x:c>
      <x:c r="C2718" s="23" t="str">
        <x:v>matheus gabriel jamal calmon</x:v>
      </x:c>
      <x:c r="D2718" s="22" t="str">
        <x:f>"65.595.441/0001-29"</x:f>
        <x:v>65.595.441/0001-29</x:v>
      </x:c>
      <x:c r="E2718" s="22" t="str">
        <x:f>"65595441000129"</x:f>
        <x:v>65595441000129</x:v>
      </x:c>
      <x:c r="F2718" s="22" t="str">
        <x:f>"144.556.316-90"</x:f>
        <x:v>144.556.316-90</x:v>
      </x:c>
      <x:c r="G2718" s="22" t="str">
        <x:f>"14455631690"</x:f>
        <x:v>14455631690</x:v>
      </x:c>
      <x:c r="H2718" s="23" t="str">
        <x:v>imatheusjamal@hotmail.com</x:v>
      </x:c>
      <x:c r="I2718" s="22" t="str">
        <x:f>"31992443003"</x:f>
        <x:v>31992443003</x:v>
      </x:c>
      <x:c r="J2718" s="23" t="str">
        <x:v>spot</x:v>
      </x:c>
      <x:c r="K2718" s="23" t="str">
        <x:v>favored_only</x:v>
      </x:c>
      <x:c r="L2718" s="24" t="b">
        <x:v>1</x:v>
      </x:c>
      <x:c r="M2718" s="23" t="n">
        <x:v>1</x:v>
      </x:c>
      <x:c r="N2718" s="28" t="n">
        <x:v>46219.812988715275</x:v>
      </x:c>
      <x:c r="O2718" s="28" t="n">
        <x:v>46219.812988715275</x:v>
      </x:c>
      <x:c r="P2718" s="23" t="str">
        <x:v>CONTAGEM</x:v>
      </x:c>
      <x:c r="Q2718" s="30" t="n">
        <x:v>36768</x:v>
      </x:c>
      <x:c r="R2718" s="22" t="str">
        <x:f>"MG17058090"</x:f>
        <x:v>MG17058090</x:v>
      </x:c>
      <x:c r="S2718" s="23" t="str">
        <x:v>masculino</x:v>
      </x:c>
      <x:c r="T2718" s="22" t="str">
        <x:f>"PVX1F59"</x:f>
        <x:v>PVX1F59</x:v>
      </x:c>
      <x:c r="U2718" s="23" t="str">
        <x:v>MATHEUS GABRIEL JAMAL CALMON</x:v>
      </x:c>
      <x:c r="V2718" s="22" t="str">
        <x:f>"144.556.316-90"</x:f>
        <x:v>144.556.316-90</x:v>
      </x:c>
      <x:c r="W2718" s="22" t="str">
        <x:f>"14455631690"</x:f>
        <x:v>14455631690</x:v>
      </x:c>
      <x:c r="X2718" s="23" t="str">
        <x:v>imatheusjamal@hotmail.com</x:v>
      </x:c>
      <x:c r="Y2718" s="22" t="str">
        <x:f>"31992443003"</x:f>
        <x:v>31992443003</x:v>
      </x:c>
      <x:c r="Z2718" s="30" t="n">
        <x:v>46490</x:v>
      </x:c>
    </x:row>
    <x:row r="2719" ht="18" customHeight="1">
      <x:c r="A2719" s="22" t="str">
        <x:f>"86dc0c01-2afb-4a39-9186-e25d151c2252"</x:f>
        <x:v>86dc0c01-2afb-4a39-9186-e25d151c2252</x:v>
      </x:c>
      <x:c r="B2719" s="23" t="str">
        <x:v>MATHEUS GOMES AZEVEDO</x:v>
      </x:c>
      <x:c r="C2719" s="23" t="str">
        <x:v>matheus gomes azevedo</x:v>
      </x:c>
      <x:c r="D2719" s="22" t="str">
        <x:f>"62.167.521/0001-95"</x:f>
        <x:v>62.167.521/0001-95</x:v>
      </x:c>
      <x:c r="E2719" s="22" t="str">
        <x:f>"62167521000195"</x:f>
        <x:v>62167521000195</x:v>
      </x:c>
      <x:c r="F2719" s="22" t="str">
        <x:f>"050.420.141-79"</x:f>
        <x:v>050.420.141-79</x:v>
      </x:c>
      <x:c r="G2719" s="22" t="str">
        <x:f>"05042014179"</x:f>
        <x:v>05042014179</x:v>
      </x:c>
      <x:c r="H2719" s="23" t="str">
        <x:v>mateusjauruazevedo@hotmail.com</x:v>
      </x:c>
      <x:c r="I2719" s="22" t="str">
        <x:f>"65996786166"</x:f>
        <x:v>65996786166</x:v>
      </x:c>
      <x:c r="J2719" s="23" t="str">
        <x:v>SPOT</x:v>
      </x:c>
      <x:c r="K2719" s="23" t="str">
        <x:v>favored_only</x:v>
      </x:c>
      <x:c r="L2719" s="24" t="b">
        <x:v>1</x:v>
      </x:c>
      <x:c r="M2719" s="23" t="n">
        <x:v>1</x:v>
      </x:c>
      <x:c r="N2719" s="28" t="n">
        <x:v>46203.921858726855</x:v>
      </x:c>
      <x:c r="O2719" s="28" t="n">
        <x:v>46219.812988715275</x:v>
      </x:c>
      <x:c r="P2719" s="23" t="str">
        <x:v>ARAPUTANGA</x:v>
      </x:c>
      <x:c r="Q2719" s="30" t="n">
        <x:v>34794</x:v>
      </x:c>
      <x:c r="R2719" s="22" t="str">
        <x:f>"22075992 SSP MT"</x:f>
        <x:v>22075992 SSP MT</x:v>
      </x:c>
      <x:c r="S2719" s="23" t="str">
        <x:v>masculino</x:v>
      </x:c>
      <x:c r="T2719" s="22" t="str">
        <x:f>"FYS4D00"</x:f>
        <x:v>FYS4D00</x:v>
      </x:c>
      <x:c r="U2719" s="23" t="str">
        <x:v>MATHEUS GOMES AZEVEDO</x:v>
      </x:c>
      <x:c r="V2719" s="22" t="str">
        <x:f>"050.420.141-79"</x:f>
        <x:v>050.420.141-79</x:v>
      </x:c>
      <x:c r="W2719" s="22" t="str">
        <x:f>"05042014179"</x:f>
        <x:v>05042014179</x:v>
      </x:c>
      <x:c r="X2719" s="23" t="str">
        <x:v>mateusjauruazevedo@hotmail.com</x:v>
      </x:c>
      <x:c r="Y2719" s="22" t="str">
        <x:f>"65996786166"</x:f>
        <x:v>65996786166</x:v>
      </x:c>
      <x:c r="Z2719" s="30" t="n">
        <x:v>46268</x:v>
      </x:c>
    </x:row>
    <x:row r="2720" ht="18" customHeight="1">
      <x:c r="A2720" s="22" t="str">
        <x:f>"3abe5c2e-477c-4a96-bf7c-0f46c24f9d7d"</x:f>
        <x:v>3abe5c2e-477c-4a96-bf7c-0f46c24f9d7d</x:v>
      </x:c>
      <x:c r="B2720" s="23" t="str">
        <x:v>MATHEUS HENRIQUE DA ROCHA</x:v>
      </x:c>
      <x:c r="C2720" s="23" t="str">
        <x:v>matheus henrique da rocha</x:v>
      </x:c>
      <x:c r="D2720" s="22" t="str">
        <x:f>"55.226.877/0001-97"</x:f>
        <x:v>55.226.877/0001-97</x:v>
      </x:c>
      <x:c r="E2720" s="22" t="str">
        <x:f>"55226877000197"</x:f>
        <x:v>55226877000197</x:v>
      </x:c>
      <x:c r="F2720" s="22" t="str">
        <x:f>"479.973.318-40"</x:f>
        <x:v>479.973.318-40</x:v>
      </x:c>
      <x:c r="G2720" s="22" t="str">
        <x:f>"47997331840"</x:f>
        <x:v>47997331840</x:v>
      </x:c>
      <x:c r="H2720" s="23" t="str">
        <x:v>matheus.h.rocha@hotmail.com</x:v>
      </x:c>
      <x:c r="I2720" s="22" t="str">
        <x:f>"18 991504813"</x:f>
        <x:v>18 991504813</x:v>
      </x:c>
      <x:c r="J2720" s="23" t="str">
        <x:v>SPOT</x:v>
      </x:c>
      <x:c r="K2720" s="23" t="str">
        <x:v>favored_only</x:v>
      </x:c>
      <x:c r="L2720" s="24" t="b">
        <x:v>1</x:v>
      </x:c>
      <x:c r="M2720" s="23" t="n">
        <x:v>1</x:v>
      </x:c>
      <x:c r="N2720" s="28" t="n">
        <x:v>46203.921858726855</x:v>
      </x:c>
      <x:c r="O2720" s="28" t="n">
        <x:v>46219.812988715275</x:v>
      </x:c>
      <x:c r="P2720" s="23" t="str">
        <x:v>ARAÇATUBA</x:v>
      </x:c>
      <x:c r="Q2720" s="30" t="n">
        <x:v>36229</x:v>
      </x:c>
      <x:c r="R2720" s="22" t="str">
        <x:f>"52541408"</x:f>
        <x:v>52541408</x:v>
      </x:c>
      <x:c r="S2720" s="23" t="str">
        <x:v>masculino</x:v>
      </x:c>
      <x:c r="T2720" s="22" t="str">
        <x:f>"ENJ6A05"</x:f>
        <x:v>ENJ6A05</x:v>
      </x:c>
      <x:c r="U2720" s="23" t="str">
        <x:v>MATHEUS HENRIQUE DA ROCHA</x:v>
      </x:c>
      <x:c r="V2720" s="22" t="str">
        <x:f>"479.973.318-40"</x:f>
        <x:v>479.973.318-40</x:v>
      </x:c>
      <x:c r="W2720" s="22" t="str">
        <x:f>"47997331840"</x:f>
        <x:v>47997331840</x:v>
      </x:c>
      <x:c r="X2720" s="23" t="str">
        <x:v>matheus.h.rocha@hotmail.com</x:v>
      </x:c>
      <x:c r="Y2720" s="22" t="str">
        <x:f>"18 991504813"</x:f>
        <x:v>18 991504813</x:v>
      </x:c>
      <x:c r="Z2720" s="30" t="n">
        <x:v>46269</x:v>
      </x:c>
    </x:row>
    <x:row r="2721" ht="18" customHeight="1">
      <x:c r="A2721" s="22" t="str">
        <x:f>"f3028a34-d277-472e-a469-73023fcb007c"</x:f>
        <x:v>f3028a34-d277-472e-a469-73023fcb007c</x:v>
      </x:c>
      <x:c r="B2721" s="23" t="str">
        <x:v>MATHEUS HENRIQUE DA SILVA ALVES</x:v>
      </x:c>
      <x:c r="C2721" s="23" t="str">
        <x:v>matheus henrique da silva alves</x:v>
      </x:c>
      <x:c r="D2721" s="22" t="str">
        <x:f>"61.261.031/0001-90"</x:f>
        <x:v>61.261.031/0001-90</x:v>
      </x:c>
      <x:c r="E2721" s="22" t="str">
        <x:f>"61261031000190"</x:f>
        <x:v>61261031000190</x:v>
      </x:c>
      <x:c r="F2721" s="22" t="str">
        <x:f>"704.251.411-44"</x:f>
        <x:v>704.251.411-44</x:v>
      </x:c>
      <x:c r="G2721" s="22" t="str">
        <x:f>"70425141144"</x:f>
        <x:v>70425141144</x:v>
      </x:c>
      <x:c r="H2721" s="23" t="str">
        <x:v>matheus14sillva@icloud.com</x:v>
      </x:c>
      <x:c r="I2721" s="22" t="str">
        <x:f>"62 9122-0385"</x:f>
        <x:v>62 9122-0385</x:v>
      </x:c>
      <x:c r="J2721" s="23" t="str">
        <x:v>SPOT</x:v>
      </x:c>
      <x:c r="K2721" s="23" t="str">
        <x:v>favored_only</x:v>
      </x:c>
      <x:c r="L2721" s="24" t="b">
        <x:v>1</x:v>
      </x:c>
      <x:c r="M2721" s="23" t="n">
        <x:v>1</x:v>
      </x:c>
      <x:c r="N2721" s="28" t="n">
        <x:v>46219.812988715275</x:v>
      </x:c>
      <x:c r="O2721" s="28" t="n">
        <x:v>46219.812988715275</x:v>
      </x:c>
      <x:c r="P2721" s="23" t="str">
        <x:v>GOIANIA</x:v>
      </x:c>
      <x:c r="Q2721" s="30" t="n">
        <x:v>36137</x:v>
      </x:c>
      <x:c r="R2721" s="22" t="str">
        <x:f>"6489196"</x:f>
        <x:v>6489196</x:v>
      </x:c>
      <x:c r="S2721" s="23" t="str">
        <x:v>masculino</x:v>
      </x:c>
      <x:c r="T2721" s="22" t="str">
        <x:f>"PRU8J46"</x:f>
        <x:v>PRU8J46</x:v>
      </x:c>
      <x:c r="U2721" s="23" t="str">
        <x:v>PAULO THARSO DE OLIVEIRA CAMARGO</x:v>
      </x:c>
      <x:c r="V2721" s="22" t="str">
        <x:f>"757.322.381-15"</x:f>
        <x:v>757.322.381-15</x:v>
      </x:c>
      <x:c r="W2721" s="22" t="str">
        <x:f>"75732238115"</x:f>
        <x:v>75732238115</x:v>
      </x:c>
      <x:c r="X2721" s="23" t="str">
        <x:v>paulotharso0@gmail.com</x:v>
      </x:c>
      <x:c r="Y2721" s="22" t="str">
        <x:f>"62994854241"</x:f>
        <x:v>62994854241</x:v>
      </x:c>
      <x:c r="Z2721" s="30" t="n">
        <x:v>46449</x:v>
      </x:c>
    </x:row>
    <x:row r="2722" ht="18" customHeight="1">
      <x:c r="A2722" s="22" t="str">
        <x:f>"06e57723-642f-49c6-ba73-4a585c4520e3"</x:f>
        <x:v>06e57723-642f-49c6-ba73-4a585c4520e3</x:v>
      </x:c>
      <x:c r="B2722" s="23" t="str">
        <x:v>MATHEUS HENRIQUE DE ANDRADE</x:v>
      </x:c>
      <x:c r="C2722" s="23" t="str">
        <x:v>matheus henrique de andrade</x:v>
      </x:c>
      <x:c r="D2722" s="22" t="str">
        <x:f>"57.362.648/0001-25"</x:f>
        <x:v>57.362.648/0001-25</x:v>
      </x:c>
      <x:c r="E2722" s="22" t="str">
        <x:f>"57362648000125"</x:f>
        <x:v>57362648000125</x:v>
      </x:c>
      <x:c r="F2722" s="22" t="str">
        <x:f>"514.070.918-08"</x:f>
        <x:v>514.070.918-08</x:v>
      </x:c>
      <x:c r="G2722" s="22" t="str">
        <x:f>"51407091808"</x:f>
        <x:v>51407091808</x:v>
      </x:c>
      <x:c r="H2722" s="23" t="str">
        <x:v>mandrad7123@gmail.com</x:v>
      </x:c>
      <x:c r="I2722" s="22" t="str">
        <x:f>"16997770036"</x:f>
        <x:v>16997770036</x:v>
      </x:c>
      <x:c r="J2722" s="23" t="str">
        <x:v>SPOT</x:v>
      </x:c>
      <x:c r="K2722" s="23" t="str">
        <x:v>rental_company</x:v>
      </x:c>
      <x:c r="L2722" s="24" t="b">
        <x:v>1</x:v>
      </x:c>
      <x:c r="M2722" s="23" t="n">
        <x:v>2</x:v>
      </x:c>
      <x:c r="N2722" s="28" t="n">
        <x:v>46203.92183017361</x:v>
      </x:c>
      <x:c r="O2722" s="28" t="n">
        <x:v>46219.812988715275</x:v>
      </x:c>
      <x:c r="P2722" s="23" t="str">
        <x:v>SÃO CARLOS</x:v>
      </x:c>
      <x:c r="Q2722" s="30" t="n">
        <x:v>37531</x:v>
      </x:c>
      <x:c r="R2722" s="22" t="str">
        <x:f>"623351936"</x:f>
        <x:v>623351936</x:v>
      </x:c>
      <x:c r="S2722" s="23" t="str">
        <x:v>masculino</x:v>
      </x:c>
      <x:c r="T2722" s="22" t="str">
        <x:f>"ETH3G50"</x:f>
        <x:v>ETH3G50</x:v>
      </x:c>
      <x:c r="U2722" s="23" t="str">
        <x:v>MATHEUS HENRIQUE DE ANDRADE</x:v>
      </x:c>
      <x:c r="V2722" s="22" t="str">
        <x:f>"514.070.918-08"</x:f>
        <x:v>514.070.918-08</x:v>
      </x:c>
      <x:c r="W2722" s="22" t="str">
        <x:f>"51407091808"</x:f>
        <x:v>51407091808</x:v>
      </x:c>
      <x:c r="X2722" s="23" t="str">
        <x:v>mandrad7123@gmail.com</x:v>
      </x:c>
      <x:c r="Y2722" s="22" t="str">
        <x:f>"16997770036"</x:f>
        <x:v>16997770036</x:v>
      </x:c>
      <x:c r="Z2722" s="30" t="n">
        <x:v>46562</x:v>
      </x:c>
    </x:row>
    <x:row r="2723" ht="18" customHeight="1">
      <x:c r="A2723" s="22" t="str">
        <x:f>"60f52703-79c3-4be6-986e-ac79e0416c26"</x:f>
        <x:v>60f52703-79c3-4be6-986e-ac79e0416c26</x:v>
      </x:c>
      <x:c r="B2723" s="23" t="str">
        <x:v>MATHEUS HENRIQUE DE MIRANDA FERREIRA</x:v>
      </x:c>
      <x:c r="C2723" s="23" t="str">
        <x:v>matheus henrique de miranda ferreira</x:v>
      </x:c>
      <x:c r="D2723" s="22" t="str">
        <x:f>"65.203.581/0001-04"</x:f>
        <x:v>65.203.581/0001-04</x:v>
      </x:c>
      <x:c r="E2723" s="22" t="str">
        <x:f>"65203581000104"</x:f>
        <x:v>65203581000104</x:v>
      </x:c>
      <x:c r="F2723" s="22" t="str">
        <x:f>"155.370.676-50"</x:f>
        <x:v>155.370.676-50</x:v>
      </x:c>
      <x:c r="G2723" s="22" t="str">
        <x:f>"15537067650"</x:f>
        <x:v>15537067650</x:v>
      </x:c>
      <x:c r="H2723" s="23" t="str">
        <x:v>ferreiramatheus49291@gmail.com</x:v>
      </x:c>
      <x:c r="I2723" s="22" t="str">
        <x:f>"3199369-6488"</x:f>
        <x:v>3199369-6488</x:v>
      </x:c>
      <x:c r="J2723" s="23" t="str">
        <x:v>RENTAL</x:v>
      </x:c>
      <x:c r="K2723" s="23" t="str">
        <x:v>rental_company</x:v>
      </x:c>
      <x:c r="L2723" s="24" t="b">
        <x:v>1</x:v>
      </x:c>
      <x:c r="M2723" s="23" t="n">
        <x:v>2</x:v>
      </x:c>
      <x:c r="N2723" s="28" t="n">
        <x:v>46219.812988715275</x:v>
      </x:c>
      <x:c r="O2723" s="28" t="n">
        <x:v>46219.812988715275</x:v>
      </x:c>
      <x:c r="P2723" s="23" t="str">
        <x:v>IPATINGA</x:v>
      </x:c>
      <x:c r="Q2723" s="30" t="n">
        <x:v>36938</x:v>
      </x:c>
      <x:c r="R2723" s="22" t="str">
        <x:f>"MG 21874295 SSP MG"</x:f>
        <x:v>MG 21874295 SSP MG</x:v>
      </x:c>
      <x:c r="S2723" s="23" t="str">
        <x:v>masculino</x:v>
      </x:c>
      <x:c r="T2723" s="22" t="str">
        <x:f>"PZY7H37"</x:f>
        <x:v>PZY7H37</x:v>
      </x:c>
      <x:c r="U2723" s="23" t="str">
        <x:v>MATHEUS HENRIQUE DE MIRANDA FERREIRA</x:v>
      </x:c>
      <x:c r="V2723" s="22" t="str">
        <x:f>"155.370.676-50"</x:f>
        <x:v>155.370.676-50</x:v>
      </x:c>
      <x:c r="W2723" s="22" t="str">
        <x:f>"15537067650"</x:f>
        <x:v>15537067650</x:v>
      </x:c>
      <x:c r="X2723" s="23" t="str">
        <x:v>ferreiramatheus49291@gmail.com</x:v>
      </x:c>
      <x:c r="Y2723" s="22" t="str">
        <x:f>"3199369-6488"</x:f>
        <x:v>3199369-6488</x:v>
      </x:c>
      <x:c r="Z2723" s="30" t="n">
        <x:v>46470</x:v>
      </x:c>
    </x:row>
    <x:row r="2724" ht="18" customHeight="1">
      <x:c r="A2724" s="22" t="str">
        <x:f>"54418c60-e0bb-42da-92ae-459906491b2e"</x:f>
        <x:v>54418c60-e0bb-42da-92ae-459906491b2e</x:v>
      </x:c>
      <x:c r="B2724" s="23" t="str">
        <x:v>MATHEUS HENRIQUE FERNANDES</x:v>
      </x:c>
      <x:c r="C2724" s="23" t="str">
        <x:v>matheus henrique fernandes</x:v>
      </x:c>
      <x:c r="D2724" s="22" t="str">
        <x:f>"67.803.497/0001-57"</x:f>
        <x:v>67.803.497/0001-57</x:v>
      </x:c>
      <x:c r="E2724" s="22" t="str">
        <x:f>"67803497000157"</x:f>
        <x:v>67803497000157</x:v>
      </x:c>
      <x:c r="F2724" s="22" t="str">
        <x:f>"121.680.106-17"</x:f>
        <x:v>121.680.106-17</x:v>
      </x:c>
      <x:c r="G2724" s="22" t="str">
        <x:f>"12168010617"</x:f>
        <x:v>12168010617</x:v>
      </x:c>
      <x:c r="H2724" s="23" t="str">
        <x:v>Mathfernandes99@gmail.com</x:v>
      </x:c>
      <x:c r="I2724" s="22" t="str">
        <x:f>"(19)98918-0054"</x:f>
        <x:v>(19)98918-0054</x:v>
      </x:c>
      <x:c r="J2724" s="23" t="str">
        <x:v>RENTALS</x:v>
      </x:c>
      <x:c r="K2724" s="23" t="str">
        <x:v>rental_company</x:v>
      </x:c>
      <x:c r="L2724" s="24" t="b">
        <x:v>1</x:v>
      </x:c>
      <x:c r="M2724" s="23" t="n">
        <x:v>1</x:v>
      </x:c>
      <x:c r="N2724" s="28" t="n">
        <x:v>46219.812988715275</x:v>
      </x:c>
      <x:c r="O2724" s="28" t="n">
        <x:v>46219.812988715275</x:v>
      </x:c>
      <x:c r="P2724" s="23" t="str">
        <x:v>POUSO ALEGRE</x:v>
      </x:c>
      <x:c r="Q2724" s="30" t="n">
        <x:v>34626</x:v>
      </x:c>
      <x:c r="R2724" s="22" t="str">
        <x:f>"5704200519"</x:f>
        <x:v>5704200519</x:v>
      </x:c>
      <x:c r="S2724" s="23" t="str">
        <x:v>masculino</x:v>
      </x:c>
      <x:c r="T2724" s="22" t="str"/>
      <x:c r="U2724" s="23" t="str">
        <x:v>MATHEUS HENRIQUE FERNANDES</x:v>
      </x:c>
      <x:c r="V2724" s="22" t="str">
        <x:f>"121.680.106-17"</x:f>
        <x:v>121.680.106-17</x:v>
      </x:c>
      <x:c r="W2724" s="22" t="str">
        <x:f>"12168010617"</x:f>
        <x:v>12168010617</x:v>
      </x:c>
      <x:c r="X2724" s="23" t="str">
        <x:v>Mathfernandes99@gmail.com</x:v>
      </x:c>
      <x:c r="Y2724" s="22" t="str">
        <x:f>"(19)98918-0054"</x:f>
        <x:v>(19)98918-0054</x:v>
      </x:c>
      <x:c r="Z2724" s="30" t="n">
        <x:v>46570</x:v>
      </x:c>
    </x:row>
    <x:row r="2725" ht="18" customHeight="1">
      <x:c r="A2725" s="22" t="str">
        <x:f>"eafdae1e-88b6-400b-bda7-f12f002a0ed4"</x:f>
        <x:v>eafdae1e-88b6-400b-bda7-f12f002a0ed4</x:v>
      </x:c>
      <x:c r="B2725" s="23" t="str">
        <x:v>MATHEUS HENRIQUE FERREIRA DOS SANTOS</x:v>
      </x:c>
      <x:c r="C2725" s="23" t="str">
        <x:v>matheus henrique ferreira dos santos</x:v>
      </x:c>
      <x:c r="D2725" s="22" t="str">
        <x:f>"61.721.603/0001-77"</x:f>
        <x:v>61.721.603/0001-77</x:v>
      </x:c>
      <x:c r="E2725" s="22" t="str">
        <x:f>"61721603000177"</x:f>
        <x:v>61721603000177</x:v>
      </x:c>
      <x:c r="F2725" s="22" t="str">
        <x:f>"701.130.621-84"</x:f>
        <x:v>701.130.621-84</x:v>
      </x:c>
      <x:c r="G2725" s="22" t="str">
        <x:f>"70113062184"</x:f>
        <x:v>70113062184</x:v>
      </x:c>
      <x:c r="H2725" s="23" t="str">
        <x:v>matheus-hfs@hotmail.com</x:v>
      </x:c>
      <x:c r="I2725" s="22" t="str">
        <x:f>"64 984288455"</x:f>
        <x:v>64 984288455</x:v>
      </x:c>
      <x:c r="J2725" s="23" t="str">
        <x:v>RENTAL</x:v>
      </x:c>
      <x:c r="K2725" s="23" t="str">
        <x:v>rental_company</x:v>
      </x:c>
      <x:c r="L2725" s="24" t="b">
        <x:v>1</x:v>
      </x:c>
      <x:c r="M2725" s="23" t="n">
        <x:v>1</x:v>
      </x:c>
      <x:c r="N2725" s="28" t="n">
        <x:v>46203.92186462963</x:v>
      </x:c>
      <x:c r="O2725" s="28" t="n">
        <x:v>46219.812988715275</x:v>
      </x:c>
      <x:c r="P2725" s="23" t="str">
        <x:v>RIO VERDE</x:v>
      </x:c>
      <x:c r="Q2725" s="30" t="n">
        <x:v>35307</x:v>
      </x:c>
      <x:c r="R2725" s="22" t="str">
        <x:f>"6007046"</x:f>
        <x:v>6007046</x:v>
      </x:c>
      <x:c r="S2725" s="23" t="str">
        <x:v>masculino</x:v>
      </x:c>
      <x:c r="T2725" s="22" t="str"/>
      <x:c r="U2725" s="23" t="str">
        <x:v>MATHEUS HENRIQUE FERREIRA DOS SANTOS</x:v>
      </x:c>
      <x:c r="V2725" s="22" t="str">
        <x:f>"701.130.621-84"</x:f>
        <x:v>701.130.621-84</x:v>
      </x:c>
      <x:c r="W2725" s="22" t="str">
        <x:f>"70113062184"</x:f>
        <x:v>70113062184</x:v>
      </x:c>
      <x:c r="X2725" s="23" t="str">
        <x:v>matheus-hfs@hotmail.com</x:v>
      </x:c>
      <x:c r="Y2725" s="22" t="str">
        <x:f>"64 984288455"</x:f>
        <x:v>64 984288455</x:v>
      </x:c>
      <x:c r="Z2725" s="30" t="n">
        <x:v>46269</x:v>
      </x:c>
    </x:row>
    <x:row r="2726" ht="18" customHeight="1">
      <x:c r="A2726" s="22" t="str">
        <x:f>"c74bde63-776f-4b9f-b39f-7cf1e50980e2"</x:f>
        <x:v>c74bde63-776f-4b9f-b39f-7cf1e50980e2</x:v>
      </x:c>
      <x:c r="B2726" s="23" t="str">
        <x:v>MATHEUS HENRIQUE HAUEISEN CARDOSO</x:v>
      </x:c>
      <x:c r="C2726" s="23" t="str">
        <x:v>matheus henrique haueisen cardoso</x:v>
      </x:c>
      <x:c r="D2726" s="22" t="str">
        <x:f>"47.791.170/0001-03"</x:f>
        <x:v>47.791.170/0001-03</x:v>
      </x:c>
      <x:c r="E2726" s="22" t="str">
        <x:f>"47791170000103"</x:f>
        <x:v>47791170000103</x:v>
      </x:c>
      <x:c r="F2726" s="22" t="str">
        <x:f>"131.277.686-21"</x:f>
        <x:v>131.277.686-21</x:v>
      </x:c>
      <x:c r="G2726" s="22" t="str">
        <x:f>"13127768621"</x:f>
        <x:v>13127768621</x:v>
      </x:c>
      <x:c r="H2726" s="23" t="str">
        <x:v>mhenryhc@gmail.com</x:v>
      </x:c>
      <x:c r="I2726" s="22" t="str">
        <x:f>"34998750403"</x:f>
        <x:v>34998750403</x:v>
      </x:c>
      <x:c r="J2726" s="23" t="str">
        <x:v>SPOT</x:v>
      </x:c>
      <x:c r="K2726" s="23" t="str">
        <x:v>favored_only</x:v>
      </x:c>
      <x:c r="L2726" s="24" t="b">
        <x:v>1</x:v>
      </x:c>
      <x:c r="M2726" s="23" t="n">
        <x:v>1</x:v>
      </x:c>
      <x:c r="N2726" s="28" t="n">
        <x:v>46203.92191240741</x:v>
      </x:c>
      <x:c r="O2726" s="28" t="n">
        <x:v>46219.812988715275</x:v>
      </x:c>
      <x:c r="P2726" s="23" t="str">
        <x:v>PATOS DE MINAS</x:v>
      </x:c>
      <x:c r="Q2726" s="30" t="n">
        <x:v>34682</x:v>
      </x:c>
      <x:c r="R2726" s="22" t="str">
        <x:f>"MG15892340"</x:f>
        <x:v>MG15892340</x:v>
      </x:c>
      <x:c r="S2726" s="23" t="str">
        <x:v>masculino</x:v>
      </x:c>
      <x:c r="T2726" s="22" t="str">
        <x:f>"TCI8F36"</x:f>
        <x:v>TCI8F36</x:v>
      </x:c>
      <x:c r="U2726" s="23" t="str">
        <x:v>MATHEUS HENRIQUE HAUEISEN CARDOSO</x:v>
      </x:c>
      <x:c r="V2726" s="22" t="str">
        <x:f>"131.277.686-21"</x:f>
        <x:v>131.277.686-21</x:v>
      </x:c>
      <x:c r="W2726" s="22" t="str">
        <x:f>"13127768621"</x:f>
        <x:v>13127768621</x:v>
      </x:c>
      <x:c r="X2726" s="23" t="str">
        <x:v>mhenryhc@gmail.com</x:v>
      </x:c>
      <x:c r="Y2726" s="22" t="str">
        <x:f>"34998750403"</x:f>
        <x:v>34998750403</x:v>
      </x:c>
      <x:c r="Z2726" s="30" t="n">
        <x:v>46516</x:v>
      </x:c>
    </x:row>
    <x:row r="2727" ht="18" customHeight="1">
      <x:c r="A2727" s="22" t="str">
        <x:f>"77eb718d-302b-405c-bad7-45b3d66f8f03"</x:f>
        <x:v>77eb718d-302b-405c-bad7-45b3d66f8f03</x:v>
      </x:c>
      <x:c r="B2727" s="23" t="str">
        <x:v>MATHEUS HENRIQUE MOREIRA SILVA</x:v>
      </x:c>
      <x:c r="C2727" s="23" t="str">
        <x:v>matheus henrique moreira silva</x:v>
      </x:c>
      <x:c r="D2727" s="22" t="str">
        <x:f>"52.506.307/0001-62"</x:f>
        <x:v>52.506.307/0001-62</x:v>
      </x:c>
      <x:c r="E2727" s="22" t="str">
        <x:f>"52506307000162"</x:f>
        <x:v>52506307000162</x:v>
      </x:c>
      <x:c r="F2727" s="22" t="str">
        <x:f>"119.283.596-47"</x:f>
        <x:v>119.283.596-47</x:v>
      </x:c>
      <x:c r="G2727" s="22" t="str">
        <x:f>"11928359647"</x:f>
        <x:v>11928359647</x:v>
      </x:c>
      <x:c r="H2727" s="23" t="str">
        <x:v>mh4915668@gmail.com</x:v>
      </x:c>
      <x:c r="I2727" s="22" t="str">
        <x:f>"(34) 99820-9961"</x:f>
        <x:v>(34) 99820-9961</x:v>
      </x:c>
      <x:c r="J2727" s="23" t="str">
        <x:v>RENTAL</x:v>
      </x:c>
      <x:c r="K2727" s="23" t="str">
        <x:v>rental_company</x:v>
      </x:c>
      <x:c r="L2727" s="24" t="b">
        <x:v>1</x:v>
      </x:c>
      <x:c r="M2727" s="23" t="n">
        <x:v>1</x:v>
      </x:c>
      <x:c r="N2727" s="28" t="n">
        <x:v>46203.921824756944</x:v>
      </x:c>
      <x:c r="O2727" s="28" t="n">
        <x:v>46219.812988715275</x:v>
      </x:c>
      <x:c r="P2727" s="23" t="str">
        <x:v>PATOS DE MINAS</x:v>
      </x:c>
      <x:c r="Q2727" s="30" t="n">
        <x:v>36328</x:v>
      </x:c>
      <x:c r="R2727" s="22" t="str">
        <x:f>"20481254"</x:f>
        <x:v>20481254</x:v>
      </x:c>
      <x:c r="S2727" s="23" t="str">
        <x:v>masculino</x:v>
      </x:c>
      <x:c r="T2727" s="22" t="str"/>
      <x:c r="U2727" s="23" t="str">
        <x:v>MATHEUS HENRIQUE MOREIRA SILVA</x:v>
      </x:c>
      <x:c r="V2727" s="22" t="str">
        <x:f>"119.283.596-47"</x:f>
        <x:v>119.283.596-47</x:v>
      </x:c>
      <x:c r="W2727" s="22" t="str">
        <x:f>"11928359647"</x:f>
        <x:v>11928359647</x:v>
      </x:c>
      <x:c r="X2727" s="23" t="str">
        <x:v>mh4915668@gmail.com</x:v>
      </x:c>
      <x:c r="Y2727" s="22" t="str">
        <x:f>"(34) 99820-9961"</x:f>
        <x:v>(34) 99820-9961</x:v>
      </x:c>
      <x:c r="Z2727" s="30" t="n">
        <x:v>46318</x:v>
      </x:c>
    </x:row>
    <x:row r="2728" ht="18" customHeight="1">
      <x:c r="A2728" s="22" t="str">
        <x:f>"a865e445-2cb1-4a46-ab82-2c6b3b05ac5c"</x:f>
        <x:v>a865e445-2cb1-4a46-ab82-2c6b3b05ac5c</x:v>
      </x:c>
      <x:c r="B2728" s="23" t="str">
        <x:v>MATHEUS HENRIQUE SABA MUNIZ</x:v>
      </x:c>
      <x:c r="C2728" s="23" t="str">
        <x:v>matheus henrique saba muniz</x:v>
      </x:c>
      <x:c r="D2728" s="22" t="str">
        <x:f>"55.397.273/0001-03"</x:f>
        <x:v>55.397.273/0001-03</x:v>
      </x:c>
      <x:c r="E2728" s="22" t="str">
        <x:f>"55397273000103"</x:f>
        <x:v>55397273000103</x:v>
      </x:c>
      <x:c r="F2728" s="22" t="str">
        <x:f>"486.402.708-05"</x:f>
        <x:v>486.402.708-05</x:v>
      </x:c>
      <x:c r="G2728" s="22" t="str">
        <x:f>"48640270805"</x:f>
        <x:v>48640270805</x:v>
      </x:c>
      <x:c r="H2728" s="23" t="str">
        <x:v>matheus2601davi@gmail.com</x:v>
      </x:c>
      <x:c r="I2728" s="22" t="str">
        <x:f>"18 99603-9727"</x:f>
        <x:v>18 99603-9727</x:v>
      </x:c>
      <x:c r="J2728" s="23" t="str">
        <x:v>RENTAL</x:v>
      </x:c>
      <x:c r="K2728" s="23" t="str">
        <x:v>rental_company</x:v>
      </x:c>
      <x:c r="L2728" s="24" t="b">
        <x:v>1</x:v>
      </x:c>
      <x:c r="M2728" s="23" t="n">
        <x:v>1</x:v>
      </x:c>
      <x:c r="N2728" s="28" t="n">
        <x:v>46203.92189349537</x:v>
      </x:c>
      <x:c r="O2728" s="28" t="n">
        <x:v>46219.812988715275</x:v>
      </x:c>
      <x:c r="P2728" s="23" t="str">
        <x:v>ARAÇATUBA</x:v>
      </x:c>
      <x:c r="Q2728" s="30" t="n">
        <x:v>36505</x:v>
      </x:c>
      <x:c r="R2728" s="22" t="str">
        <x:f>"536973829"</x:f>
        <x:v>536973829</x:v>
      </x:c>
      <x:c r="S2728" s="23" t="str">
        <x:v>masculino</x:v>
      </x:c>
      <x:c r="T2728" s="22" t="str"/>
      <x:c r="U2728" s="23" t="str">
        <x:v>MATHEUS HENRIQUE SABA MUNIZ</x:v>
      </x:c>
      <x:c r="V2728" s="22" t="str">
        <x:f>"486.402.708-05"</x:f>
        <x:v>486.402.708-05</x:v>
      </x:c>
      <x:c r="W2728" s="22" t="str">
        <x:f>"48640270805"</x:f>
        <x:v>48640270805</x:v>
      </x:c>
      <x:c r="X2728" s="23" t="str">
        <x:v>matheus2601davi@gmail.com</x:v>
      </x:c>
      <x:c r="Y2728" s="22" t="str">
        <x:f>"18 99603-9727"</x:f>
        <x:v>18 99603-9727</x:v>
      </x:c>
      <x:c r="Z2728" s="30" t="n">
        <x:v>46339</x:v>
      </x:c>
    </x:row>
    <x:row r="2729" ht="18" customHeight="1">
      <x:c r="A2729" s="22" t="str">
        <x:f>"b8028710-7542-4604-b1b1-1f50723df211"</x:f>
        <x:v>b8028710-7542-4604-b1b1-1f50723df211</x:v>
      </x:c>
      <x:c r="B2729" s="23" t="str">
        <x:v>MATHEUS HENRIQUE TOLOI SANTOS</x:v>
      </x:c>
      <x:c r="C2729" s="23" t="str">
        <x:v>matheus henrique toloi santos</x:v>
      </x:c>
      <x:c r="D2729" s="22" t="str">
        <x:f>"63.749.458/0001-68"</x:f>
        <x:v>63.749.458/0001-68</x:v>
      </x:c>
      <x:c r="E2729" s="22" t="str">
        <x:f>"63749458000168"</x:f>
        <x:v>63749458000168</x:v>
      </x:c>
      <x:c r="F2729" s="22" t="str">
        <x:f>"418.645.408-69"</x:f>
        <x:v>418.645.408-69</x:v>
      </x:c>
      <x:c r="G2729" s="22" t="str">
        <x:f>"41864540869"</x:f>
        <x:v>41864540869</x:v>
      </x:c>
      <x:c r="H2729" s="23" t="str">
        <x:v>matheushenrique100316@gmail.com</x:v>
      </x:c>
      <x:c r="I2729" s="22" t="str">
        <x:f>"17997825025"</x:f>
        <x:v>17997825025</x:v>
      </x:c>
      <x:c r="J2729" s="23" t="str">
        <x:v>RENTAL</x:v>
      </x:c>
      <x:c r="K2729" s="23" t="str">
        <x:v>rental_company</x:v>
      </x:c>
      <x:c r="L2729" s="24" t="b">
        <x:v>1</x:v>
      </x:c>
      <x:c r="M2729" s="23" t="n">
        <x:v>1</x:v>
      </x:c>
      <x:c r="N2729" s="28" t="n">
        <x:v>46203.92189965278</x:v>
      </x:c>
      <x:c r="O2729" s="28" t="n">
        <x:v>46219.812988715275</x:v>
      </x:c>
      <x:c r="P2729" s="23" t="str">
        <x:v>SÃO JOSE DO RIO PRETO</x:v>
      </x:c>
      <x:c r="Q2729" s="30" t="n">
        <x:v>34472</x:v>
      </x:c>
      <x:c r="R2729" s="22" t="str">
        <x:f>"41860879"</x:f>
        <x:v>41860879</x:v>
      </x:c>
      <x:c r="S2729" s="23" t="str">
        <x:v>masculino</x:v>
      </x:c>
      <x:c r="T2729" s="22" t="str"/>
      <x:c r="U2729" s="23" t="str">
        <x:v>MATHEUS HENRIQUE TOLOI SANTOS</x:v>
      </x:c>
      <x:c r="V2729" s="22" t="str">
        <x:f>"418.645.408-69"</x:f>
        <x:v>418.645.408-69</x:v>
      </x:c>
      <x:c r="W2729" s="22" t="str">
        <x:f>"41864540869"</x:f>
        <x:v>41864540869</x:v>
      </x:c>
      <x:c r="X2729" s="23" t="str">
        <x:v>matheushenrique100316@gmail.com</x:v>
      </x:c>
      <x:c r="Y2729" s="22" t="str">
        <x:f>"17997825025"</x:f>
        <x:v>17997825025</x:v>
      </x:c>
      <x:c r="Z2729" s="30" t="n">
        <x:v>46346</x:v>
      </x:c>
    </x:row>
    <x:row r="2730" ht="18" customHeight="1">
      <x:c r="A2730" s="22" t="str">
        <x:f>"4a6cd1da-0495-4703-a7e0-a228212e9432"</x:f>
        <x:v>4a6cd1da-0495-4703-a7e0-a228212e9432</x:v>
      </x:c>
      <x:c r="B2730" s="23" t="str">
        <x:v>MATHEUS INACIO ALVES DIAS</x:v>
      </x:c>
      <x:c r="C2730" s="23" t="str">
        <x:v>matheus inacio alves dias</x:v>
      </x:c>
      <x:c r="D2730" s="22" t="str">
        <x:f>"66.805.411/0001-62"</x:f>
        <x:v>66.805.411/0001-62</x:v>
      </x:c>
      <x:c r="E2730" s="22" t="str">
        <x:f>"66805411000162"</x:f>
        <x:v>66805411000162</x:v>
      </x:c>
      <x:c r="F2730" s="22" t="str">
        <x:f>"116.313.296-93"</x:f>
        <x:v>116.313.296-93</x:v>
      </x:c>
      <x:c r="G2730" s="22" t="str">
        <x:f>"11631329693"</x:f>
        <x:v>11631329693</x:v>
      </x:c>
      <x:c r="H2730" s="23" t="str">
        <x:v>matheusinacioalvesdias2@gmail.com</x:v>
      </x:c>
      <x:c r="I2730" s="22" t="str">
        <x:f>"(34)99764-9561"</x:f>
        <x:v>(34)99764-9561</x:v>
      </x:c>
      <x:c r="J2730" s="23" t="str">
        <x:v>rental</x:v>
      </x:c>
      <x:c r="K2730" s="23" t="str">
        <x:v>rental_company</x:v>
      </x:c>
      <x:c r="L2730" s="24" t="b">
        <x:v>1</x:v>
      </x:c>
      <x:c r="M2730" s="23" t="n">
        <x:v>1</x:v>
      </x:c>
      <x:c r="N2730" s="28" t="n">
        <x:v>46219.812988715275</x:v>
      </x:c>
      <x:c r="O2730" s="28" t="n">
        <x:v>46219.812988715275</x:v>
      </x:c>
      <x:c r="P2730" s="23" t="str">
        <x:v>UBERLANDIA</x:v>
      </x:c>
      <x:c r="Q2730" s="30" t="n">
        <x:v>34716</x:v>
      </x:c>
      <x:c r="R2730" s="22" t="str">
        <x:f>"11064301 PC MG"</x:f>
        <x:v>11064301 PC MG</x:v>
      </x:c>
      <x:c r="S2730" s="23" t="str">
        <x:v>masculino</x:v>
      </x:c>
      <x:c r="T2730" s="22" t="str"/>
      <x:c r="U2730" s="23" t="str">
        <x:v>MATHEUS INACIO ALVES DIAS</x:v>
      </x:c>
      <x:c r="V2730" s="22" t="str">
        <x:f>"116.313.296-93"</x:f>
        <x:v>116.313.296-93</x:v>
      </x:c>
      <x:c r="W2730" s="22" t="str">
        <x:f>"11631329693"</x:f>
        <x:v>11631329693</x:v>
      </x:c>
      <x:c r="X2730" s="23" t="str">
        <x:v>matheusinacioalvesdias2@gmail.com</x:v>
      </x:c>
      <x:c r="Y2730" s="22" t="str">
        <x:f>"(34)99764-9561"</x:f>
        <x:v>(34)99764-9561</x:v>
      </x:c>
      <x:c r="Z2730" s="30" t="n">
        <x:v>46525</x:v>
      </x:c>
    </x:row>
    <x:row r="2731" ht="18" customHeight="1">
      <x:c r="A2731" s="22" t="str">
        <x:f>"3f485a5f-6593-4502-a6f9-6fff578ec36e"</x:f>
        <x:v>3f485a5f-6593-4502-a6f9-6fff578ec36e</x:v>
      </x:c>
      <x:c r="B2731" s="23" t="str">
        <x:v>MATHEUS LIMA DA SILVA</x:v>
      </x:c>
      <x:c r="C2731" s="23" t="str">
        <x:v>matheus lima da silva</x:v>
      </x:c>
      <x:c r="D2731" s="22" t="str">
        <x:f>"65.024.030/0001-83"</x:f>
        <x:v>65.024.030/0001-83</x:v>
      </x:c>
      <x:c r="E2731" s="22" t="str">
        <x:f>"65024030000183"</x:f>
        <x:v>65024030000183</x:v>
      </x:c>
      <x:c r="F2731" s="22" t="str">
        <x:f>"171.809.487-64"</x:f>
        <x:v>171.809.487-64</x:v>
      </x:c>
      <x:c r="G2731" s="22" t="str">
        <x:f>"17180948764"</x:f>
        <x:v>17180948764</x:v>
      </x:c>
      <x:c r="H2731" s="23" t="str">
        <x:v>matheuslima8514@gmail.com</x:v>
      </x:c>
      <x:c r="I2731" s="22" t="str">
        <x:f>"21 990382251"</x:f>
        <x:v>21 990382251</x:v>
      </x:c>
      <x:c r="J2731" s="23" t="str">
        <x:v>SPOT</x:v>
      </x:c>
      <x:c r="K2731" s="23" t="str">
        <x:v>favored_only</x:v>
      </x:c>
      <x:c r="L2731" s="24" t="b">
        <x:v>1</x:v>
      </x:c>
      <x:c r="M2731" s="23" t="n">
        <x:v>1</x:v>
      </x:c>
      <x:c r="N2731" s="28" t="n">
        <x:v>46219.812988715275</x:v>
      </x:c>
      <x:c r="O2731" s="28" t="n">
        <x:v>46219.812988715275</x:v>
      </x:c>
      <x:c r="P2731" s="23" t="str">
        <x:v>QUEIMADOS</x:v>
      </x:c>
      <x:c r="Q2731" s="30" t="n">
        <x:v>36064</x:v>
      </x:c>
      <x:c r="R2731" s="22" t="str">
        <x:f>"303272363"</x:f>
        <x:v>303272363</x:v>
      </x:c>
      <x:c r="S2731" s="23" t="str">
        <x:v>masculino</x:v>
      </x:c>
      <x:c r="T2731" s="22" t="str">
        <x:f>"FKT8I35"</x:f>
        <x:v>FKT8I35</x:v>
      </x:c>
      <x:c r="U2731" s="23" t="str">
        <x:v>MATHEUS LIMA DA SILVA</x:v>
      </x:c>
      <x:c r="V2731" s="22" t="str">
        <x:f>"171.809.487-64"</x:f>
        <x:v>171.809.487-64</x:v>
      </x:c>
      <x:c r="W2731" s="22" t="str">
        <x:f>"17180948764"</x:f>
        <x:v>17180948764</x:v>
      </x:c>
      <x:c r="X2731" s="23" t="str">
        <x:v>matheuslima8514@gmail.com</x:v>
      </x:c>
      <x:c r="Y2731" s="22" t="str">
        <x:f>"21 990382251"</x:f>
        <x:v>21 990382251</x:v>
      </x:c>
      <x:c r="Z2731" s="30" t="n">
        <x:v>46431</x:v>
      </x:c>
    </x:row>
    <x:row r="2732" ht="18" customHeight="1">
      <x:c r="A2732" s="22" t="str">
        <x:f>"74df464c-a8ca-47f3-a670-16028b1bb919"</x:f>
        <x:v>74df464c-a8ca-47f3-a670-16028b1bb919</x:v>
      </x:c>
      <x:c r="B2732" s="23" t="str">
        <x:v>MATHEUS LINCON LIMA LOUZADA</x:v>
      </x:c>
      <x:c r="C2732" s="23" t="str">
        <x:v>matheus lincon lima louzada</x:v>
      </x:c>
      <x:c r="D2732" s="22" t="str">
        <x:f>"61.648.803/0001-41"</x:f>
        <x:v>61.648.803/0001-41</x:v>
      </x:c>
      <x:c r="E2732" s="22" t="str">
        <x:f>"61648803000141"</x:f>
        <x:v>61648803000141</x:v>
      </x:c>
      <x:c r="F2732" s="22" t="str">
        <x:f>"234.439.598-90"</x:f>
        <x:v>234.439.598-90</x:v>
      </x:c>
      <x:c r="G2732" s="22" t="str">
        <x:f>"23443959890"</x:f>
        <x:v>23443959890</x:v>
      </x:c>
      <x:c r="H2732" s="23" t="str">
        <x:v>matheusemilly146@gmail.com</x:v>
      </x:c>
      <x:c r="I2732" s="22" t="str">
        <x:f>"017997085645"</x:f>
        <x:v>017997085645</x:v>
      </x:c>
      <x:c r="J2732" s="23" t="str">
        <x:v>RENTAL</x:v>
      </x:c>
      <x:c r="K2732" s="23" t="str">
        <x:v>rental_company</x:v>
      </x:c>
      <x:c r="L2732" s="24" t="b">
        <x:v>1</x:v>
      </x:c>
      <x:c r="M2732" s="23" t="n">
        <x:v>1</x:v>
      </x:c>
      <x:c r="N2732" s="28" t="n">
        <x:v>46203.921840393516</x:v>
      </x:c>
      <x:c r="O2732" s="28" t="n">
        <x:v>46205.60485537037</x:v>
      </x:c>
      <x:c r="P2732" s="23" t="str">
        <x:v>BARRETOS</x:v>
      </x:c>
      <x:c r="Q2732" s="30" t="n">
        <x:v>33813</x:v>
      </x:c>
      <x:c r="R2732" s="22" t="str">
        <x:f>"481409452"</x:f>
        <x:v>481409452</x:v>
      </x:c>
      <x:c r="S2732" s="23" t="str">
        <x:v>Masculino</x:v>
      </x:c>
      <x:c r="T2732" s="22" t="str"/>
      <x:c r="U2732" s="23" t="str">
        <x:v>MATHEUS LINCON LIMA LOUZADA</x:v>
      </x:c>
      <x:c r="V2732" s="22" t="str">
        <x:f>"23443959890"</x:f>
        <x:v>23443959890</x:v>
      </x:c>
      <x:c r="W2732" s="22" t="str">
        <x:f>"23443959890"</x:f>
        <x:v>23443959890</x:v>
      </x:c>
      <x:c r="X2732" s="23" t="str">
        <x:v>matheusemilly146@gmail.com</x:v>
      </x:c>
      <x:c r="Y2732" s="22" t="str">
        <x:f>"017997085645"</x:f>
        <x:v>017997085645</x:v>
      </x:c>
      <x:c r="Z2732" s="30" t="n">
        <x:v>46214</x:v>
      </x:c>
    </x:row>
    <x:row r="2733" ht="18" customHeight="1">
      <x:c r="A2733" s="22" t="str">
        <x:f>"4e344e4f-1971-4707-b7f2-3396db05f69c"</x:f>
        <x:v>4e344e4f-1971-4707-b7f2-3396db05f69c</x:v>
      </x:c>
      <x:c r="B2733" s="23" t="str">
        <x:v>MATHEUS LOPES RODRIGUES</x:v>
      </x:c>
      <x:c r="C2733" s="23" t="str">
        <x:v>matheus lopes rodrigues</x:v>
      </x:c>
      <x:c r="D2733" s="22" t="str">
        <x:f>"66.475.233/0001-59"</x:f>
        <x:v>66.475.233/0001-59</x:v>
      </x:c>
      <x:c r="E2733" s="22" t="str">
        <x:f>"66475233000159"</x:f>
        <x:v>66475233000159</x:v>
      </x:c>
      <x:c r="F2733" s="22" t="str">
        <x:f>"448.442.118-62"</x:f>
        <x:v>448.442.118-62</x:v>
      </x:c>
      <x:c r="G2733" s="22" t="str">
        <x:f>"44844211862"</x:f>
        <x:v>44844211862</x:v>
      </x:c>
      <x:c r="H2733" s="23" t="str">
        <x:v>ml2326174@gmail.com</x:v>
      </x:c>
      <x:c r="I2733" s="22" t="str">
        <x:f>"16994172020"</x:f>
        <x:v>16994172020</x:v>
      </x:c>
      <x:c r="J2733" s="23" t="str">
        <x:v>RENTAL</x:v>
      </x:c>
      <x:c r="K2733" s="23" t="str">
        <x:v>rental_company</x:v>
      </x:c>
      <x:c r="L2733" s="24" t="b">
        <x:v>1</x:v>
      </x:c>
      <x:c r="M2733" s="23" t="n">
        <x:v>1</x:v>
      </x:c>
      <x:c r="N2733" s="28" t="n">
        <x:v>46219.812988715275</x:v>
      </x:c>
      <x:c r="O2733" s="28" t="n">
        <x:v>46219.812988715275</x:v>
      </x:c>
      <x:c r="P2733" s="23" t="str">
        <x:v>RIBEIRAO PRETO</x:v>
      </x:c>
      <x:c r="Q2733" s="30" t="n">
        <x:v>36173</x:v>
      </x:c>
      <x:c r="R2733" s="22" t="str">
        <x:f>"559059899"</x:f>
        <x:v>559059899</x:v>
      </x:c>
      <x:c r="S2733" s="23" t="str">
        <x:v>masculino</x:v>
      </x:c>
      <x:c r="T2733" s="22" t="str"/>
      <x:c r="U2733" s="23" t="str">
        <x:v>MATHEUS LOPES RODRIGUES</x:v>
      </x:c>
      <x:c r="V2733" s="22" t="str">
        <x:f>"448.442.118-62"</x:f>
        <x:v>448.442.118-62</x:v>
      </x:c>
      <x:c r="W2733" s="22" t="str">
        <x:f>"44844211862"</x:f>
        <x:v>44844211862</x:v>
      </x:c>
      <x:c r="X2733" s="23" t="str">
        <x:v>ml2326174@gmail.com</x:v>
      </x:c>
      <x:c r="Y2733" s="22" t="str">
        <x:f>"16994172020"</x:f>
        <x:v>16994172020</x:v>
      </x:c>
      <x:c r="Z2733" s="30" t="n">
        <x:v>46555</x:v>
      </x:c>
    </x:row>
    <x:row r="2734" ht="18" customHeight="1">
      <x:c r="A2734" s="22" t="str">
        <x:f>"e4f348ca-30b5-4ff7-a1c2-639b1f38c277"</x:f>
        <x:v>e4f348ca-30b5-4ff7-a1c2-639b1f38c277</x:v>
      </x:c>
      <x:c r="B2734" s="23" t="str">
        <x:v>MATHEUS MACEDO DA ROCHA SILVA</x:v>
      </x:c>
      <x:c r="C2734" s="23" t="str">
        <x:v>matheus macedo da rocha silva</x:v>
      </x:c>
      <x:c r="D2734" s="22" t="str">
        <x:f>"56.896.661/0001-00"</x:f>
        <x:v>56.896.661/0001-00</x:v>
      </x:c>
      <x:c r="E2734" s="22" t="str">
        <x:f>"56896661000100"</x:f>
        <x:v>56896661000100</x:v>
      </x:c>
      <x:c r="F2734" s="22" t="str">
        <x:f>"197.065.747-27"</x:f>
        <x:v>197.065.747-27</x:v>
      </x:c>
      <x:c r="G2734" s="22" t="str">
        <x:f>"19706574727"</x:f>
        <x:v>19706574727</x:v>
      </x:c>
      <x:c r="H2734" s="23" t="str">
        <x:v>Mattheus021@hotmail.com</x:v>
      </x:c>
      <x:c r="I2734" s="22" t="str">
        <x:f>"21990479209"</x:f>
        <x:v>21990479209</x:v>
      </x:c>
      <x:c r="J2734" s="23" t="str">
        <x:v>SPOT</x:v>
      </x:c>
      <x:c r="K2734" s="23" t="str">
        <x:v>favored_only</x:v>
      </x:c>
      <x:c r="L2734" s="24" t="b">
        <x:v>1</x:v>
      </x:c>
      <x:c r="M2734" s="23" t="n">
        <x:v>1</x:v>
      </x:c>
      <x:c r="N2734" s="28" t="n">
        <x:v>46219.812988715275</x:v>
      </x:c>
      <x:c r="O2734" s="28" t="n">
        <x:v>46219.812988715275</x:v>
      </x:c>
      <x:c r="P2734" s="23" t="str">
        <x:v>CAMPO GRANDE</x:v>
      </x:c>
      <x:c r="Q2734" s="30" t="n">
        <x:v>36382</x:v>
      </x:c>
      <x:c r="R2734" s="22" t="str">
        <x:f>"303234603"</x:f>
        <x:v>303234603</x:v>
      </x:c>
      <x:c r="S2734" s="23" t="str">
        <x:v>masculino</x:v>
      </x:c>
      <x:c r="T2734" s="22" t="str">
        <x:f>"KVR5014"</x:f>
        <x:v>KVR5014</x:v>
      </x:c>
      <x:c r="U2734" s="23" t="str">
        <x:v>MATHEUS MACEDO DA ROCHA SILVA</x:v>
      </x:c>
      <x:c r="V2734" s="22" t="str">
        <x:f>"197.065.747-27"</x:f>
        <x:v>197.065.747-27</x:v>
      </x:c>
      <x:c r="W2734" s="22" t="str">
        <x:f>"19706574727"</x:f>
        <x:v>19706574727</x:v>
      </x:c>
      <x:c r="X2734" s="23" t="str">
        <x:v>Mattheus021@hotmail.com</x:v>
      </x:c>
      <x:c r="Y2734" s="22" t="str">
        <x:f>"21990479209"</x:f>
        <x:v>21990479209</x:v>
      </x:c>
      <x:c r="Z2734" s="30" t="n">
        <x:v>46437</x:v>
      </x:c>
    </x:row>
    <x:row r="2735" ht="18" customHeight="1">
      <x:c r="A2735" s="22" t="str">
        <x:f>"4aa183e9-dd5a-46fd-a199-d065c27c014c"</x:f>
        <x:v>4aa183e9-dd5a-46fd-a199-d065c27c014c</x:v>
      </x:c>
      <x:c r="B2735" s="23" t="str">
        <x:v>MATHEUS MACHADO ROBAINA</x:v>
      </x:c>
      <x:c r="C2735" s="23" t="str">
        <x:v>matheus machado robaina</x:v>
      </x:c>
      <x:c r="D2735" s="22" t="str">
        <x:f>"45.674.237/0001-96"</x:f>
        <x:v>45.674.237/0001-96</x:v>
      </x:c>
      <x:c r="E2735" s="22" t="str">
        <x:f>"45674237000196"</x:f>
        <x:v>45674237000196</x:v>
      </x:c>
      <x:c r="F2735" s="22" t="str">
        <x:f>"146.073.127-11"</x:f>
        <x:v>146.073.127-11</x:v>
      </x:c>
      <x:c r="G2735" s="22" t="str">
        <x:f>"14607312711"</x:f>
        <x:v>14607312711</x:v>
      </x:c>
      <x:c r="H2735" s="23" t="str">
        <x:v>matheusfpsrobaina@gmail.com</x:v>
      </x:c>
      <x:c r="I2735" s="22" t="str">
        <x:f>"22 93300-3976"</x:f>
        <x:v>22 93300-3976</x:v>
      </x:c>
      <x:c r="J2735" s="23" t="str">
        <x:v>SPOT</x:v>
      </x:c>
      <x:c r="K2735" s="23" t="str">
        <x:v>favored_only</x:v>
      </x:c>
      <x:c r="L2735" s="24" t="b">
        <x:v>1</x:v>
      </x:c>
      <x:c r="M2735" s="23" t="n">
        <x:v>1</x:v>
      </x:c>
      <x:c r="N2735" s="28" t="n">
        <x:v>46205.605404884256</x:v>
      </x:c>
      <x:c r="O2735" s="28" t="n">
        <x:v>46219.812988715275</x:v>
      </x:c>
      <x:c r="P2735" s="23" t="str">
        <x:v>CAMPOS DOS GOYTACAZES</x:v>
      </x:c>
      <x:c r="Q2735" s="30" t="n">
        <x:v>36690</x:v>
      </x:c>
      <x:c r="R2735" s="22" t="str">
        <x:f>"24323921"</x:f>
        <x:v>24323921</x:v>
      </x:c>
      <x:c r="S2735" s="23" t="str">
        <x:v>masculino</x:v>
      </x:c>
      <x:c r="T2735" s="22" t="str">
        <x:f>"LKO3F59"</x:f>
        <x:v>LKO3F59</x:v>
      </x:c>
      <x:c r="U2735" s="23" t="str">
        <x:v>CARLOS ALBERTO FERREIRA SOUTO</x:v>
      </x:c>
      <x:c r="V2735" s="22" t="str">
        <x:f>"128.564.167-13"</x:f>
        <x:v>128.564.167-13</x:v>
      </x:c>
      <x:c r="W2735" s="22" t="str">
        <x:f>"12856416713"</x:f>
        <x:v>12856416713</x:v>
      </x:c>
      <x:c r="X2735" s="23" t="str">
        <x:v>bstramportes@gmail.com</x:v>
      </x:c>
      <x:c r="Y2735" s="22" t="str">
        <x:f>"(22)999814749"</x:f>
        <x:v>(22)999814749</x:v>
      </x:c>
      <x:c r="Z2735" s="30" t="n">
        <x:v>46322</x:v>
      </x:c>
    </x:row>
    <x:row r="2736" ht="18" customHeight="1">
      <x:c r="A2736" s="22" t="str">
        <x:f>"5b731cf2-194f-49dd-8d53-2a78f7eadbce"</x:f>
        <x:v>5b731cf2-194f-49dd-8d53-2a78f7eadbce</x:v>
      </x:c>
      <x:c r="B2736" s="23" t="str">
        <x:v>MATHEUS MARTINS DE ARRUDA</x:v>
      </x:c>
      <x:c r="C2736" s="23" t="str">
        <x:v>matheus martins de arruda</x:v>
      </x:c>
      <x:c r="D2736" s="22" t="str">
        <x:f>"65.351.608/0001-06"</x:f>
        <x:v>65.351.608/0001-06</x:v>
      </x:c>
      <x:c r="E2736" s="22" t="str">
        <x:f>"65351608000106"</x:f>
        <x:v>65351608000106</x:v>
      </x:c>
      <x:c r="F2736" s="22" t="str">
        <x:f>"058.159.561-04"</x:f>
        <x:v>058.159.561-04</x:v>
      </x:c>
      <x:c r="G2736" s="22" t="str">
        <x:f>"05815956104"</x:f>
        <x:v>05815956104</x:v>
      </x:c>
      <x:c r="H2736" s="23" t="str">
        <x:v>matheusmartins15798@gmail.com</x:v>
      </x:c>
      <x:c r="I2736" s="22" t="str">
        <x:f>"65999796400"</x:f>
        <x:v>65999796400</x:v>
      </x:c>
      <x:c r="J2736" s="23" t="str">
        <x:v>SPOT</x:v>
      </x:c>
      <x:c r="K2736" s="23" t="str">
        <x:v>favored_only</x:v>
      </x:c>
      <x:c r="L2736" s="24" t="b">
        <x:v>1</x:v>
      </x:c>
      <x:c r="M2736" s="23" t="n">
        <x:v>1</x:v>
      </x:c>
      <x:c r="N2736" s="28" t="n">
        <x:v>46219.812988715275</x:v>
      </x:c>
      <x:c r="O2736" s="28" t="n">
        <x:v>46219.812988715275</x:v>
      </x:c>
      <x:c r="P2736" s="23" t="str">
        <x:v>CÁCERES</x:v>
      </x:c>
      <x:c r="Q2736" s="30" t="n">
        <x:v>36145</x:v>
      </x:c>
      <x:c r="R2736" s="22" t="str">
        <x:f>"25257684"</x:f>
        <x:v>25257684</x:v>
      </x:c>
      <x:c r="S2736" s="23" t="str">
        <x:v>masculino</x:v>
      </x:c>
      <x:c r="T2736" s="22" t="str">
        <x:f>"QLB0I14"</x:f>
        <x:v>QLB0I14</x:v>
      </x:c>
      <x:c r="U2736" s="23" t="str">
        <x:v>MATHEUS MARTINS DE ARRUDA</x:v>
      </x:c>
      <x:c r="V2736" s="22" t="str">
        <x:f>"058.159.561-04"</x:f>
        <x:v>058.159.561-04</x:v>
      </x:c>
      <x:c r="W2736" s="22" t="str">
        <x:f>"05815956104"</x:f>
        <x:v>05815956104</x:v>
      </x:c>
      <x:c r="X2736" s="23" t="str">
        <x:v>matheusmartins15798@gmail.com</x:v>
      </x:c>
      <x:c r="Y2736" s="22" t="str">
        <x:f>"‪65999796400"</x:f>
        <x:v>‪65999796400</x:v>
      </x:c>
      <x:c r="Z2736" s="30" t="n">
        <x:v>46497</x:v>
      </x:c>
    </x:row>
    <x:row r="2737" ht="18" customHeight="1">
      <x:c r="A2737" s="22" t="str">
        <x:f>"6972d389-5326-4f3f-8006-57440c082660"</x:f>
        <x:v>6972d389-5326-4f3f-8006-57440c082660</x:v>
      </x:c>
      <x:c r="B2737" s="23" t="str">
        <x:v>MATHEUS NASCIMENTO DOS PASSOS</x:v>
      </x:c>
      <x:c r="C2737" s="23" t="str">
        <x:v>matheus nascimento dos passos</x:v>
      </x:c>
      <x:c r="D2737" s="22" t="str">
        <x:f>"63.733.952/0001-34"</x:f>
        <x:v>63.733.952/0001-34</x:v>
      </x:c>
      <x:c r="E2737" s="22" t="str">
        <x:f>"63733952000134"</x:f>
        <x:v>63733952000134</x:v>
      </x:c>
      <x:c r="F2737" s="22" t="str">
        <x:f>"501.296.488-84"</x:f>
        <x:v>501.296.488-84</x:v>
      </x:c>
      <x:c r="G2737" s="22" t="str">
        <x:f>"50129648884"</x:f>
        <x:v>50129648884</x:v>
      </x:c>
      <x:c r="H2737" s="23" t="str">
        <x:v>matheusrota2905@gmail.com</x:v>
      </x:c>
      <x:c r="I2737" s="22" t="str">
        <x:f>"(16)99289-1698"</x:f>
        <x:v>(16)99289-1698</x:v>
      </x:c>
      <x:c r="J2737" s="23" t="str">
        <x:v>RENTAL</x:v>
      </x:c>
      <x:c r="K2737" s="23" t="str">
        <x:v>rental_company</x:v>
      </x:c>
      <x:c r="L2737" s="24" t="b">
        <x:v>1</x:v>
      </x:c>
      <x:c r="M2737" s="23" t="n">
        <x:v>1</x:v>
      </x:c>
      <x:c r="N2737" s="28" t="n">
        <x:v>46203.92189965278</x:v>
      </x:c>
      <x:c r="O2737" s="28" t="n">
        <x:v>46219.812988715275</x:v>
      </x:c>
      <x:c r="P2737" s="23" t="str">
        <x:v>SÃO CARLOS</x:v>
      </x:c>
      <x:c r="Q2737" s="30" t="n">
        <x:v>37682</x:v>
      </x:c>
      <x:c r="R2737" s="22" t="str">
        <x:f>"603912941"</x:f>
        <x:v>603912941</x:v>
      </x:c>
      <x:c r="S2737" s="23" t="str">
        <x:v>masculino</x:v>
      </x:c>
      <x:c r="T2737" s="22" t="str"/>
      <x:c r="U2737" s="23" t="str">
        <x:v>MATHEUS NASCIMENTO DOS PASSOS</x:v>
      </x:c>
      <x:c r="V2737" s="22" t="str">
        <x:f>"501.296.488-84"</x:f>
        <x:v>501.296.488-84</x:v>
      </x:c>
      <x:c r="W2737" s="22" t="str">
        <x:f>"50129648884"</x:f>
        <x:v>50129648884</x:v>
      </x:c>
      <x:c r="X2737" s="23" t="str">
        <x:v>matheusrota2905@gmail.com</x:v>
      </x:c>
      <x:c r="Y2737" s="22" t="str">
        <x:f>"(16)99289-1698"</x:f>
        <x:v>(16)99289-1698</x:v>
      </x:c>
      <x:c r="Z2737" s="30" t="n">
        <x:v>46347</x:v>
      </x:c>
    </x:row>
    <x:row r="2738" ht="18" customHeight="1">
      <x:c r="A2738" s="22" t="str">
        <x:f>"1b7ef1c6-4a18-4a1e-a541-4669c1e376e5"</x:f>
        <x:v>1b7ef1c6-4a18-4a1e-a541-4669c1e376e5</x:v>
      </x:c>
      <x:c r="B2738" s="23" t="str">
        <x:v>MATHEUS NASCIMENTO SILVA</x:v>
      </x:c>
      <x:c r="C2738" s="23" t="str">
        <x:v>matheus nascimento silva</x:v>
      </x:c>
      <x:c r="D2738" s="22" t="str">
        <x:f>"65.193.665/0001-04"</x:f>
        <x:v>65.193.665/0001-04</x:v>
      </x:c>
      <x:c r="E2738" s="22" t="str">
        <x:f>"65193665000104"</x:f>
        <x:v>65193665000104</x:v>
      </x:c>
      <x:c r="F2738" s="22" t="str">
        <x:f>"061.193.127-30"</x:f>
        <x:v>061.193.127-30</x:v>
      </x:c>
      <x:c r="G2738" s="22" t="str">
        <x:f>"06119312730"</x:f>
        <x:v>06119312730</x:v>
      </x:c>
      <x:c r="H2738" s="23" t="str">
        <x:v>matheus03capitao@gmail.com</x:v>
      </x:c>
      <x:c r="I2738" s="22" t="str">
        <x:f>"2198257-0056"</x:f>
        <x:v>2198257-0056</x:v>
      </x:c>
      <x:c r="J2738" s="23" t="str">
        <x:v>SPOT</x:v>
      </x:c>
      <x:c r="K2738" s="23" t="str">
        <x:v>favored_only</x:v>
      </x:c>
      <x:c r="L2738" s="24" t="b">
        <x:v>1</x:v>
      </x:c>
      <x:c r="M2738" s="23" t="n">
        <x:v>1</x:v>
      </x:c>
      <x:c r="N2738" s="28" t="n">
        <x:v>46219.812988715275</x:v>
      </x:c>
      <x:c r="O2738" s="28" t="n">
        <x:v>46219.812988715275</x:v>
      </x:c>
      <x:c r="P2738" s="23" t="str">
        <x:v>CORDOVIL</x:v>
      </x:c>
      <x:c r="Q2738" s="30" t="n">
        <x:v>34727</x:v>
      </x:c>
      <x:c r="R2738" s="22" t="str">
        <x:f>"265524819"</x:f>
        <x:v>265524819</x:v>
      </x:c>
      <x:c r="S2738" s="23" t="str">
        <x:v>masculino</x:v>
      </x:c>
      <x:c r="T2738" s="22" t="str">
        <x:f>"QOV0E72"</x:f>
        <x:v>QOV0E72</x:v>
      </x:c>
      <x:c r="U2738" s="23" t="str">
        <x:v>JORGE IGOR RODRIGUES DE SA</x:v>
      </x:c>
      <x:c r="V2738" s="22" t="str">
        <x:f>"182.259.177-58"</x:f>
        <x:v>182.259.177-58</x:v>
      </x:c>
      <x:c r="W2738" s="22" t="str">
        <x:f>"18225917758"</x:f>
        <x:v>18225917758</x:v>
      </x:c>
      <x:c r="X2738" s="23" t="str">
        <x:v>matheus03capitao@gmail.com</x:v>
      </x:c>
      <x:c r="Y2738" s="22" t="str">
        <x:f>"2198257-0056"</x:f>
        <x:v>2198257-0056</x:v>
      </x:c>
      <x:c r="Z2738" s="30" t="n">
        <x:v>46536</x:v>
      </x:c>
    </x:row>
    <x:row r="2739" ht="18" customHeight="1">
      <x:c r="A2739" s="22" t="str">
        <x:f>"ce33bbc2-67df-4e4d-9a99-76c19da62a81"</x:f>
        <x:v>ce33bbc2-67df-4e4d-9a99-76c19da62a81</x:v>
      </x:c>
      <x:c r="B2739" s="23" t="str">
        <x:v>MATHEUS NASCIMENTO SILVA</x:v>
      </x:c>
      <x:c r="C2739" s="23" t="str">
        <x:v>matheus nascimento silva</x:v>
      </x:c>
      <x:c r="D2739" s="22" t="str">
        <x:f>"38.095.895/0001-68"</x:f>
        <x:v>38.095.895/0001-68</x:v>
      </x:c>
      <x:c r="E2739" s="22" t="str">
        <x:f>"38095895000168"</x:f>
        <x:v>38095895000168</x:v>
      </x:c>
      <x:c r="F2739" s="22" t="str">
        <x:f>"061.193.127-30"</x:f>
        <x:v>061.193.127-30</x:v>
      </x:c>
      <x:c r="G2739" s="22" t="str">
        <x:f>"06119312730"</x:f>
        <x:v>06119312730</x:v>
      </x:c>
      <x:c r="H2739" s="23" t="str">
        <x:v>matheus03capitao@gmail.com</x:v>
      </x:c>
      <x:c r="I2739" s="22" t="str">
        <x:f>"2198257-0056"</x:f>
        <x:v>2198257-0056</x:v>
      </x:c>
      <x:c r="J2739" s="23" t="str">
        <x:v>spot</x:v>
      </x:c>
      <x:c r="K2739" s="23" t="str">
        <x:v>favored_only</x:v>
      </x:c>
      <x:c r="L2739" s="24" t="b">
        <x:v>1</x:v>
      </x:c>
      <x:c r="M2739" s="23" t="n">
        <x:v>1</x:v>
      </x:c>
      <x:c r="N2739" s="28" t="n">
        <x:v>46219.812988715275</x:v>
      </x:c>
      <x:c r="O2739" s="28" t="n">
        <x:v>46219.812988715275</x:v>
      </x:c>
      <x:c r="P2739" s="23" t="str">
        <x:v>CORDOVIL</x:v>
      </x:c>
      <x:c r="Q2739" s="30" t="n">
        <x:v>34727</x:v>
      </x:c>
      <x:c r="R2739" s="22" t="str">
        <x:f>"265524819"</x:f>
        <x:v>265524819</x:v>
      </x:c>
      <x:c r="S2739" s="23" t="str">
        <x:v>masculino</x:v>
      </x:c>
      <x:c r="T2739" s="22" t="str">
        <x:f>"Qov0e72"</x:f>
        <x:v>Qov0e72</x:v>
      </x:c>
      <x:c r="U2739" s="23" t="str">
        <x:v>MATHEUS NASCIMENTO SILVA</x:v>
      </x:c>
      <x:c r="V2739" s="22" t="str">
        <x:f>"061.193.127-30"</x:f>
        <x:v>061.193.127-30</x:v>
      </x:c>
      <x:c r="W2739" s="22" t="str">
        <x:f>"06119312730"</x:f>
        <x:v>06119312730</x:v>
      </x:c>
      <x:c r="X2739" s="23" t="str">
        <x:v>matheus03capitao@gmail.com</x:v>
      </x:c>
      <x:c r="Y2739" s="22" t="str">
        <x:f>"2198257-0056"</x:f>
        <x:v>2198257-0056</x:v>
      </x:c>
      <x:c r="Z2739" s="30" t="n">
        <x:v>46515</x:v>
      </x:c>
    </x:row>
    <x:row r="2740" ht="18" customHeight="1">
      <x:c r="A2740" s="22" t="str">
        <x:f>"af492da1-908f-4d21-9a56-bc2e948ee139"</x:f>
        <x:v>af492da1-908f-4d21-9a56-bc2e948ee139</x:v>
      </x:c>
      <x:c r="B2740" s="23" t="str">
        <x:v>MATHEUS NEGRO MODOLO</x:v>
      </x:c>
      <x:c r="C2740" s="23" t="str">
        <x:v>matheus negro modolo</x:v>
      </x:c>
      <x:c r="D2740" s="22" t="str">
        <x:f>"66.798.118/0001-15"</x:f>
        <x:v>66.798.118/0001-15</x:v>
      </x:c>
      <x:c r="E2740" s="22" t="str">
        <x:f>"66798118000115"</x:f>
        <x:v>66798118000115</x:v>
      </x:c>
      <x:c r="F2740" s="22" t="str">
        <x:f>"486.663.808-70"</x:f>
        <x:v>486.663.808-70</x:v>
      </x:c>
      <x:c r="G2740" s="22" t="str">
        <x:f>"48666380870"</x:f>
        <x:v>48666380870</x:v>
      </x:c>
      <x:c r="H2740" s="23" t="str">
        <x:v>matheusnmodolo13@icloud.com</x:v>
      </x:c>
      <x:c r="I2740" s="22" t="str">
        <x:f>"17997434526"</x:f>
        <x:v>17997434526</x:v>
      </x:c>
      <x:c r="J2740" s="23" t="str">
        <x:v>RENTAL</x:v>
      </x:c>
      <x:c r="K2740" s="23" t="str">
        <x:v>rental_company</x:v>
      </x:c>
      <x:c r="L2740" s="24" t="b">
        <x:v>1</x:v>
      </x:c>
      <x:c r="M2740" s="23" t="n">
        <x:v>1</x:v>
      </x:c>
      <x:c r="N2740" s="28" t="n">
        <x:v>46219.812988715275</x:v>
      </x:c>
      <x:c r="O2740" s="28" t="n">
        <x:v>46219.812988715275</x:v>
      </x:c>
      <x:c r="P2740" s="23" t="str">
        <x:v>JALES</x:v>
      </x:c>
      <x:c r="Q2740" s="30" t="n">
        <x:v>37392</x:v>
      </x:c>
      <x:c r="R2740" s="22" t="str">
        <x:f>"52.844.928-X"</x:f>
        <x:v>52.844.928-X</x:v>
      </x:c>
      <x:c r="S2740" s="23" t="str">
        <x:v>masculino</x:v>
      </x:c>
      <x:c r="T2740" s="22" t="str"/>
      <x:c r="U2740" s="23" t="str">
        <x:v>MATHEUS NEGRO MODOLO</x:v>
      </x:c>
      <x:c r="V2740" s="22" t="str">
        <x:f>"486.663.808-70"</x:f>
        <x:v>486.663.808-70</x:v>
      </x:c>
      <x:c r="W2740" s="22" t="str">
        <x:f>"48666380870"</x:f>
        <x:v>48666380870</x:v>
      </x:c>
      <x:c r="X2740" s="23" t="str">
        <x:v>matheusnmodolo13@icloud.com</x:v>
      </x:c>
      <x:c r="Y2740" s="22" t="str">
        <x:f>"17997434526"</x:f>
        <x:v>17997434526</x:v>
      </x:c>
      <x:c r="Z2740" s="30" t="n">
        <x:v>46563</x:v>
      </x:c>
    </x:row>
    <x:row r="2741" ht="18" customHeight="1">
      <x:c r="A2741" s="22" t="str">
        <x:f>"92f43b23-17dc-484a-9373-64e9d0a88d7b"</x:f>
        <x:v>92f43b23-17dc-484a-9373-64e9d0a88d7b</x:v>
      </x:c>
      <x:c r="B2741" s="23" t="str">
        <x:v>MATHEUS NOGUEIRA SANTOS</x:v>
      </x:c>
      <x:c r="C2741" s="23" t="str">
        <x:v>matheus nogueira santos</x:v>
      </x:c>
      <x:c r="D2741" s="22" t="str">
        <x:f>"61.501.582/0001-84"</x:f>
        <x:v>61.501.582/0001-84</x:v>
      </x:c>
      <x:c r="E2741" s="22" t="str">
        <x:f>"61501582000184"</x:f>
        <x:v>61501582000184</x:v>
      </x:c>
      <x:c r="F2741" s="22" t="str">
        <x:f>"145.963.256-77"</x:f>
        <x:v>145.963.256-77</x:v>
      </x:c>
      <x:c r="G2741" s="22" t="str">
        <x:f>"14596325677"</x:f>
        <x:v>14596325677</x:v>
      </x:c>
      <x:c r="H2741" s="23" t="str">
        <x:v>fumanci1@gmail.com</x:v>
      </x:c>
      <x:c r="I2741" s="22" t="str">
        <x:f>"(31)98973-3089"</x:f>
        <x:v>(31)98973-3089</x:v>
      </x:c>
      <x:c r="J2741" s="23" t="str">
        <x:v>RENTAL</x:v>
      </x:c>
      <x:c r="K2741" s="23" t="str">
        <x:v>rental_company</x:v>
      </x:c>
      <x:c r="L2741" s="24" t="b">
        <x:v>1</x:v>
      </x:c>
      <x:c r="M2741" s="23" t="n">
        <x:v>1</x:v>
      </x:c>
      <x:c r="N2741" s="28" t="n">
        <x:v>46219.812988715275</x:v>
      </x:c>
      <x:c r="O2741" s="28" t="n">
        <x:v>46219.812988715275</x:v>
      </x:c>
      <x:c r="P2741" s="23" t="str">
        <x:v>IPATINGA</x:v>
      </x:c>
      <x:c r="Q2741" s="30" t="n">
        <x:v>36802</x:v>
      </x:c>
      <x:c r="R2741" s="22" t="str">
        <x:f>"MG 21281143 SSP MG"</x:f>
        <x:v>MG 21281143 SSP MG</x:v>
      </x:c>
      <x:c r="S2741" s="23" t="str">
        <x:v>masculino</x:v>
      </x:c>
      <x:c r="T2741" s="22" t="str"/>
      <x:c r="U2741" s="23" t="str">
        <x:v>MATHEUS NOGUEIRA SANTOS</x:v>
      </x:c>
      <x:c r="V2741" s="22" t="str">
        <x:f>"145.963.256-77"</x:f>
        <x:v>145.963.256-77</x:v>
      </x:c>
      <x:c r="W2741" s="22" t="str">
        <x:f>"14596325677"</x:f>
        <x:v>14596325677</x:v>
      </x:c>
      <x:c r="X2741" s="23" t="str">
        <x:v>fumanci1@gmail.com</x:v>
      </x:c>
      <x:c r="Y2741" s="22" t="str">
        <x:f>"(31)98973-3089"</x:f>
        <x:v>(31)98973-3089</x:v>
      </x:c>
      <x:c r="Z2741" s="30" t="n">
        <x:v>46555</x:v>
      </x:c>
    </x:row>
    <x:row r="2742" ht="18" customHeight="1">
      <x:c r="A2742" s="22" t="str">
        <x:f>"bd51f06f-8e26-4d45-9496-7edbc93ed93a"</x:f>
        <x:v>bd51f06f-8e26-4d45-9496-7edbc93ed93a</x:v>
      </x:c>
      <x:c r="B2742" s="23" t="str">
        <x:v>MATHEUS OLIVEIRA</x:v>
      </x:c>
      <x:c r="C2742" s="23" t="str">
        <x:v>matheus oliveira</x:v>
      </x:c>
      <x:c r="D2742" s="22" t="str">
        <x:f>"62.142.499/0001-29"</x:f>
        <x:v>62.142.499/0001-29</x:v>
      </x:c>
      <x:c r="E2742" s="22" t="str">
        <x:f>"62142499000129"</x:f>
        <x:v>62142499000129</x:v>
      </x:c>
      <x:c r="F2742" s="22" t="str">
        <x:f>"479.049.198-69"</x:f>
        <x:v>479.049.198-69</x:v>
      </x:c>
      <x:c r="G2742" s="22" t="str">
        <x:f>"47904919869"</x:f>
        <x:v>47904919869</x:v>
      </x:c>
      <x:c r="H2742" s="23" t="str">
        <x:v>theusoutlook@gmail.com</x:v>
      </x:c>
      <x:c r="I2742" s="22" t="str">
        <x:f>"11999394173"</x:f>
        <x:v>11999394173</x:v>
      </x:c>
      <x:c r="J2742" s="23" t="str">
        <x:v>RENTAL</x:v>
      </x:c>
      <x:c r="K2742" s="23" t="str">
        <x:v>rental_company</x:v>
      </x:c>
      <x:c r="L2742" s="24" t="b">
        <x:v>1</x:v>
      </x:c>
      <x:c r="M2742" s="23" t="n">
        <x:v>1</x:v>
      </x:c>
      <x:c r="N2742" s="28" t="n">
        <x:v>46219.812988715275</x:v>
      </x:c>
      <x:c r="O2742" s="28" t="n">
        <x:v>46219.812988715275</x:v>
      </x:c>
      <x:c r="P2742" s="23" t="str">
        <x:v>BARUERI</x:v>
      </x:c>
      <x:c r="Q2742" s="30" t="n">
        <x:v>37180</x:v>
      </x:c>
      <x:c r="R2742" s="22" t="str">
        <x:f>"542721016"</x:f>
        <x:v>542721016</x:v>
      </x:c>
      <x:c r="S2742" s="23" t="str">
        <x:v>masculino</x:v>
      </x:c>
      <x:c r="T2742" s="22" t="str"/>
      <x:c r="U2742" s="23" t="str">
        <x:v>MATHEUS OLIVEIRA</x:v>
      </x:c>
      <x:c r="V2742" s="22" t="str">
        <x:f>"479.049.198-69"</x:f>
        <x:v>479.049.198-69</x:v>
      </x:c>
      <x:c r="W2742" s="22" t="str">
        <x:f>"47904919869"</x:f>
        <x:v>47904919869</x:v>
      </x:c>
      <x:c r="X2742" s="23" t="str">
        <x:v>theusoutlook@gmail.com</x:v>
      </x:c>
      <x:c r="Y2742" s="22" t="str">
        <x:f>"11999394173"</x:f>
        <x:v>11999394173</x:v>
      </x:c>
      <x:c r="Z2742" s="30" t="n">
        <x:v>46581</x:v>
      </x:c>
    </x:row>
    <x:row r="2743" ht="18" customHeight="1">
      <x:c r="A2743" s="22" t="str">
        <x:f>"3d6d67af-ebb8-4aef-b3ba-f0f60e73888e"</x:f>
        <x:v>3d6d67af-ebb8-4aef-b3ba-f0f60e73888e</x:v>
      </x:c>
      <x:c r="B2743" s="23" t="str">
        <x:v>MATHEUS ORMELEZ OLIVEIRA</x:v>
      </x:c>
      <x:c r="C2743" s="23" t="str">
        <x:v>matheus ormelez oliveira</x:v>
      </x:c>
      <x:c r="D2743" s="22" t="str">
        <x:f>"61.441.918/0001-60"</x:f>
        <x:v>61.441.918/0001-60</x:v>
      </x:c>
      <x:c r="E2743" s="22" t="str">
        <x:f>"61441918000160"</x:f>
        <x:v>61441918000160</x:v>
      </x:c>
      <x:c r="F2743" s="22" t="str">
        <x:f>"074.242.749-88"</x:f>
        <x:v>074.242.749-88</x:v>
      </x:c>
      <x:c r="G2743" s="22" t="str">
        <x:f>"07424274988"</x:f>
        <x:v>07424274988</x:v>
      </x:c>
      <x:c r="H2743" s="23" t="str">
        <x:v>mormelez@gmail.com</x:v>
      </x:c>
      <x:c r="I2743" s="22" t="str">
        <x:f>"66 9 8419-6822"</x:f>
        <x:v>66 9 8419-6822</x:v>
      </x:c>
      <x:c r="J2743" s="23" t="str">
        <x:v>SPOT</x:v>
      </x:c>
      <x:c r="K2743" s="23" t="str">
        <x:v>favored_only</x:v>
      </x:c>
      <x:c r="L2743" s="24" t="b">
        <x:v>1</x:v>
      </x:c>
      <x:c r="M2743" s="23" t="n">
        <x:v>1</x:v>
      </x:c>
      <x:c r="N2743" s="28" t="n">
        <x:v>46203.92184908565</x:v>
      </x:c>
      <x:c r="O2743" s="28" t="n">
        <x:v>46219.812988715275</x:v>
      </x:c>
      <x:c r="P2743" s="23" t="str">
        <x:v>SINOP</x:v>
      </x:c>
      <x:c r="Q2743" s="30" t="n">
        <x:v>34766</x:v>
      </x:c>
      <x:c r="R2743" s="22" t="str">
        <x:f>"28117018"</x:f>
        <x:v>28117018</x:v>
      </x:c>
      <x:c r="S2743" s="23" t="str">
        <x:v>masculino</x:v>
      </x:c>
      <x:c r="T2743" s="22" t="str">
        <x:f>"RVY9A67"</x:f>
        <x:v>RVY9A67</x:v>
      </x:c>
      <x:c r="U2743" s="23" t="str">
        <x:v>MATHEUS ORMELEZ OLIVEIRA</x:v>
      </x:c>
      <x:c r="V2743" s="22" t="str">
        <x:f>"007.424.274-88"</x:f>
        <x:v>007.424.274-88</x:v>
      </x:c>
      <x:c r="W2743" s="22" t="str">
        <x:f>"00742427488"</x:f>
        <x:v>00742427488</x:v>
      </x:c>
      <x:c r="X2743" s="23" t="str">
        <x:v>mormelez@gmail.com</x:v>
      </x:c>
      <x:c r="Y2743" s="22" t="str">
        <x:f>"66 9 8419-6822"</x:f>
        <x:v>66 9 8419-6822</x:v>
      </x:c>
      <x:c r="Z2743" s="30" t="n">
        <x:v>46247</x:v>
      </x:c>
    </x:row>
    <x:row r="2744" ht="18" customHeight="1">
      <x:c r="A2744" s="22" t="str">
        <x:f>"23010a66-6080-42e2-9a04-fec0823b7d12"</x:f>
        <x:v>23010a66-6080-42e2-9a04-fec0823b7d12</x:v>
      </x:c>
      <x:c r="B2744" s="23" t="str">
        <x:v>MATHEUS PEREIRA DIAS</x:v>
      </x:c>
      <x:c r="C2744" s="23" t="str">
        <x:v>matheus pereira dias</x:v>
      </x:c>
      <x:c r="D2744" s="22" t="str">
        <x:f>"63.514.677/0001-68"</x:f>
        <x:v>63.514.677/0001-68</x:v>
      </x:c>
      <x:c r="E2744" s="22" t="str">
        <x:f>"63514677000168"</x:f>
        <x:v>63514677000168</x:v>
      </x:c>
      <x:c r="F2744" s="22" t="str">
        <x:f>"433.853.178-94"</x:f>
        <x:v>433.853.178-94</x:v>
      </x:c>
      <x:c r="G2744" s="22" t="str">
        <x:f>"43385317894"</x:f>
        <x:v>43385317894</x:v>
      </x:c>
      <x:c r="H2744" s="23" t="str">
        <x:v>theus_dias5@hotmail.com</x:v>
      </x:c>
      <x:c r="I2744" s="22" t="str">
        <x:f>"11 997810189"</x:f>
        <x:v>11 997810189</x:v>
      </x:c>
      <x:c r="J2744" s="23" t="str">
        <x:v>RENTAL</x:v>
      </x:c>
      <x:c r="K2744" s="23" t="str">
        <x:v>rental_company</x:v>
      </x:c>
      <x:c r="L2744" s="24" t="b">
        <x:v>1</x:v>
      </x:c>
      <x:c r="M2744" s="23" t="n">
        <x:v>2</x:v>
      </x:c>
      <x:c r="N2744" s="28" t="n">
        <x:v>46205.6057924537</x:v>
      </x:c>
      <x:c r="O2744" s="28" t="n">
        <x:v>46219.812988715275</x:v>
      </x:c>
      <x:c r="P2744" s="23" t="str">
        <x:v>MADEIRA MADEIRA</x:v>
      </x:c>
      <x:c r="Q2744" s="30" t="n">
        <x:v>34559</x:v>
      </x:c>
      <x:c r="R2744" s="22" t="str">
        <x:f>"42.524.823-9"</x:f>
        <x:v>42.524.823-9</x:v>
      </x:c>
      <x:c r="S2744" s="23" t="str">
        <x:v>masculino</x:v>
      </x:c>
      <x:c r="T2744" s="22" t="str"/>
      <x:c r="U2744" s="23" t="str">
        <x:v>MATHEUS PEREIRA DIAS</x:v>
      </x:c>
      <x:c r="V2744" s="22" t="str">
        <x:f>"433.853.178-94"</x:f>
        <x:v>433.853.178-94</x:v>
      </x:c>
      <x:c r="W2744" s="22" t="str">
        <x:f>"43385317894"</x:f>
        <x:v>43385317894</x:v>
      </x:c>
      <x:c r="X2744" s="23" t="str">
        <x:v>theus_dias5@hotmail.com</x:v>
      </x:c>
      <x:c r="Y2744" s="22" t="str">
        <x:f>"11 997810189"</x:f>
        <x:v>11 997810189</x:v>
      </x:c>
      <x:c r="Z2744" s="30" t="n">
        <x:v>46497</x:v>
      </x:c>
    </x:row>
    <x:row r="2745" ht="18" customHeight="1">
      <x:c r="A2745" s="22" t="str">
        <x:f>"fa73ade8-964e-4bfc-b70e-b7d538b768e8"</x:f>
        <x:v>fa73ade8-964e-4bfc-b70e-b7d538b768e8</x:v>
      </x:c>
      <x:c r="B2745" s="23" t="str">
        <x:v>MATHEUS PEREIRA DIAS</x:v>
      </x:c>
      <x:c r="C2745" s="23" t="str">
        <x:v>matheus pereira dias</x:v>
      </x:c>
      <x:c r="D2745" s="22" t="str">
        <x:f>"63514677"</x:f>
        <x:v>63514677</x:v>
      </x:c>
      <x:c r="E2745" s="22" t="str">
        <x:f>"63514677"</x:f>
        <x:v>63514677</x:v>
      </x:c>
      <x:c r="F2745" s="22" t="str">
        <x:f>"433.853.178-94"</x:f>
        <x:v>433.853.178-94</x:v>
      </x:c>
      <x:c r="G2745" s="22" t="str">
        <x:f>"43385317894"</x:f>
        <x:v>43385317894</x:v>
      </x:c>
      <x:c r="H2745" s="23" t="str">
        <x:v>THEUS_DIAS5@HOTMAIL.COM</x:v>
      </x:c>
      <x:c r="I2745" s="22" t="str">
        <x:f>"11 99781-0189"</x:f>
        <x:v>11 99781-0189</x:v>
      </x:c>
      <x:c r="J2745" s="23" t="str">
        <x:v>RENTAL</x:v>
      </x:c>
      <x:c r="K2745" s="23" t="str">
        <x:v>rental_company</x:v>
      </x:c>
      <x:c r="L2745" s="24" t="b">
        <x:v>1</x:v>
      </x:c>
      <x:c r="M2745" s="23" t="n">
        <x:v>1</x:v>
      </x:c>
      <x:c r="N2745" s="28" t="n">
        <x:v>46203.921887453704</x:v>
      </x:c>
      <x:c r="O2745" s="28" t="n">
        <x:v>46219.812988715275</x:v>
      </x:c>
      <x:c r="P2745" s="23" t="str">
        <x:v>RIBEIRAO PRETO</x:v>
      </x:c>
      <x:c r="Q2745" s="30" t="n">
        <x:v>34559</x:v>
      </x:c>
      <x:c r="R2745" s="22" t="str">
        <x:f>"42524823"</x:f>
        <x:v>42524823</x:v>
      </x:c>
      <x:c r="S2745" s="23" t="str">
        <x:v>masculino</x:v>
      </x:c>
      <x:c r="T2745" s="22" t="str"/>
      <x:c r="U2745" s="23" t="str">
        <x:v>MATHEUS PEREIRA DIAS</x:v>
      </x:c>
      <x:c r="V2745" s="22" t="str">
        <x:f>"433.853.178-94"</x:f>
        <x:v>433.853.178-94</x:v>
      </x:c>
      <x:c r="W2745" s="22" t="str">
        <x:f>"43385317894"</x:f>
        <x:v>43385317894</x:v>
      </x:c>
      <x:c r="X2745" s="23" t="str">
        <x:v>THEUS_DIAS5@HOTMAIL.COM</x:v>
      </x:c>
      <x:c r="Y2745" s="22" t="str">
        <x:f>"11 99781-0189"</x:f>
        <x:v>11 99781-0189</x:v>
      </x:c>
      <x:c r="Z2745" s="30" t="n">
        <x:v>46333</x:v>
      </x:c>
    </x:row>
    <x:row r="2746" ht="18" customHeight="1">
      <x:c r="A2746" s="22" t="str">
        <x:f>"973b8704-d933-4e08-8f3a-379a816d04de"</x:f>
        <x:v>973b8704-d933-4e08-8f3a-379a816d04de</x:v>
      </x:c>
      <x:c r="B2746" s="23" t="str">
        <x:v>MATHEUS PEREIRA LEITE</x:v>
      </x:c>
      <x:c r="C2746" s="23" t="str">
        <x:v>matheus pereira leite</x:v>
      </x:c>
      <x:c r="D2746" s="22" t="str">
        <x:f>"00.626.128/2300-01"</x:f>
        <x:v>00.626.128/2300-01</x:v>
      </x:c>
      <x:c r="E2746" s="22" t="str">
        <x:f>"00626128230001"</x:f>
        <x:v>00626128230001</x:v>
      </x:c>
      <x:c r="F2746" s="22" t="str">
        <x:f>"134.873.676-37"</x:f>
        <x:v>134.873.676-37</x:v>
      </x:c>
      <x:c r="G2746" s="22" t="str">
        <x:f>"13487367637"</x:f>
        <x:v>13487367637</x:v>
      </x:c>
      <x:c r="H2746" s="23" t="str">
        <x:v>matheuspereirao428@gmail.com</x:v>
      </x:c>
      <x:c r="I2746" s="22" t="str">
        <x:f>"31985068717"</x:f>
        <x:v>31985068717</x:v>
      </x:c>
      <x:c r="J2746" s="23" t="str">
        <x:v>RENTAL</x:v>
      </x:c>
      <x:c r="K2746" s="23" t="str">
        <x:v>favored_only</x:v>
      </x:c>
      <x:c r="L2746" s="24" t="b">
        <x:v>1</x:v>
      </x:c>
      <x:c r="M2746" s="23" t="n">
        <x:v>2</x:v>
      </x:c>
      <x:c r="N2746" s="28" t="n">
        <x:v>46203.9218771875</x:v>
      </x:c>
      <x:c r="O2746" s="28" t="n">
        <x:v>46219.812988715275</x:v>
      </x:c>
      <x:c r="P2746" s="23" t="str">
        <x:v>VESPASIANO</x:v>
      </x:c>
      <x:c r="Q2746" s="30" t="n">
        <x:v>34769</x:v>
      </x:c>
      <x:c r="R2746" s="22" t="str">
        <x:f>"18221045"</x:f>
        <x:v>18221045</x:v>
      </x:c>
      <x:c r="S2746" s="23" t="str">
        <x:v>masculino</x:v>
      </x:c>
      <x:c r="T2746" s="22" t="str">
        <x:f>"PYW8D50"</x:f>
        <x:v>PYW8D50</x:v>
      </x:c>
      <x:c r="U2746" s="23" t="str">
        <x:v>MATHEUS PEREIRA LEITE</x:v>
      </x:c>
      <x:c r="V2746" s="22" t="str">
        <x:f>"134.873.676-37"</x:f>
        <x:v>134.873.676-37</x:v>
      </x:c>
      <x:c r="W2746" s="22" t="str">
        <x:f>"13487367637"</x:f>
        <x:v>13487367637</x:v>
      </x:c>
      <x:c r="X2746" s="23" t="str">
        <x:v>matheuspereirao428@gmail.com</x:v>
      </x:c>
      <x:c r="Y2746" s="22" t="str">
        <x:f>"31985068717"</x:f>
        <x:v>31985068717</x:v>
      </x:c>
      <x:c r="Z2746" s="30" t="n">
        <x:v>46541</x:v>
      </x:c>
    </x:row>
    <x:row r="2747" ht="18" customHeight="1">
      <x:c r="A2747" s="22" t="str">
        <x:f>"9bde1e80-595d-4d48-aabf-91fcbece06df"</x:f>
        <x:v>9bde1e80-595d-4d48-aabf-91fcbece06df</x:v>
      </x:c>
      <x:c r="B2747" s="23" t="str">
        <x:v>MATHEUS PEREIRA LEITE</x:v>
      </x:c>
      <x:c r="C2747" s="23" t="str">
        <x:v>matheus pereira leite</x:v>
      </x:c>
      <x:c r="D2747" s="22" t="str">
        <x:f>"62.612.823/0001-25"</x:f>
        <x:v>62.612.823/0001-25</x:v>
      </x:c>
      <x:c r="E2747" s="22" t="str">
        <x:f>"62612823000125"</x:f>
        <x:v>62612823000125</x:v>
      </x:c>
      <x:c r="F2747" s="22" t="str">
        <x:f>"134.873.676-37"</x:f>
        <x:v>134.873.676-37</x:v>
      </x:c>
      <x:c r="G2747" s="22" t="str">
        <x:f>"13487367637"</x:f>
        <x:v>13487367637</x:v>
      </x:c>
      <x:c r="H2747" s="23" t="str">
        <x:v>matheuspereirao428@gmail.com</x:v>
      </x:c>
      <x:c r="I2747" s="22" t="str">
        <x:f>"31985068717"</x:f>
        <x:v>31985068717</x:v>
      </x:c>
      <x:c r="J2747" s="23" t="str">
        <x:v>SPOT</x:v>
      </x:c>
      <x:c r="K2747" s="23" t="str">
        <x:v>favored_only</x:v>
      </x:c>
      <x:c r="L2747" s="24" t="b">
        <x:v>1</x:v>
      </x:c>
      <x:c r="M2747" s="23" t="n">
        <x:v>2</x:v>
      </x:c>
      <x:c r="N2747" s="28" t="n">
        <x:v>46203.92189349537</x:v>
      </x:c>
      <x:c r="O2747" s="28" t="n">
        <x:v>46219.812988715275</x:v>
      </x:c>
      <x:c r="P2747" s="23" t="str">
        <x:v>VESPASIANO</x:v>
      </x:c>
      <x:c r="Q2747" s="30" t="n">
        <x:v>34769</x:v>
      </x:c>
      <x:c r="R2747" s="22" t="str">
        <x:f>"18221045"</x:f>
        <x:v>18221045</x:v>
      </x:c>
      <x:c r="S2747" s="23" t="str">
        <x:v>masculino</x:v>
      </x:c>
      <x:c r="T2747" s="22" t="str">
        <x:f>"QOE7B08"</x:f>
        <x:v>QOE7B08</x:v>
      </x:c>
      <x:c r="U2747" s="23" t="str">
        <x:v>MATHEUS PEREIRA LEITE</x:v>
      </x:c>
      <x:c r="V2747" s="22" t="str">
        <x:f>"134.873.676-37"</x:f>
        <x:v>134.873.676-37</x:v>
      </x:c>
      <x:c r="W2747" s="22" t="str">
        <x:f>"13487367637"</x:f>
        <x:v>13487367637</x:v>
      </x:c>
      <x:c r="X2747" s="23" t="str">
        <x:v>matheuspereirao428@gmail.com</x:v>
      </x:c>
      <x:c r="Y2747" s="22" t="str">
        <x:f>"31985068717"</x:f>
        <x:v>31985068717</x:v>
      </x:c>
      <x:c r="Z2747" s="30" t="n">
        <x:v>46354</x:v>
      </x:c>
    </x:row>
    <x:row r="2748" ht="18" customHeight="1">
      <x:c r="A2748" s="22" t="str">
        <x:f>"06da7c7b-18f6-4deb-8d54-aa066aad0c64"</x:f>
        <x:v>06da7c7b-18f6-4deb-8d54-aa066aad0c64</x:v>
      </x:c>
      <x:c r="B2748" s="23" t="str">
        <x:v>MATHEUS PEREIRA SILVA</x:v>
      </x:c>
      <x:c r="C2748" s="23" t="str">
        <x:v>matheus pereira silva</x:v>
      </x:c>
      <x:c r="D2748" s="22" t="str">
        <x:f>"60.842.750/0001-32"</x:f>
        <x:v>60.842.750/0001-32</x:v>
      </x:c>
      <x:c r="E2748" s="22" t="str">
        <x:f>"60842750000132"</x:f>
        <x:v>60842750000132</x:v>
      </x:c>
      <x:c r="F2748" s="22" t="str">
        <x:f>"124.118.016-45"</x:f>
        <x:v>124.118.016-45</x:v>
      </x:c>
      <x:c r="G2748" s="22" t="str">
        <x:f>"12411801645"</x:f>
        <x:v>12411801645</x:v>
      </x:c>
      <x:c r="H2748" s="23" t="str">
        <x:v>Matheuspsilva96@hotmail.com</x:v>
      </x:c>
      <x:c r="I2748" s="22" t="str">
        <x:f>"31980380875"</x:f>
        <x:v>31980380875</x:v>
      </x:c>
      <x:c r="J2748" s="23" t="str">
        <x:v>SPOT</x:v>
      </x:c>
      <x:c r="K2748" s="23" t="str">
        <x:v>favored_only</x:v>
      </x:c>
      <x:c r="L2748" s="24" t="b">
        <x:v>1</x:v>
      </x:c>
      <x:c r="M2748" s="23" t="n">
        <x:v>1</x:v>
      </x:c>
      <x:c r="N2748" s="28" t="n">
        <x:v>46219.812988715275</x:v>
      </x:c>
      <x:c r="O2748" s="28" t="n">
        <x:v>46219.812988715275</x:v>
      </x:c>
      <x:c r="P2748" s="23" t="str">
        <x:v>CONTAGEM</x:v>
      </x:c>
      <x:c r="Q2748" s="30" t="n">
        <x:v>35243</x:v>
      </x:c>
      <x:c r="R2748" s="22" t="str">
        <x:f>"12469936"</x:f>
        <x:v>12469936</x:v>
      </x:c>
      <x:c r="S2748" s="23" t="str">
        <x:v>masculino</x:v>
      </x:c>
      <x:c r="T2748" s="22" t="str">
        <x:f>"HFN1F90"</x:f>
        <x:v>HFN1F90</x:v>
      </x:c>
      <x:c r="U2748" s="23" t="str">
        <x:v>MATHEUS PEREIRA SILVA</x:v>
      </x:c>
      <x:c r="V2748" s="22" t="str">
        <x:f>"124.118.016-45"</x:f>
        <x:v>124.118.016-45</x:v>
      </x:c>
      <x:c r="W2748" s="22" t="str">
        <x:f>"12411801645"</x:f>
        <x:v>12411801645</x:v>
      </x:c>
      <x:c r="X2748" s="23" t="str">
        <x:v>Matheuspsilva96@hotmail.com</x:v>
      </x:c>
      <x:c r="Y2748" s="22" t="str">
        <x:f>"31980380875"</x:f>
        <x:v>31980380875</x:v>
      </x:c>
      <x:c r="Z2748" s="30" t="n">
        <x:v>46507</x:v>
      </x:c>
    </x:row>
    <x:row r="2749" ht="18" customHeight="1">
      <x:c r="A2749" s="22" t="str">
        <x:f>"f5a6eb34-4570-4149-889f-8c9775a38d47"</x:f>
        <x:v>f5a6eb34-4570-4149-889f-8c9775a38d47</x:v>
      </x:c>
      <x:c r="B2749" s="23" t="str">
        <x:v>MATHEUS PORTO DE SOUZA</x:v>
      </x:c>
      <x:c r="C2749" s="23" t="str">
        <x:v>matheus porto de souza</x:v>
      </x:c>
      <x:c r="D2749" s="22" t="str">
        <x:f>"65.187.717/0001-30"</x:f>
        <x:v>65.187.717/0001-30</x:v>
      </x:c>
      <x:c r="E2749" s="22" t="str">
        <x:f>"65187717000130"</x:f>
        <x:v>65187717000130</x:v>
      </x:c>
      <x:c r="F2749" s="22" t="str">
        <x:f>"158.476.977-75"</x:f>
        <x:v>158.476.977-75</x:v>
      </x:c>
      <x:c r="G2749" s="22" t="str">
        <x:f>"15847697775"</x:f>
        <x:v>15847697775</x:v>
      </x:c>
      <x:c r="H2749" s="23" t="str">
        <x:v>Matheusporto488@gmail.com</x:v>
      </x:c>
      <x:c r="I2749" s="22" t="str">
        <x:f>"22998304153"</x:f>
        <x:v>22998304153</x:v>
      </x:c>
      <x:c r="J2749" s="23" t="str">
        <x:v>SPOT</x:v>
      </x:c>
      <x:c r="K2749" s="23" t="str">
        <x:v>favored_only</x:v>
      </x:c>
      <x:c r="L2749" s="24" t="b">
        <x:v>1</x:v>
      </x:c>
      <x:c r="M2749" s="23" t="n">
        <x:v>1</x:v>
      </x:c>
      <x:c r="N2749" s="28" t="n">
        <x:v>46219.812988715275</x:v>
      </x:c>
      <x:c r="O2749" s="28" t="n">
        <x:v>46219.812988715275</x:v>
      </x:c>
      <x:c r="P2749" s="23" t="str">
        <x:v>CAMPOS DOS GOYTACAZES</x:v>
      </x:c>
      <x:c r="Q2749" s="30" t="n">
        <x:v>34619</x:v>
      </x:c>
      <x:c r="R2749" s="22" t="str">
        <x:f>"286946082"</x:f>
        <x:v>286946082</x:v>
      </x:c>
      <x:c r="S2749" s="23" t="str">
        <x:v>feminino</x:v>
      </x:c>
      <x:c r="T2749" s="22" t="str">
        <x:f>"ENQ7B48"</x:f>
        <x:v>ENQ7B48</x:v>
      </x:c>
      <x:c r="U2749" s="23" t="str">
        <x:v>MARIA EDUARDA DA CRUZ RIBEIRO</x:v>
      </x:c>
      <x:c r="V2749" s="22" t="str">
        <x:f>"203.204.787-00"</x:f>
        <x:v>203.204.787-00</x:v>
      </x:c>
      <x:c r="W2749" s="22" t="str">
        <x:f>"20320478700"</x:f>
        <x:v>20320478700</x:v>
      </x:c>
      <x:c r="X2749" s="23" t="str">
        <x:v>Eduardaribeirox6@gmail.com</x:v>
      </x:c>
      <x:c r="Y2749" s="22" t="str">
        <x:f>"22 99876-1357"</x:f>
        <x:v>22 99876-1357</x:v>
      </x:c>
      <x:c r="Z2749" s="30" t="n">
        <x:v>46437</x:v>
      </x:c>
    </x:row>
    <x:row r="2750" ht="18" customHeight="1">
      <x:c r="A2750" s="22" t="str">
        <x:f>"3db40ddc-79ee-4098-98e7-e27c01ebbd60"</x:f>
        <x:v>3db40ddc-79ee-4098-98e7-e27c01ebbd60</x:v>
      </x:c>
      <x:c r="B2750" s="23" t="str">
        <x:v>MATHEUS RAFAEL RODRIGUES DA SILVA PINTO</x:v>
      </x:c>
      <x:c r="C2750" s="23" t="str">
        <x:v>matheus rafael rodrigues da silva pinto</x:v>
      </x:c>
      <x:c r="D2750" s="22" t="str">
        <x:f>"40.578.834/0001-01"</x:f>
        <x:v>40.578.834/0001-01</x:v>
      </x:c>
      <x:c r="E2750" s="22" t="str">
        <x:f>"40578834000101"</x:f>
        <x:v>40578834000101</x:v>
      </x:c>
      <x:c r="F2750" s="22" t="str">
        <x:f>"410.229.108-33"</x:f>
        <x:v>410.229.108-33</x:v>
      </x:c>
      <x:c r="G2750" s="22" t="str">
        <x:f>"41022910833"</x:f>
        <x:v>41022910833</x:v>
      </x:c>
      <x:c r="H2750" s="23" t="str">
        <x:v>Matheusrodriguesauto@icloud.com</x:v>
      </x:c>
      <x:c r="I2750" s="22" t="str">
        <x:f>"14 99650-0219"</x:f>
        <x:v>14 99650-0219</x:v>
      </x:c>
      <x:c r="J2750" s="23" t="str">
        <x:v>spot</x:v>
      </x:c>
      <x:c r="K2750" s="23" t="str">
        <x:v>favored_only</x:v>
      </x:c>
      <x:c r="L2750" s="24" t="b">
        <x:v>1</x:v>
      </x:c>
      <x:c r="M2750" s="23" t="n">
        <x:v>1</x:v>
      </x:c>
      <x:c r="N2750" s="28" t="n">
        <x:v>46219.812988715275</x:v>
      </x:c>
      <x:c r="O2750" s="28" t="n">
        <x:v>46219.812988715275</x:v>
      </x:c>
      <x:c r="P2750" s="23" t="str">
        <x:v>MARILIA</x:v>
      </x:c>
      <x:c r="Q2750" s="30" t="n">
        <x:v>35018</x:v>
      </x:c>
      <x:c r="R2750" s="22" t="str">
        <x:f>"45991065"</x:f>
        <x:v>45991065</x:v>
      </x:c>
      <x:c r="S2750" s="23" t="str">
        <x:v>masculino</x:v>
      </x:c>
      <x:c r="T2750" s="22" t="str">
        <x:f>"AXK8G63"</x:f>
        <x:v>AXK8G63</x:v>
      </x:c>
      <x:c r="U2750" s="23" t="str">
        <x:v>MATHEUS RAFAEL RODRIGUES DA SILVA PINTO</x:v>
      </x:c>
      <x:c r="V2750" s="22" t="str">
        <x:f>"410.229.108-33"</x:f>
        <x:v>410.229.108-33</x:v>
      </x:c>
      <x:c r="W2750" s="22" t="str">
        <x:f>"41022910833"</x:f>
        <x:v>41022910833</x:v>
      </x:c>
      <x:c r="X2750" s="23" t="str">
        <x:v>Matheusrodriguesauto@icloud.com</x:v>
      </x:c>
      <x:c r="Y2750" s="22" t="str">
        <x:f>"14 99650-0219"</x:f>
        <x:v>14 99650-0219</x:v>
      </x:c>
      <x:c r="Z2750" s="30" t="n">
        <x:v>46543</x:v>
      </x:c>
    </x:row>
    <x:row r="2751" ht="18" customHeight="1">
      <x:c r="A2751" s="22" t="str">
        <x:f>"ef9d54ad-cdec-45d0-b718-d2bcc8434d68"</x:f>
        <x:v>ef9d54ad-cdec-45d0-b718-d2bcc8434d68</x:v>
      </x:c>
      <x:c r="B2751" s="23" t="str">
        <x:v>MATHEUS RIOS SILVA</x:v>
      </x:c>
      <x:c r="C2751" s="23" t="str">
        <x:v>matheus rios silva</x:v>
      </x:c>
      <x:c r="D2751" s="22" t="str">
        <x:f>"65.612.666/0001-46"</x:f>
        <x:v>65.612.666/0001-46</x:v>
      </x:c>
      <x:c r="E2751" s="22" t="str">
        <x:f>"65612666000146"</x:f>
        <x:v>65612666000146</x:v>
      </x:c>
      <x:c r="F2751" s="22" t="str">
        <x:f>"466.488.568-74"</x:f>
        <x:v>466.488.568-74</x:v>
      </x:c>
      <x:c r="G2751" s="22" t="str">
        <x:f>"46648856874"</x:f>
        <x:v>46648856874</x:v>
      </x:c>
      <x:c r="H2751" s="23" t="str">
        <x:v>Matheus_riossilva@hotmil.com</x:v>
      </x:c>
      <x:c r="I2751" s="22" t="str">
        <x:f>"(16)997986452"</x:f>
        <x:v>(16)997986452</x:v>
      </x:c>
      <x:c r="J2751" s="23" t="str">
        <x:v>RENTAL</x:v>
      </x:c>
      <x:c r="K2751" s="23" t="str">
        <x:v>rental_company</x:v>
      </x:c>
      <x:c r="L2751" s="24" t="b">
        <x:v>1</x:v>
      </x:c>
      <x:c r="M2751" s="23" t="n">
        <x:v>1</x:v>
      </x:c>
      <x:c r="N2751" s="28" t="n">
        <x:v>46219.812988715275</x:v>
      </x:c>
      <x:c r="O2751" s="28" t="n">
        <x:v>46219.812988715275</x:v>
      </x:c>
      <x:c r="P2751" s="23" t="str">
        <x:v>SÃO CARLOS</x:v>
      </x:c>
      <x:c r="Q2751" s="30" t="n">
        <x:v>34877</x:v>
      </x:c>
      <x:c r="R2751" s="22" t="str">
        <x:f>"44928591"</x:f>
        <x:v>44928591</x:v>
      </x:c>
      <x:c r="S2751" s="23" t="str">
        <x:v>masculino</x:v>
      </x:c>
      <x:c r="T2751" s="22" t="str"/>
      <x:c r="U2751" s="23" t="str">
        <x:v>MATHEUS RIOS SILVA</x:v>
      </x:c>
      <x:c r="V2751" s="22" t="str">
        <x:f>"466.488.568-74"</x:f>
        <x:v>466.488.568-74</x:v>
      </x:c>
      <x:c r="W2751" s="22" t="str">
        <x:f>"46648856874"</x:f>
        <x:v>46648856874</x:v>
      </x:c>
      <x:c r="X2751" s="23" t="str">
        <x:v>Matheus_riossilva@hotmil.com</x:v>
      </x:c>
      <x:c r="Y2751" s="22" t="str">
        <x:f>"(16)997986452"</x:f>
        <x:v>(16)997986452</x:v>
      </x:c>
      <x:c r="Z2751" s="30" t="n">
        <x:v>46457</x:v>
      </x:c>
    </x:row>
    <x:row r="2752" ht="18" customHeight="1">
      <x:c r="A2752" s="22" t="str">
        <x:f>"b42997a0-7d06-4dc5-928d-5283bb42e894"</x:f>
        <x:v>b42997a0-7d06-4dc5-928d-5283bb42e894</x:v>
      </x:c>
      <x:c r="B2752" s="23" t="str">
        <x:v>MATHEUS RODRIGUES CASSIANO</x:v>
      </x:c>
      <x:c r="C2752" s="23" t="str">
        <x:v>matheus rodrigues cassiano</x:v>
      </x:c>
      <x:c r="D2752" s="22" t="str">
        <x:f>"35.446.916/0001-54"</x:f>
        <x:v>35.446.916/0001-54</x:v>
      </x:c>
      <x:c r="E2752" s="22" t="str">
        <x:f>"35446916000154"</x:f>
        <x:v>35446916000154</x:v>
      </x:c>
      <x:c r="F2752" s="22" t="str">
        <x:f>"032.800.671-89"</x:f>
        <x:v>032.800.671-89</x:v>
      </x:c>
      <x:c r="G2752" s="22" t="str">
        <x:f>"03280067189"</x:f>
        <x:v>03280067189</x:v>
      </x:c>
      <x:c r="H2752" s="23" t="str">
        <x:v>matheuscassiano1611@gmail.com</x:v>
      </x:c>
      <x:c r="I2752" s="22" t="str">
        <x:f>"(64)9 9248-0618"</x:f>
        <x:v>(64)9 9248-0618</x:v>
      </x:c>
      <x:c r="J2752" s="23" t="str">
        <x:v>RENTAL</x:v>
      </x:c>
      <x:c r="K2752" s="23" t="str">
        <x:v>rental_company</x:v>
      </x:c>
      <x:c r="L2752" s="24" t="b">
        <x:v>1</x:v>
      </x:c>
      <x:c r="M2752" s="23" t="n">
        <x:v>1</x:v>
      </x:c>
      <x:c r="N2752" s="28" t="n">
        <x:v>46203.92186462963</x:v>
      </x:c>
      <x:c r="O2752" s="28" t="n">
        <x:v>46219.812988715275</x:v>
      </x:c>
      <x:c r="P2752" s="23" t="str">
        <x:v>RIO VERDE</x:v>
      </x:c>
      <x:c r="Q2752" s="30" t="n">
        <x:v>33559</x:v>
      </x:c>
      <x:c r="R2752" s="22" t="str">
        <x:f>"5426606"</x:f>
        <x:v>5426606</x:v>
      </x:c>
      <x:c r="S2752" s="23" t="str">
        <x:v>masculino</x:v>
      </x:c>
      <x:c r="T2752" s="22" t="str"/>
      <x:c r="U2752" s="23" t="str">
        <x:v>MATHEUS RODRIGUES CASSIANO</x:v>
      </x:c>
      <x:c r="V2752" s="22" t="str">
        <x:f>"032.800.671-89"</x:f>
        <x:v>032.800.671-89</x:v>
      </x:c>
      <x:c r="W2752" s="22" t="str">
        <x:f>"03280067189"</x:f>
        <x:v>03280067189</x:v>
      </x:c>
      <x:c r="X2752" s="23" t="str">
        <x:v>matheuscassiano1611@gmail.com</x:v>
      </x:c>
      <x:c r="Y2752" s="22" t="str">
        <x:f>"(64)9 9248-0618"</x:f>
        <x:v>(64)9 9248-0618</x:v>
      </x:c>
      <x:c r="Z2752" s="30" t="n">
        <x:v>46284</x:v>
      </x:c>
    </x:row>
    <x:row r="2753" ht="18" customHeight="1">
      <x:c r="A2753" s="22" t="str">
        <x:f>"85a68bb6-64ed-4755-a102-1b2cd7425f94"</x:f>
        <x:v>85a68bb6-64ed-4755-a102-1b2cd7425f94</x:v>
      </x:c>
      <x:c r="B2753" s="23" t="str">
        <x:v>MATHEUS RODRIGUES DE FIGUEIREDO SA</x:v>
      </x:c>
      <x:c r="C2753" s="23" t="str">
        <x:v>matheus rodrigues de figueiredo sa</x:v>
      </x:c>
      <x:c r="D2753" s="22" t="str">
        <x:f>"58.340.773/0001-05"</x:f>
        <x:v>58.340.773/0001-05</x:v>
      </x:c>
      <x:c r="E2753" s="22" t="str">
        <x:f>"58340773000105"</x:f>
        <x:v>58340773000105</x:v>
      </x:c>
      <x:c r="F2753" s="22" t="str">
        <x:f>"127.780.596-28"</x:f>
        <x:v>127.780.596-28</x:v>
      </x:c>
      <x:c r="G2753" s="22" t="str">
        <x:f>"12778059628"</x:f>
        <x:v>12778059628</x:v>
      </x:c>
      <x:c r="H2753" s="23" t="str">
        <x:v>m3convince@gmail.com</x:v>
      </x:c>
      <x:c r="I2753" s="22" t="str">
        <x:f>"62996193147"</x:f>
        <x:v>62996193147</x:v>
      </x:c>
      <x:c r="J2753" s="23" t="str">
        <x:v>RENTAL</x:v>
      </x:c>
      <x:c r="K2753" s="23" t="str">
        <x:v>rental_company</x:v>
      </x:c>
      <x:c r="L2753" s="24" t="b">
        <x:v>1</x:v>
      </x:c>
      <x:c r="M2753" s="23" t="n">
        <x:v>1</x:v>
      </x:c>
      <x:c r="N2753" s="28" t="n">
        <x:v>46219.812988715275</x:v>
      </x:c>
      <x:c r="O2753" s="28" t="n">
        <x:v>46219.812988715275</x:v>
      </x:c>
      <x:c r="P2753" s="23" t="str">
        <x:v>GOIANIA</x:v>
      </x:c>
      <x:c r="Q2753" s="30" t="n">
        <x:v>34886</x:v>
      </x:c>
      <x:c r="R2753" s="22" t="str">
        <x:f>"16774551"</x:f>
        <x:v>16774551</x:v>
      </x:c>
      <x:c r="S2753" s="23" t="str">
        <x:v>masculino</x:v>
      </x:c>
      <x:c r="T2753" s="22" t="str"/>
      <x:c r="U2753" s="23" t="str">
        <x:v>MATHEUS RODRIGUES DE FIGUEIREDO SA</x:v>
      </x:c>
      <x:c r="V2753" s="22" t="str">
        <x:f>"127.780.596-28"</x:f>
        <x:v>127.780.596-28</x:v>
      </x:c>
      <x:c r="W2753" s="22" t="str">
        <x:f>"12778059628"</x:f>
        <x:v>12778059628</x:v>
      </x:c>
      <x:c r="X2753" s="23" t="str">
        <x:v>m3convince@gmail.com</x:v>
      </x:c>
      <x:c r="Y2753" s="22" t="str">
        <x:f>"62996193147"</x:f>
        <x:v>62996193147</x:v>
      </x:c>
      <x:c r="Z2753" s="30" t="n">
        <x:v>46500</x:v>
      </x:c>
    </x:row>
    <x:row r="2754" ht="18" customHeight="1">
      <x:c r="A2754" s="22" t="str">
        <x:f>"1d2ea677-b217-42c3-ac7b-0d063f6968ab"</x:f>
        <x:v>1d2ea677-b217-42c3-ac7b-0d063f6968ab</x:v>
      </x:c>
      <x:c r="B2754" s="23" t="str">
        <x:v>MATHEUS SANTOS DE PAIVA</x:v>
      </x:c>
      <x:c r="C2754" s="23" t="str">
        <x:v>matheus santos de paiva</x:v>
      </x:c>
      <x:c r="D2754" s="22" t="str">
        <x:f>"59.102.282/0001-80"</x:f>
        <x:v>59.102.282/0001-80</x:v>
      </x:c>
      <x:c r="E2754" s="22" t="str">
        <x:f>"59102282000180"</x:f>
        <x:v>59102282000180</x:v>
      </x:c>
      <x:c r="F2754" s="22" t="str">
        <x:f>"149.111.046-51"</x:f>
        <x:v>149.111.046-51</x:v>
      </x:c>
      <x:c r="G2754" s="22" t="str">
        <x:f>"14911104651"</x:f>
        <x:v>14911104651</x:v>
      </x:c>
      <x:c r="H2754" s="23" t="str">
        <x:v>paivatransporte123@gmail.com</x:v>
      </x:c>
      <x:c r="I2754" s="22" t="str">
        <x:f>"31993639647"</x:f>
        <x:v>31993639647</x:v>
      </x:c>
      <x:c r="J2754" s="23" t="str">
        <x:v>SPOT</x:v>
      </x:c>
      <x:c r="K2754" s="23" t="str">
        <x:v>favored_only</x:v>
      </x:c>
      <x:c r="L2754" s="24" t="b">
        <x:v>1</x:v>
      </x:c>
      <x:c r="M2754" s="23" t="n">
        <x:v>1</x:v>
      </x:c>
      <x:c r="N2754" s="28" t="n">
        <x:v>46219.812988715275</x:v>
      </x:c>
      <x:c r="O2754" s="28" t="n">
        <x:v>46219.812988715275</x:v>
      </x:c>
      <x:c r="P2754" s="23" t="str">
        <x:v>CONTAGEM</x:v>
      </x:c>
      <x:c r="Q2754" s="30" t="n">
        <x:v>35714</x:v>
      </x:c>
      <x:c r="R2754" s="22" t="str">
        <x:f>"mg19301717"</x:f>
        <x:v>mg19301717</x:v>
      </x:c>
      <x:c r="S2754" s="23" t="str">
        <x:v>masculino</x:v>
      </x:c>
      <x:c r="T2754" s="22" t="str">
        <x:f>"RFQ9G98"</x:f>
        <x:v>RFQ9G98</x:v>
      </x:c>
      <x:c r="U2754" s="23" t="str">
        <x:v>MATHEUS SANTOS DE PAIVA</x:v>
      </x:c>
      <x:c r="V2754" s="22" t="str">
        <x:f>"149.111.046-51"</x:f>
        <x:v>149.111.046-51</x:v>
      </x:c>
      <x:c r="W2754" s="22" t="str">
        <x:f>"14911104651"</x:f>
        <x:v>14911104651</x:v>
      </x:c>
      <x:c r="X2754" s="23" t="str">
        <x:v>paivatransporte123@gmail.com</x:v>
      </x:c>
      <x:c r="Y2754" s="22" t="str">
        <x:f>"31993639647"</x:f>
        <x:v>31993639647</x:v>
      </x:c>
      <x:c r="Z2754" s="30" t="n">
        <x:v>46463</x:v>
      </x:c>
    </x:row>
    <x:row r="2755" ht="18" customHeight="1">
      <x:c r="A2755" s="22" t="str">
        <x:f>"3fa6055c-81d1-4b58-893e-a6642d167b74"</x:f>
        <x:v>3fa6055c-81d1-4b58-893e-a6642d167b74</x:v>
      </x:c>
      <x:c r="B2755" s="23" t="str">
        <x:v>MATHEUS SANTOS SILVA</x:v>
      </x:c>
      <x:c r="C2755" s="23" t="str">
        <x:v>matheus santos silva</x:v>
      </x:c>
      <x:c r="D2755" s="22" t="str">
        <x:f>"39.996.782/0001-04"</x:f>
        <x:v>39.996.782/0001-04</x:v>
      </x:c>
      <x:c r="E2755" s="22" t="str">
        <x:f>"39996782000104"</x:f>
        <x:v>39996782000104</x:v>
      </x:c>
      <x:c r="F2755" s="22" t="str">
        <x:f>"435.655.178-83"</x:f>
        <x:v>435.655.178-83</x:v>
      </x:c>
      <x:c r="G2755" s="22" t="str">
        <x:f>"43565517883"</x:f>
        <x:v>43565517883</x:v>
      </x:c>
      <x:c r="H2755" s="23" t="str">
        <x:v>matheusssantos016@outlook.com</x:v>
      </x:c>
      <x:c r="I2755" s="22" t="str">
        <x:f>"16-992297662"</x:f>
        <x:v>16-992297662</x:v>
      </x:c>
      <x:c r="J2755" s="23" t="str">
        <x:v>SPOT</x:v>
      </x:c>
      <x:c r="K2755" s="23" t="str">
        <x:v>favored_only</x:v>
      </x:c>
      <x:c r="L2755" s="24" t="b">
        <x:v>1</x:v>
      </x:c>
      <x:c r="M2755" s="23" t="n">
        <x:v>1</x:v>
      </x:c>
      <x:c r="N2755" s="28" t="n">
        <x:v>46203.92184908565</x:v>
      </x:c>
      <x:c r="O2755" s="28" t="n">
        <x:v>46219.812988715275</x:v>
      </x:c>
      <x:c r="P2755" s="23" t="str">
        <x:v>RIBEIRAO PRETO</x:v>
      </x:c>
      <x:c r="Q2755" s="30" t="n">
        <x:v>37039</x:v>
      </x:c>
      <x:c r="R2755" s="22" t="str">
        <x:f>"52035387"</x:f>
        <x:v>52035387</x:v>
      </x:c>
      <x:c r="S2755" s="23" t="str">
        <x:v>masculino</x:v>
      </x:c>
      <x:c r="T2755" s="22" t="str">
        <x:f>"GFY4F99"</x:f>
        <x:v>GFY4F99</x:v>
      </x:c>
      <x:c r="U2755" s="23" t="str">
        <x:v>MATHEUS SANTOS SILVA</x:v>
      </x:c>
      <x:c r="V2755" s="22" t="str">
        <x:f>"435.655.178-83"</x:f>
        <x:v>435.655.178-83</x:v>
      </x:c>
      <x:c r="W2755" s="22" t="str">
        <x:f>"43565517883"</x:f>
        <x:v>43565517883</x:v>
      </x:c>
      <x:c r="X2755" s="23" t="str">
        <x:v>matheusssantos016@outlook.com</x:v>
      </x:c>
      <x:c r="Y2755" s="22" t="str">
        <x:f>"16-992297662"</x:f>
        <x:v>16-992297662</x:v>
      </x:c>
      <x:c r="Z2755" s="30" t="n">
        <x:v>46238</x:v>
      </x:c>
    </x:row>
    <x:row r="2756" ht="18" customHeight="1">
      <x:c r="A2756" s="22" t="str">
        <x:f>"8b19ac40-d5e0-4ccc-9bac-207f7d75e0e6"</x:f>
        <x:v>8b19ac40-d5e0-4ccc-9bac-207f7d75e0e6</x:v>
      </x:c>
      <x:c r="B2756" s="23" t="str">
        <x:v>MATHEUS SILVA NASCIMENTO</x:v>
      </x:c>
      <x:c r="C2756" s="23" t="str">
        <x:v>matheus silva nascimento</x:v>
      </x:c>
      <x:c r="D2756" s="22" t="str">
        <x:f>"63.138.434/0001-72"</x:f>
        <x:v>63.138.434/0001-72</x:v>
      </x:c>
      <x:c r="E2756" s="22" t="str">
        <x:f>"63138434000172"</x:f>
        <x:v>63138434000172</x:v>
      </x:c>
      <x:c r="F2756" s="22" t="str">
        <x:f>"501.343.948-52"</x:f>
        <x:v>501.343.948-52</x:v>
      </x:c>
      <x:c r="G2756" s="22" t="str">
        <x:f>"50134394852"</x:f>
        <x:v>50134394852</x:v>
      </x:c>
      <x:c r="H2756" s="23" t="str">
        <x:v>Matheusnascimento032005@gmail.com</x:v>
      </x:c>
      <x:c r="I2756" s="22" t="str">
        <x:f>"16 98152-0764"</x:f>
        <x:v>16 98152-0764</x:v>
      </x:c>
      <x:c r="J2756" s="23" t="str">
        <x:v>RENTAL</x:v>
      </x:c>
      <x:c r="K2756" s="23" t="str">
        <x:v>favored_only</x:v>
      </x:c>
      <x:c r="L2756" s="24" t="b">
        <x:v>1</x:v>
      </x:c>
      <x:c r="M2756" s="23" t="n">
        <x:v>2</x:v>
      </x:c>
      <x:c r="N2756" s="28" t="n">
        <x:v>46203.92189965278</x:v>
      </x:c>
      <x:c r="O2756" s="28" t="n">
        <x:v>46219.812988715275</x:v>
      </x:c>
      <x:c r="P2756" s="23" t="str">
        <x:v>SÃO CARLOS</x:v>
      </x:c>
      <x:c r="Q2756" s="30" t="n">
        <x:v>38567</x:v>
      </x:c>
      <x:c r="R2756" s="22" t="str">
        <x:f>"60.290.221-6"</x:f>
        <x:v>60.290.221-6</x:v>
      </x:c>
      <x:c r="S2756" s="23" t="str">
        <x:v>masculino</x:v>
      </x:c>
      <x:c r="T2756" s="22" t="str">
        <x:f>"BBT7E09"</x:f>
        <x:v>BBT7E09</x:v>
      </x:c>
      <x:c r="U2756" s="23" t="str">
        <x:v>MATHEUS SILVA NASCIMENTO</x:v>
      </x:c>
      <x:c r="V2756" s="22" t="str">
        <x:f>"501.343.948-52"</x:f>
        <x:v>501.343.948-52</x:v>
      </x:c>
      <x:c r="W2756" s="22" t="str">
        <x:f>"50134394852"</x:f>
        <x:v>50134394852</x:v>
      </x:c>
      <x:c r="X2756" s="23" t="str">
        <x:v>Matheusnascimento032005@gmail.com</x:v>
      </x:c>
      <x:c r="Y2756" s="22" t="str">
        <x:f>"16 98152-0764"</x:f>
        <x:v>16 98152-0764</x:v>
      </x:c>
      <x:c r="Z2756" s="30" t="n">
        <x:v>46409</x:v>
      </x:c>
    </x:row>
    <x:row r="2757" ht="18" customHeight="1">
      <x:c r="A2757" s="22" t="str">
        <x:f>"f7764c84-6919-4cd6-9eb8-0558aebe76cd"</x:f>
        <x:v>f7764c84-6919-4cd6-9eb8-0558aebe76cd</x:v>
      </x:c>
      <x:c r="B2757" s="23" t="str">
        <x:v>MATHEUS SILVA OLIVEIRA</x:v>
      </x:c>
      <x:c r="C2757" s="23" t="str">
        <x:v>matheus silva oliveira</x:v>
      </x:c>
      <x:c r="D2757" s="22" t="str">
        <x:f>"42.403.575/0001-03"</x:f>
        <x:v>42.403.575/0001-03</x:v>
      </x:c>
      <x:c r="E2757" s="22" t="str">
        <x:f>"42403575000103"</x:f>
        <x:v>42403575000103</x:v>
      </x:c>
      <x:c r="F2757" s="22" t="str">
        <x:f>"016.251.206-64"</x:f>
        <x:v>016.251.206-64</x:v>
      </x:c>
      <x:c r="G2757" s="22" t="str">
        <x:f>"01625120664"</x:f>
        <x:v>01625120664</x:v>
      </x:c>
      <x:c r="H2757" s="23" t="str">
        <x:v>MATHEUSENTREGAR1996@GMAIL.COM</x:v>
      </x:c>
      <x:c r="I2757" s="22" t="str">
        <x:f>"(35) 99850-9136"</x:f>
        <x:v>(35) 99850-9136</x:v>
      </x:c>
      <x:c r="J2757" s="23" t="str">
        <x:v>SPOT</x:v>
      </x:c>
      <x:c r="K2757" s="23" t="str">
        <x:v>favored_only</x:v>
      </x:c>
      <x:c r="L2757" s="24" t="b">
        <x:v>1</x:v>
      </x:c>
      <x:c r="M2757" s="23" t="n">
        <x:v>1</x:v>
      </x:c>
      <x:c r="N2757" s="28" t="n">
        <x:v>46205.60111636574</x:v>
      </x:c>
      <x:c r="O2757" s="28" t="n">
        <x:v>46219.812988715275</x:v>
      </x:c>
      <x:c r="P2757" s="23" t="str">
        <x:v>GUAXUPE</x:v>
      </x:c>
      <x:c r="Q2757" s="30" t="n">
        <x:v>35426</x:v>
      </x:c>
      <x:c r="R2757" s="22" t="str">
        <x:f>"14771381"</x:f>
        <x:v>14771381</x:v>
      </x:c>
      <x:c r="S2757" s="23" t="str">
        <x:v>masculino</x:v>
      </x:c>
      <x:c r="T2757" s="22" t="str">
        <x:f>"RMX3H80"</x:f>
        <x:v>RMX3H80</x:v>
      </x:c>
      <x:c r="U2757" s="23" t="str">
        <x:v>MARCELO BARBOSA DA SILVA</x:v>
      </x:c>
      <x:c r="V2757" s="22" t="str">
        <x:f>"092.732.946-85"</x:f>
        <x:v>092.732.946-85</x:v>
      </x:c>
      <x:c r="W2757" s="22" t="str">
        <x:f>"09273294685"</x:f>
        <x:v>09273294685</x:v>
      </x:c>
      <x:c r="X2757" s="23" t="str">
        <x:v>JOSESILVANO170248@GMAIL.COM</x:v>
      </x:c>
      <x:c r="Y2757" s="22" t="str">
        <x:f>"35 999318457"</x:f>
        <x:v>35 999318457</x:v>
      </x:c>
      <x:c r="Z2757" s="30" t="n">
        <x:v>46521</x:v>
      </x:c>
    </x:row>
    <x:row r="2758" ht="18" customHeight="1">
      <x:c r="A2758" s="22" t="str">
        <x:f>"dce2832d-0fde-4b44-8346-aed0f632a527"</x:f>
        <x:v>dce2832d-0fde-4b44-8346-aed0f632a527</x:v>
      </x:c>
      <x:c r="B2758" s="23" t="str">
        <x:v>MATHEUS SILVA SOUZA</x:v>
      </x:c>
      <x:c r="C2758" s="23" t="str">
        <x:v>matheus silva souza</x:v>
      </x:c>
      <x:c r="D2758" s="22" t="str">
        <x:f>"63.121.920/0001-88"</x:f>
        <x:v>63.121.920/0001-88</x:v>
      </x:c>
      <x:c r="E2758" s="22" t="str">
        <x:f>"63121920000188"</x:f>
        <x:v>63121920000188</x:v>
      </x:c>
      <x:c r="F2758" s="22" t="str">
        <x:f>"705.454.331-93"</x:f>
        <x:v>705.454.331-93</x:v>
      </x:c>
      <x:c r="G2758" s="22" t="str">
        <x:f>"70545433193"</x:f>
        <x:v>70545433193</x:v>
      </x:c>
      <x:c r="H2758" s="23" t="str">
        <x:v>matheusoneup@gmail.com</x:v>
      </x:c>
      <x:c r="I2758" s="22" t="str">
        <x:f>"64992430917"</x:f>
        <x:v>64992430917</x:v>
      </x:c>
      <x:c r="J2758" s="23" t="str">
        <x:v>RENTALS</x:v>
      </x:c>
      <x:c r="K2758" s="23" t="str">
        <x:v>rental_company</x:v>
      </x:c>
      <x:c r="L2758" s="24" t="b">
        <x:v>1</x:v>
      </x:c>
      <x:c r="M2758" s="23" t="n">
        <x:v>1</x:v>
      </x:c>
      <x:c r="N2758" s="28" t="n">
        <x:v>46219.812988715275</x:v>
      </x:c>
      <x:c r="O2758" s="28" t="n">
        <x:v>46219.812988715275</x:v>
      </x:c>
      <x:c r="P2758" s="23" t="str">
        <x:v>RIO VERDE</x:v>
      </x:c>
      <x:c r="Q2758" s="30" t="n">
        <x:v>38015</x:v>
      </x:c>
      <x:c r="R2758" s="22" t="str">
        <x:f>"7212876"</x:f>
        <x:v>7212876</x:v>
      </x:c>
      <x:c r="S2758" s="23" t="str">
        <x:v>masculino</x:v>
      </x:c>
      <x:c r="T2758" s="22" t="str"/>
      <x:c r="U2758" s="23" t="str">
        <x:v>MATHEUS SILVA SOUZA</x:v>
      </x:c>
      <x:c r="V2758" s="22" t="str">
        <x:f>"705.454.331-93"</x:f>
        <x:v>705.454.331-93</x:v>
      </x:c>
      <x:c r="W2758" s="22" t="str">
        <x:f>"70545433193"</x:f>
        <x:v>70545433193</x:v>
      </x:c>
      <x:c r="X2758" s="23" t="str">
        <x:v>matheusoneup@gmail.com</x:v>
      </x:c>
      <x:c r="Y2758" s="22" t="str">
        <x:f>"64992430917"</x:f>
        <x:v>64992430917</x:v>
      </x:c>
      <x:c r="Z2758" s="30" t="n">
        <x:v>46416</x:v>
      </x:c>
    </x:row>
    <x:row r="2759" ht="18" customHeight="1">
      <x:c r="A2759" s="22" t="str">
        <x:f>"dcb53ab8-c815-4c27-b95a-e230da069f9d"</x:f>
        <x:v>dcb53ab8-c815-4c27-b95a-e230da069f9d</x:v>
      </x:c>
      <x:c r="B2759" s="23" t="str">
        <x:v>MATHEUS SILVA VIEIRA GOMES</x:v>
      </x:c>
      <x:c r="C2759" s="23" t="str">
        <x:v>matheus silva vieira gomes</x:v>
      </x:c>
      <x:c r="D2759" s="22" t="str">
        <x:f>"65.155.978/0001-78"</x:f>
        <x:v>65.155.978/0001-78</x:v>
      </x:c>
      <x:c r="E2759" s="22" t="str">
        <x:f>"65155978000178"</x:f>
        <x:v>65155978000178</x:v>
      </x:c>
      <x:c r="F2759" s="22" t="str">
        <x:f>"157.625.767-36"</x:f>
        <x:v>157.625.767-36</x:v>
      </x:c>
      <x:c r="G2759" s="22" t="str">
        <x:f>"15762576736"</x:f>
        <x:v>15762576736</x:v>
      </x:c>
      <x:c r="H2759" s="23" t="str">
        <x:v>mattheusgommes1104@gmail.com</x:v>
      </x:c>
      <x:c r="I2759" s="22" t="str">
        <x:f>"21 976576265"</x:f>
        <x:v>21 976576265</x:v>
      </x:c>
      <x:c r="J2759" s="23" t="str">
        <x:v>SPOT</x:v>
      </x:c>
      <x:c r="K2759" s="23" t="str">
        <x:v>favored_only</x:v>
      </x:c>
      <x:c r="L2759" s="24" t="b">
        <x:v>1</x:v>
      </x:c>
      <x:c r="M2759" s="23" t="n">
        <x:v>1</x:v>
      </x:c>
      <x:c r="N2759" s="28" t="n">
        <x:v>46219.812988715275</x:v>
      </x:c>
      <x:c r="O2759" s="28" t="n">
        <x:v>46219.812988715275</x:v>
      </x:c>
      <x:c r="P2759" s="23" t="str">
        <x:v>ITABORAI</x:v>
      </x:c>
      <x:c r="Q2759" s="30" t="n">
        <x:v>36627</x:v>
      </x:c>
      <x:c r="R2759" s="22" t="str">
        <x:f>"300603859"</x:f>
        <x:v>300603859</x:v>
      </x:c>
      <x:c r="S2759" s="23" t="str">
        <x:v>masculino</x:v>
      </x:c>
      <x:c r="T2759" s="22" t="str">
        <x:f>"LTEEG51"</x:f>
        <x:v>LTEEG51</x:v>
      </x:c>
      <x:c r="U2759" s="23" t="str">
        <x:v>MATHEUS SILVA VIEIRA GOMES</x:v>
      </x:c>
      <x:c r="V2759" s="22" t="str">
        <x:f>"157.625.767-36"</x:f>
        <x:v>157.625.767-36</x:v>
      </x:c>
      <x:c r="W2759" s="22" t="str">
        <x:f>"15762576736"</x:f>
        <x:v>15762576736</x:v>
      </x:c>
      <x:c r="X2759" s="23" t="str">
        <x:v>mattheusgommes1104@gmail.com</x:v>
      </x:c>
      <x:c r="Y2759" s="22" t="str">
        <x:f>"21 976576265"</x:f>
        <x:v>21 976576265</x:v>
      </x:c>
      <x:c r="Z2759" s="30" t="n">
        <x:v>46445</x:v>
      </x:c>
    </x:row>
    <x:row r="2760" ht="18" customHeight="1">
      <x:c r="A2760" s="22" t="str">
        <x:f>"2100c69b-2947-4deb-bada-0b4490a9fca3"</x:f>
        <x:v>2100c69b-2947-4deb-bada-0b4490a9fca3</x:v>
      </x:c>
      <x:c r="B2760" s="23" t="str">
        <x:v>MATHEUS SOARES DE OLIVEIRA SANTANA</x:v>
      </x:c>
      <x:c r="C2760" s="23" t="str">
        <x:v>matheus soares de oliveira santana</x:v>
      </x:c>
      <x:c r="D2760" s="22" t="str">
        <x:f>"63.353.934/0001-27"</x:f>
        <x:v>63.353.934/0001-27</x:v>
      </x:c>
      <x:c r="E2760" s="22" t="str">
        <x:f>"63353934000127"</x:f>
        <x:v>63353934000127</x:v>
      </x:c>
      <x:c r="F2760" s="22" t="str">
        <x:f>"479.473.468-95"</x:f>
        <x:v>479.473.468-95</x:v>
      </x:c>
      <x:c r="G2760" s="22" t="str">
        <x:f>"47947346895"</x:f>
        <x:v>47947346895</x:v>
      </x:c>
      <x:c r="H2760" s="23" t="str">
        <x:v>matheussoares1064@gmail.com</x:v>
      </x:c>
      <x:c r="I2760" s="22" t="str">
        <x:f>"18997491748"</x:f>
        <x:v>18997491748</x:v>
      </x:c>
      <x:c r="J2760" s="23" t="str">
        <x:v>RENTAL</x:v>
      </x:c>
      <x:c r="K2760" s="23" t="str">
        <x:v>rental_company</x:v>
      </x:c>
      <x:c r="L2760" s="24" t="b">
        <x:v>1</x:v>
      </x:c>
      <x:c r="M2760" s="23" t="n">
        <x:v>1</x:v>
      </x:c>
      <x:c r="N2760" s="28" t="n">
        <x:v>46203.92188238426</x:v>
      </x:c>
      <x:c r="O2760" s="28" t="n">
        <x:v>46219.812988715275</x:v>
      </x:c>
      <x:c r="P2760" s="23" t="str">
        <x:v>PRESIDENTE PRUDENTE</x:v>
      </x:c>
      <x:c r="Q2760" s="30" t="n">
        <x:v>37891</x:v>
      </x:c>
      <x:c r="R2760" s="22" t="str">
        <x:f>"551654247"</x:f>
        <x:v>551654247</x:v>
      </x:c>
      <x:c r="S2760" s="23" t="str">
        <x:v>masculino</x:v>
      </x:c>
      <x:c r="T2760" s="22" t="str"/>
      <x:c r="U2760" s="23" t="str">
        <x:v>MATHEUS SOARES DE OLIVEIRA SANTANA</x:v>
      </x:c>
      <x:c r="V2760" s="22" t="str">
        <x:f>"479.473.468-95"</x:f>
        <x:v>479.473.468-95</x:v>
      </x:c>
      <x:c r="W2760" s="22" t="str">
        <x:f>"47947346895"</x:f>
        <x:v>47947346895</x:v>
      </x:c>
      <x:c r="X2760" s="23" t="str">
        <x:v>matheussoares1064@gmail.com</x:v>
      </x:c>
      <x:c r="Y2760" s="22" t="str">
        <x:f>"18997491748"</x:f>
        <x:v>18997491748</x:v>
      </x:c>
      <x:c r="Z2760" s="30" t="n">
        <x:v>46319</x:v>
      </x:c>
    </x:row>
    <x:row r="2761" ht="18" customHeight="1">
      <x:c r="A2761" s="22" t="str">
        <x:f>"b290c630-e29d-4573-8989-6b319e46616b"</x:f>
        <x:v>b290c630-e29d-4573-8989-6b319e46616b</x:v>
      </x:c>
      <x:c r="B2761" s="23" t="str">
        <x:v>MATHEUS SOUZA CORREA</x:v>
      </x:c>
      <x:c r="C2761" s="23" t="str">
        <x:v>matheus souza correa</x:v>
      </x:c>
      <x:c r="D2761" s="22" t="str">
        <x:f>"40.244.846/0001-91"</x:f>
        <x:v>40.244.846/0001-91</x:v>
      </x:c>
      <x:c r="E2761" s="22" t="str">
        <x:f>"40244846000191"</x:f>
        <x:v>40244846000191</x:v>
      </x:c>
      <x:c r="F2761" s="22" t="str">
        <x:f>"107.883.717-11"</x:f>
        <x:v>107.883.717-11</x:v>
      </x:c>
      <x:c r="G2761" s="22" t="str">
        <x:f>"10788371711"</x:f>
        <x:v>10788371711</x:v>
      </x:c>
      <x:c r="H2761" s="23" t="str">
        <x:v>matheussouzacorrea83@gmail.com</x:v>
      </x:c>
      <x:c r="I2761" s="22" t="str">
        <x:f>"22981592488"</x:f>
        <x:v>22981592488</x:v>
      </x:c>
      <x:c r="J2761" s="23" t="str">
        <x:v>SPOT</x:v>
      </x:c>
      <x:c r="K2761" s="23" t="str">
        <x:v>favored_only</x:v>
      </x:c>
      <x:c r="L2761" s="24" t="b">
        <x:v>1</x:v>
      </x:c>
      <x:c r="M2761" s="23" t="n">
        <x:v>1</x:v>
      </x:c>
      <x:c r="N2761" s="28" t="n">
        <x:v>46219.812988715275</x:v>
      </x:c>
      <x:c r="O2761" s="28" t="n">
        <x:v>46219.812988715275</x:v>
      </x:c>
      <x:c r="P2761" s="23" t="str">
        <x:v>CAMPOS DOS GOYTACAZES</x:v>
      </x:c>
      <x:c r="Q2761" s="30" t="n">
        <x:v>36234</x:v>
      </x:c>
      <x:c r="R2761" s="22" t="str">
        <x:f>"295023683"</x:f>
        <x:v>295023683</x:v>
      </x:c>
      <x:c r="S2761" s="23" t="str">
        <x:v>masculino</x:v>
      </x:c>
      <x:c r="T2761" s="22" t="str">
        <x:f>"LPM4A12"</x:f>
        <x:v>LPM4A12</x:v>
      </x:c>
      <x:c r="U2761" s="23" t="str">
        <x:v>SERGIO PEREIRA VENTURA JUNIOR</x:v>
      </x:c>
      <x:c r="V2761" s="22" t="str">
        <x:f>"162.701.557-46"</x:f>
        <x:v>162.701.557-46</x:v>
      </x:c>
      <x:c r="W2761" s="22" t="str">
        <x:f>"16270155746"</x:f>
        <x:v>16270155746</x:v>
      </x:c>
      <x:c r="X2761" s="23" t="str">
        <x:v>juniorventuratj@gmail.com</x:v>
      </x:c>
      <x:c r="Y2761" s="22" t="str">
        <x:f>"2298164-0126"</x:f>
        <x:v>2298164-0126</x:v>
      </x:c>
      <x:c r="Z2761" s="30" t="n">
        <x:v>46449</x:v>
      </x:c>
    </x:row>
    <x:row r="2762" ht="18" customHeight="1">
      <x:c r="A2762" s="22" t="str">
        <x:f>"2a966a6e-dde7-41d2-bb84-e68acff8f44c"</x:f>
        <x:v>2a966a6e-dde7-41d2-bb84-e68acff8f44c</x:v>
      </x:c>
      <x:c r="B2762" s="23" t="str">
        <x:v>MATHEUS SOUZA MACHADO</x:v>
      </x:c>
      <x:c r="C2762" s="23" t="str">
        <x:v>matheus souza machado</x:v>
      </x:c>
      <x:c r="D2762" s="22" t="str">
        <x:f>"28.436.854/0001-34"</x:f>
        <x:v>28.436.854/0001-34</x:v>
      </x:c>
      <x:c r="E2762" s="22" t="str">
        <x:f>"28436854000134"</x:f>
        <x:v>28436854000134</x:v>
      </x:c>
      <x:c r="F2762" s="22" t="str">
        <x:f>"171.889.327-27"</x:f>
        <x:v>171.889.327-27</x:v>
      </x:c>
      <x:c r="G2762" s="22" t="str">
        <x:f>"17188932727"</x:f>
        <x:v>17188932727</x:v>
      </x:c>
      <x:c r="H2762" s="23" t="str">
        <x:v>matheussouzaitbrj@gmail.com</x:v>
      </x:c>
      <x:c r="I2762" s="22" t="str">
        <x:f>"21972061027"</x:f>
        <x:v>21972061027</x:v>
      </x:c>
      <x:c r="J2762" s="23" t="str">
        <x:v>SPOT</x:v>
      </x:c>
      <x:c r="K2762" s="23" t="str">
        <x:v>favored_only</x:v>
      </x:c>
      <x:c r="L2762" s="24" t="b">
        <x:v>1</x:v>
      </x:c>
      <x:c r="M2762" s="23" t="n">
        <x:v>1</x:v>
      </x:c>
      <x:c r="N2762" s="28" t="n">
        <x:v>46219.812988715275</x:v>
      </x:c>
      <x:c r="O2762" s="28" t="n">
        <x:v>46219.812988715275</x:v>
      </x:c>
      <x:c r="P2762" s="23" t="str">
        <x:v>ITABORAI</x:v>
      </x:c>
      <x:c r="Q2762" s="30" t="n">
        <x:v>36000</x:v>
      </x:c>
      <x:c r="R2762" s="22" t="str">
        <x:f>"329289326"</x:f>
        <x:v>329289326</x:v>
      </x:c>
      <x:c r="S2762" s="23" t="str">
        <x:v>masculino</x:v>
      </x:c>
      <x:c r="T2762" s="22" t="str">
        <x:f>"LSU3H02"</x:f>
        <x:v>LSU3H02</x:v>
      </x:c>
      <x:c r="U2762" s="23" t="str">
        <x:v>MATHEUS SOUZA MACHADO</x:v>
      </x:c>
      <x:c r="V2762" s="22" t="str">
        <x:f>"171.889.327-27"</x:f>
        <x:v>171.889.327-27</x:v>
      </x:c>
      <x:c r="W2762" s="22" t="str">
        <x:f>"17188932727"</x:f>
        <x:v>17188932727</x:v>
      </x:c>
      <x:c r="X2762" s="23" t="str">
        <x:v>matheussouzaitbrj@gmail.com</x:v>
      </x:c>
      <x:c r="Y2762" s="22" t="str">
        <x:f>"21972061027"</x:f>
        <x:v>21972061027</x:v>
      </x:c>
      <x:c r="Z2762" s="30" t="n">
        <x:v>46525</x:v>
      </x:c>
    </x:row>
    <x:row r="2763" ht="18" customHeight="1">
      <x:c r="A2763" s="22" t="str">
        <x:f>"a6036744-73e0-4082-8b2b-90936c352c55"</x:f>
        <x:v>a6036744-73e0-4082-8b2b-90936c352c55</x:v>
      </x:c>
      <x:c r="B2763" s="23" t="str">
        <x:v>MATHEUS VARGAS DA SILVA</x:v>
      </x:c>
      <x:c r="C2763" s="23" t="str">
        <x:v>matheus vargas da silva</x:v>
      </x:c>
      <x:c r="D2763" s="22" t="str">
        <x:f>"41.607.630/0001-06"</x:f>
        <x:v>41.607.630/0001-06</x:v>
      </x:c>
      <x:c r="E2763" s="22" t="str">
        <x:f>"41607630000106"</x:f>
        <x:v>41607630000106</x:v>
      </x:c>
      <x:c r="F2763" s="22" t="str">
        <x:f>"174.421.807-28"</x:f>
        <x:v>174.421.807-28</x:v>
      </x:c>
      <x:c r="G2763" s="22" t="str">
        <x:f>"17442180728"</x:f>
        <x:v>17442180728</x:v>
      </x:c>
      <x:c r="H2763" s="23" t="str">
        <x:v>vargas777mt@gmail.com</x:v>
      </x:c>
      <x:c r="I2763" s="22" t="str">
        <x:f>"21999881770"</x:f>
        <x:v>21999881770</x:v>
      </x:c>
      <x:c r="J2763" s="23" t="str">
        <x:v>SPOT</x:v>
      </x:c>
      <x:c r="K2763" s="23" t="str">
        <x:v>favored_only</x:v>
      </x:c>
      <x:c r="L2763" s="24" t="b">
        <x:v>1</x:v>
      </x:c>
      <x:c r="M2763" s="23" t="n">
        <x:v>1</x:v>
      </x:c>
      <x:c r="N2763" s="28" t="n">
        <x:v>46205.6048625</x:v>
      </x:c>
      <x:c r="O2763" s="28" t="n">
        <x:v>46219.812988715275</x:v>
      </x:c>
      <x:c r="P2763" s="23" t="str">
        <x:v>CAMPOS DOS GOYTACAZES</x:v>
      </x:c>
      <x:c r="Q2763" s="30" t="n">
        <x:v>35407</x:v>
      </x:c>
      <x:c r="R2763" s="22" t="str">
        <x:f>"272540378"</x:f>
        <x:v>272540378</x:v>
      </x:c>
      <x:c r="S2763" s="23" t="str">
        <x:v>masculino</x:v>
      </x:c>
      <x:c r="T2763" s="22" t="str">
        <x:f>"LRF9C22"</x:f>
        <x:v>LRF9C22</x:v>
      </x:c>
      <x:c r="U2763" s="23" t="str">
        <x:v>JONATHAN BARRETO DE AZEVEDO</x:v>
      </x:c>
      <x:c r="V2763" s="22" t="str">
        <x:f>"096.145.137-80"</x:f>
        <x:v>096.145.137-80</x:v>
      </x:c>
      <x:c r="W2763" s="22" t="str">
        <x:f>"09614513780"</x:f>
        <x:v>09614513780</x:v>
      </x:c>
      <x:c r="X2763" s="23" t="str">
        <x:v>jonathanbaa35@gmail.com</x:v>
      </x:c>
      <x:c r="Y2763" s="22" t="str">
        <x:f>"22999681203"</x:f>
        <x:v>22999681203</x:v>
      </x:c>
      <x:c r="Z2763" s="30" t="n">
        <x:v>46301</x:v>
      </x:c>
    </x:row>
    <x:row r="2764" ht="18" customHeight="1">
      <x:c r="A2764" s="22" t="str">
        <x:f>"f09f7b83-bcce-459a-ae90-08278893b49e"</x:f>
        <x:v>f09f7b83-bcce-459a-ae90-08278893b49e</x:v>
      </x:c>
      <x:c r="B2764" s="23" t="str">
        <x:v>MATHEUS VASCONCELOS SOARES</x:v>
      </x:c>
      <x:c r="C2764" s="23" t="str">
        <x:v>matheus vasconcelos soares</x:v>
      </x:c>
      <x:c r="D2764" s="22" t="str">
        <x:f>"63.247.835/0001-60"</x:f>
        <x:v>63.247.835/0001-60</x:v>
      </x:c>
      <x:c r="E2764" s="22" t="str">
        <x:f>"63247835000160"</x:f>
        <x:v>63247835000160</x:v>
      </x:c>
      <x:c r="F2764" s="22" t="str">
        <x:f>"110.110.476-75"</x:f>
        <x:v>110.110.476-75</x:v>
      </x:c>
      <x:c r="G2764" s="22" t="str">
        <x:f>"11011047675"</x:f>
        <x:v>11011047675</x:v>
      </x:c>
      <x:c r="H2764" s="23" t="str">
        <x:v>Matheusvasconcelos1212@gmail.com</x:v>
      </x:c>
      <x:c r="I2764" s="22" t="str">
        <x:f>"31 99478-1811"</x:f>
        <x:v>31 99478-1811</x:v>
      </x:c>
      <x:c r="J2764" s="23" t="str">
        <x:v>spot</x:v>
      </x:c>
      <x:c r="K2764" s="23" t="str">
        <x:v>favored_only</x:v>
      </x:c>
      <x:c r="L2764" s="24" t="b">
        <x:v>1</x:v>
      </x:c>
      <x:c r="M2764" s="23" t="n">
        <x:v>1</x:v>
      </x:c>
      <x:c r="N2764" s="28" t="n">
        <x:v>46219.812988715275</x:v>
      </x:c>
      <x:c r="O2764" s="28" t="n">
        <x:v>46219.812988715275</x:v>
      </x:c>
      <x:c r="P2764" s="23" t="str">
        <x:v>IPATINGA</x:v>
      </x:c>
      <x:c r="Q2764" s="30" t="n">
        <x:v>35752</x:v>
      </x:c>
      <x:c r="R2764" s="22" t="str">
        <x:f>"MG 19266906 SSP MG"</x:f>
        <x:v>MG 19266906 SSP MG</x:v>
      </x:c>
      <x:c r="S2764" s="23" t="str">
        <x:v>masculino</x:v>
      </x:c>
      <x:c r="T2764" s="22" t="str">
        <x:f>"PWB5J84"</x:f>
        <x:v>PWB5J84</x:v>
      </x:c>
      <x:c r="U2764" s="23" t="str">
        <x:v>MATHEUS VASCONCELOS SOARES</x:v>
      </x:c>
      <x:c r="V2764" s="22" t="str">
        <x:f>"110.110.476-75"</x:f>
        <x:v>110.110.476-75</x:v>
      </x:c>
      <x:c r="W2764" s="22" t="str">
        <x:f>"11011047675"</x:f>
        <x:v>11011047675</x:v>
      </x:c>
      <x:c r="X2764" s="23" t="str">
        <x:v>Matheusvasconcelos1212@gmail.com</x:v>
      </x:c>
      <x:c r="Y2764" s="22" t="str">
        <x:f>"31 99478-1811"</x:f>
        <x:v>31 99478-1811</x:v>
      </x:c>
      <x:c r="Z2764" s="30" t="n">
        <x:v>46582</x:v>
      </x:c>
    </x:row>
    <x:row r="2765" ht="18" customHeight="1">
      <x:c r="A2765" s="22" t="str">
        <x:f>"4517c2e8-62ef-4837-a969-1019e198cf0f"</x:f>
        <x:v>4517c2e8-62ef-4837-a969-1019e198cf0f</x:v>
      </x:c>
      <x:c r="B2765" s="23" t="str">
        <x:v>MATHEUS VINICIUS DA CRUZ PINTO</x:v>
      </x:c>
      <x:c r="C2765" s="23" t="str">
        <x:v>matheus vinicius da cruz pinto</x:v>
      </x:c>
      <x:c r="D2765" s="22" t="str">
        <x:f>"61.379.142/0001-04"</x:f>
        <x:v>61.379.142/0001-04</x:v>
      </x:c>
      <x:c r="E2765" s="22" t="str">
        <x:f>"61379142000104"</x:f>
        <x:v>61379142000104</x:v>
      </x:c>
      <x:c r="F2765" s="22" t="str">
        <x:f>"144.872.456-21"</x:f>
        <x:v>144.872.456-21</x:v>
      </x:c>
      <x:c r="G2765" s="22" t="str">
        <x:f>"14487245621"</x:f>
        <x:v>14487245621</x:v>
      </x:c>
      <x:c r="H2765" s="23" t="str">
        <x:v>matheusmvviniciuscp@gmail.com</x:v>
      </x:c>
      <x:c r="I2765" s="22" t="str">
        <x:f>"35999931323"</x:f>
        <x:v>35999931323</x:v>
      </x:c>
      <x:c r="J2765" s="23" t="str">
        <x:v>SPOT</x:v>
      </x:c>
      <x:c r="K2765" s="23" t="str">
        <x:v>favored_only</x:v>
      </x:c>
      <x:c r="L2765" s="24" t="b">
        <x:v>1</x:v>
      </x:c>
      <x:c r="M2765" s="23" t="n">
        <x:v>1</x:v>
      </x:c>
      <x:c r="N2765" s="28" t="n">
        <x:v>46205.60308149306</x:v>
      </x:c>
      <x:c r="O2765" s="28" t="n">
        <x:v>46219.812988715275</x:v>
      </x:c>
      <x:c r="P2765" s="23" t="str">
        <x:v>GUAXUPE</x:v>
      </x:c>
      <x:c r="Q2765" s="30" t="n">
        <x:v>36580</x:v>
      </x:c>
      <x:c r="R2765" s="22" t="str">
        <x:f>"68.645.677-4"</x:f>
        <x:v>68.645.677-4</x:v>
      </x:c>
      <x:c r="S2765" s="23" t="str">
        <x:v>masculino</x:v>
      </x:c>
      <x:c r="T2765" s="22" t="str">
        <x:f>"OWM5J51"</x:f>
        <x:v>OWM5J51</x:v>
      </x:c>
      <x:c r="U2765" s="23" t="str">
        <x:v>CARLOS EDUARDO MORAIS DE CASTRO</x:v>
      </x:c>
      <x:c r="V2765" s="22" t="str">
        <x:f>"143.855.306-45"</x:f>
        <x:v>143.855.306-45</x:v>
      </x:c>
      <x:c r="W2765" s="22" t="str">
        <x:f>"14385530645"</x:f>
        <x:v>14385530645</x:v>
      </x:c>
      <x:c r="X2765" s="23" t="str">
        <x:v>carlos_05morais@hotmail.com</x:v>
      </x:c>
      <x:c r="Y2765" s="22" t="str">
        <x:f>"35998593345"</x:f>
        <x:v>35998593345</x:v>
      </x:c>
      <x:c r="Z2765" s="30" t="n">
        <x:v>46484</x:v>
      </x:c>
    </x:row>
    <x:row r="2766" ht="18" customHeight="1">
      <x:c r="A2766" s="22" t="str">
        <x:f>"96bbdff7-9eff-49b3-b69d-531ecb4a1844"</x:f>
        <x:v>96bbdff7-9eff-49b3-b69d-531ecb4a1844</x:v>
      </x:c>
      <x:c r="B2766" s="23" t="str">
        <x:v>MATHEUS VINICIUS DA CRUZ PINTO</x:v>
      </x:c>
      <x:c r="C2766" s="23" t="str">
        <x:v>matheus vinicius da cruz pinto</x:v>
      </x:c>
      <x:c r="D2766" s="22" t="str">
        <x:f>"64.464.935/0001-01"</x:f>
        <x:v>64.464.935/0001-01</x:v>
      </x:c>
      <x:c r="E2766" s="22" t="str">
        <x:f>"64464935000101"</x:f>
        <x:v>64464935000101</x:v>
      </x:c>
      <x:c r="F2766" s="22" t="str">
        <x:f>"144.872.456-21"</x:f>
        <x:v>144.872.456-21</x:v>
      </x:c>
      <x:c r="G2766" s="22" t="str">
        <x:f>"14487245621"</x:f>
        <x:v>14487245621</x:v>
      </x:c>
      <x:c r="H2766" s="23" t="str">
        <x:v>matheusmvviniciuscp@gmail.com</x:v>
      </x:c>
      <x:c r="I2766" s="22" t="str">
        <x:f>"35999931323"</x:f>
        <x:v>35999931323</x:v>
      </x:c>
      <x:c r="J2766" s="23" t="str">
        <x:v>SPOT</x:v>
      </x:c>
      <x:c r="K2766" s="23" t="str">
        <x:v>favored_only</x:v>
      </x:c>
      <x:c r="L2766" s="24" t="b">
        <x:v>1</x:v>
      </x:c>
      <x:c r="M2766" s="23" t="n">
        <x:v>2</x:v>
      </x:c>
      <x:c r="N2766" s="28" t="n">
        <x:v>46219.812988715275</x:v>
      </x:c>
      <x:c r="O2766" s="28" t="n">
        <x:v>46219.812988715275</x:v>
      </x:c>
      <x:c r="P2766" s="23" t="str">
        <x:v>GUAXUPE</x:v>
      </x:c>
      <x:c r="Q2766" s="30" t="n">
        <x:v>36581</x:v>
      </x:c>
      <x:c r="R2766" s="22" t="str">
        <x:f>"68.645.677-4"</x:f>
        <x:v>68.645.677-4</x:v>
      </x:c>
      <x:c r="S2766" s="23" t="str">
        <x:v>masculino</x:v>
      </x:c>
      <x:c r="T2766" s="22" t="str">
        <x:f>"PAY5E93"</x:f>
        <x:v>PAY5E93</x:v>
      </x:c>
      <x:c r="U2766" s="23" t="str">
        <x:v>CARLOS EDUARDO MORAIS DE CASTRO</x:v>
      </x:c>
      <x:c r="V2766" s="22" t="str">
        <x:f>"143.855.306-45"</x:f>
        <x:v>143.855.306-45</x:v>
      </x:c>
      <x:c r="W2766" s="22" t="str">
        <x:f>"14385530645"</x:f>
        <x:v>14385530645</x:v>
      </x:c>
      <x:c r="X2766" s="23" t="str">
        <x:v>CADU_CASTRO@LIVE.COM</x:v>
      </x:c>
      <x:c r="Y2766" s="22" t="str">
        <x:f>"35 9765-7009"</x:f>
        <x:v>35 9765-7009</x:v>
      </x:c>
      <x:c r="Z2766" s="30" t="n">
        <x:v>46484</x:v>
      </x:c>
    </x:row>
    <x:row r="2767" ht="18" customHeight="1">
      <x:c r="A2767" s="22" t="str">
        <x:f>"7a76d064-586c-4e5c-84af-29243c67b1fb"</x:f>
        <x:v>7a76d064-586c-4e5c-84af-29243c67b1fb</x:v>
      </x:c>
      <x:c r="B2767" s="23" t="str">
        <x:v>MATHEUS WILLIAN DE JESUS GOMES</x:v>
      </x:c>
      <x:c r="C2767" s="23" t="str">
        <x:v>matheus willian de jesus gomes</x:v>
      </x:c>
      <x:c r="D2767" s="22" t="str">
        <x:f>"67.691.490/0001-90"</x:f>
        <x:v>67.691.490/0001-90</x:v>
      </x:c>
      <x:c r="E2767" s="22" t="str">
        <x:f>"67691490000190"</x:f>
        <x:v>67691490000190</x:v>
      </x:c>
      <x:c r="F2767" s="22" t="str">
        <x:f>"154.041.416-70"</x:f>
        <x:v>154.041.416-70</x:v>
      </x:c>
      <x:c r="G2767" s="22" t="str">
        <x:f>"15404141670"</x:f>
        <x:v>15404141670</x:v>
      </x:c>
      <x:c r="H2767" s="23" t="str">
        <x:v>matheuswillian2502@gmail.com</x:v>
      </x:c>
      <x:c r="I2767" s="22" t="str">
        <x:f>"35 97620138"</x:f>
        <x:v>35 97620138</x:v>
      </x:c>
      <x:c r="J2767" s="23" t="str">
        <x:v>SPOT</x:v>
      </x:c>
      <x:c r="K2767" s="23" t="str">
        <x:v>favored_only</x:v>
      </x:c>
      <x:c r="L2767" s="24" t="b">
        <x:v>1</x:v>
      </x:c>
      <x:c r="M2767" s="23" t="n">
        <x:v>1</x:v>
      </x:c>
      <x:c r="N2767" s="28" t="n">
        <x:v>46219.812988715275</x:v>
      </x:c>
      <x:c r="O2767" s="28" t="n">
        <x:v>46219.812988715275</x:v>
      </x:c>
      <x:c r="P2767" s="23" t="str">
        <x:v>POUSO ALEGRE</x:v>
      </x:c>
      <x:c r="Q2767" s="30" t="n">
        <x:v>36216</x:v>
      </x:c>
      <x:c r="R2767" s="22" t="str">
        <x:f>"22476426"</x:f>
        <x:v>22476426</x:v>
      </x:c>
      <x:c r="S2767" s="23" t="str">
        <x:v>masculino</x:v>
      </x:c>
      <x:c r="T2767" s="22" t="str"/>
      <x:c r="U2767" s="23" t="str">
        <x:v>MATHEUS WILLIAN DE JESUS GOMES</x:v>
      </x:c>
      <x:c r="V2767" s="22" t="str">
        <x:f>"154.041.416-70"</x:f>
        <x:v>154.041.416-70</x:v>
      </x:c>
      <x:c r="W2767" s="22" t="str">
        <x:f>"15404141670"</x:f>
        <x:v>15404141670</x:v>
      </x:c>
      <x:c r="X2767" s="23" t="str">
        <x:v>matheuswillian2502@gmail.com</x:v>
      </x:c>
      <x:c r="Y2767" s="22" t="str">
        <x:f>"35 97620138"</x:f>
        <x:v>35 97620138</x:v>
      </x:c>
      <x:c r="Z2767" s="30" t="n">
        <x:v>46564</x:v>
      </x:c>
    </x:row>
    <x:row r="2768" ht="18" customHeight="1">
      <x:c r="A2768" s="22" t="str">
        <x:f>"f450e656-ddbe-446b-9b8d-d5de73cf454b"</x:f>
        <x:v>f450e656-ddbe-446b-9b8d-d5de73cf454b</x:v>
      </x:c>
      <x:c r="B2768" s="23" t="str">
        <x:v>MATHEUS XAVIER DE CASTRO</x:v>
      </x:c>
      <x:c r="C2768" s="23" t="str">
        <x:v>matheus xavier de castro</x:v>
      </x:c>
      <x:c r="D2768" s="22" t="str">
        <x:f>"66.410.956/0001-70"</x:f>
        <x:v>66.410.956/0001-70</x:v>
      </x:c>
      <x:c r="E2768" s="22" t="str">
        <x:f>"66410956000170"</x:f>
        <x:v>66410956000170</x:v>
      </x:c>
      <x:c r="F2768" s="22" t="str">
        <x:f>"473.654.588-79"</x:f>
        <x:v>473.654.588-79</x:v>
      </x:c>
      <x:c r="G2768" s="22" t="str">
        <x:f>"47365458879"</x:f>
        <x:v>47365458879</x:v>
      </x:c>
      <x:c r="H2768" s="23" t="str">
        <x:v>matheusxcastro07@gmail.com</x:v>
      </x:c>
      <x:c r="I2768" s="22" t="str">
        <x:f>"17 99110-8987"</x:f>
        <x:v>17 99110-8987</x:v>
      </x:c>
      <x:c r="J2768" s="23" t="str">
        <x:v>RENTAL</x:v>
      </x:c>
      <x:c r="K2768" s="23" t="str">
        <x:v>rental_company</x:v>
      </x:c>
      <x:c r="L2768" s="24" t="b">
        <x:v>1</x:v>
      </x:c>
      <x:c r="M2768" s="23" t="n">
        <x:v>1</x:v>
      </x:c>
      <x:c r="N2768" s="28" t="n">
        <x:v>46219.812988715275</x:v>
      </x:c>
      <x:c r="O2768" s="28" t="n">
        <x:v>46219.812988715275</x:v>
      </x:c>
      <x:c r="P2768" s="23" t="str">
        <x:v>SÃO JOSE DO RIO PRETO</x:v>
      </x:c>
      <x:c r="Q2768" s="30" t="n">
        <x:v>37058</x:v>
      </x:c>
      <x:c r="R2768" s="22" t="str">
        <x:f>"397394780"</x:f>
        <x:v>397394780</x:v>
      </x:c>
      <x:c r="S2768" s="23" t="str">
        <x:v>masculino</x:v>
      </x:c>
      <x:c r="T2768" s="22" t="str"/>
      <x:c r="U2768" s="23" t="str">
        <x:v>MATHEUS XAVIER DE CASTRO</x:v>
      </x:c>
      <x:c r="V2768" s="22" t="str">
        <x:f>"473.654.588-79"</x:f>
        <x:v>473.654.588-79</x:v>
      </x:c>
      <x:c r="W2768" s="22" t="str">
        <x:f>"47365458879"</x:f>
        <x:v>47365458879</x:v>
      </x:c>
      <x:c r="X2768" s="23" t="str">
        <x:v>matheusxcastro07@gmail.com</x:v>
      </x:c>
      <x:c r="Y2768" s="22" t="str">
        <x:f>"17 99110-8987"</x:f>
        <x:v>17 99110-8987</x:v>
      </x:c>
      <x:c r="Z2768" s="30" t="n">
        <x:v>46500</x:v>
      </x:c>
    </x:row>
    <x:row r="2769" ht="18" customHeight="1">
      <x:c r="A2769" s="22" t="str">
        <x:f>"31cf3a6a-f62a-4c6c-955c-5b01f8c2227b"</x:f>
        <x:v>31cf3a6a-f62a-4c6c-955c-5b01f8c2227b</x:v>
      </x:c>
      <x:c r="B2769" s="23" t="str">
        <x:v>MATTEO DE LUCA REIS</x:v>
      </x:c>
      <x:c r="C2769" s="23" t="str">
        <x:v>matteo de luca reis</x:v>
      </x:c>
      <x:c r="D2769" s="22" t="str">
        <x:f>"61.983.736/0001-11"</x:f>
        <x:v>61.983.736/0001-11</x:v>
      </x:c>
      <x:c r="E2769" s="22" t="str">
        <x:f>"61983736000111"</x:f>
        <x:v>61983736000111</x:v>
      </x:c>
      <x:c r="F2769" s="22" t="str">
        <x:f>"151.853.216-01"</x:f>
        <x:v>151.853.216-01</x:v>
      </x:c>
      <x:c r="G2769" s="22" t="str">
        <x:f>"15185321601"</x:f>
        <x:v>15185321601</x:v>
      </x:c>
      <x:c r="H2769" s="23" t="str">
        <x:v>mattlucareis@gmail.com</x:v>
      </x:c>
      <x:c r="I2769" s="22" t="str">
        <x:f>"(35)99133-2706"</x:f>
        <x:v>(35)99133-2706</x:v>
      </x:c>
      <x:c r="J2769" s="23" t="str">
        <x:v>SPOT</x:v>
      </x:c>
      <x:c r="K2769" s="23" t="str">
        <x:v>favored_only</x:v>
      </x:c>
      <x:c r="L2769" s="24" t="b">
        <x:v>1</x:v>
      </x:c>
      <x:c r="M2769" s="23" t="n">
        <x:v>1</x:v>
      </x:c>
      <x:c r="N2769" s="28" t="n">
        <x:v>46203.921858726855</x:v>
      </x:c>
      <x:c r="O2769" s="28" t="n">
        <x:v>46219.812988715275</x:v>
      </x:c>
      <x:c r="P2769" s="23" t="str">
        <x:v>POUSO ALEGRE</x:v>
      </x:c>
      <x:c r="Q2769" s="30" t="n">
        <x:v>37437</x:v>
      </x:c>
      <x:c r="R2769" s="22" t="str">
        <x:f>"MG21685984 SSP MG"</x:f>
        <x:v>MG21685984 SSP MG</x:v>
      </x:c>
      <x:c r="S2769" s="23" t="str">
        <x:v>masculino</x:v>
      </x:c>
      <x:c r="T2769" s="22" t="str">
        <x:f>"EZN9G77"</x:f>
        <x:v>EZN9G77</x:v>
      </x:c>
      <x:c r="U2769" s="23" t="str">
        <x:v>MATTEO DE LUCA REIS</x:v>
      </x:c>
      <x:c r="V2769" s="22" t="str">
        <x:f>"151.853.216-01"</x:f>
        <x:v>151.853.216-01</x:v>
      </x:c>
      <x:c r="W2769" s="22" t="str">
        <x:f>"15185321601"</x:f>
        <x:v>15185321601</x:v>
      </x:c>
      <x:c r="X2769" s="23" t="str">
        <x:v>mattlucareis@gmail.com</x:v>
      </x:c>
      <x:c r="Y2769" s="22" t="str">
        <x:f>"(35)99133-2706"</x:f>
        <x:v>(35)99133-2706</x:v>
      </x:c>
      <x:c r="Z2769" s="30" t="n">
        <x:v>46264</x:v>
      </x:c>
    </x:row>
    <x:row r="2770" ht="18" customHeight="1">
      <x:c r="A2770" s="22" t="str">
        <x:f>"592df19a-9829-4721-8c02-a16f1ebbd747"</x:f>
        <x:v>592df19a-9829-4721-8c02-a16f1ebbd747</x:v>
      </x:c>
      <x:c r="B2770" s="23" t="str">
        <x:v>MATTHEUS PHILIPE TAVARES DE SOUZA SANTOS</x:v>
      </x:c>
      <x:c r="C2770" s="23" t="str">
        <x:v>mattheus philipe tavares de souza santos</x:v>
      </x:c>
      <x:c r="D2770" s="22" t="str">
        <x:f>"63.036.371/0001-43"</x:f>
        <x:v>63.036.371/0001-43</x:v>
      </x:c>
      <x:c r="E2770" s="22" t="str">
        <x:f>"63036371000143"</x:f>
        <x:v>63036371000143</x:v>
      </x:c>
      <x:c r="F2770" s="22" t="str">
        <x:f>"116.915.127-29"</x:f>
        <x:v>116.915.127-29</x:v>
      </x:c>
      <x:c r="G2770" s="22" t="str">
        <x:f>"11691512729"</x:f>
        <x:v>11691512729</x:v>
      </x:c>
      <x:c r="H2770" s="23" t="str">
        <x:v>mpmattheusmp@gmail.com</x:v>
      </x:c>
      <x:c r="I2770" s="22" t="str">
        <x:f>"21999968351"</x:f>
        <x:v>21999968351</x:v>
      </x:c>
      <x:c r="J2770" s="23" t="str">
        <x:v>SPOT</x:v>
      </x:c>
      <x:c r="K2770" s="23" t="str">
        <x:v>favored_only</x:v>
      </x:c>
      <x:c r="L2770" s="24" t="b">
        <x:v>1</x:v>
      </x:c>
      <x:c r="M2770" s="23" t="n">
        <x:v>1</x:v>
      </x:c>
      <x:c r="N2770" s="28" t="n">
        <x:v>46219.812988715275</x:v>
      </x:c>
      <x:c r="O2770" s="28" t="n">
        <x:v>46219.812988715275</x:v>
      </x:c>
      <x:c r="P2770" s="23" t="str">
        <x:v>CAMPO GRANDE</x:v>
      </x:c>
      <x:c r="Q2770" s="30" t="n">
        <x:v>35517</x:v>
      </x:c>
      <x:c r="R2770" s="22" t="str">
        <x:f>"208552752"</x:f>
        <x:v>208552752</x:v>
      </x:c>
      <x:c r="S2770" s="23" t="str">
        <x:v>masculino</x:v>
      </x:c>
      <x:c r="T2770" s="22" t="str">
        <x:f>"GGK2F54"</x:f>
        <x:v>GGK2F54</x:v>
      </x:c>
      <x:c r="U2770" s="23" t="str">
        <x:v>MATTHEUS PHILIPE TAVARES DE SOUZA SANTOS</x:v>
      </x:c>
      <x:c r="V2770" s="22" t="str">
        <x:f>"116.915.127-29"</x:f>
        <x:v>116.915.127-29</x:v>
      </x:c>
      <x:c r="W2770" s="22" t="str">
        <x:f>"11691512729"</x:f>
        <x:v>11691512729</x:v>
      </x:c>
      <x:c r="X2770" s="23" t="str">
        <x:v>mpmattheusmp@gmail.com</x:v>
      </x:c>
      <x:c r="Y2770" s="22" t="str">
        <x:f>"21999968351"</x:f>
        <x:v>21999968351</x:v>
      </x:c>
      <x:c r="Z2770" s="30" t="n">
        <x:v>46506</x:v>
      </x:c>
    </x:row>
    <x:row r="2771" ht="18" customHeight="1">
      <x:c r="A2771" s="22" t="str">
        <x:f>"fad09dbb-e8e3-4511-9bf0-2c5e75ed4b05"</x:f>
        <x:v>fad09dbb-e8e3-4511-9bf0-2c5e75ed4b05</x:v>
      </x:c>
      <x:c r="B2771" s="23" t="str">
        <x:v>MAUREN ADRIANE FRANCIO FERREIRA</x:v>
      </x:c>
      <x:c r="C2771" s="23" t="str">
        <x:v>mauren adriane francio ferreira</x:v>
      </x:c>
      <x:c r="D2771" s="22" t="str">
        <x:f>"65.835.286/0001-15"</x:f>
        <x:v>65.835.286/0001-15</x:v>
      </x:c>
      <x:c r="E2771" s="22" t="str">
        <x:f>"65835286000115"</x:f>
        <x:v>65835286000115</x:v>
      </x:c>
      <x:c r="F2771" s="22" t="str">
        <x:f>"052.043.940-60"</x:f>
        <x:v>052.043.940-60</x:v>
      </x:c>
      <x:c r="G2771" s="22" t="str">
        <x:f>"05204394060"</x:f>
        <x:v>05204394060</x:v>
      </x:c>
      <x:c r="H2771" s="23" t="str">
        <x:v>maurenadriane95@gmail.com</x:v>
      </x:c>
      <x:c r="I2771" s="22" t="str">
        <x:f>"33 998107337"</x:f>
        <x:v>33 998107337</x:v>
      </x:c>
      <x:c r="J2771" s="23" t="str">
        <x:v>SPOT</x:v>
      </x:c>
      <x:c r="K2771" s="23" t="str">
        <x:v>favored_only</x:v>
      </x:c>
      <x:c r="L2771" s="24" t="b">
        <x:v>1</x:v>
      </x:c>
      <x:c r="M2771" s="23" t="n">
        <x:v>1</x:v>
      </x:c>
      <x:c r="N2771" s="28" t="n">
        <x:v>46219.812988715275</x:v>
      </x:c>
      <x:c r="O2771" s="28" t="n">
        <x:v>46219.812988715275</x:v>
      </x:c>
      <x:c r="P2771" s="23" t="str">
        <x:v>GUANHAES</x:v>
      </x:c>
      <x:c r="Q2771" s="30" t="n">
        <x:v>37453</x:v>
      </x:c>
      <x:c r="R2771" s="22" t="str">
        <x:f>"9133052705"</x:f>
        <x:v>9133052705</x:v>
      </x:c>
      <x:c r="S2771" s="23" t="str">
        <x:v>feminino</x:v>
      </x:c>
      <x:c r="T2771" s="22" t="str">
        <x:f>"HNX6604"</x:f>
        <x:v>HNX6604</x:v>
      </x:c>
      <x:c r="U2771" s="23" t="str">
        <x:v>WILLIAN OLIVEIRA SILVA</x:v>
      </x:c>
      <x:c r="V2771" s="22" t="str">
        <x:f>"158.658.096-52"</x:f>
        <x:v>158.658.096-52</x:v>
      </x:c>
      <x:c r="W2771" s="22" t="str">
        <x:f>"15865809652"</x:f>
        <x:v>15865809652</x:v>
      </x:c>
      <x:c r="X2771" s="23" t="str">
        <x:v>willianoliver6120@gmail.com</x:v>
      </x:c>
      <x:c r="Y2771" s="22" t="str">
        <x:f>"33 999431527"</x:f>
        <x:v>33 999431527</x:v>
      </x:c>
      <x:c r="Z2771" s="30" t="n">
        <x:v>46560</x:v>
      </x:c>
    </x:row>
    <x:row r="2772" ht="18" customHeight="1">
      <x:c r="A2772" s="22" t="str">
        <x:f>"d7ea046f-d25a-451d-aa67-3809f9e4bf7a"</x:f>
        <x:v>d7ea046f-d25a-451d-aa67-3809f9e4bf7a</x:v>
      </x:c>
      <x:c r="B2772" s="23" t="str">
        <x:v>MAURICIO ALVES DUTRA SILVEIRA</x:v>
      </x:c>
      <x:c r="C2772" s="23" t="str">
        <x:v>mauricio alves dutra silveira</x:v>
      </x:c>
      <x:c r="D2772" s="22" t="str">
        <x:f>"27.900.391/0001-57"</x:f>
        <x:v>27.900.391/0001-57</x:v>
      </x:c>
      <x:c r="E2772" s="22" t="str">
        <x:f>"27900391000157"</x:f>
        <x:v>27900391000157</x:v>
      </x:c>
      <x:c r="F2772" s="22" t="str">
        <x:f>"143.538.357-50"</x:f>
        <x:v>143.538.357-50</x:v>
      </x:c>
      <x:c r="G2772" s="22" t="str">
        <x:f>"14353835750"</x:f>
        <x:v>14353835750</x:v>
      </x:c>
      <x:c r="H2772" s="23" t="str">
        <x:v>mauricio909692@gmail.com</x:v>
      </x:c>
      <x:c r="I2772" s="22" t="str">
        <x:f>"21978746313"</x:f>
        <x:v>21978746313</x:v>
      </x:c>
      <x:c r="J2772" s="23" t="str">
        <x:v>SPOT</x:v>
      </x:c>
      <x:c r="K2772" s="23" t="str">
        <x:v>favored_only</x:v>
      </x:c>
      <x:c r="L2772" s="24" t="b">
        <x:v>1</x:v>
      </x:c>
      <x:c r="M2772" s="23" t="n">
        <x:v>1</x:v>
      </x:c>
      <x:c r="N2772" s="28" t="n">
        <x:v>46219.812988715275</x:v>
      </x:c>
      <x:c r="O2772" s="28" t="n">
        <x:v>46219.812988715275</x:v>
      </x:c>
      <x:c r="P2772" s="23" t="str">
        <x:v>QUEIMADOS</x:v>
      </x:c>
      <x:c r="Q2772" s="30" t="n">
        <x:v>33954</x:v>
      </x:c>
      <x:c r="R2772" s="22" t="str">
        <x:f>"252354261"</x:f>
        <x:v>252354261</x:v>
      </x:c>
      <x:c r="S2772" s="23" t="str">
        <x:v>masculino</x:v>
      </x:c>
      <x:c r="T2772" s="22" t="str">
        <x:f>"SDS2B82"</x:f>
        <x:v>SDS2B82</x:v>
      </x:c>
      <x:c r="U2772" s="23" t="str">
        <x:v>MAURICIO ALVES DUTRA SILVEIRA</x:v>
      </x:c>
      <x:c r="V2772" s="22" t="str">
        <x:f>"143.538.357-50"</x:f>
        <x:v>143.538.357-50</x:v>
      </x:c>
      <x:c r="W2772" s="22" t="str">
        <x:f>"14353835750"</x:f>
        <x:v>14353835750</x:v>
      </x:c>
      <x:c r="X2772" s="23" t="str">
        <x:v>mauricio909692@gmail.com</x:v>
      </x:c>
      <x:c r="Y2772" s="22" t="str">
        <x:f>"21978746313"</x:f>
        <x:v>21978746313</x:v>
      </x:c>
      <x:c r="Z2772" s="30" t="n">
        <x:v>46582</x:v>
      </x:c>
    </x:row>
    <x:row r="2773" ht="18" customHeight="1">
      <x:c r="A2773" s="22" t="str">
        <x:f>"e589ef04-82fb-47b2-9eaf-2018e33493cf"</x:f>
        <x:v>e589ef04-82fb-47b2-9eaf-2018e33493cf</x:v>
      </x:c>
      <x:c r="B2773" s="23" t="str">
        <x:v>MAURICIO ALVES MARQUES</x:v>
      </x:c>
      <x:c r="C2773" s="23" t="str">
        <x:v>mauricio alves marques</x:v>
      </x:c>
      <x:c r="D2773" s="22" t="str">
        <x:f>"43.608.790/0001-03"</x:f>
        <x:v>43.608.790/0001-03</x:v>
      </x:c>
      <x:c r="E2773" s="22" t="str">
        <x:f>"43608790000103"</x:f>
        <x:v>43608790000103</x:v>
      </x:c>
      <x:c r="F2773" s="22" t="str">
        <x:f>"413.254.478-89"</x:f>
        <x:v>413.254.478-89</x:v>
      </x:c>
      <x:c r="G2773" s="22" t="str">
        <x:f>"41325447889"</x:f>
        <x:v>41325447889</x:v>
      </x:c>
      <x:c r="H2773" s="23" t="str">
        <x:v>mauricio.marques931@gmail.com</x:v>
      </x:c>
      <x:c r="I2773" s="22" t="str">
        <x:f>"(11)97325-9596"</x:f>
        <x:v>(11)97325-9596</x:v>
      </x:c>
      <x:c r="J2773" s="23" t="str">
        <x:v>SPOT</x:v>
      </x:c>
      <x:c r="K2773" s="23" t="str">
        <x:v>favored_only</x:v>
      </x:c>
      <x:c r="L2773" s="24" t="b">
        <x:v>1</x:v>
      </x:c>
      <x:c r="M2773" s="23" t="n">
        <x:v>1</x:v>
      </x:c>
      <x:c r="N2773" s="28" t="n">
        <x:v>46219.812988715275</x:v>
      </x:c>
      <x:c r="O2773" s="28" t="n">
        <x:v>46219.812988715275</x:v>
      </x:c>
      <x:c r="P2773" s="23" t="str">
        <x:v>SÃO CARLOS</x:v>
      </x:c>
      <x:c r="Q2773" s="30" t="n">
        <x:v>33971</x:v>
      </x:c>
      <x:c r="R2773" s="22" t="str">
        <x:f>"36870993"</x:f>
        <x:v>36870993</x:v>
      </x:c>
      <x:c r="S2773" s="23" t="str">
        <x:v>masculino</x:v>
      </x:c>
      <x:c r="T2773" s="22" t="str">
        <x:f>"HLF4F84"</x:f>
        <x:v>HLF4F84</x:v>
      </x:c>
      <x:c r="U2773" s="23" t="str">
        <x:v>CAROLINA FERNANDEZ DE SOUZA</x:v>
      </x:c>
      <x:c r="V2773" s="22" t="str">
        <x:f>"438.322.918-22"</x:f>
        <x:v>438.322.918-22</x:v>
      </x:c>
      <x:c r="W2773" s="22" t="str">
        <x:f>"43832291822"</x:f>
        <x:v>43832291822</x:v>
      </x:c>
      <x:c r="X2773" s="23" t="str">
        <x:v>carolina.fsouza@hotmail.com</x:v>
      </x:c>
      <x:c r="Y2773" s="22" t="str">
        <x:f>"(16)99632-9054"</x:f>
        <x:v>(16)99632-9054</x:v>
      </x:c>
      <x:c r="Z2773" s="30" t="n">
        <x:v>46539</x:v>
      </x:c>
    </x:row>
    <x:row r="2774" ht="18" customHeight="1">
      <x:c r="A2774" s="22" t="str">
        <x:f>"c05f7806-94fc-4647-bdc2-9c253e1c9ca6"</x:f>
        <x:v>c05f7806-94fc-4647-bdc2-9c253e1c9ca6</x:v>
      </x:c>
      <x:c r="B2774" s="23" t="str">
        <x:v>MAURICIO ANDRE BILA</x:v>
      </x:c>
      <x:c r="C2774" s="23" t="str">
        <x:v>mauricio andre bila</x:v>
      </x:c>
      <x:c r="D2774" s="22" t="str">
        <x:f>"55.724.887/0001-52"</x:f>
        <x:v>55.724.887/0001-52</x:v>
      </x:c>
      <x:c r="E2774" s="22" t="str">
        <x:f>"55724887000152"</x:f>
        <x:v>55724887000152</x:v>
      </x:c>
      <x:c r="F2774" s="22" t="str">
        <x:f>"419.861.608-66"</x:f>
        <x:v>419.861.608-66</x:v>
      </x:c>
      <x:c r="G2774" s="22" t="str">
        <x:f>"41986160866"</x:f>
        <x:v>41986160866</x:v>
      </x:c>
      <x:c r="H2774" s="23" t="str">
        <x:v>mauricio.bila24@gmail.com</x:v>
      </x:c>
      <x:c r="I2774" s="22" t="str">
        <x:f>"18988056135"</x:f>
        <x:v>18988056135</x:v>
      </x:c>
      <x:c r="J2774" s="23" t="str">
        <x:v>SPOT</x:v>
      </x:c>
      <x:c r="K2774" s="23" t="str">
        <x:v>favored_only</x:v>
      </x:c>
      <x:c r="L2774" s="24" t="b">
        <x:v>1</x:v>
      </x:c>
      <x:c r="M2774" s="23" t="n">
        <x:v>1</x:v>
      </x:c>
      <x:c r="N2774" s="28" t="n">
        <x:v>46219.812988715275</x:v>
      </x:c>
      <x:c r="O2774" s="28" t="n">
        <x:v>46219.812988715275</x:v>
      </x:c>
      <x:c r="P2774" s="23" t="str">
        <x:v>PRESIDENTE PRUDENTE</x:v>
      </x:c>
      <x:c r="Q2774" s="30" t="n">
        <x:v>33966</x:v>
      </x:c>
      <x:c r="R2774" s="22" t="str">
        <x:f>"483431655"</x:f>
        <x:v>483431655</x:v>
      </x:c>
      <x:c r="S2774" s="23" t="str">
        <x:v>masculino</x:v>
      </x:c>
      <x:c r="T2774" s="22" t="str">
        <x:f>"RUA9E05"</x:f>
        <x:v>RUA9E05</x:v>
      </x:c>
      <x:c r="U2774" s="23" t="str">
        <x:v>MAURICIO ANDRE BILA</x:v>
      </x:c>
      <x:c r="V2774" s="22" t="str">
        <x:f>"419.861.608-66"</x:f>
        <x:v>419.861.608-66</x:v>
      </x:c>
      <x:c r="W2774" s="22" t="str">
        <x:f>"41986160866"</x:f>
        <x:v>41986160866</x:v>
      </x:c>
      <x:c r="X2774" s="23" t="str">
        <x:v>mauricio.bila24@gmail.com</x:v>
      </x:c>
      <x:c r="Y2774" s="22" t="str">
        <x:f>"18988056135"</x:f>
        <x:v>18988056135</x:v>
      </x:c>
      <x:c r="Z2774" s="30" t="n">
        <x:v>46556</x:v>
      </x:c>
    </x:row>
    <x:row r="2775" ht="18" customHeight="1">
      <x:c r="A2775" s="22" t="str">
        <x:f>"3e70ddf6-2d91-4b09-8bbc-ab52ab4fdcc1"</x:f>
        <x:v>3e70ddf6-2d91-4b09-8bbc-ab52ab4fdcc1</x:v>
      </x:c>
      <x:c r="B2775" s="23" t="str">
        <x:v>MAURICIO BRAZ DA COSTA JUNIOR</x:v>
      </x:c>
      <x:c r="C2775" s="23" t="str">
        <x:v>mauricio braz da costa junior</x:v>
      </x:c>
      <x:c r="D2775" s="22" t="str">
        <x:f>"65.606.274/0001-74"</x:f>
        <x:v>65.606.274/0001-74</x:v>
      </x:c>
      <x:c r="E2775" s="22" t="str">
        <x:f>"65606274000174"</x:f>
        <x:v>65606274000174</x:v>
      </x:c>
      <x:c r="F2775" s="22" t="str">
        <x:f>"102.680.357-84"</x:f>
        <x:v>102.680.357-84</x:v>
      </x:c>
      <x:c r="G2775" s="22" t="str">
        <x:f>"10268035784"</x:f>
        <x:v>10268035784</x:v>
      </x:c>
      <x:c r="H2775" s="23" t="str">
        <x:v>braz2686@gmail.com</x:v>
      </x:c>
      <x:c r="I2775" s="22" t="str">
        <x:f>"21974180007"</x:f>
        <x:v>21974180007</x:v>
      </x:c>
      <x:c r="J2775" s="23" t="str">
        <x:v>DESCONHECIDO</x:v>
      </x:c>
      <x:c r="K2775" s="23" t="str">
        <x:v>favored_only</x:v>
      </x:c>
      <x:c r="L2775" s="24" t="b">
        <x:v>1</x:v>
      </x:c>
      <x:c r="M2775" s="23" t="n">
        <x:v>1</x:v>
      </x:c>
      <x:c r="N2775" s="28" t="n">
        <x:v>46219.812988715275</x:v>
      </x:c>
      <x:c r="O2775" s="28" t="n">
        <x:v>46219.812988715275</x:v>
      </x:c>
      <x:c r="P2775" s="23" t="str">
        <x:v>QUEIMADOS</x:v>
      </x:c>
      <x:c r="Q2775" s="30" t="str"/>
      <x:c r="R2775" s="22" t="str">
        <x:f>"207537085"</x:f>
        <x:v>207537085</x:v>
      </x:c>
      <x:c r="S2775" s="23" t="str">
        <x:v>masculino</x:v>
      </x:c>
      <x:c r="T2775" s="22" t="str">
        <x:f>"LMY6G02"</x:f>
        <x:v>LMY6G02</x:v>
      </x:c>
      <x:c r="U2775" s="23" t="str">
        <x:v>MAURICIO BRAZ DA COSTA JUNIOR</x:v>
      </x:c>
      <x:c r="V2775" s="22" t="str">
        <x:f>"102.680.357-84"</x:f>
        <x:v>102.680.357-84</x:v>
      </x:c>
      <x:c r="W2775" s="22" t="str">
        <x:f>"10268035784"</x:f>
        <x:v>10268035784</x:v>
      </x:c>
      <x:c r="X2775" s="23" t="str">
        <x:v>braz2686@gmail.com</x:v>
      </x:c>
      <x:c r="Y2775" s="22" t="str">
        <x:f>"21974180007"</x:f>
        <x:v>21974180007</x:v>
      </x:c>
      <x:c r="Z2775" s="30" t="n">
        <x:v>46554</x:v>
      </x:c>
    </x:row>
    <x:row r="2776" ht="18" customHeight="1">
      <x:c r="A2776" s="22" t="str">
        <x:f>"e6fdf195-e9e3-478d-b1dd-726945253ff2"</x:f>
        <x:v>e6fdf195-e9e3-478d-b1dd-726945253ff2</x:v>
      </x:c>
      <x:c r="B2776" s="23" t="str">
        <x:v>MAURICIO FERNANDO DE SOUSA</x:v>
      </x:c>
      <x:c r="C2776" s="23" t="str">
        <x:v>mauricio fernando de sousa</x:v>
      </x:c>
      <x:c r="D2776" s="22" t="str">
        <x:f>"37.068.945/0001-55"</x:f>
        <x:v>37.068.945/0001-55</x:v>
      </x:c>
      <x:c r="E2776" s="22" t="str">
        <x:f>"37068945000155"</x:f>
        <x:v>37068945000155</x:v>
      </x:c>
      <x:c r="F2776" s="22" t="str">
        <x:f>"064.231.631-70"</x:f>
        <x:v>064.231.631-70</x:v>
      </x:c>
      <x:c r="G2776" s="22" t="str">
        <x:f>"06423163170"</x:f>
        <x:v>06423163170</x:v>
      </x:c>
      <x:c r="H2776" s="23" t="str">
        <x:v>mauriciofernando.178@gmail.com</x:v>
      </x:c>
      <x:c r="I2776" s="22" t="str">
        <x:f>"65 9287-6462"</x:f>
        <x:v>65 9287-6462</x:v>
      </x:c>
      <x:c r="J2776" s="23" t="str">
        <x:v>SPOT</x:v>
      </x:c>
      <x:c r="K2776" s="23" t="str">
        <x:v>favored_only</x:v>
      </x:c>
      <x:c r="L2776" s="24" t="b">
        <x:v>1</x:v>
      </x:c>
      <x:c r="M2776" s="23" t="n">
        <x:v>1</x:v>
      </x:c>
      <x:c r="N2776" s="28" t="n">
        <x:v>46219.812988715275</x:v>
      </x:c>
      <x:c r="O2776" s="28" t="n">
        <x:v>46219.812988715275</x:v>
      </x:c>
      <x:c r="P2776" s="23" t="str">
        <x:v>CUIABA</x:v>
      </x:c>
      <x:c r="Q2776" s="30" t="n">
        <x:v>36295</x:v>
      </x:c>
      <x:c r="R2776" s="22" t="str">
        <x:f>"27553012"</x:f>
        <x:v>27553012</x:v>
      </x:c>
      <x:c r="S2776" s="23" t="str">
        <x:v>masculino</x:v>
      </x:c>
      <x:c r="T2776" s="22" t="str">
        <x:f>"RRY0G60"</x:f>
        <x:v>RRY0G60</x:v>
      </x:c>
      <x:c r="U2776" s="23" t="str">
        <x:v>MAURICIO FERNANDO DE SOUSA</x:v>
      </x:c>
      <x:c r="V2776" s="22" t="str">
        <x:f>"064.231.631-70"</x:f>
        <x:v>064.231.631-70</x:v>
      </x:c>
      <x:c r="W2776" s="22" t="str">
        <x:f>"06423163170"</x:f>
        <x:v>06423163170</x:v>
      </x:c>
      <x:c r="X2776" s="23" t="str">
        <x:v>mauriciofernando.178@gmail.com</x:v>
      </x:c>
      <x:c r="Y2776" s="22" t="str">
        <x:f>"65 9287-6462"</x:f>
        <x:v>65 9287-6462</x:v>
      </x:c>
      <x:c r="Z2776" s="30" t="n">
        <x:v>46543</x:v>
      </x:c>
    </x:row>
    <x:row r="2777" ht="18" customHeight="1">
      <x:c r="A2777" s="22" t="str">
        <x:f>"fa332506-5c24-428d-836e-0851d47bc313"</x:f>
        <x:v>fa332506-5c24-428d-836e-0851d47bc313</x:v>
      </x:c>
      <x:c r="B2777" s="23" t="str">
        <x:v>MAURICIO FRANCISCO DE MATOS</x:v>
      </x:c>
      <x:c r="C2777" s="23" t="str">
        <x:v>mauricio francisco de matos</x:v>
      </x:c>
      <x:c r="D2777" s="22" t="str">
        <x:f>"59.862.709/0001-49"</x:f>
        <x:v>59.862.709/0001-49</x:v>
      </x:c>
      <x:c r="E2777" s="22" t="str">
        <x:f>"59862709000149"</x:f>
        <x:v>59862709000149</x:v>
      </x:c>
      <x:c r="F2777" s="22" t="str">
        <x:f>"377.455.906-63"</x:f>
        <x:v>377.455.906-63</x:v>
      </x:c>
      <x:c r="G2777" s="22" t="str">
        <x:f>"37745590663"</x:f>
        <x:v>37745590663</x:v>
      </x:c>
      <x:c r="H2777" s="23" t="str">
        <x:v>Mauricio.fmatos@hotmail.com</x:v>
      </x:c>
      <x:c r="I2777" s="22" t="str">
        <x:f>"31 99642-0592"</x:f>
        <x:v>31 99642-0592</x:v>
      </x:c>
      <x:c r="J2777" s="23" t="str">
        <x:v>SPOT</x:v>
      </x:c>
      <x:c r="K2777" s="23" t="str">
        <x:v>favored_only</x:v>
      </x:c>
      <x:c r="L2777" s="24" t="b">
        <x:v>1</x:v>
      </x:c>
      <x:c r="M2777" s="23" t="n">
        <x:v>1</x:v>
      </x:c>
      <x:c r="N2777" s="28" t="n">
        <x:v>46219.812988715275</x:v>
      </x:c>
      <x:c r="O2777" s="28" t="n">
        <x:v>46219.812988715275</x:v>
      </x:c>
      <x:c r="P2777" s="23" t="str">
        <x:v>CONCEIÇÃO DO MATO DENTRO</x:v>
      </x:c>
      <x:c r="Q2777" s="30" t="n">
        <x:v>22077</x:v>
      </x:c>
      <x:c r="R2777" s="22" t="str">
        <x:f>"5086139"</x:f>
        <x:v>5086139</x:v>
      </x:c>
      <x:c r="S2777" s="23" t="str">
        <x:v>masculino</x:v>
      </x:c>
      <x:c r="T2777" s="22" t="str">
        <x:f>"qnt1274"</x:f>
        <x:v>qnt1274</x:v>
      </x:c>
      <x:c r="U2777" s="23" t="str">
        <x:v>59.862.709 MAURICIO FRANCISCO DE MATOS</x:v>
      </x:c>
      <x:c r="V2777" s="22" t="str">
        <x:f>"377.455.906-63"</x:f>
        <x:v>377.455.906-63</x:v>
      </x:c>
      <x:c r="W2777" s="22" t="str">
        <x:f>"37745590663"</x:f>
        <x:v>37745590663</x:v>
      </x:c>
      <x:c r="X2777" s="23" t="str">
        <x:v>Mauricio.fmatos@hotmail.com</x:v>
      </x:c>
      <x:c r="Y2777" s="22" t="str">
        <x:f>"31 99642-0592"</x:f>
        <x:v>31 99642-0592</x:v>
      </x:c>
      <x:c r="Z2777" s="30" t="n">
        <x:v>46572</x:v>
      </x:c>
    </x:row>
    <x:row r="2778" ht="18" customHeight="1">
      <x:c r="A2778" s="22" t="str">
        <x:f>"9fea779d-29fd-4d25-a5b2-b02c2be9144f"</x:f>
        <x:v>9fea779d-29fd-4d25-a5b2-b02c2be9144f</x:v>
      </x:c>
      <x:c r="B2778" s="23" t="str">
        <x:v>MAURICIO GOMES NASCIMENTO</x:v>
      </x:c>
      <x:c r="C2778" s="23" t="str">
        <x:v>mauricio gomes nascimento</x:v>
      </x:c>
      <x:c r="D2778" s="22" t="str">
        <x:f>"23.079.573/0001-58"</x:f>
        <x:v>23.079.573/0001-58</x:v>
      </x:c>
      <x:c r="E2778" s="22" t="str">
        <x:f>"23079573000158"</x:f>
        <x:v>23079573000158</x:v>
      </x:c>
      <x:c r="F2778" s="22" t="str">
        <x:f>"091.916.257-69"</x:f>
        <x:v>091.916.257-69</x:v>
      </x:c>
      <x:c r="G2778" s="22" t="str">
        <x:f>"09191625769"</x:f>
        <x:v>09191625769</x:v>
      </x:c>
      <x:c r="H2778" s="23" t="str">
        <x:v>mauriciocargas@gmail.com</x:v>
      </x:c>
      <x:c r="I2778" s="22" t="str">
        <x:f>"22 999120978"</x:f>
        <x:v>22 999120978</x:v>
      </x:c>
      <x:c r="J2778" s="23" t="str">
        <x:v>SPOT</x:v>
      </x:c>
      <x:c r="K2778" s="23" t="str">
        <x:v>favored_only</x:v>
      </x:c>
      <x:c r="L2778" s="24" t="b">
        <x:v>1</x:v>
      </x:c>
      <x:c r="M2778" s="23" t="n">
        <x:v>1</x:v>
      </x:c>
      <x:c r="N2778" s="28" t="n">
        <x:v>46203.92188238426</x:v>
      </x:c>
      <x:c r="O2778" s="28" t="n">
        <x:v>46203.92188238426</x:v>
      </x:c>
      <x:c r="P2778" s="23" t="str"/>
      <x:c r="Q2778" s="30" t="str"/>
      <x:c r="R2778" s="22" t="str"/>
      <x:c r="S2778" s="23" t="str"/>
      <x:c r="T2778" s="22" t="str"/>
      <x:c r="U2778" s="23" t="str">
        <x:v>MAURICIO GOMES NASCIMENTO</x:v>
      </x:c>
      <x:c r="V2778" s="22" t="str">
        <x:f>"091.916.257-69"</x:f>
        <x:v>091.916.257-69</x:v>
      </x:c>
      <x:c r="W2778" s="22" t="str">
        <x:f>"09191625769"</x:f>
        <x:v>09191625769</x:v>
      </x:c>
      <x:c r="X2778" s="23" t="str">
        <x:v>mauriciocargas@gmail.com</x:v>
      </x:c>
      <x:c r="Y2778" s="22" t="str">
        <x:f>"22 999120978"</x:f>
        <x:v>22 999120978</x:v>
      </x:c>
      <x:c r="Z2778" s="30" t="str"/>
    </x:row>
    <x:row r="2779" ht="18" customHeight="1">
      <x:c r="A2779" s="22" t="str">
        <x:f>"331d8160-0bd1-414a-a9f5-ddd2d1fe5e88"</x:f>
        <x:v>331d8160-0bd1-414a-a9f5-ddd2d1fe5e88</x:v>
      </x:c>
      <x:c r="B2779" s="23" t="str">
        <x:v>MAURICIO MACAMBIRA MENDES</x:v>
      </x:c>
      <x:c r="C2779" s="23" t="str">
        <x:v>mauricio macambira mendes</x:v>
      </x:c>
      <x:c r="D2779" s="22" t="str">
        <x:f>"58.743.871/0001-85"</x:f>
        <x:v>58.743.871/0001-85</x:v>
      </x:c>
      <x:c r="E2779" s="22" t="str">
        <x:f>"58743871000185"</x:f>
        <x:v>58743871000185</x:v>
      </x:c>
      <x:c r="F2779" s="22" t="str">
        <x:f>"379.820.928-61"</x:f>
        <x:v>379.820.928-61</x:v>
      </x:c>
      <x:c r="G2779" s="22" t="str">
        <x:f>"37982092861"</x:f>
        <x:v>37982092861</x:v>
      </x:c>
      <x:c r="H2779" s="23" t="str">
        <x:v>mendesmauricio7926@gmail.com</x:v>
      </x:c>
      <x:c r="I2779" s="22" t="str">
        <x:f>"18996137015"</x:f>
        <x:v>18996137015</x:v>
      </x:c>
      <x:c r="J2779" s="23" t="str">
        <x:v>RENTAL</x:v>
      </x:c>
      <x:c r="K2779" s="23" t="str">
        <x:v>rental_company</x:v>
      </x:c>
      <x:c r="L2779" s="24" t="b">
        <x:v>1</x:v>
      </x:c>
      <x:c r="M2779" s="23" t="n">
        <x:v>2</x:v>
      </x:c>
      <x:c r="N2779" s="28" t="n">
        <x:v>46203.92189349537</x:v>
      </x:c>
      <x:c r="O2779" s="28" t="n">
        <x:v>46219.812988715275</x:v>
      </x:c>
      <x:c r="P2779" s="23" t="str">
        <x:v>PRESIDENTE PRUDENTE</x:v>
      </x:c>
      <x:c r="Q2779" s="30" t="n">
        <x:v>37187</x:v>
      </x:c>
      <x:c r="R2779" s="22" t="str">
        <x:f>"398557494"</x:f>
        <x:v>398557494</x:v>
      </x:c>
      <x:c r="S2779" s="23" t="str">
        <x:v>masculino</x:v>
      </x:c>
      <x:c r="T2779" s="22" t="str"/>
      <x:c r="U2779" s="23" t="str">
        <x:v>MAURICIO MACAMBIRA MENDES</x:v>
      </x:c>
      <x:c r="V2779" s="22" t="str">
        <x:f>"379.820.928-61"</x:f>
        <x:v>379.820.928-61</x:v>
      </x:c>
      <x:c r="W2779" s="22" t="str">
        <x:f>"37982092861"</x:f>
        <x:v>37982092861</x:v>
      </x:c>
      <x:c r="X2779" s="23" t="str">
        <x:v>mendesmauricio7926@gmail.com</x:v>
      </x:c>
      <x:c r="Y2779" s="22" t="str">
        <x:f>"18996137015"</x:f>
        <x:v>18996137015</x:v>
      </x:c>
      <x:c r="Z2779" s="30" t="n">
        <x:v>46401</x:v>
      </x:c>
    </x:row>
    <x:row r="2780" ht="18" customHeight="1">
      <x:c r="A2780" s="22" t="str">
        <x:f>"9e820602-5715-4f58-8423-1a5a020a9224"</x:f>
        <x:v>9e820602-5715-4f58-8423-1a5a020a9224</x:v>
      </x:c>
      <x:c r="B2780" s="23" t="str">
        <x:v>MAURICIO MORAIS DOS SANTOS</x:v>
      </x:c>
      <x:c r="C2780" s="23" t="str">
        <x:v>mauricio morais dos santos</x:v>
      </x:c>
      <x:c r="D2780" s="22" t="str">
        <x:f>"60.774.851/0001-13"</x:f>
        <x:v>60.774.851/0001-13</x:v>
      </x:c>
      <x:c r="E2780" s="22" t="str">
        <x:f>"60774851000113"</x:f>
        <x:v>60774851000113</x:v>
      </x:c>
      <x:c r="F2780" s="22" t="str">
        <x:f>"046.681.581-60"</x:f>
        <x:v>046.681.581-60</x:v>
      </x:c>
      <x:c r="G2780" s="22" t="str">
        <x:f>"04668158160"</x:f>
        <x:v>04668158160</x:v>
      </x:c>
      <x:c r="H2780" s="23" t="str">
        <x:v>kaiendono01@gmail.com</x:v>
      </x:c>
      <x:c r="I2780" s="22" t="str">
        <x:f>"65992644599"</x:f>
        <x:v>65992644599</x:v>
      </x:c>
      <x:c r="J2780" s="23" t="str">
        <x:v>SPOT</x:v>
      </x:c>
      <x:c r="K2780" s="23" t="str">
        <x:v>favored_only</x:v>
      </x:c>
      <x:c r="L2780" s="24" t="b">
        <x:v>1</x:v>
      </x:c>
      <x:c r="M2780" s="23" t="n">
        <x:v>2</x:v>
      </x:c>
      <x:c r="N2780" s="28" t="n">
        <x:v>46219.812988715275</x:v>
      </x:c>
      <x:c r="O2780" s="28" t="n">
        <x:v>46219.812988715275</x:v>
      </x:c>
      <x:c r="P2780" s="23" t="str">
        <x:v>CUIABA</x:v>
      </x:c>
      <x:c r="Q2780" s="30" t="n">
        <x:v>34150</x:v>
      </x:c>
      <x:c r="R2780" s="22" t="str">
        <x:f>"21121036"</x:f>
        <x:v>21121036</x:v>
      </x:c>
      <x:c r="S2780" s="23" t="str">
        <x:v>masculino</x:v>
      </x:c>
      <x:c r="T2780" s="22" t="str">
        <x:f>"QBM6H27"</x:f>
        <x:v>QBM6H27</x:v>
      </x:c>
      <x:c r="U2780" s="23" t="str">
        <x:v>FJN SOLUCOES TECNOLOGICAS LTDA</x:v>
      </x:c>
      <x:c r="V2780" s="22" t="str">
        <x:f>"731.040.271-53"</x:f>
        <x:v>731.040.271-53</x:v>
      </x:c>
      <x:c r="W2780" s="22" t="str">
        <x:f>"73104027153"</x:f>
        <x:v>73104027153</x:v>
      </x:c>
      <x:c r="X2780" s="23" t="str">
        <x:v>fagnerjose@gmail.com</x:v>
      </x:c>
      <x:c r="Y2780" s="22" t="str">
        <x:f>"65 99695-2828"</x:f>
        <x:v>65 99695-2828</x:v>
      </x:c>
      <x:c r="Z2780" s="30" t="n">
        <x:v>46478</x:v>
      </x:c>
    </x:row>
    <x:row r="2781" ht="18" customHeight="1">
      <x:c r="A2781" s="22" t="str">
        <x:f>"1730c0e6-2cf6-4109-8194-03ce9cff40bb"</x:f>
        <x:v>1730c0e6-2cf6-4109-8194-03ce9cff40bb</x:v>
      </x:c>
      <x:c r="B2781" s="23" t="str">
        <x:v>Maurício Rodrigues dos Santos Júnior</x:v>
      </x:c>
      <x:c r="C2781" s="23" t="str">
        <x:v>mauricio rodrigues dos santos junior</x:v>
      </x:c>
      <x:c r="D2781" s="22" t="str">
        <x:f>"47.008.307/0001-00"</x:f>
        <x:v>47.008.307/0001-00</x:v>
      </x:c>
      <x:c r="E2781" s="22" t="str">
        <x:f>"47008307000100"</x:f>
        <x:v>47008307000100</x:v>
      </x:c>
      <x:c r="F2781" s="22" t="str">
        <x:f>"098.920.416-23"</x:f>
        <x:v>098.920.416-23</x:v>
      </x:c>
      <x:c r="G2781" s="22" t="str">
        <x:f>"09892041623"</x:f>
        <x:v>09892041623</x:v>
      </x:c>
      <x:c r="H2781" s="23" t="str">
        <x:v>juninho_gdb@yahoo.com.br</x:v>
      </x:c>
      <x:c r="I2781" s="22" t="str">
        <x:f>"31 988214929"</x:f>
        <x:v>31 988214929</x:v>
      </x:c>
      <x:c r="J2781" s="23" t="str">
        <x:v>SPOT</x:v>
      </x:c>
      <x:c r="K2781" s="23" t="str">
        <x:v>favored_only</x:v>
      </x:c>
      <x:c r="L2781" s="24" t="b">
        <x:v>1</x:v>
      </x:c>
      <x:c r="M2781" s="23" t="n">
        <x:v>4</x:v>
      </x:c>
      <x:c r="N2781" s="28" t="n">
        <x:v>46203.92184908565</x:v>
      </x:c>
      <x:c r="O2781" s="28" t="n">
        <x:v>46203.92184908565</x:v>
      </x:c>
      <x:c r="P2781" s="23" t="str"/>
      <x:c r="Q2781" s="30" t="str"/>
      <x:c r="R2781" s="22" t="str"/>
      <x:c r="S2781" s="23" t="str"/>
      <x:c r="T2781" s="22" t="str"/>
      <x:c r="U2781" s="23" t="str">
        <x:v>Maurício Rodrigues dos Santos Júnior</x:v>
      </x:c>
      <x:c r="V2781" s="22" t="str">
        <x:f>"09892041623"</x:f>
        <x:v>09892041623</x:v>
      </x:c>
      <x:c r="W2781" s="22" t="str">
        <x:f>"09892041623"</x:f>
        <x:v>09892041623</x:v>
      </x:c>
      <x:c r="X2781" s="23" t="str">
        <x:v>mauricio.junior.alctransportes@gmail.com</x:v>
      </x:c>
      <x:c r="Y2781" s="22" t="str">
        <x:f>"31 988214929"</x:f>
        <x:v>31 988214929</x:v>
      </x:c>
      <x:c r="Z2781" s="30" t="str"/>
    </x:row>
    <x:row r="2782" ht="18" customHeight="1">
      <x:c r="A2782" s="22" t="str">
        <x:f>"73d1b91e-a8c1-4c54-9c1b-103fc650f752"</x:f>
        <x:v>73d1b91e-a8c1-4c54-9c1b-103fc650f752</x:v>
      </x:c>
      <x:c r="B2782" s="23" t="str">
        <x:v>MAURILIO FRANCISCO LINS SOARES</x:v>
      </x:c>
      <x:c r="C2782" s="23" t="str">
        <x:v>maurilio francisco lins soares</x:v>
      </x:c>
      <x:c r="D2782" s="22" t="str">
        <x:f>"62.643.745/0001-26"</x:f>
        <x:v>62.643.745/0001-26</x:v>
      </x:c>
      <x:c r="E2782" s="22" t="str">
        <x:f>"62643745000126"</x:f>
        <x:v>62643745000126</x:v>
      </x:c>
      <x:c r="F2782" s="22" t="str">
        <x:f>"433.594.868-97"</x:f>
        <x:v>433.594.868-97</x:v>
      </x:c>
      <x:c r="G2782" s="22" t="str">
        <x:f>"43359486897"</x:f>
        <x:v>43359486897</x:v>
      </x:c>
      <x:c r="H2782" s="23" t="str">
        <x:v>billysoaresbs7@gmail.com</x:v>
      </x:c>
      <x:c r="I2782" s="22" t="str">
        <x:f>"11922127086"</x:f>
        <x:v>11922127086</x:v>
      </x:c>
      <x:c r="J2782" s="23" t="str">
        <x:v>RENTAL</x:v>
      </x:c>
      <x:c r="K2782" s="23" t="str">
        <x:v>rental_company</x:v>
      </x:c>
      <x:c r="L2782" s="24" t="b">
        <x:v>1</x:v>
      </x:c>
      <x:c r="M2782" s="23" t="n">
        <x:v>1</x:v>
      </x:c>
      <x:c r="N2782" s="28" t="n">
        <x:v>46203.921904421295</x:v>
      </x:c>
      <x:c r="O2782" s="28" t="n">
        <x:v>46219.812988715275</x:v>
      </x:c>
      <x:c r="P2782" s="23" t="str">
        <x:v>BARUERI</x:v>
      </x:c>
      <x:c r="Q2782" s="30" t="n">
        <x:v>34597</x:v>
      </x:c>
      <x:c r="R2782" s="22" t="str">
        <x:f>"543880886"</x:f>
        <x:v>543880886</x:v>
      </x:c>
      <x:c r="S2782" s="23" t="str">
        <x:v>masculino</x:v>
      </x:c>
      <x:c r="T2782" s="22" t="str"/>
      <x:c r="U2782" s="23" t="str">
        <x:v>MAURILIO FRANCISCO LINS SOARES</x:v>
      </x:c>
      <x:c r="V2782" s="22" t="str">
        <x:f>"433.594.868-97"</x:f>
        <x:v>433.594.868-97</x:v>
      </x:c>
      <x:c r="W2782" s="22" t="str">
        <x:f>"43359486897"</x:f>
        <x:v>43359486897</x:v>
      </x:c>
      <x:c r="X2782" s="23" t="str">
        <x:v>billysoaresbs7@gmail.com</x:v>
      </x:c>
      <x:c r="Y2782" s="22" t="str">
        <x:f>"11922127086"</x:f>
        <x:v>11922127086</x:v>
      </x:c>
      <x:c r="Z2782" s="30" t="n">
        <x:v>46374</x:v>
      </x:c>
    </x:row>
    <x:row r="2783" ht="18" customHeight="1">
      <x:c r="A2783" s="22" t="str">
        <x:f>"f5d8ab5b-3655-477d-9839-ba2a7bb71192"</x:f>
        <x:v>f5d8ab5b-3655-477d-9839-ba2a7bb71192</x:v>
      </x:c>
      <x:c r="B2783" s="23" t="str">
        <x:v>MAURO CESAR DE OLIVEIRA</x:v>
      </x:c>
      <x:c r="C2783" s="23" t="str">
        <x:v>mauro cesar de oliveira</x:v>
      </x:c>
      <x:c r="D2783" s="22" t="str">
        <x:f>"67.088.973/0001-03"</x:f>
        <x:v>67.088.973/0001-03</x:v>
      </x:c>
      <x:c r="E2783" s="22" t="str">
        <x:f>"67088973000103"</x:f>
        <x:v>67088973000103</x:v>
      </x:c>
      <x:c r="F2783" s="22" t="str">
        <x:f>"095.464.106-08"</x:f>
        <x:v>095.464.106-08</x:v>
      </x:c>
      <x:c r="G2783" s="22" t="str">
        <x:f>"09546410608"</x:f>
        <x:v>09546410608</x:v>
      </x:c>
      <x:c r="H2783" s="23" t="str">
        <x:v>maurocesarrainha@gmail.com</x:v>
      </x:c>
      <x:c r="I2783" s="22" t="str">
        <x:f>"35 99185-3291"</x:f>
        <x:v>35 99185-3291</x:v>
      </x:c>
      <x:c r="J2783" s="23" t="str">
        <x:v>RENTAL</x:v>
      </x:c>
      <x:c r="K2783" s="23" t="str">
        <x:v>rental_company</x:v>
      </x:c>
      <x:c r="L2783" s="24" t="b">
        <x:v>1</x:v>
      </x:c>
      <x:c r="M2783" s="23" t="n">
        <x:v>1</x:v>
      </x:c>
      <x:c r="N2783" s="28" t="n">
        <x:v>46219.812988715275</x:v>
      </x:c>
      <x:c r="O2783" s="28" t="n">
        <x:v>46219.812988715275</x:v>
      </x:c>
      <x:c r="P2783" s="23" t="str">
        <x:v>POCOS DE CALDAS</x:v>
      </x:c>
      <x:c r="Q2783" s="30" t="n">
        <x:v>33125</x:v>
      </x:c>
      <x:c r="R2783" s="22" t="str">
        <x:f>"15545886"</x:f>
        <x:v>15545886</x:v>
      </x:c>
      <x:c r="S2783" s="23" t="str">
        <x:v>masculino</x:v>
      </x:c>
      <x:c r="T2783" s="22" t="str"/>
      <x:c r="U2783" s="23" t="str">
        <x:v>MAURO CESAR DE OLIVEIRA</x:v>
      </x:c>
      <x:c r="V2783" s="22" t="str">
        <x:f>"095.464.106-08"</x:f>
        <x:v>095.464.106-08</x:v>
      </x:c>
      <x:c r="W2783" s="22" t="str">
        <x:f>"09546410608"</x:f>
        <x:v>09546410608</x:v>
      </x:c>
      <x:c r="X2783" s="23" t="str">
        <x:v>maurocesarrainha@gmail.com</x:v>
      </x:c>
      <x:c r="Y2783" s="22" t="str">
        <x:f>"35 99185-3291"</x:f>
        <x:v>35 99185-3291</x:v>
      </x:c>
      <x:c r="Z2783" s="30" t="n">
        <x:v>46543</x:v>
      </x:c>
    </x:row>
    <x:row r="2784" ht="18" customHeight="1">
      <x:c r="A2784" s="22" t="str">
        <x:f>"98fc5f35-7080-46d7-877d-1c1891f94092"</x:f>
        <x:v>98fc5f35-7080-46d7-877d-1c1891f94092</x:v>
      </x:c>
      <x:c r="B2784" s="23" t="str">
        <x:v>MAURO CESAR PEREIRA DO VALLE</x:v>
      </x:c>
      <x:c r="C2784" s="23" t="str">
        <x:v>mauro cesar pereira do valle</x:v>
      </x:c>
      <x:c r="D2784" s="22" t="str">
        <x:f>"37.890.602/0001-71"</x:f>
        <x:v>37.890.602/0001-71</x:v>
      </x:c>
      <x:c r="E2784" s="22" t="str">
        <x:f>"37890602000171"</x:f>
        <x:v>37890602000171</x:v>
      </x:c>
      <x:c r="F2784" s="22" t="str">
        <x:f>"800.892.407-15"</x:f>
        <x:v>800.892.407-15</x:v>
      </x:c>
      <x:c r="G2784" s="22" t="str">
        <x:f>"80089240715"</x:f>
        <x:v>80089240715</x:v>
      </x:c>
      <x:c r="H2784" s="23" t="str">
        <x:v>maurocesarpereiradovalle@gmail.com</x:v>
      </x:c>
      <x:c r="I2784" s="22" t="str">
        <x:f>"21979949864"</x:f>
        <x:v>21979949864</x:v>
      </x:c>
      <x:c r="J2784" s="23" t="str">
        <x:v>SPOT</x:v>
      </x:c>
      <x:c r="K2784" s="23" t="str">
        <x:v>favored_only</x:v>
      </x:c>
      <x:c r="L2784" s="24" t="b">
        <x:v>1</x:v>
      </x:c>
      <x:c r="M2784" s="23" t="n">
        <x:v>1</x:v>
      </x:c>
      <x:c r="N2784" s="28" t="n">
        <x:v>46219.812988715275</x:v>
      </x:c>
      <x:c r="O2784" s="28" t="n">
        <x:v>46219.812988715275</x:v>
      </x:c>
      <x:c r="P2784" s="23" t="str">
        <x:v>CORDOVIL</x:v>
      </x:c>
      <x:c r="Q2784" s="30" t="n">
        <x:v>23361</x:v>
      </x:c>
      <x:c r="R2784" s="22" t="str">
        <x:f>"06394222-3"</x:f>
        <x:v>06394222-3</x:v>
      </x:c>
      <x:c r="S2784" s="23" t="str">
        <x:v>masculino</x:v>
      </x:c>
      <x:c r="T2784" s="22" t="str">
        <x:f>"KPL2412"</x:f>
        <x:v>KPL2412</x:v>
      </x:c>
      <x:c r="U2784" s="23" t="str">
        <x:v>MAURO CESAR PEREIRA DO VALLE</x:v>
      </x:c>
      <x:c r="V2784" s="22" t="str">
        <x:f>"800.892.407-15"</x:f>
        <x:v>800.892.407-15</x:v>
      </x:c>
      <x:c r="W2784" s="22" t="str">
        <x:f>"80089240715"</x:f>
        <x:v>80089240715</x:v>
      </x:c>
      <x:c r="X2784" s="23" t="str">
        <x:v>maurocesarpereiradovalle@gmail.com</x:v>
      </x:c>
      <x:c r="Y2784" s="22" t="str">
        <x:f>"21979949864"</x:f>
        <x:v>21979949864</x:v>
      </x:c>
      <x:c r="Z2784" s="30" t="n">
        <x:v>46437</x:v>
      </x:c>
    </x:row>
    <x:row r="2785" ht="18" customHeight="1">
      <x:c r="A2785" s="22" t="str">
        <x:f>"68fb6dad-84ba-4b3f-8c4a-3005e5122716"</x:f>
        <x:v>68fb6dad-84ba-4b3f-8c4a-3005e5122716</x:v>
      </x:c>
      <x:c r="B2785" s="23" t="str">
        <x:v>MAURO HENRIQUE VECCHI</x:v>
      </x:c>
      <x:c r="C2785" s="23" t="str">
        <x:v>mauro henrique vecchi</x:v>
      </x:c>
      <x:c r="D2785" s="22" t="str">
        <x:f>"63.459.145/0001-75"</x:f>
        <x:v>63.459.145/0001-75</x:v>
      </x:c>
      <x:c r="E2785" s="22" t="str">
        <x:f>"63459145000175"</x:f>
        <x:v>63459145000175</x:v>
      </x:c>
      <x:c r="F2785" s="22" t="str">
        <x:f>"472.509.416-15"</x:f>
        <x:v>472.509.416-15</x:v>
      </x:c>
      <x:c r="G2785" s="22" t="str">
        <x:f>"47250941615"</x:f>
        <x:v>47250941615</x:v>
      </x:c>
      <x:c r="H2785" s="23" t="str">
        <x:v>MAUROHVECCHI@GMAIL.COM</x:v>
      </x:c>
      <x:c r="I2785" s="22" t="str">
        <x:f>"35998933894"</x:f>
        <x:v>35998933894</x:v>
      </x:c>
      <x:c r="J2785" s="23" t="str">
        <x:v>DESCONHECIDO</x:v>
      </x:c>
      <x:c r="K2785" s="23" t="str">
        <x:v>favored_only</x:v>
      </x:c>
      <x:c r="L2785" s="24" t="b">
        <x:v>1</x:v>
      </x:c>
      <x:c r="M2785" s="23" t="n">
        <x:v>1</x:v>
      </x:c>
      <x:c r="N2785" s="28" t="n">
        <x:v>46205.60627362269</x:v>
      </x:c>
      <x:c r="O2785" s="28" t="n">
        <x:v>46219.812988715275</x:v>
      </x:c>
      <x:c r="P2785" s="23" t="str">
        <x:v>GUAXUPE</x:v>
      </x:c>
      <x:c r="Q2785" s="30" t="n">
        <x:v>23194</x:v>
      </x:c>
      <x:c r="R2785" s="22" t="str">
        <x:f>"2421060"</x:f>
        <x:v>2421060</x:v>
      </x:c>
      <x:c r="S2785" s="23" t="str">
        <x:v>masculino</x:v>
      </x:c>
      <x:c r="T2785" s="22" t="str">
        <x:f>"QPB5071"</x:f>
        <x:v>QPB5071</x:v>
      </x:c>
      <x:c r="U2785" s="23" t="str">
        <x:v>CLAUDIO CANDIDO</x:v>
      </x:c>
      <x:c r="V2785" s="22" t="str">
        <x:f>"127.297.236-41"</x:f>
        <x:v>127.297.236-41</x:v>
      </x:c>
      <x:c r="W2785" s="22" t="str">
        <x:f>"12729723641"</x:f>
        <x:v>12729723641</x:v>
      </x:c>
      <x:c r="X2785" s="23" t="str">
        <x:v>CLAUDIOCANDIDO199720@GMAIL.COM</x:v>
      </x:c>
      <x:c r="Y2785" s="22" t="str">
        <x:f>"3598807-0669"</x:f>
        <x:v>3598807-0669</x:v>
      </x:c>
      <x:c r="Z2785" s="30" t="n">
        <x:v>46351</x:v>
      </x:c>
    </x:row>
    <x:row r="2786" ht="18" customHeight="1">
      <x:c r="A2786" s="22" t="str">
        <x:f>"04957859-a67e-467b-ab54-25b3eb6358f0"</x:f>
        <x:v>04957859-a67e-467b-ab54-25b3eb6358f0</x:v>
      </x:c>
      <x:c r="B2786" s="23" t="str">
        <x:v>MAVERSON DE OLIVEIRA DOS SANTOS</x:v>
      </x:c>
      <x:c r="C2786" s="23" t="str">
        <x:v>maverson de oliveira dos santos</x:v>
      </x:c>
      <x:c r="D2786" s="22" t="str">
        <x:f>"66.122.645/0001-05"</x:f>
        <x:v>66.122.645/0001-05</x:v>
      </x:c>
      <x:c r="E2786" s="22" t="str">
        <x:f>"66122645000105"</x:f>
        <x:v>66122645000105</x:v>
      </x:c>
      <x:c r="F2786" s="22" t="str">
        <x:f>"111.609.396-08"</x:f>
        <x:v>111.609.396-08</x:v>
      </x:c>
      <x:c r="G2786" s="22" t="str">
        <x:f>"11160939608"</x:f>
        <x:v>11160939608</x:v>
      </x:c>
      <x:c r="H2786" s="23" t="str">
        <x:v>Maverson.oliveira@live.com</x:v>
      </x:c>
      <x:c r="I2786" s="22" t="str">
        <x:f>"31994533547"</x:f>
        <x:v>31994533547</x:v>
      </x:c>
      <x:c r="J2786" s="23" t="str">
        <x:v>SPOT</x:v>
      </x:c>
      <x:c r="K2786" s="23" t="str">
        <x:v>favored_only</x:v>
      </x:c>
      <x:c r="L2786" s="24" t="b">
        <x:v>1</x:v>
      </x:c>
      <x:c r="M2786" s="23" t="n">
        <x:v>1</x:v>
      </x:c>
      <x:c r="N2786" s="28" t="n">
        <x:v>46219.812988715275</x:v>
      </x:c>
      <x:c r="O2786" s="28" t="n">
        <x:v>46219.812988715275</x:v>
      </x:c>
      <x:c r="P2786" s="23" t="str">
        <x:v>NOVA LIMA</x:v>
      </x:c>
      <x:c r="Q2786" s="30" t="n">
        <x:v>33728</x:v>
      </x:c>
      <x:c r="R2786" s="22" t="str">
        <x:f>"17047097"</x:f>
        <x:v>17047097</x:v>
      </x:c>
      <x:c r="S2786" s="23" t="str">
        <x:v>masculino</x:v>
      </x:c>
      <x:c r="T2786" s="22" t="str">
        <x:f>"SJH3A55"</x:f>
        <x:v>SJH3A55</x:v>
      </x:c>
      <x:c r="U2786" s="23" t="str">
        <x:v>MAVERSON DE OLIVEIRA DOS SANTOS</x:v>
      </x:c>
      <x:c r="V2786" s="22" t="str">
        <x:f>"111.609.396-08"</x:f>
        <x:v>111.609.396-08</x:v>
      </x:c>
      <x:c r="W2786" s="22" t="str">
        <x:f>"11160939608"</x:f>
        <x:v>11160939608</x:v>
      </x:c>
      <x:c r="X2786" s="23" t="str">
        <x:v>Maverson.oliveira@live.com</x:v>
      </x:c>
      <x:c r="Y2786" s="22" t="str">
        <x:f>"31994533547"</x:f>
        <x:v>31994533547</x:v>
      </x:c>
      <x:c r="Z2786" s="30" t="n">
        <x:v>46486</x:v>
      </x:c>
    </x:row>
    <x:row r="2787" ht="18" customHeight="1">
      <x:c r="A2787" s="22" t="str">
        <x:f>"c6cae054-c113-427a-91c3-f5de951a1458"</x:f>
        <x:v>c6cae054-c113-427a-91c3-f5de951a1458</x:v>
      </x:c>
      <x:c r="B2787" s="23" t="str">
        <x:v>MAX ASSIS CORDEIRO</x:v>
      </x:c>
      <x:c r="C2787" s="23" t="str">
        <x:v>max assis cordeiro</x:v>
      </x:c>
      <x:c r="D2787" s="22" t="str">
        <x:f>"62.670.317/0001-92"</x:f>
        <x:v>62.670.317/0001-92</x:v>
      </x:c>
      <x:c r="E2787" s="22" t="str">
        <x:f>"62670317000192"</x:f>
        <x:v>62670317000192</x:v>
      </x:c>
      <x:c r="F2787" s="22" t="str">
        <x:f>"140.803.737-83"</x:f>
        <x:v>140.803.737-83</x:v>
      </x:c>
      <x:c r="G2787" s="22" t="str">
        <x:f>"14080373783"</x:f>
        <x:v>14080373783</x:v>
      </x:c>
      <x:c r="H2787" s="23" t="str">
        <x:v>maxassiscordeiro@gmail.com</x:v>
      </x:c>
      <x:c r="I2787" s="22" t="str">
        <x:f>"22996197441"</x:f>
        <x:v>22996197441</x:v>
      </x:c>
      <x:c r="J2787" s="23" t="str">
        <x:v>SPOT</x:v>
      </x:c>
      <x:c r="K2787" s="23" t="str">
        <x:v>favored_only</x:v>
      </x:c>
      <x:c r="L2787" s="24" t="b">
        <x:v>1</x:v>
      </x:c>
      <x:c r="M2787" s="23" t="n">
        <x:v>1</x:v>
      </x:c>
      <x:c r="N2787" s="28" t="n">
        <x:v>46205.604722916665</x:v>
      </x:c>
      <x:c r="O2787" s="28" t="n">
        <x:v>46219.812988715275</x:v>
      </x:c>
      <x:c r="P2787" s="23" t="str">
        <x:v>CAMPOS DOS GOYTACAZES</x:v>
      </x:c>
      <x:c r="Q2787" s="30" t="n">
        <x:v>34127</x:v>
      </x:c>
      <x:c r="R2787" s="22" t="str">
        <x:f>"266987668"</x:f>
        <x:v>266987668</x:v>
      </x:c>
      <x:c r="S2787" s="23" t="str">
        <x:v>masculino</x:v>
      </x:c>
      <x:c r="T2787" s="22" t="str">
        <x:f>"HAQ9H98"</x:f>
        <x:v>HAQ9H98</x:v>
      </x:c>
      <x:c r="U2787" s="23" t="str">
        <x:v>SUZANNA DIAS GOMES</x:v>
      </x:c>
      <x:c r="V2787" s="22" t="str">
        <x:f>"145.684.097-56"</x:f>
        <x:v>145.684.097-56</x:v>
      </x:c>
      <x:c r="W2787" s="22" t="str">
        <x:f>"14568409756"</x:f>
        <x:v>14568409756</x:v>
      </x:c>
      <x:c r="X2787" s="23" t="str">
        <x:v>suzannadgomesz@gmail.com</x:v>
      </x:c>
      <x:c r="Y2787" s="22" t="str">
        <x:f>"22999662050"</x:f>
        <x:v>22999662050</x:v>
      </x:c>
      <x:c r="Z2787" s="30" t="n">
        <x:v>46291</x:v>
      </x:c>
    </x:row>
    <x:row r="2788" ht="18" customHeight="1">
      <x:c r="A2788" s="22" t="str">
        <x:f>"cf616fa0-1558-4917-a0c7-079bc9351302"</x:f>
        <x:v>cf616fa0-1558-4917-a0c7-079bc9351302</x:v>
      </x:c>
      <x:c r="B2788" s="23" t="str">
        <x:v>MAX ASSIS CORDEIRO</x:v>
      </x:c>
      <x:c r="C2788" s="23" t="str">
        <x:v>max assis cordeiro</x:v>
      </x:c>
      <x:c r="D2788" s="22" t="str">
        <x:f>"59.696.194/0001-54"</x:f>
        <x:v>59.696.194/0001-54</x:v>
      </x:c>
      <x:c r="E2788" s="22" t="str">
        <x:f>"59696194000154"</x:f>
        <x:v>59696194000154</x:v>
      </x:c>
      <x:c r="F2788" s="22" t="str">
        <x:f>"140.803.737-83"</x:f>
        <x:v>140.803.737-83</x:v>
      </x:c>
      <x:c r="G2788" s="22" t="str">
        <x:f>"14080373783"</x:f>
        <x:v>14080373783</x:v>
      </x:c>
      <x:c r="H2788" s="23" t="str">
        <x:v>MAXASSISCORDEIRO@GMAIL.COM</x:v>
      </x:c>
      <x:c r="I2788" s="22" t="str">
        <x:f>"22 996197441MAX"</x:f>
        <x:v>22 996197441MAX</x:v>
      </x:c>
      <x:c r="J2788" s="23" t="str">
        <x:v>spot</x:v>
      </x:c>
      <x:c r="K2788" s="23" t="str">
        <x:v>favored_only</x:v>
      </x:c>
      <x:c r="L2788" s="24" t="b">
        <x:v>1</x:v>
      </x:c>
      <x:c r="M2788" s="23" t="n">
        <x:v>1</x:v>
      </x:c>
      <x:c r="N2788" s="28" t="n">
        <x:v>46205.60694232639</x:v>
      </x:c>
      <x:c r="O2788" s="28" t="n">
        <x:v>46219.812988715275</x:v>
      </x:c>
      <x:c r="P2788" s="23" t="str">
        <x:v>CAMPOS DOS GOYTACAZES</x:v>
      </x:c>
      <x:c r="Q2788" s="30" t="n">
        <x:v>34127</x:v>
      </x:c>
      <x:c r="R2788" s="22" t="str">
        <x:f>"266987668"</x:f>
        <x:v>266987668</x:v>
      </x:c>
      <x:c r="S2788" s="23" t="str">
        <x:v>masculino</x:v>
      </x:c>
      <x:c r="T2788" s="22" t="str">
        <x:f>"KRM9I72"</x:f>
        <x:v>KRM9I72</x:v>
      </x:c>
      <x:c r="U2788" s="23" t="str">
        <x:v>JOSENIR HENRIQUES DA PAIXAO</x:v>
      </x:c>
      <x:c r="V2788" s="22" t="str">
        <x:f>"059.581.007-18"</x:f>
        <x:v>059.581.007-18</x:v>
      </x:c>
      <x:c r="W2788" s="22" t="str">
        <x:f>"05958100718"</x:f>
        <x:v>05958100718</x:v>
      </x:c>
      <x:c r="X2788" s="23" t="str">
        <x:v>JOSENIRH@YAHOO.COM</x:v>
      </x:c>
      <x:c r="Y2788" s="22" t="str">
        <x:f>"22 999313108"</x:f>
        <x:v>22 999313108</x:v>
      </x:c>
      <x:c r="Z2788" s="30" t="n">
        <x:v>46389</x:v>
      </x:c>
    </x:row>
    <x:row r="2789" ht="18" customHeight="1">
      <x:c r="A2789" s="22" t="str">
        <x:f>"df038a4f-b7c7-4c0c-978a-1feb0e988a70"</x:f>
        <x:v>df038a4f-b7c7-4c0c-978a-1feb0e988a70</x:v>
      </x:c>
      <x:c r="B2789" s="23" t="str">
        <x:v>MAX ASSIS CORDEIRO</x:v>
      </x:c>
      <x:c r="C2789" s="23" t="str">
        <x:v>max assis cordeiro</x:v>
      </x:c>
      <x:c r="D2789" s="22" t="str">
        <x:f>"43.863.189/0001-59"</x:f>
        <x:v>43.863.189/0001-59</x:v>
      </x:c>
      <x:c r="E2789" s="22" t="str">
        <x:f>"43863189000159"</x:f>
        <x:v>43863189000159</x:v>
      </x:c>
      <x:c r="F2789" s="22" t="str">
        <x:f>"140.803.737-83"</x:f>
        <x:v>140.803.737-83</x:v>
      </x:c>
      <x:c r="G2789" s="22" t="str">
        <x:f>"14080373783"</x:f>
        <x:v>14080373783</x:v>
      </x:c>
      <x:c r="H2789" s="23" t="str">
        <x:v>maxassiscordeiro@gmail.com</x:v>
      </x:c>
      <x:c r="I2789" s="22" t="str">
        <x:f>"22 99619-7441"</x:f>
        <x:v>22 99619-7441</x:v>
      </x:c>
      <x:c r="J2789" s="23" t="str">
        <x:v>SPOT</x:v>
      </x:c>
      <x:c r="K2789" s="23" t="str">
        <x:v>favored_only</x:v>
      </x:c>
      <x:c r="L2789" s="24" t="b">
        <x:v>1</x:v>
      </x:c>
      <x:c r="M2789" s="23" t="n">
        <x:v>1</x:v>
      </x:c>
      <x:c r="N2789" s="28" t="n">
        <x:v>46205.60632636574</x:v>
      </x:c>
      <x:c r="O2789" s="28" t="n">
        <x:v>46219.812988715275</x:v>
      </x:c>
      <x:c r="P2789" s="23" t="str">
        <x:v>CAMPOS DOS GOYTACAZES</x:v>
      </x:c>
      <x:c r="Q2789" s="30" t="n">
        <x:v>34127</x:v>
      </x:c>
      <x:c r="R2789" s="22" t="str">
        <x:f>"266987668"</x:f>
        <x:v>266987668</x:v>
      </x:c>
      <x:c r="S2789" s="23" t="str">
        <x:v>masculino</x:v>
      </x:c>
      <x:c r="T2789" s="22" t="str">
        <x:f>"KRM9I72"</x:f>
        <x:v>KRM9I72</x:v>
      </x:c>
      <x:c r="U2789" s="23" t="str">
        <x:v>JOCYANA REGINALDO DA PAIXAO</x:v>
      </x:c>
      <x:c r="V2789" s="22" t="str">
        <x:f>"157.359.517-93"</x:f>
        <x:v>157.359.517-93</x:v>
      </x:c>
      <x:c r="W2789" s="22" t="str">
        <x:f>"15735951793"</x:f>
        <x:v>15735951793</x:v>
      </x:c>
      <x:c r="X2789" s="23" t="str">
        <x:v>jocyanaallan@gmail.com</x:v>
      </x:c>
      <x:c r="Y2789" s="22" t="str">
        <x:f>"22997020496"</x:f>
        <x:v>22997020496</x:v>
      </x:c>
      <x:c r="Z2789" s="30" t="n">
        <x:v>46353</x:v>
      </x:c>
    </x:row>
    <x:row r="2790" ht="18" customHeight="1">
      <x:c r="A2790" s="22" t="str">
        <x:f>"abfa3f23-6790-4cab-9c39-7c1b959ff100"</x:f>
        <x:v>abfa3f23-6790-4cab-9c39-7c1b959ff100</x:v>
      </x:c>
      <x:c r="B2790" s="23" t="str">
        <x:v>MAX DOUGLAS MACHADO</x:v>
      </x:c>
      <x:c r="C2790" s="23" t="str">
        <x:v>max douglas machado</x:v>
      </x:c>
      <x:c r="D2790" s="22" t="str">
        <x:f>"61.217.925/0001-83"</x:f>
        <x:v>61.217.925/0001-83</x:v>
      </x:c>
      <x:c r="E2790" s="22" t="str">
        <x:f>"61217925000183"</x:f>
        <x:v>61217925000183</x:v>
      </x:c>
      <x:c r="F2790" s="22" t="str">
        <x:f>"878.397.171-87"</x:f>
        <x:v>878.397.171-87</x:v>
      </x:c>
      <x:c r="G2790" s="22" t="str">
        <x:f>"87839717187"</x:f>
        <x:v>87839717187</x:v>
      </x:c>
      <x:c r="H2790" s="23" t="str">
        <x:v>maxdouglasmachado@gmail.com</x:v>
      </x:c>
      <x:c r="I2790" s="22" t="str">
        <x:f>"(65) 9 8144-8018"</x:f>
        <x:v>(65) 9 8144-8018</x:v>
      </x:c>
      <x:c r="J2790" s="23" t="str">
        <x:v>SPOT</x:v>
      </x:c>
      <x:c r="K2790" s="23" t="str">
        <x:v>favored_only</x:v>
      </x:c>
      <x:c r="L2790" s="24" t="b">
        <x:v>1</x:v>
      </x:c>
      <x:c r="M2790" s="23" t="n">
        <x:v>1</x:v>
      </x:c>
      <x:c r="N2790" s="28" t="n">
        <x:v>46203.921852962965</x:v>
      </x:c>
      <x:c r="O2790" s="28" t="n">
        <x:v>46219.812988715275</x:v>
      </x:c>
      <x:c r="P2790" s="23" t="str">
        <x:v>CUIABA</x:v>
      </x:c>
      <x:c r="Q2790" s="30" t="n">
        <x:v>29337</x:v>
      </x:c>
      <x:c r="R2790" s="22" t="str">
        <x:f>"1009536-5"</x:f>
        <x:v>1009536-5</x:v>
      </x:c>
      <x:c r="S2790" s="23" t="str">
        <x:v>masculino</x:v>
      </x:c>
      <x:c r="T2790" s="22" t="str">
        <x:f>"RRO5A35"</x:f>
        <x:v>RRO5A35</x:v>
      </x:c>
      <x:c r="U2790" s="23" t="str">
        <x:v>MAX DOUGLAS MACHADO</x:v>
      </x:c>
      <x:c r="V2790" s="22" t="str">
        <x:f>"878.397.171-87"</x:f>
        <x:v>878.397.171-87</x:v>
      </x:c>
      <x:c r="W2790" s="22" t="str">
        <x:f>"87839717187"</x:f>
        <x:v>87839717187</x:v>
      </x:c>
      <x:c r="X2790" s="23" t="str">
        <x:v>maxdouglasmachado@gmail.com</x:v>
      </x:c>
      <x:c r="Y2790" s="22" t="str">
        <x:f>"(65) 9 8144-8018"</x:f>
        <x:v>(65) 9 8144-8018</x:v>
      </x:c>
      <x:c r="Z2790" s="30" t="n">
        <x:v>46248</x:v>
      </x:c>
    </x:row>
    <x:row r="2791" ht="18" customHeight="1">
      <x:c r="A2791" s="22" t="str">
        <x:f>"7d28fe68-2fe3-4e1b-b7be-09f82cc4da8e"</x:f>
        <x:v>7d28fe68-2fe3-4e1b-b7be-09f82cc4da8e</x:v>
      </x:c>
      <x:c r="B2791" s="23" t="str">
        <x:v>MAX EVANDRO AMARAL</x:v>
      </x:c>
      <x:c r="C2791" s="23" t="str">
        <x:v>max evandro amaral</x:v>
      </x:c>
      <x:c r="D2791" s="22" t="str">
        <x:f>"59.200.974/0001-61"</x:f>
        <x:v>59.200.974/0001-61</x:v>
      </x:c>
      <x:c r="E2791" s="22" t="str">
        <x:f>"59200974000161"</x:f>
        <x:v>59200974000161</x:v>
      </x:c>
      <x:c r="F2791" s="22" t="str">
        <x:f>"047.237.736-14"</x:f>
        <x:v>047.237.736-14</x:v>
      </x:c>
      <x:c r="G2791" s="22" t="str">
        <x:f>"04723773614"</x:f>
        <x:v>04723773614</x:v>
      </x:c>
      <x:c r="H2791" s="23" t="str">
        <x:v>maxeamaral@gmail.com</x:v>
      </x:c>
      <x:c r="I2791" s="22" t="str">
        <x:f>"33999599993"</x:f>
        <x:v>33999599993</x:v>
      </x:c>
      <x:c r="J2791" s="23" t="str">
        <x:v>SPOT</x:v>
      </x:c>
      <x:c r="K2791" s="23" t="str">
        <x:v>favored_only</x:v>
      </x:c>
      <x:c r="L2791" s="24" t="b">
        <x:v>1</x:v>
      </x:c>
      <x:c r="M2791" s="23" t="n">
        <x:v>2</x:v>
      </x:c>
      <x:c r="N2791" s="28" t="n">
        <x:v>46203.92183017361</x:v>
      </x:c>
      <x:c r="O2791" s="28" t="n">
        <x:v>46219.812988715275</x:v>
      </x:c>
      <x:c r="P2791" s="23" t="str">
        <x:v>TEOFILO OTONI</x:v>
      </x:c>
      <x:c r="Q2791" s="30" t="n">
        <x:v>29348</x:v>
      </x:c>
      <x:c r="R2791" s="22" t="str">
        <x:f>"11955231"</x:f>
        <x:v>11955231</x:v>
      </x:c>
      <x:c r="S2791" s="23" t="str">
        <x:v>masculino</x:v>
      </x:c>
      <x:c r="T2791" s="22" t="str">
        <x:f>"HCH0H82"</x:f>
        <x:v>HCH0H82</x:v>
      </x:c>
      <x:c r="U2791" s="23" t="str">
        <x:v>MAX EVANDRO AMARAL</x:v>
      </x:c>
      <x:c r="V2791" s="22" t="str">
        <x:f>"047.237.736-14"</x:f>
        <x:v>047.237.736-14</x:v>
      </x:c>
      <x:c r="W2791" s="22" t="str">
        <x:f>"04723773614"</x:f>
        <x:v>04723773614</x:v>
      </x:c>
      <x:c r="X2791" s="23" t="str">
        <x:v>maxeamaral@gmail.com</x:v>
      </x:c>
      <x:c r="Y2791" s="22" t="str">
        <x:f>"33999599993"</x:f>
        <x:v>33999599993</x:v>
      </x:c>
      <x:c r="Z2791" s="30" t="n">
        <x:v>46373</x:v>
      </x:c>
    </x:row>
    <x:row r="2792" ht="18" customHeight="1">
      <x:c r="A2792" s="22" t="str">
        <x:f>"3ff18c1a-e073-47da-9c06-f0b810cfac24"</x:f>
        <x:v>3ff18c1a-e073-47da-9c06-f0b810cfac24</x:v>
      </x:c>
      <x:c r="B2792" s="23" t="str">
        <x:v>MAXIMILIANO DIAS DE PADUA</x:v>
      </x:c>
      <x:c r="C2792" s="23" t="str">
        <x:v>maximiliano dias de padua</x:v>
      </x:c>
      <x:c r="D2792" s="22" t="str">
        <x:f>"61.267.296/0001-04"</x:f>
        <x:v>61.267.296/0001-04</x:v>
      </x:c>
      <x:c r="E2792" s="22" t="str">
        <x:f>"61267296000104"</x:f>
        <x:v>61267296000104</x:v>
      </x:c>
      <x:c r="F2792" s="22" t="str">
        <x:f>"093.171.496-69"</x:f>
        <x:v>093.171.496-69</x:v>
      </x:c>
      <x:c r="G2792" s="22" t="str">
        <x:f>"09317149669"</x:f>
        <x:v>09317149669</x:v>
      </x:c>
      <x:c r="H2792" s="23" t="str">
        <x:v>diasmaximiliano190@gmail.com</x:v>
      </x:c>
      <x:c r="I2792" s="22" t="str">
        <x:f>"34997957174"</x:f>
        <x:v>34997957174</x:v>
      </x:c>
      <x:c r="J2792" s="23" t="str">
        <x:v>spot</x:v>
      </x:c>
      <x:c r="K2792" s="23" t="str">
        <x:v>favored_only</x:v>
      </x:c>
      <x:c r="L2792" s="24" t="b">
        <x:v>1</x:v>
      </x:c>
      <x:c r="M2792" s="23" t="n">
        <x:v>1</x:v>
      </x:c>
      <x:c r="N2792" s="28" t="n">
        <x:v>46219.812988715275</x:v>
      </x:c>
      <x:c r="O2792" s="28" t="n">
        <x:v>46219.812988715275</x:v>
      </x:c>
      <x:c r="P2792" s="23" t="str">
        <x:v>UBERABA</x:v>
      </x:c>
      <x:c r="Q2792" s="30" t="n">
        <x:v>32625</x:v>
      </x:c>
      <x:c r="R2792" s="22" t="str">
        <x:f>"15535685"</x:f>
        <x:v>15535685</x:v>
      </x:c>
      <x:c r="S2792" s="23" t="str">
        <x:v>masculino</x:v>
      </x:c>
      <x:c r="T2792" s="22" t="str"/>
      <x:c r="U2792" s="23" t="str">
        <x:v>MAXIMILIANO DIAS DE PADUA</x:v>
      </x:c>
      <x:c r="V2792" s="22" t="str">
        <x:f>"093.171.496-69"</x:f>
        <x:v>093.171.496-69</x:v>
      </x:c>
      <x:c r="W2792" s="22" t="str">
        <x:f>"09317149669"</x:f>
        <x:v>09317149669</x:v>
      </x:c>
      <x:c r="X2792" s="23" t="str">
        <x:v>diasmaximiliano190@gmail.com</x:v>
      </x:c>
      <x:c r="Y2792" s="22" t="str">
        <x:f>"34997957174"</x:f>
        <x:v>34997957174</x:v>
      </x:c>
      <x:c r="Z2792" s="30" t="n">
        <x:v>46535</x:v>
      </x:c>
    </x:row>
    <x:row r="2793" ht="18" customHeight="1">
      <x:c r="A2793" s="22" t="str">
        <x:f>"4ea44789-dca2-409b-b702-31d3ef42139d"</x:f>
        <x:v>4ea44789-dca2-409b-b702-31d3ef42139d</x:v>
      </x:c>
      <x:c r="B2793" s="23" t="str">
        <x:v>MAXIMILIANO MELQUIADES DOS SANTOS</x:v>
      </x:c>
      <x:c r="C2793" s="23" t="str">
        <x:v>maximiliano melquiades dos santos</x:v>
      </x:c>
      <x:c r="D2793" s="22" t="str">
        <x:f>"63.339.965/0001-23"</x:f>
        <x:v>63.339.965/0001-23</x:v>
      </x:c>
      <x:c r="E2793" s="22" t="str">
        <x:f>"63339965000123"</x:f>
        <x:v>63339965000123</x:v>
      </x:c>
      <x:c r="F2793" s="22" t="str">
        <x:f>"002.385.426-02"</x:f>
        <x:v>002.385.426-02</x:v>
      </x:c>
      <x:c r="G2793" s="22" t="str">
        <x:f>"00238542602"</x:f>
        <x:v>00238542602</x:v>
      </x:c>
      <x:c r="H2793" s="23" t="str">
        <x:v>maxsantosjp2@gmail.com</x:v>
      </x:c>
      <x:c r="I2793" s="22" t="str">
        <x:f>"(31) 99334-9444"</x:f>
        <x:v>(31) 99334-9444</x:v>
      </x:c>
      <x:c r="J2793" s="23" t="str">
        <x:v>SPOT</x:v>
      </x:c>
      <x:c r="K2793" s="23" t="str">
        <x:v>favored_only</x:v>
      </x:c>
      <x:c r="L2793" s="24" t="b">
        <x:v>1</x:v>
      </x:c>
      <x:c r="M2793" s="23" t="n">
        <x:v>1</x:v>
      </x:c>
      <x:c r="N2793" s="28" t="n">
        <x:v>46219.812988715275</x:v>
      </x:c>
      <x:c r="O2793" s="28" t="n">
        <x:v>46219.812988715275</x:v>
      </x:c>
      <x:c r="P2793" s="23" t="str">
        <x:v>VESPASIANO</x:v>
      </x:c>
      <x:c r="Q2793" s="30" t="n">
        <x:v>28561</x:v>
      </x:c>
      <x:c r="R2793" s="22" t="str">
        <x:f>"mg 6348714"</x:f>
        <x:v>mg 6348714</x:v>
      </x:c>
      <x:c r="S2793" s="23" t="str">
        <x:v>masculino</x:v>
      </x:c>
      <x:c r="T2793" s="22" t="str">
        <x:f>"PZA4G95"</x:f>
        <x:v>PZA4G95</x:v>
      </x:c>
      <x:c r="U2793" s="23" t="str">
        <x:v>MAXIMILIANO MELQUIADES DOS SANTOS</x:v>
      </x:c>
      <x:c r="V2793" s="22" t="str">
        <x:f>"002.385.426-02"</x:f>
        <x:v>002.385.426-02</x:v>
      </x:c>
      <x:c r="W2793" s="22" t="str">
        <x:f>"00238542602"</x:f>
        <x:v>00238542602</x:v>
      </x:c>
      <x:c r="X2793" s="23" t="str">
        <x:v>maxsantosjp2@gmail.com</x:v>
      </x:c>
      <x:c r="Y2793" s="22" t="str">
        <x:f>"(31) 99334-9444"</x:f>
        <x:v>(31) 99334-9444</x:v>
      </x:c>
      <x:c r="Z2793" s="30" t="n">
        <x:v>46464</x:v>
      </x:c>
    </x:row>
    <x:row r="2794" ht="18" customHeight="1">
      <x:c r="A2794" s="22" t="str">
        <x:f>"46f8dd51-38ac-442c-8d96-12b4ea8282a2"</x:f>
        <x:v>46f8dd51-38ac-442c-8d96-12b4ea8282a2</x:v>
      </x:c>
      <x:c r="B2794" s="23" t="str">
        <x:v>MAX MANOEL DA SILVA MAGALHAES</x:v>
      </x:c>
      <x:c r="C2794" s="23" t="str">
        <x:v>max manoel da silva magalhaes</x:v>
      </x:c>
      <x:c r="D2794" s="22" t="str">
        <x:f>"66.830.024/0001-86"</x:f>
        <x:v>66.830.024/0001-86</x:v>
      </x:c>
      <x:c r="E2794" s="22" t="str">
        <x:f>"66830024000186"</x:f>
        <x:v>66830024000186</x:v>
      </x:c>
      <x:c r="F2794" s="22" t="str">
        <x:f>"127.765.676-26"</x:f>
        <x:v>127.765.676-26</x:v>
      </x:c>
      <x:c r="G2794" s="22" t="str">
        <x:f>"12776567626"</x:f>
        <x:v>12776567626</x:v>
      </x:c>
      <x:c r="H2794" s="23" t="str">
        <x:v>MAXSILVA1250@GMAIL.COM</x:v>
      </x:c>
      <x:c r="I2794" s="22" t="str">
        <x:f>"33 99828-3428"</x:f>
        <x:v>33 99828-3428</x:v>
      </x:c>
      <x:c r="J2794" s="23" t="str">
        <x:v>spot</x:v>
      </x:c>
      <x:c r="K2794" s="23" t="str">
        <x:v>favored_only</x:v>
      </x:c>
      <x:c r="L2794" s="24" t="b">
        <x:v>1</x:v>
      </x:c>
      <x:c r="M2794" s="23" t="n">
        <x:v>1</x:v>
      </x:c>
      <x:c r="N2794" s="28" t="n">
        <x:v>46219.812988715275</x:v>
      </x:c>
      <x:c r="O2794" s="28" t="n">
        <x:v>46219.812988715275</x:v>
      </x:c>
      <x:c r="P2794" s="23" t="str">
        <x:v>GUANHAES</x:v>
      </x:c>
      <x:c r="Q2794" s="30" t="n">
        <x:v>37712</x:v>
      </x:c>
      <x:c r="R2794" s="22" t="str">
        <x:f>"32201810060"</x:f>
        <x:v>32201810060</x:v>
      </x:c>
      <x:c r="S2794" s="23" t="str">
        <x:v>masculino</x:v>
      </x:c>
      <x:c r="T2794" s="22" t="str">
        <x:f>"QOO1C34"</x:f>
        <x:v>QOO1C34</x:v>
      </x:c>
      <x:c r="U2794" s="23" t="str">
        <x:v>MAX MANOEL DA SILVA MAGALHAES</x:v>
      </x:c>
      <x:c r="V2794" s="22" t="str">
        <x:f>"127.765.676-26"</x:f>
        <x:v>127.765.676-26</x:v>
      </x:c>
      <x:c r="W2794" s="22" t="str">
        <x:f>"12776567626"</x:f>
        <x:v>12776567626</x:v>
      </x:c>
      <x:c r="X2794" s="23" t="str">
        <x:v>MAXSILVA1250@GMAIL.COM</x:v>
      </x:c>
      <x:c r="Y2794" s="22" t="str">
        <x:f>"33 99828-3428"</x:f>
        <x:v>33 99828-3428</x:v>
      </x:c>
      <x:c r="Z2794" s="30" t="n">
        <x:v>46526</x:v>
      </x:c>
    </x:row>
    <x:row r="2795" ht="18" customHeight="1">
      <x:c r="A2795" s="22" t="str">
        <x:f>"d1ddab4c-e048-48e3-bf1f-a1be400ef427"</x:f>
        <x:v>d1ddab4c-e048-48e3-bf1f-a1be400ef427</x:v>
      </x:c>
      <x:c r="B2795" s="23" t="str">
        <x:v>MAX WEBER ANTONNY VIEIRA SILVA</x:v>
      </x:c>
      <x:c r="C2795" s="23" t="str">
        <x:v>max weber antonny vieira silva</x:v>
      </x:c>
      <x:c r="D2795" s="22" t="str">
        <x:f>"45.131.499/0001-04"</x:f>
        <x:v>45.131.499/0001-04</x:v>
      </x:c>
      <x:c r="E2795" s="22" t="str">
        <x:f>"45131499000104"</x:f>
        <x:v>45131499000104</x:v>
      </x:c>
      <x:c r="F2795" s="22" t="str">
        <x:f>"123.450.446-40"</x:f>
        <x:v>123.450.446-40</x:v>
      </x:c>
      <x:c r="G2795" s="22" t="str">
        <x:f>"12345044640"</x:f>
        <x:v>12345044640</x:v>
      </x:c>
      <x:c r="H2795" s="23" t="str">
        <x:v>maxwebeer@icloud.com</x:v>
      </x:c>
      <x:c r="I2795" s="22" t="str">
        <x:f>"(31) 99620-1632"</x:f>
        <x:v>(31) 99620-1632</x:v>
      </x:c>
      <x:c r="J2795" s="23" t="str">
        <x:v>SPOT</x:v>
      </x:c>
      <x:c r="K2795" s="23" t="str">
        <x:v>favored_only</x:v>
      </x:c>
      <x:c r="L2795" s="24" t="b">
        <x:v>1</x:v>
      </x:c>
      <x:c r="M2795" s="23" t="n">
        <x:v>1</x:v>
      </x:c>
      <x:c r="N2795" s="28" t="n">
        <x:v>46205.60654017361</x:v>
      </x:c>
      <x:c r="O2795" s="28" t="n">
        <x:v>46219.812988715275</x:v>
      </x:c>
      <x:c r="P2795" s="23" t="str">
        <x:v>IPATINGA</x:v>
      </x:c>
      <x:c r="Q2795" s="30" t="n">
        <x:v>35571</x:v>
      </x:c>
      <x:c r="R2795" s="22" t="str">
        <x:f>"MG16538427"</x:f>
        <x:v>MG16538427</x:v>
      </x:c>
      <x:c r="S2795" s="23" t="str">
        <x:v>masculino</x:v>
      </x:c>
      <x:c r="T2795" s="22" t="str">
        <x:f>"LSY9H74"</x:f>
        <x:v>LSY9H74</x:v>
      </x:c>
      <x:c r="U2795" s="23" t="str">
        <x:v>IGOR THIAGO DE MATOS LAIA</x:v>
      </x:c>
      <x:c r="V2795" s="22" t="str">
        <x:f>"127.470.466-99"</x:f>
        <x:v>127.470.466-99</x:v>
      </x:c>
      <x:c r="W2795" s="22" t="str">
        <x:f>"12747046699"</x:f>
        <x:v>12747046699</x:v>
      </x:c>
      <x:c r="X2795" s="23" t="str">
        <x:v>igoralctransportes@gmail.com</x:v>
      </x:c>
      <x:c r="Y2795" s="22" t="str">
        <x:f>"31985381065"</x:f>
        <x:v>31985381065</x:v>
      </x:c>
      <x:c r="Z2795" s="30" t="n">
        <x:v>46364</x:v>
      </x:c>
    </x:row>
    <x:row r="2796" ht="18" customHeight="1">
      <x:c r="A2796" s="22" t="str">
        <x:f>"c72d4b39-51ce-42b6-8c8c-55b9a78f51a5"</x:f>
        <x:v>c72d4b39-51ce-42b6-8c8c-55b9a78f51a5</x:v>
      </x:c>
      <x:c r="B2796" s="23" t="str">
        <x:v>MAXWELL JUNIOR STASIAK NASCIMENTO</x:v>
      </x:c>
      <x:c r="C2796" s="23" t="str">
        <x:v>maxwell junior stasiak nascimento</x:v>
      </x:c>
      <x:c r="D2796" s="22" t="str">
        <x:f>"62.042.241/0001-50"</x:f>
        <x:v>62.042.241/0001-50</x:v>
      </x:c>
      <x:c r="E2796" s="22" t="str">
        <x:f>"62042241000150"</x:f>
        <x:v>62042241000150</x:v>
      </x:c>
      <x:c r="F2796" s="22" t="str">
        <x:f>"061.339.581-62"</x:f>
        <x:v>061.339.581-62</x:v>
      </x:c>
      <x:c r="G2796" s="22" t="str">
        <x:f>"06133958162"</x:f>
        <x:v>06133958162</x:v>
      </x:c>
      <x:c r="H2796" s="23" t="str">
        <x:v>stasiaknascimento@gmail.com</x:v>
      </x:c>
      <x:c r="I2796" s="22" t="str">
        <x:f>"65992340993"</x:f>
        <x:v>65992340993</x:v>
      </x:c>
      <x:c r="J2796" s="23" t="str">
        <x:v>RENTAL</x:v>
      </x:c>
      <x:c r="K2796" s="23" t="str">
        <x:v>rental_company</x:v>
      </x:c>
      <x:c r="L2796" s="24" t="b">
        <x:v>1</x:v>
      </x:c>
      <x:c r="M2796" s="23" t="n">
        <x:v>2</x:v>
      </x:c>
      <x:c r="N2796" s="28" t="n">
        <x:v>46203.92184908565</x:v>
      </x:c>
      <x:c r="O2796" s="28" t="n">
        <x:v>46219.812988715275</x:v>
      </x:c>
      <x:c r="P2796" s="23" t="str">
        <x:v>CUIABA</x:v>
      </x:c>
      <x:c r="Q2796" s="30" t="n">
        <x:v>36585</x:v>
      </x:c>
      <x:c r="R2796" s="22" t="str">
        <x:f>"2728609-6"</x:f>
        <x:v>2728609-6</x:v>
      </x:c>
      <x:c r="S2796" s="23" t="str">
        <x:v>masculino</x:v>
      </x:c>
      <x:c r="T2796" s="22" t="str">
        <x:f>"OAR0A82"</x:f>
        <x:v>OAR0A82</x:v>
      </x:c>
      <x:c r="U2796" s="23" t="str">
        <x:v>MAXWELL JUNIOR STASIAK NASCIMENTO</x:v>
      </x:c>
      <x:c r="V2796" s="22" t="str">
        <x:f>"061.339.581-62"</x:f>
        <x:v>061.339.581-62</x:v>
      </x:c>
      <x:c r="W2796" s="22" t="str">
        <x:f>"06133958162"</x:f>
        <x:v>06133958162</x:v>
      </x:c>
      <x:c r="X2796" s="23" t="str">
        <x:v>stasiaknascimento@gmail.com</x:v>
      </x:c>
      <x:c r="Y2796" s="22" t="str">
        <x:f>"65992340993"</x:f>
        <x:v>65992340993</x:v>
      </x:c>
      <x:c r="Z2796" s="30" t="n">
        <x:v>46350</x:v>
      </x:c>
    </x:row>
    <x:row r="2797" ht="18" customHeight="1">
      <x:c r="A2797" s="22" t="str">
        <x:f>"80c2c564-025a-4143-b87a-26c489ad4ce3"</x:f>
        <x:v>80c2c564-025a-4143-b87a-26c489ad4ce3</x:v>
      </x:c>
      <x:c r="B2797" s="23" t="str">
        <x:v>MAX WILLIAN SOARES COTILHA DE ANDRADE</x:v>
      </x:c>
      <x:c r="C2797" s="23" t="str">
        <x:v>max willian soares cotilha de andrade</x:v>
      </x:c>
      <x:c r="D2797" s="22" t="str">
        <x:f>"42.467.660/0001-27"</x:f>
        <x:v>42.467.660/0001-27</x:v>
      </x:c>
      <x:c r="E2797" s="22" t="str">
        <x:f>"42467660000127"</x:f>
        <x:v>42467660000127</x:v>
      </x:c>
      <x:c r="F2797" s="22" t="str">
        <x:f>"100.027.227-39"</x:f>
        <x:v>100.027.227-39</x:v>
      </x:c>
      <x:c r="G2797" s="22" t="str">
        <x:f>"10002722739"</x:f>
        <x:v>10002722739</x:v>
      </x:c>
      <x:c r="H2797" s="23" t="str">
        <x:v>maxvideirabarra0@gmail.com</x:v>
      </x:c>
      <x:c r="I2797" s="22" t="str">
        <x:f>"22 999306704"</x:f>
        <x:v>22 999306704</x:v>
      </x:c>
      <x:c r="J2797" s="23" t="str">
        <x:v>SPOT</x:v>
      </x:c>
      <x:c r="K2797" s="23" t="str">
        <x:v>favored_only</x:v>
      </x:c>
      <x:c r="L2797" s="24" t="b">
        <x:v>1</x:v>
      </x:c>
      <x:c r="M2797" s="23" t="n">
        <x:v>1</x:v>
      </x:c>
      <x:c r="N2797" s="28" t="n">
        <x:v>46203.92188238426</x:v>
      </x:c>
      <x:c r="O2797" s="28" t="n">
        <x:v>46219.812988715275</x:v>
      </x:c>
      <x:c r="P2797" s="23" t="str">
        <x:v>CAMPOS DOS GOYTACAZES</x:v>
      </x:c>
      <x:c r="Q2797" s="30" t="n">
        <x:v>29979</x:v>
      </x:c>
      <x:c r="R2797" s="22" t="str">
        <x:f>"130213705"</x:f>
        <x:v>130213705</x:v>
      </x:c>
      <x:c r="S2797" s="23" t="str">
        <x:v>masculino</x:v>
      </x:c>
      <x:c r="T2797" s="22" t="str">
        <x:f>"KRM9I72"</x:f>
        <x:v>KRM9I72</x:v>
      </x:c>
      <x:c r="U2797" s="23" t="str">
        <x:v>MAX WILLIAN SOARES COTILHA DE ANDRADE</x:v>
      </x:c>
      <x:c r="V2797" s="22" t="str">
        <x:f>"100.027.227-39"</x:f>
        <x:v>100.027.227-39</x:v>
      </x:c>
      <x:c r="W2797" s="22" t="str">
        <x:f>"10002722739"</x:f>
        <x:v>10002722739</x:v>
      </x:c>
      <x:c r="X2797" s="23" t="str">
        <x:v>maxvideirabarra0@gmail.com</x:v>
      </x:c>
      <x:c r="Y2797" s="22" t="str">
        <x:f>"22 999306704"</x:f>
        <x:v>22 999306704</x:v>
      </x:c>
      <x:c r="Z2797" s="30" t="n">
        <x:v>46319</x:v>
      </x:c>
    </x:row>
    <x:row r="2798" ht="18" customHeight="1">
      <x:c r="A2798" s="22" t="str">
        <x:f>"16cb1d5f-13c5-4a34-b5e5-848462c3503d"</x:f>
        <x:v>16cb1d5f-13c5-4a34-b5e5-848462c3503d</x:v>
      </x:c>
      <x:c r="B2798" s="23" t="str">
        <x:v>MAYCON DE PAULA GOMES</x:v>
      </x:c>
      <x:c r="C2798" s="23" t="str">
        <x:v>maycon de paula gomes</x:v>
      </x:c>
      <x:c r="D2798" s="22" t="str">
        <x:f>"37.823.997/0001-90"</x:f>
        <x:v>37.823.997/0001-90</x:v>
      </x:c>
      <x:c r="E2798" s="22" t="str">
        <x:f>"37823997000190"</x:f>
        <x:v>37823997000190</x:v>
      </x:c>
      <x:c r="F2798" s="22" t="str">
        <x:f>"035.852.991-30"</x:f>
        <x:v>035.852.991-30</x:v>
      </x:c>
      <x:c r="G2798" s="22" t="str">
        <x:f>"03585299130"</x:f>
        <x:v>03585299130</x:v>
      </x:c>
      <x:c r="H2798" s="23" t="str">
        <x:v>mayconvyctorhugo@gmail.com</x:v>
      </x:c>
      <x:c r="I2798" s="22" t="str">
        <x:f>"6799825665"</x:f>
        <x:v>6799825665</x:v>
      </x:c>
      <x:c r="J2798" s="23" t="str">
        <x:v>SPOT</x:v>
      </x:c>
      <x:c r="K2798" s="23" t="str">
        <x:v>favored_only</x:v>
      </x:c>
      <x:c r="L2798" s="24" t="b">
        <x:v>1</x:v>
      </x:c>
      <x:c r="M2798" s="23" t="n">
        <x:v>1</x:v>
      </x:c>
      <x:c r="N2798" s="28" t="n">
        <x:v>46218.62115420139</x:v>
      </x:c>
      <x:c r="O2798" s="28" t="n">
        <x:v>46219.812988715275</x:v>
      </x:c>
      <x:c r="P2798" s="23" t="str">
        <x:v>CHAPADÃO DO SUL</x:v>
      </x:c>
      <x:c r="Q2798" s="30" t="n">
        <x:v>32751</x:v>
      </x:c>
      <x:c r="R2798" s="22" t="str">
        <x:f>"1302949"</x:f>
        <x:v>1302949</x:v>
      </x:c>
      <x:c r="S2798" s="23" t="str">
        <x:v>masculino</x:v>
      </x:c>
      <x:c r="T2798" s="22" t="str">
        <x:f>"OAY2J21"</x:f>
        <x:v>OAY2J21</x:v>
      </x:c>
      <x:c r="U2798" s="23" t="str">
        <x:v>DANILLO BACIEL ALMEIDA</x:v>
      </x:c>
      <x:c r="V2798" s="22" t="str">
        <x:f>"038.768.901-01"</x:f>
        <x:v>038.768.901-01</x:v>
      </x:c>
      <x:c r="W2798" s="22" t="str">
        <x:f>"03876890101"</x:f>
        <x:v>03876890101</x:v>
      </x:c>
      <x:c r="X2798" s="23" t="str">
        <x:v>rtp.cargas@gmail.com</x:v>
      </x:c>
      <x:c r="Y2798" s="22" t="str">
        <x:f>"62991277279"</x:f>
        <x:v>62991277279</x:v>
      </x:c>
      <x:c r="Z2798" s="30" t="n">
        <x:v>46322</x:v>
      </x:c>
    </x:row>
    <x:row r="2799" ht="18" customHeight="1">
      <x:c r="A2799" s="22" t="str">
        <x:f>"94e1d821-f623-44b5-ab40-42a57a13e3b8"</x:f>
        <x:v>94e1d821-f623-44b5-ab40-42a57a13e3b8</x:v>
      </x:c>
      <x:c r="B2799" s="23" t="str">
        <x:v>MAYCON DUYLON ARANTES DE SOUZA</x:v>
      </x:c>
      <x:c r="C2799" s="23" t="str">
        <x:v>maycon duylon arantes de souza</x:v>
      </x:c>
      <x:c r="D2799" s="22" t="str">
        <x:f>"63.054.413/0001-79"</x:f>
        <x:v>63.054.413/0001-79</x:v>
      </x:c>
      <x:c r="E2799" s="22" t="str">
        <x:f>"63054413000179"</x:f>
        <x:v>63054413000179</x:v>
      </x:c>
      <x:c r="F2799" s="22" t="str">
        <x:f>"705.096.451-43"</x:f>
        <x:v>705.096.451-43</x:v>
      </x:c>
      <x:c r="G2799" s="22" t="str">
        <x:f>"70509645143"</x:f>
        <x:v>70509645143</x:v>
      </x:c>
      <x:c r="H2799" s="23" t="str">
        <x:v>mayconduylon199@gmail.com</x:v>
      </x:c>
      <x:c r="I2799" s="22" t="str">
        <x:f>"+55 64 9242-4181"</x:f>
        <x:v>+55 64 9242-4181</x:v>
      </x:c>
      <x:c r="J2799" s="23" t="str">
        <x:v>RENTAL</x:v>
      </x:c>
      <x:c r="K2799" s="23" t="str">
        <x:v>rental_company</x:v>
      </x:c>
      <x:c r="L2799" s="24" t="b">
        <x:v>1</x:v>
      </x:c>
      <x:c r="M2799" s="23" t="n">
        <x:v>1</x:v>
      </x:c>
      <x:c r="N2799" s="28" t="n">
        <x:v>46203.92186888889</x:v>
      </x:c>
      <x:c r="O2799" s="28" t="n">
        <x:v>46219.812988715275</x:v>
      </x:c>
      <x:c r="P2799" s="23" t="str">
        <x:v>RIO VERDE</x:v>
      </x:c>
      <x:c r="Q2799" s="30" t="n">
        <x:v>36321</x:v>
      </x:c>
      <x:c r="R2799" s="22" t="str">
        <x:f>"6444846"</x:f>
        <x:v>6444846</x:v>
      </x:c>
      <x:c r="S2799" s="23" t="str">
        <x:v>masculino</x:v>
      </x:c>
      <x:c r="T2799" s="22" t="str"/>
      <x:c r="U2799" s="23" t="str">
        <x:v>MAYCON DUYLON ARANTES DE SOUZA</x:v>
      </x:c>
      <x:c r="V2799" s="22" t="str">
        <x:f>"705.096.451-43"</x:f>
        <x:v>705.096.451-43</x:v>
      </x:c>
      <x:c r="W2799" s="22" t="str">
        <x:f>"70509645143"</x:f>
        <x:v>70509645143</x:v>
      </x:c>
      <x:c r="X2799" s="23" t="str">
        <x:v>mayconduylon199@gmail.com</x:v>
      </x:c>
      <x:c r="Y2799" s="22" t="str">
        <x:f>"+55 64 9242-4181"</x:f>
        <x:v>+55 64 9242-4181</x:v>
      </x:c>
      <x:c r="Z2799" s="30" t="n">
        <x:v>46298</x:v>
      </x:c>
    </x:row>
    <x:row r="2800" ht="18" customHeight="1">
      <x:c r="A2800" s="22" t="str">
        <x:f>"7649d9b9-3c0b-4223-8e82-000dc14fea36"</x:f>
        <x:v>7649d9b9-3c0b-4223-8e82-000dc14fea36</x:v>
      </x:c>
      <x:c r="B2800" s="23" t="str">
        <x:v>MAYCON HENRIQUE DOS SANTOS</x:v>
      </x:c>
      <x:c r="C2800" s="23" t="str">
        <x:v>maycon henrique dos santos</x:v>
      </x:c>
      <x:c r="D2800" s="22" t="str">
        <x:f>"59.333.244/0001-39"</x:f>
        <x:v>59.333.244/0001-39</x:v>
      </x:c>
      <x:c r="E2800" s="22" t="str">
        <x:f>"59333244000139"</x:f>
        <x:v>59333244000139</x:v>
      </x:c>
      <x:c r="F2800" s="22" t="str">
        <x:f>"115.778.176-48"</x:f>
        <x:v>115.778.176-48</x:v>
      </x:c>
      <x:c r="G2800" s="22" t="str">
        <x:f>"11577817648"</x:f>
        <x:v>11577817648</x:v>
      </x:c>
      <x:c r="H2800" s="23" t="str">
        <x:v>mayyconhenrique@gmail.com</x:v>
      </x:c>
      <x:c r="I2800" s="22" t="str">
        <x:f>"35 99940-9024"</x:f>
        <x:v>35 99940-9024</x:v>
      </x:c>
      <x:c r="J2800" s="23" t="str">
        <x:v>RENTAL</x:v>
      </x:c>
      <x:c r="K2800" s="23" t="str">
        <x:v>rental_company</x:v>
      </x:c>
      <x:c r="L2800" s="24" t="b">
        <x:v>1</x:v>
      </x:c>
      <x:c r="M2800" s="23" t="n">
        <x:v>1</x:v>
      </x:c>
      <x:c r="N2800" s="28" t="n">
        <x:v>46219.812988715275</x:v>
      </x:c>
      <x:c r="O2800" s="28" t="n">
        <x:v>46219.812988715275</x:v>
      </x:c>
      <x:c r="P2800" s="23" t="str">
        <x:v>POCOS DE CALDAS</x:v>
      </x:c>
      <x:c r="Q2800" s="30" t="n">
        <x:v>34010</x:v>
      </x:c>
      <x:c r="R2800" s="22" t="str">
        <x:f>"16976253"</x:f>
        <x:v>16976253</x:v>
      </x:c>
      <x:c r="S2800" s="23" t="str">
        <x:v>masculino</x:v>
      </x:c>
      <x:c r="T2800" s="22" t="str"/>
      <x:c r="U2800" s="23" t="str">
        <x:v>MAYCON HENRIQUE DOS SANTOS</x:v>
      </x:c>
      <x:c r="V2800" s="22" t="str">
        <x:f>"115.778.176-48"</x:f>
        <x:v>115.778.176-48</x:v>
      </x:c>
      <x:c r="W2800" s="22" t="str">
        <x:f>"11577817648"</x:f>
        <x:v>11577817648</x:v>
      </x:c>
      <x:c r="X2800" s="23" t="str">
        <x:v>mayyconhenrique@gmail.com</x:v>
      </x:c>
      <x:c r="Y2800" s="22" t="str">
        <x:f>"35 99940-9024"</x:f>
        <x:v>35 99940-9024</x:v>
      </x:c>
      <x:c r="Z2800" s="30" t="n">
        <x:v>46582</x:v>
      </x:c>
    </x:row>
    <x:row r="2801" ht="18" customHeight="1">
      <x:c r="A2801" s="22" t="str">
        <x:f>"78f9d728-be8a-4fdd-81f4-15857385ffda"</x:f>
        <x:v>78f9d728-be8a-4fdd-81f4-15857385ffda</x:v>
      </x:c>
      <x:c r="B2801" s="23" t="str">
        <x:v>MAYCON ROBERTO RODRIGUES MORATA</x:v>
      </x:c>
      <x:c r="C2801" s="23" t="str">
        <x:v>maycon roberto rodrigues morata</x:v>
      </x:c>
      <x:c r="D2801" s="22" t="str">
        <x:f>"58.404.404/0001-20"</x:f>
        <x:v>58.404.404/0001-20</x:v>
      </x:c>
      <x:c r="E2801" s="22" t="str">
        <x:f>"58404404000120"</x:f>
        <x:v>58404404000120</x:v>
      </x:c>
      <x:c r="F2801" s="22" t="str">
        <x:f>"396.729.668-73"</x:f>
        <x:v>396.729.668-73</x:v>
      </x:c>
      <x:c r="G2801" s="22" t="str">
        <x:f>"39672966873"</x:f>
        <x:v>39672966873</x:v>
      </x:c>
      <x:c r="H2801" s="23" t="str">
        <x:v>mayconmoratamoratinha@gmail.com</x:v>
      </x:c>
      <x:c r="I2801" s="22" t="str">
        <x:f>"17 99650-8794"</x:f>
        <x:v>17 99650-8794</x:v>
      </x:c>
      <x:c r="J2801" s="23" t="str">
        <x:v>RENTAL</x:v>
      </x:c>
      <x:c r="K2801" s="23" t="str">
        <x:v>rental_company</x:v>
      </x:c>
      <x:c r="L2801" s="24" t="b">
        <x:v>1</x:v>
      </x:c>
      <x:c r="M2801" s="23" t="n">
        <x:v>1</x:v>
      </x:c>
      <x:c r="N2801" s="28" t="n">
        <x:v>46219.812988715275</x:v>
      </x:c>
      <x:c r="O2801" s="28" t="n">
        <x:v>46219.812988715275</x:v>
      </x:c>
      <x:c r="P2801" s="23" t="str">
        <x:v>SÃO JOSE DO RIO PRETO</x:v>
      </x:c>
      <x:c r="Q2801" s="30" t="n">
        <x:v>33523</x:v>
      </x:c>
      <x:c r="R2801" s="22" t="str">
        <x:f>"479369896"</x:f>
        <x:v>479369896</x:v>
      </x:c>
      <x:c r="S2801" s="23" t="str">
        <x:v>masculino</x:v>
      </x:c>
      <x:c r="T2801" s="22" t="str"/>
      <x:c r="U2801" s="23" t="str">
        <x:v>MAYCON ROBERTO RODRIGUES MORATA</x:v>
      </x:c>
      <x:c r="V2801" s="22" t="str">
        <x:f>"396.729.668-73"</x:f>
        <x:v>396.729.668-73</x:v>
      </x:c>
      <x:c r="W2801" s="22" t="str">
        <x:f>"39672966873"</x:f>
        <x:v>39672966873</x:v>
      </x:c>
      <x:c r="X2801" s="23" t="str">
        <x:v>mayconmoratamoratinha@gmail.com</x:v>
      </x:c>
      <x:c r="Y2801" s="22" t="str">
        <x:f>"17 99650-8794"</x:f>
        <x:v>17 99650-8794</x:v>
      </x:c>
      <x:c r="Z2801" s="30" t="n">
        <x:v>46546</x:v>
      </x:c>
    </x:row>
    <x:row r="2802" ht="18" customHeight="1">
      <x:c r="A2802" s="22" t="str">
        <x:f>"862752b1-f672-467f-b4e1-2ad4bedfb63d"</x:f>
        <x:v>862752b1-f672-467f-b4e1-2ad4bedfb63d</x:v>
      </x:c>
      <x:c r="B2802" s="23" t="str">
        <x:v>MAYCON RODRIGUES DA SILVA</x:v>
      </x:c>
      <x:c r="C2802" s="23" t="str">
        <x:v>maycon rodrigues da silva</x:v>
      </x:c>
      <x:c r="D2802" s="22" t="str">
        <x:f>"58.580.460/0001-16"</x:f>
        <x:v>58.580.460/0001-16</x:v>
      </x:c>
      <x:c r="E2802" s="22" t="str">
        <x:f>"58580460000116"</x:f>
        <x:v>58580460000116</x:v>
      </x:c>
      <x:c r="F2802" s="22" t="str">
        <x:f>"044.314.341-27"</x:f>
        <x:v>044.314.341-27</x:v>
      </x:c>
      <x:c r="G2802" s="22" t="str">
        <x:f>"04431434127"</x:f>
        <x:v>04431434127</x:v>
      </x:c>
      <x:c r="H2802" s="23" t="str">
        <x:v>Mayconpccivil@gmail.com</x:v>
      </x:c>
      <x:c r="I2802" s="22" t="str">
        <x:f>"6499216 6111"</x:f>
        <x:v>6499216 6111</x:v>
      </x:c>
      <x:c r="J2802" s="23" t="str">
        <x:v>SPOT</x:v>
      </x:c>
      <x:c r="K2802" s="23" t="str">
        <x:v>favored_only</x:v>
      </x:c>
      <x:c r="L2802" s="24" t="b">
        <x:v>1</x:v>
      </x:c>
      <x:c r="M2802" s="23" t="n">
        <x:v>1</x:v>
      </x:c>
      <x:c r="N2802" s="28" t="n">
        <x:v>46205.605693391204</x:v>
      </x:c>
      <x:c r="O2802" s="28" t="n">
        <x:v>46219.812988715275</x:v>
      </x:c>
      <x:c r="P2802" s="23" t="str">
        <x:v>RIO VERDE</x:v>
      </x:c>
      <x:c r="Q2802" s="30" t="n">
        <x:v>33117</x:v>
      </x:c>
      <x:c r="R2802" s="22" t="str">
        <x:f>"4431434127"</x:f>
        <x:v>4431434127</x:v>
      </x:c>
      <x:c r="S2802" s="23" t="str">
        <x:v>masculino</x:v>
      </x:c>
      <x:c r="T2802" s="22" t="str">
        <x:f>"PRP6539"</x:f>
        <x:v>PRP6539</x:v>
      </x:c>
      <x:c r="U2802" s="23" t="str">
        <x:v>ANTONIO LOPES DA SILVA CUNHA</x:v>
      </x:c>
      <x:c r="V2802" s="22" t="str">
        <x:f>"931.587.341-68"</x:f>
        <x:v>931.587.341-68</x:v>
      </x:c>
      <x:c r="W2802" s="22" t="str">
        <x:f>"93158734168"</x:f>
        <x:v>93158734168</x:v>
      </x:c>
      <x:c r="X2802" s="23" t="str">
        <x:v>lopesantoniolopessilvacunha4@gmail.com</x:v>
      </x:c>
      <x:c r="Y2802" s="22" t="str">
        <x:f>"64993157855"</x:f>
        <x:v>64993157855</x:v>
      </x:c>
      <x:c r="Z2802" s="30" t="n">
        <x:v>46331</x:v>
      </x:c>
    </x:row>
    <x:row r="2803" ht="18" customHeight="1">
      <x:c r="A2803" s="22" t="str">
        <x:f>"0740081a-ac49-43fa-b394-cee30507f3ed"</x:f>
        <x:v>0740081a-ac49-43fa-b394-cee30507f3ed</x:v>
      </x:c>
      <x:c r="B2803" s="23" t="str">
        <x:v>MAYCON VITOR MORETTI</x:v>
      </x:c>
      <x:c r="C2803" s="23" t="str">
        <x:v>maycon vitor moretti</x:v>
      </x:c>
      <x:c r="D2803" s="22" t="str">
        <x:f>"62.841.362/0001-62"</x:f>
        <x:v>62.841.362/0001-62</x:v>
      </x:c>
      <x:c r="E2803" s="22" t="str">
        <x:f>"62841362000162"</x:f>
        <x:v>62841362000162</x:v>
      </x:c>
      <x:c r="F2803" s="22" t="str">
        <x:f>"356.313.018-30"</x:f>
        <x:v>356.313.018-30</x:v>
      </x:c>
      <x:c r="G2803" s="22" t="str">
        <x:f>"35631301830"</x:f>
        <x:v>35631301830</x:v>
      </x:c>
      <x:c r="H2803" s="23" t="str">
        <x:v>mayconmoretti333@gmail.com</x:v>
      </x:c>
      <x:c r="I2803" s="22" t="str">
        <x:f>"18981740686"</x:f>
        <x:v>18981740686</x:v>
      </x:c>
      <x:c r="J2803" s="23" t="str">
        <x:v>RENTAL</x:v>
      </x:c>
      <x:c r="K2803" s="23" t="str">
        <x:v>rental_company</x:v>
      </x:c>
      <x:c r="L2803" s="24" t="b">
        <x:v>1</x:v>
      </x:c>
      <x:c r="M2803" s="23" t="n">
        <x:v>1</x:v>
      </x:c>
      <x:c r="N2803" s="28" t="n">
        <x:v>46203.92186462963</x:v>
      </x:c>
      <x:c r="O2803" s="28" t="n">
        <x:v>46219.812988715275</x:v>
      </x:c>
      <x:c r="P2803" s="23" t="str">
        <x:v>PRESIDENTE PRUDENTE</x:v>
      </x:c>
      <x:c r="Q2803" s="30" t="n">
        <x:v>37710</x:v>
      </x:c>
      <x:c r="R2803" s="22" t="str">
        <x:f>"645437050"</x:f>
        <x:v>645437050</x:v>
      </x:c>
      <x:c r="S2803" s="23" t="str">
        <x:v>masculino</x:v>
      </x:c>
      <x:c r="T2803" s="22" t="str"/>
      <x:c r="U2803" s="23" t="str">
        <x:v>MAYCON VITOR MORETTI</x:v>
      </x:c>
      <x:c r="V2803" s="22" t="str">
        <x:f>"356.313.018-30"</x:f>
        <x:v>356.313.018-30</x:v>
      </x:c>
      <x:c r="W2803" s="22" t="str">
        <x:f>"35631301830"</x:f>
        <x:v>35631301830</x:v>
      </x:c>
      <x:c r="X2803" s="23" t="str">
        <x:v>mayconmoretti333@gmail.com</x:v>
      </x:c>
      <x:c r="Y2803" s="22" t="str">
        <x:f>"18981740686"</x:f>
        <x:v>18981740686</x:v>
      </x:c>
      <x:c r="Z2803" s="30" t="n">
        <x:v>46288</x:v>
      </x:c>
    </x:row>
    <x:row r="2804" ht="18" customHeight="1">
      <x:c r="A2804" s="22" t="str">
        <x:f>"e3506a78-65bd-4245-8795-9f886110ce25"</x:f>
        <x:v>e3506a78-65bd-4245-8795-9f886110ce25</x:v>
      </x:c>
      <x:c r="B2804" s="23" t="str">
        <x:v>MAYKON JOSE DA SILVA</x:v>
      </x:c>
      <x:c r="C2804" s="23" t="str">
        <x:v>maykon jose da silva</x:v>
      </x:c>
      <x:c r="D2804" s="22" t="str">
        <x:f>"53.362.493/0001-76"</x:f>
        <x:v>53.362.493/0001-76</x:v>
      </x:c>
      <x:c r="E2804" s="22" t="str">
        <x:f>"53362493000176"</x:f>
        <x:v>53362493000176</x:v>
      </x:c>
      <x:c r="F2804" s="22" t="str">
        <x:f>"050.746.441-94"</x:f>
        <x:v>050.746.441-94</x:v>
      </x:c>
      <x:c r="G2804" s="22" t="str">
        <x:f>"05074644194"</x:f>
        <x:v>05074644194</x:v>
      </x:c>
      <x:c r="H2804" s="23" t="str">
        <x:v>maykon_BrJ@hotmail.com</x:v>
      </x:c>
      <x:c r="I2804" s="22" t="str">
        <x:f>"65 8433-3718"</x:f>
        <x:v>65 8433-3718</x:v>
      </x:c>
      <x:c r="J2804" s="23" t="str">
        <x:v>SPOT</x:v>
      </x:c>
      <x:c r="K2804" s="23" t="str">
        <x:v>favored_only</x:v>
      </x:c>
      <x:c r="L2804" s="24" t="b">
        <x:v>1</x:v>
      </x:c>
      <x:c r="M2804" s="23" t="n">
        <x:v>1</x:v>
      </x:c>
      <x:c r="N2804" s="28" t="n">
        <x:v>46219.812988715275</x:v>
      </x:c>
      <x:c r="O2804" s="28" t="n">
        <x:v>46219.812988715275</x:v>
      </x:c>
      <x:c r="P2804" s="23" t="str">
        <x:v>CUIABA</x:v>
      </x:c>
      <x:c r="Q2804" s="30" t="n">
        <x:v>34997</x:v>
      </x:c>
      <x:c r="R2804" s="22" t="str">
        <x:f>"23770260"</x:f>
        <x:v>23770260</x:v>
      </x:c>
      <x:c r="S2804" s="23" t="str">
        <x:v>masculino</x:v>
      </x:c>
      <x:c r="T2804" s="22" t="str">
        <x:f>"QQD8D10"</x:f>
        <x:v>QQD8D10</x:v>
      </x:c>
      <x:c r="U2804" s="23" t="str">
        <x:v>MAYKON JOSE DA SILVA</x:v>
      </x:c>
      <x:c r="V2804" s="22" t="str">
        <x:f>"050.746.441-94"</x:f>
        <x:v>050.746.441-94</x:v>
      </x:c>
      <x:c r="W2804" s="22" t="str">
        <x:f>"05074644194"</x:f>
        <x:v>05074644194</x:v>
      </x:c>
      <x:c r="X2804" s="23" t="str">
        <x:v>maykon_BrJ@hotmail.com</x:v>
      </x:c>
      <x:c r="Y2804" s="22" t="str">
        <x:f>"65 8433-3718"</x:f>
        <x:v>65 8433-3718</x:v>
      </x:c>
      <x:c r="Z2804" s="30" t="n">
        <x:v>46408</x:v>
      </x:c>
    </x:row>
    <x:row r="2805" ht="18" customHeight="1">
      <x:c r="A2805" s="22" t="str">
        <x:f>"97557c61-7f14-4e3c-86f3-465f45c296bb"</x:f>
        <x:v>97557c61-7f14-4e3c-86f3-465f45c296bb</x:v>
      </x:c>
      <x:c r="B2805" s="23" t="str">
        <x:v>MAYONE PINHEIRO CORREIRA SILVA</x:v>
      </x:c>
      <x:c r="C2805" s="23" t="str">
        <x:v>mayone pinheiro correira silva</x:v>
      </x:c>
      <x:c r="D2805" s="22" t="str">
        <x:f>"64.388.678/0001-76"</x:f>
        <x:v>64.388.678/0001-76</x:v>
      </x:c>
      <x:c r="E2805" s="22" t="str">
        <x:f>"64388678000176"</x:f>
        <x:v>64388678000176</x:v>
      </x:c>
      <x:c r="F2805" s="22" t="str">
        <x:f>"020.647.196-36"</x:f>
        <x:v>020.647.196-36</x:v>
      </x:c>
      <x:c r="G2805" s="22" t="str">
        <x:f>"02064719636"</x:f>
        <x:v>02064719636</x:v>
      </x:c>
      <x:c r="H2805" s="23" t="str">
        <x:v>mayonepinheiro2101@outlook.com</x:v>
      </x:c>
      <x:c r="I2805" s="22" t="str">
        <x:f>"+55 31 9590-6573"</x:f>
        <x:v>+55 31 9590-6573</x:v>
      </x:c>
      <x:c r="J2805" s="23" t="str">
        <x:v>SPOT</x:v>
      </x:c>
      <x:c r="K2805" s="23" t="str">
        <x:v>favored_only</x:v>
      </x:c>
      <x:c r="L2805" s="24" t="b">
        <x:v>1</x:v>
      </x:c>
      <x:c r="M2805" s="23" t="n">
        <x:v>1</x:v>
      </x:c>
      <x:c r="N2805" s="28" t="n">
        <x:v>46203.9219084375</x:v>
      </x:c>
      <x:c r="O2805" s="28" t="n">
        <x:v>46219.812988715275</x:v>
      </x:c>
      <x:c r="P2805" s="23" t="str">
        <x:v>IPATINGA</x:v>
      </x:c>
      <x:c r="Q2805" s="30" t="n">
        <x:v>36182</x:v>
      </x:c>
      <x:c r="R2805" s="22" t="str">
        <x:f>"20130856"</x:f>
        <x:v>20130856</x:v>
      </x:c>
      <x:c r="S2805" s="23" t="str">
        <x:v>feminino</x:v>
      </x:c>
      <x:c r="T2805" s="22" t="str">
        <x:f>"GHB9C15"</x:f>
        <x:v>GHB9C15</x:v>
      </x:c>
      <x:c r="U2805" s="23" t="str">
        <x:v>MAYONE PINHEIRO CORREIRA SILVA</x:v>
      </x:c>
      <x:c r="V2805" s="22" t="str">
        <x:f>"020.647.196-36"</x:f>
        <x:v>020.647.196-36</x:v>
      </x:c>
      <x:c r="W2805" s="22" t="str">
        <x:f>"02064719636"</x:f>
        <x:v>02064719636</x:v>
      </x:c>
      <x:c r="X2805" s="23" t="str">
        <x:v>mayonepinheiro2101@outlook.com</x:v>
      </x:c>
      <x:c r="Y2805" s="22" t="str">
        <x:f>"31 9590-6573"</x:f>
        <x:v>31 9590-6573</x:v>
      </x:c>
      <x:c r="Z2805" s="30" t="n">
        <x:v>46399</x:v>
      </x:c>
    </x:row>
    <x:row r="2806" ht="18" customHeight="1">
      <x:c r="A2806" s="22" t="str">
        <x:f>"262a1649-4540-47bc-892d-dbd20a32d731"</x:f>
        <x:v>262a1649-4540-47bc-892d-dbd20a32d731</x:v>
      </x:c>
      <x:c r="B2806" s="23" t="str">
        <x:v>MAYRA LETICIA MOTA DOS SANTOS</x:v>
      </x:c>
      <x:c r="C2806" s="23" t="str">
        <x:v>mayra leticia mota dos santos</x:v>
      </x:c>
      <x:c r="D2806" s="22" t="str">
        <x:f>"66.370.482/0001-80"</x:f>
        <x:v>66.370.482/0001-80</x:v>
      </x:c>
      <x:c r="E2806" s="22" t="str">
        <x:f>"66370482000180"</x:f>
        <x:v>66370482000180</x:v>
      </x:c>
      <x:c r="F2806" s="22" t="str">
        <x:f>"094.510.036-14"</x:f>
        <x:v>094.510.036-14</x:v>
      </x:c>
      <x:c r="G2806" s="22" t="str">
        <x:f>"09451003614"</x:f>
        <x:v>09451003614</x:v>
      </x:c>
      <x:c r="H2806" s="23" t="str">
        <x:v>mayra3974@gmail.com</x:v>
      </x:c>
      <x:c r="I2806" s="22" t="str">
        <x:f>"31 982737744"</x:f>
        <x:v>31 982737744</x:v>
      </x:c>
      <x:c r="J2806" s="23" t="str">
        <x:v>SPOT</x:v>
      </x:c>
      <x:c r="K2806" s="23" t="str">
        <x:v>favored_only</x:v>
      </x:c>
      <x:c r="L2806" s="24" t="b">
        <x:v>1</x:v>
      </x:c>
      <x:c r="M2806" s="23" t="n">
        <x:v>1</x:v>
      </x:c>
      <x:c r="N2806" s="28" t="n">
        <x:v>46219.812988715275</x:v>
      </x:c>
      <x:c r="O2806" s="28" t="n">
        <x:v>46219.812988715275</x:v>
      </x:c>
      <x:c r="P2806" s="23" t="str">
        <x:v>NOVA LIMA</x:v>
      </x:c>
      <x:c r="Q2806" s="30" t="n">
        <x:v>38085</x:v>
      </x:c>
      <x:c r="R2806" s="22" t="str">
        <x:f>"22655465"</x:f>
        <x:v>22655465</x:v>
      </x:c>
      <x:c r="S2806" s="23" t="str">
        <x:v>feminino</x:v>
      </x:c>
      <x:c r="T2806" s="22" t="str">
        <x:f>"RFA6B33"</x:f>
        <x:v>RFA6B33</x:v>
      </x:c>
      <x:c r="U2806" s="23" t="str">
        <x:v>MAYRA LETICIA MOTA DOS SANTOS</x:v>
      </x:c>
      <x:c r="V2806" s="22" t="str">
        <x:f>"094.510.036-14"</x:f>
        <x:v>094.510.036-14</x:v>
      </x:c>
      <x:c r="W2806" s="22" t="str">
        <x:f>"09451003614"</x:f>
        <x:v>09451003614</x:v>
      </x:c>
      <x:c r="X2806" s="23" t="str">
        <x:v>mayra3974@gmail.com</x:v>
      </x:c>
      <x:c r="Y2806" s="22" t="str">
        <x:f>"31 982737744"</x:f>
        <x:v>31 982737744</x:v>
      </x:c>
      <x:c r="Z2806" s="30" t="n">
        <x:v>46506</x:v>
      </x:c>
    </x:row>
    <x:row r="2807" ht="18" customHeight="1">
      <x:c r="A2807" s="22" t="str">
        <x:f>"23bc6efb-54b9-4065-8a88-4e4b213b8c53"</x:f>
        <x:v>23bc6efb-54b9-4065-8a88-4e4b213b8c53</x:v>
      </x:c>
      <x:c r="B2807" s="23" t="str">
        <x:v>MAYRON DE ANDRADE SILVA</x:v>
      </x:c>
      <x:c r="C2807" s="23" t="str">
        <x:v>mayron de andrade silva</x:v>
      </x:c>
      <x:c r="D2807" s="22" t="str">
        <x:f>"52.664.355/0001-89"</x:f>
        <x:v>52.664.355/0001-89</x:v>
      </x:c>
      <x:c r="E2807" s="22" t="str">
        <x:f>"52664355000189"</x:f>
        <x:v>52664355000189</x:v>
      </x:c>
      <x:c r="F2807" s="22" t="str">
        <x:f>"134.562.476-05"</x:f>
        <x:v>134.562.476-05</x:v>
      </x:c>
      <x:c r="G2807" s="22" t="str">
        <x:f>"13456247605"</x:f>
        <x:v>13456247605</x:v>
      </x:c>
      <x:c r="H2807" s="23" t="str">
        <x:v>msilva97tt@gmail.com</x:v>
      </x:c>
      <x:c r="I2807" s="22" t="str">
        <x:f>"34 9247-2640"</x:f>
        <x:v>34 9247-2640</x:v>
      </x:c>
      <x:c r="J2807" s="23" t="str">
        <x:v>SPOT</x:v>
      </x:c>
      <x:c r="K2807" s="23" t="str">
        <x:v>favored_only</x:v>
      </x:c>
      <x:c r="L2807" s="24" t="b">
        <x:v>1</x:v>
      </x:c>
      <x:c r="M2807" s="23" t="n">
        <x:v>1</x:v>
      </x:c>
      <x:c r="N2807" s="28" t="n">
        <x:v>46219.812988715275</x:v>
      </x:c>
      <x:c r="O2807" s="28" t="n">
        <x:v>46219.812988715275</x:v>
      </x:c>
      <x:c r="P2807" s="23" t="str">
        <x:v>ARAXÁ</x:v>
      </x:c>
      <x:c r="Q2807" s="30" t="n">
        <x:v>35648</x:v>
      </x:c>
      <x:c r="R2807" s="22" t="str">
        <x:f>"MG19725613"</x:f>
        <x:v>MG19725613</x:v>
      </x:c>
      <x:c r="S2807" s="23" t="str">
        <x:v>masculino</x:v>
      </x:c>
      <x:c r="T2807" s="22" t="str">
        <x:f>"GVO1381"</x:f>
        <x:v>GVO1381</x:v>
      </x:c>
      <x:c r="U2807" s="23" t="str">
        <x:v>GIVAGO AUGUSTO REZENDE SILVA</x:v>
      </x:c>
      <x:c r="V2807" s="22" t="str">
        <x:f>"101.346.146-07"</x:f>
        <x:v>101.346.146-07</x:v>
      </x:c>
      <x:c r="W2807" s="22" t="str">
        <x:f>"10134614607"</x:f>
        <x:v>10134614607</x:v>
      </x:c>
      <x:c r="X2807" s="23" t="str">
        <x:v>givagoaugusto28@hotmail.com</x:v>
      </x:c>
      <x:c r="Y2807" s="22" t="str">
        <x:f>"34 9247-2640"</x:f>
        <x:v>34 9247-2640</x:v>
      </x:c>
      <x:c r="Z2807" s="30" t="n">
        <x:v>46525</x:v>
      </x:c>
    </x:row>
    <x:row r="2808" ht="18" customHeight="1">
      <x:c r="A2808" s="22" t="str">
        <x:f>"06a763ac-e23d-45a8-a0ec-a55fdaa6a4ab"</x:f>
        <x:v>06a763ac-e23d-45a8-a0ec-a55fdaa6a4ab</x:v>
      </x:c>
      <x:c r="B2808" s="23" t="str">
        <x:v>MAYZA DE OLIVEIRA LIMA</x:v>
      </x:c>
      <x:c r="C2808" s="23" t="str">
        <x:v>mayza de oliveira lima</x:v>
      </x:c>
      <x:c r="D2808" s="22" t="str">
        <x:f>"64.320.339/0001-58"</x:f>
        <x:v>64.320.339/0001-58</x:v>
      </x:c>
      <x:c r="E2808" s="22" t="str">
        <x:f>"64320339000158"</x:f>
        <x:v>64320339000158</x:v>
      </x:c>
      <x:c r="F2808" s="22" t="str">
        <x:f>"121.777.037-27"</x:f>
        <x:v>121.777.037-27</x:v>
      </x:c>
      <x:c r="G2808" s="22" t="str">
        <x:f>"12177703727"</x:f>
        <x:v>12177703727</x:v>
      </x:c>
      <x:c r="H2808" s="23" t="str">
        <x:v>MAYZAOLIVEIRA7@GMAIL.COM</x:v>
      </x:c>
      <x:c r="I2808" s="22" t="str">
        <x:f>"22981824595"</x:f>
        <x:v>22981824595</x:v>
      </x:c>
      <x:c r="J2808" s="23" t="str">
        <x:v>SPOT</x:v>
      </x:c>
      <x:c r="K2808" s="23" t="str">
        <x:v>favored_only</x:v>
      </x:c>
      <x:c r="L2808" s="24" t="b">
        <x:v>1</x:v>
      </x:c>
      <x:c r="M2808" s="23" t="n">
        <x:v>1</x:v>
      </x:c>
      <x:c r="N2808" s="28" t="n">
        <x:v>46219.812988715275</x:v>
      </x:c>
      <x:c r="O2808" s="28" t="n">
        <x:v>46219.812988715275</x:v>
      </x:c>
      <x:c r="P2808" s="23" t="str">
        <x:v>CAMPOS DOS GOYTACAZES</x:v>
      </x:c>
      <x:c r="Q2808" s="30" t="n">
        <x:v>33508</x:v>
      </x:c>
      <x:c r="R2808" s="22" t="str">
        <x:f>"308659317"</x:f>
        <x:v>308659317</x:v>
      </x:c>
      <x:c r="S2808" s="23" t="str">
        <x:v>feminino</x:v>
      </x:c>
      <x:c r="T2808" s="22" t="str">
        <x:f>"KWC8G04"</x:f>
        <x:v>KWC8G04</x:v>
      </x:c>
      <x:c r="U2808" s="23" t="str">
        <x:v>ANNA MARCELLA DA SILVA SANTOS LIMA</x:v>
      </x:c>
      <x:c r="V2808" s="22" t="str">
        <x:f>"220.790.787-20"</x:f>
        <x:v>220.790.787-20</x:v>
      </x:c>
      <x:c r="W2808" s="22" t="str">
        <x:f>"22079078720"</x:f>
        <x:v>22079078720</x:v>
      </x:c>
      <x:c r="X2808" s="23" t="str">
        <x:v>marcellasantos1717@gmail.com</x:v>
      </x:c>
      <x:c r="Y2808" s="22" t="str">
        <x:f>"22 98859-2405"</x:f>
        <x:v>22 98859-2405</x:v>
      </x:c>
      <x:c r="Z2808" s="30" t="n">
        <x:v>46407</x:v>
      </x:c>
    </x:row>
    <x:row r="2809" ht="18" customHeight="1">
      <x:c r="A2809" s="22" t="str">
        <x:f>"ab19738f-7708-4196-8f60-25af9c073b21"</x:f>
        <x:v>ab19738f-7708-4196-8f60-25af9c073b21</x:v>
      </x:c>
      <x:c r="B2809" s="23" t="str">
        <x:v>MAYZA DE OLIVEIRA LIMA</x:v>
      </x:c>
      <x:c r="C2809" s="23" t="str">
        <x:v>mayza de oliveira lima</x:v>
      </x:c>
      <x:c r="D2809" s="22" t="str">
        <x:f>"61.873.241/0001-30"</x:f>
        <x:v>61.873.241/0001-30</x:v>
      </x:c>
      <x:c r="E2809" s="22" t="str">
        <x:f>"61873241000130"</x:f>
        <x:v>61873241000130</x:v>
      </x:c>
      <x:c r="F2809" s="22" t="str">
        <x:f>"121.777.037-27"</x:f>
        <x:v>121.777.037-27</x:v>
      </x:c>
      <x:c r="G2809" s="22" t="str">
        <x:f>"12177703727"</x:f>
        <x:v>12177703727</x:v>
      </x:c>
      <x:c r="H2809" s="23" t="str">
        <x:v>MAYSAOLIVEIRA7@GMAIL.COM</x:v>
      </x:c>
      <x:c r="I2809" s="22" t="str">
        <x:f>"22 981824595"</x:f>
        <x:v>22 981824595</x:v>
      </x:c>
      <x:c r="J2809" s="23" t="str">
        <x:v>SPOT</x:v>
      </x:c>
      <x:c r="K2809" s="23" t="str">
        <x:v>favored_only</x:v>
      </x:c>
      <x:c r="L2809" s="24" t="b">
        <x:v>1</x:v>
      </x:c>
      <x:c r="M2809" s="23" t="n">
        <x:v>1</x:v>
      </x:c>
      <x:c r="N2809" s="28" t="n">
        <x:v>46205.60679273148</x:v>
      </x:c>
      <x:c r="O2809" s="28" t="n">
        <x:v>46219.812988715275</x:v>
      </x:c>
      <x:c r="P2809" s="23" t="str">
        <x:v>CAMPOS DOS GOYTACAZES</x:v>
      </x:c>
      <x:c r="Q2809" s="30" t="n">
        <x:v>33508</x:v>
      </x:c>
      <x:c r="R2809" s="22" t="str">
        <x:f>"308659317"</x:f>
        <x:v>308659317</x:v>
      </x:c>
      <x:c r="S2809" s="23" t="str">
        <x:v>feminino</x:v>
      </x:c>
      <x:c r="T2809" s="22" t="str">
        <x:f>"KWC8G04"</x:f>
        <x:v>KWC8G04</x:v>
      </x:c>
      <x:c r="U2809" s="23" t="str">
        <x:v>ALEXANDRE DA SILVA GIVIGIER</x:v>
      </x:c>
      <x:c r="V2809" s="22" t="str">
        <x:f>"124.744.127-00"</x:f>
        <x:v>124.744.127-00</x:v>
      </x:c>
      <x:c r="W2809" s="22" t="str">
        <x:f>"12474412700"</x:f>
        <x:v>12474412700</x:v>
      </x:c>
      <x:c r="X2809" s="23" t="str">
        <x:v>ALEXANDREGIVIGIER5@GMAIL.COM</x:v>
      </x:c>
      <x:c r="Y2809" s="22" t="str">
        <x:f>"22 997076041"</x:f>
        <x:v>22 997076041</x:v>
      </x:c>
      <x:c r="Z2809" s="30" t="n">
        <x:v>46375</x:v>
      </x:c>
    </x:row>
    <x:row r="2810" ht="18" customHeight="1">
      <x:c r="A2810" s="22" t="str">
        <x:f>"856cabc0-41a8-497a-9684-f7da8d8b254c"</x:f>
        <x:v>856cabc0-41a8-497a-9684-f7da8d8b254c</x:v>
      </x:c>
      <x:c r="B2810" s="23" t="str">
        <x:v>MESSIAS TAVARES PEDROSA</x:v>
      </x:c>
      <x:c r="C2810" s="23" t="str">
        <x:v>messias tavares pedrosa</x:v>
      </x:c>
      <x:c r="D2810" s="22" t="str">
        <x:f>"62.703.242/0001-07"</x:f>
        <x:v>62.703.242/0001-07</x:v>
      </x:c>
      <x:c r="E2810" s="22" t="str">
        <x:f>"62703242000107"</x:f>
        <x:v>62703242000107</x:v>
      </x:c>
      <x:c r="F2810" s="22" t="str">
        <x:f>"924.627.822-49"</x:f>
        <x:v>924.627.822-49</x:v>
      </x:c>
      <x:c r="G2810" s="22" t="str">
        <x:f>"92462782249"</x:f>
        <x:v>92462782249</x:v>
      </x:c>
      <x:c r="H2810" s="23" t="str">
        <x:v>messiastavares598@gmail.com</x:v>
      </x:c>
      <x:c r="I2810" s="22" t="str">
        <x:f>"97 991428610"</x:f>
        <x:v>97 991428610</x:v>
      </x:c>
      <x:c r="J2810" s="23" t="str">
        <x:v>RENTAL</x:v>
      </x:c>
      <x:c r="K2810" s="23" t="str">
        <x:v>rental_company</x:v>
      </x:c>
      <x:c r="L2810" s="24" t="b">
        <x:v>1</x:v>
      </x:c>
      <x:c r="M2810" s="23" t="n">
        <x:v>1</x:v>
      </x:c>
      <x:c r="N2810" s="28" t="n">
        <x:v>46203.9218771875</x:v>
      </x:c>
      <x:c r="O2810" s="28" t="n">
        <x:v>46219.812988715275</x:v>
      </x:c>
      <x:c r="P2810" s="23" t="str">
        <x:v>RIO VERDE</x:v>
      </x:c>
      <x:c r="Q2810" s="30" t="n">
        <x:v>33489</x:v>
      </x:c>
      <x:c r="R2810" s="22" t="str">
        <x:f>"19602065"</x:f>
        <x:v>19602065</x:v>
      </x:c>
      <x:c r="S2810" s="23" t="str">
        <x:v>masculino</x:v>
      </x:c>
      <x:c r="T2810" s="22" t="str"/>
      <x:c r="U2810" s="23" t="str">
        <x:v>MESSIAS TAVARES PEDROSA</x:v>
      </x:c>
      <x:c r="V2810" s="22" t="str">
        <x:f>"924.627.822-49"</x:f>
        <x:v>924.627.822-49</x:v>
      </x:c>
      <x:c r="W2810" s="22" t="str">
        <x:f>"92462782249"</x:f>
        <x:v>92462782249</x:v>
      </x:c>
      <x:c r="X2810" s="23" t="str">
        <x:v>messiastavares598@gmail.com</x:v>
      </x:c>
      <x:c r="Y2810" s="22" t="str">
        <x:f>"97 991428610"</x:f>
        <x:v>97 991428610</x:v>
      </x:c>
      <x:c r="Z2810" s="30" t="n">
        <x:v>46308</x:v>
      </x:c>
    </x:row>
    <x:row r="2811" ht="18" customHeight="1">
      <x:c r="A2811" s="22" t="str">
        <x:f>"e891ab9c-8d02-4140-be09-08df6e7e9849"</x:f>
        <x:v>e891ab9c-8d02-4140-be09-08df6e7e9849</x:v>
      </x:c>
      <x:c r="B2811" s="23" t="str">
        <x:v>MIBBRAJARIM GAMA FERREIRA</x:v>
      </x:c>
      <x:c r="C2811" s="23" t="str">
        <x:v>mibbrajarim gama ferreira</x:v>
      </x:c>
      <x:c r="D2811" s="22" t="str">
        <x:f>"53.124.703/0001-98"</x:f>
        <x:v>53.124.703/0001-98</x:v>
      </x:c>
      <x:c r="E2811" s="22" t="str">
        <x:f>"53124703000198"</x:f>
        <x:v>53124703000198</x:v>
      </x:c>
      <x:c r="F2811" s="22" t="str">
        <x:f>"335.375.608-69"</x:f>
        <x:v>335.375.608-69</x:v>
      </x:c>
      <x:c r="G2811" s="22" t="str">
        <x:f>"33537560869"</x:f>
        <x:v>33537560869</x:v>
      </x:c>
      <x:c r="H2811" s="23" t="str">
        <x:v>Binhojar@gmail.com</x:v>
      </x:c>
      <x:c r="I2811" s="22" t="str">
        <x:f>"11 94297-6065"</x:f>
        <x:v>11 94297-6065</x:v>
      </x:c>
      <x:c r="J2811" s="23" t="str">
        <x:v>SPOT</x:v>
      </x:c>
      <x:c r="K2811" s="23" t="str">
        <x:v>favored_only</x:v>
      </x:c>
      <x:c r="L2811" s="24" t="b">
        <x:v>1</x:v>
      </x:c>
      <x:c r="M2811" s="23" t="n">
        <x:v>1</x:v>
      </x:c>
      <x:c r="N2811" s="28" t="n">
        <x:v>46203.92189349537</x:v>
      </x:c>
      <x:c r="O2811" s="28" t="n">
        <x:v>46203.92189349537</x:v>
      </x:c>
      <x:c r="P2811" s="23" t="str"/>
      <x:c r="Q2811" s="30" t="str"/>
      <x:c r="R2811" s="22" t="str"/>
      <x:c r="S2811" s="23" t="str"/>
      <x:c r="T2811" s="22" t="str"/>
      <x:c r="U2811" s="23" t="str">
        <x:v>MIBBRAJARIM GAMA FERREIRA</x:v>
      </x:c>
      <x:c r="V2811" s="22" t="str">
        <x:f>"335.375.608-69"</x:f>
        <x:v>335.375.608-69</x:v>
      </x:c>
      <x:c r="W2811" s="22" t="str">
        <x:f>"33537560869"</x:f>
        <x:v>33537560869</x:v>
      </x:c>
      <x:c r="X2811" s="23" t="str">
        <x:v>Binhojar@gmail.com</x:v>
      </x:c>
      <x:c r="Y2811" s="22" t="str">
        <x:f>"11 94297-6065"</x:f>
        <x:v>11 94297-6065</x:v>
      </x:c>
      <x:c r="Z2811" s="30" t="str"/>
    </x:row>
    <x:row r="2812" ht="18" customHeight="1">
      <x:c r="A2812" s="22" t="str">
        <x:f>"04e6ed10-77c9-4173-b7a1-04ae4ff4d4a6"</x:f>
        <x:v>04e6ed10-77c9-4173-b7a1-04ae4ff4d4a6</x:v>
      </x:c>
      <x:c r="B2812" s="23" t="str">
        <x:v>MICAEL MARCOS RODRIGUES SILVA</x:v>
      </x:c>
      <x:c r="C2812" s="23" t="str">
        <x:v>micael marcos rodrigues silva</x:v>
      </x:c>
      <x:c r="D2812" s="22" t="str">
        <x:f>"65.531.397/0001-93"</x:f>
        <x:v>65.531.397/0001-93</x:v>
      </x:c>
      <x:c r="E2812" s="22" t="str">
        <x:f>"65531397000193"</x:f>
        <x:v>65531397000193</x:v>
      </x:c>
      <x:c r="F2812" s="22" t="str">
        <x:f>"700.814.101-74"</x:f>
        <x:v>700.814.101-74</x:v>
      </x:c>
      <x:c r="G2812" s="22" t="str">
        <x:f>"70081410174"</x:f>
        <x:v>70081410174</x:v>
      </x:c>
      <x:c r="H2812" s="23" t="str">
        <x:v>micaelguitar48@gmail.com</x:v>
      </x:c>
      <x:c r="I2812" s="22" t="str">
        <x:f>"62 981959640"</x:f>
        <x:v>62 981959640</x:v>
      </x:c>
      <x:c r="J2812" s="23" t="str">
        <x:v>SPOT</x:v>
      </x:c>
      <x:c r="K2812" s="23" t="str">
        <x:v>favored_only</x:v>
      </x:c>
      <x:c r="L2812" s="24" t="b">
        <x:v>1</x:v>
      </x:c>
      <x:c r="M2812" s="23" t="n">
        <x:v>1</x:v>
      </x:c>
      <x:c r="N2812" s="28" t="n">
        <x:v>46219.812988715275</x:v>
      </x:c>
      <x:c r="O2812" s="28" t="n">
        <x:v>46219.812988715275</x:v>
      </x:c>
      <x:c r="P2812" s="23" t="str">
        <x:v>GOIANIA</x:v>
      </x:c>
      <x:c r="Q2812" s="30" t="n">
        <x:v>34771</x:v>
      </x:c>
      <x:c r="R2812" s="22" t="str">
        <x:f>"5951921"</x:f>
        <x:v>5951921</x:v>
      </x:c>
      <x:c r="S2812" s="23" t="str">
        <x:v>masculino</x:v>
      </x:c>
      <x:c r="T2812" s="22" t="str">
        <x:f>"DYH6E29"</x:f>
        <x:v>DYH6E29</x:v>
      </x:c>
      <x:c r="U2812" s="23" t="str">
        <x:v>JOSARAELE GALVAO DE ALMEIDA</x:v>
      </x:c>
      <x:c r="V2812" s="22" t="str">
        <x:f>"077.256.565-10"</x:f>
        <x:v>077.256.565-10</x:v>
      </x:c>
      <x:c r="W2812" s="22" t="str">
        <x:f>"07725656510"</x:f>
        <x:v>07725656510</x:v>
      </x:c>
      <x:c r="X2812" s="23" t="str">
        <x:v>Josaraele2018@gmail.com</x:v>
      </x:c>
      <x:c r="Y2812" s="22" t="str">
        <x:f>"62998548731"</x:f>
        <x:v>62998548731</x:v>
      </x:c>
      <x:c r="Z2812" s="30" t="n">
        <x:v>46452</x:v>
      </x:c>
    </x:row>
    <x:row r="2813" ht="18" customHeight="1">
      <x:c r="A2813" s="22" t="str">
        <x:f>"149e665a-4701-4980-884d-b67edb6de3fc"</x:f>
        <x:v>149e665a-4701-4980-884d-b67edb6de3fc</x:v>
      </x:c>
      <x:c r="B2813" s="23" t="str">
        <x:v>MICAEL MARCOS RODRIGUES SILVA</x:v>
      </x:c>
      <x:c r="C2813" s="23" t="str">
        <x:v>micael marcos rodrigues silva</x:v>
      </x:c>
      <x:c r="D2813" s="22" t="str">
        <x:f>"67.024.097/0001-43"</x:f>
        <x:v>67.024.097/0001-43</x:v>
      </x:c>
      <x:c r="E2813" s="22" t="str">
        <x:f>"67024097000143"</x:f>
        <x:v>67024097000143</x:v>
      </x:c>
      <x:c r="F2813" s="22" t="str">
        <x:f>"700.814.101-74"</x:f>
        <x:v>700.814.101-74</x:v>
      </x:c>
      <x:c r="G2813" s="22" t="str">
        <x:f>"70081410174"</x:f>
        <x:v>70081410174</x:v>
      </x:c>
      <x:c r="H2813" s="23" t="str">
        <x:v>micaelguitar49@gmail.com</x:v>
      </x:c>
      <x:c r="I2813" s="22" t="str">
        <x:f>"62981959640"</x:f>
        <x:v>62981959640</x:v>
      </x:c>
      <x:c r="J2813" s="23" t="str">
        <x:v>spot</x:v>
      </x:c>
      <x:c r="K2813" s="23" t="str">
        <x:v>favored_only</x:v>
      </x:c>
      <x:c r="L2813" s="24" t="b">
        <x:v>1</x:v>
      </x:c>
      <x:c r="M2813" s="23" t="n">
        <x:v>1</x:v>
      </x:c>
      <x:c r="N2813" s="28" t="n">
        <x:v>46219.812988715275</x:v>
      </x:c>
      <x:c r="O2813" s="28" t="n">
        <x:v>46219.812988715275</x:v>
      </x:c>
      <x:c r="P2813" s="23" t="str">
        <x:v>GOIANIA</x:v>
      </x:c>
      <x:c r="Q2813" s="30" t="n">
        <x:v>34771</x:v>
      </x:c>
      <x:c r="R2813" s="22" t="str">
        <x:f>"5951921"</x:f>
        <x:v>5951921</x:v>
      </x:c>
      <x:c r="S2813" s="23" t="str">
        <x:v>masculino</x:v>
      </x:c>
      <x:c r="T2813" s="22" t="str">
        <x:f>"TGF0C56"</x:f>
        <x:v>TGF0C56</x:v>
      </x:c>
      <x:c r="U2813" s="23" t="str">
        <x:v>DIANA DANTAS DOS SANTOS NUNES</x:v>
      </x:c>
      <x:c r="V2813" s="22" t="str">
        <x:f>"735.207.301-97"</x:f>
        <x:v>735.207.301-97</x:v>
      </x:c>
      <x:c r="W2813" s="22" t="str">
        <x:f>"73520730197"</x:f>
        <x:v>73520730197</x:v>
      </x:c>
      <x:c r="X2813" s="23" t="str">
        <x:v>dianaanavitoria@gmail.com</x:v>
      </x:c>
      <x:c r="Y2813" s="22" t="str">
        <x:f>"62991371185"</x:f>
        <x:v>62991371185</x:v>
      </x:c>
      <x:c r="Z2813" s="30" t="n">
        <x:v>46537</x:v>
      </x:c>
    </x:row>
    <x:row r="2814" ht="18" customHeight="1">
      <x:c r="A2814" s="22" t="str">
        <x:f>"4e74021f-4702-4129-9bd2-bb59d55fd1d3"</x:f>
        <x:v>4e74021f-4702-4129-9bd2-bb59d55fd1d3</x:v>
      </x:c>
      <x:c r="B2814" s="23" t="str">
        <x:v>MICHAEL CARVALHO CUNHA</x:v>
      </x:c>
      <x:c r="C2814" s="23" t="str">
        <x:v>michael carvalho cunha</x:v>
      </x:c>
      <x:c r="D2814" s="22" t="str">
        <x:f>"58.277.662/0001-93"</x:f>
        <x:v>58.277.662/0001-93</x:v>
      </x:c>
      <x:c r="E2814" s="22" t="str">
        <x:f>"58277662000193"</x:f>
        <x:v>58277662000193</x:v>
      </x:c>
      <x:c r="F2814" s="22" t="str">
        <x:f>"127.444.106-40"</x:f>
        <x:v>127.444.106-40</x:v>
      </x:c>
      <x:c r="G2814" s="22" t="str">
        <x:f>"12744410640"</x:f>
        <x:v>12744410640</x:v>
      </x:c>
      <x:c r="H2814" s="23" t="str">
        <x:v>MICHAELMERCADOLIVRE21@GMAIL.COM</x:v>
      </x:c>
      <x:c r="I2814" s="22" t="str">
        <x:f>"35 998729076"</x:f>
        <x:v>35 998729076</x:v>
      </x:c>
      <x:c r="J2814" s="23" t="str">
        <x:v>SPOT</x:v>
      </x:c>
      <x:c r="K2814" s="23" t="str">
        <x:v>favored_only</x:v>
      </x:c>
      <x:c r="L2814" s="24" t="b">
        <x:v>1</x:v>
      </x:c>
      <x:c r="M2814" s="23" t="n">
        <x:v>1</x:v>
      </x:c>
      <x:c r="N2814" s="28" t="n">
        <x:v>46205.60106112269</x:v>
      </x:c>
      <x:c r="O2814" s="28" t="n">
        <x:v>46219.812988715275</x:v>
      </x:c>
      <x:c r="P2814" s="23" t="str">
        <x:v>GUAXUPE</x:v>
      </x:c>
      <x:c r="Q2814" s="30" t="n">
        <x:v>36851</x:v>
      </x:c>
      <x:c r="R2814" s="22" t="str">
        <x:f>"17148995"</x:f>
        <x:v>17148995</x:v>
      </x:c>
      <x:c r="S2814" s="23" t="str">
        <x:v>masculino</x:v>
      </x:c>
      <x:c r="T2814" s="22" t="str">
        <x:f>"FPQ5I77"</x:f>
        <x:v>FPQ5I77</x:v>
      </x:c>
      <x:c r="U2814" s="23" t="str">
        <x:v>PLINIO FLAUZINO CUNHA</x:v>
      </x:c>
      <x:c r="V2814" s="22" t="str">
        <x:f>"127.948.676-79"</x:f>
        <x:v>127.948.676-79</x:v>
      </x:c>
      <x:c r="W2814" s="22" t="str">
        <x:f>"12794867679"</x:f>
        <x:v>12794867679</x:v>
      </x:c>
      <x:c r="X2814" s="23" t="str">
        <x:v>MICHAELCARVALHOCC@GMAIL.COM</x:v>
      </x:c>
      <x:c r="Y2814" s="22" t="str">
        <x:f>"35 991326106"</x:f>
        <x:v>35 991326106</x:v>
      </x:c>
      <x:c r="Z2814" s="30" t="n">
        <x:v>46294</x:v>
      </x:c>
    </x:row>
    <x:row r="2815" ht="18" customHeight="1">
      <x:c r="A2815" s="22" t="str">
        <x:f>"537f96a1-0501-4746-88d2-1368b607daec"</x:f>
        <x:v>537f96a1-0501-4746-88d2-1368b607daec</x:v>
      </x:c>
      <x:c r="B2815" s="23" t="str">
        <x:v>MICHAEL CARVALHO CUNHA</x:v>
      </x:c>
      <x:c r="C2815" s="23" t="str">
        <x:v>michael carvalho cunha</x:v>
      </x:c>
      <x:c r="D2815" s="22" t="str">
        <x:f>"60.407.075/0001-13"</x:f>
        <x:v>60.407.075/0001-13</x:v>
      </x:c>
      <x:c r="E2815" s="22" t="str">
        <x:f>"60407075000113"</x:f>
        <x:v>60407075000113</x:v>
      </x:c>
      <x:c r="F2815" s="22" t="str">
        <x:f>"12744410640"</x:f>
        <x:v>12744410640</x:v>
      </x:c>
      <x:c r="G2815" s="22" t="str">
        <x:f>"12744410640"</x:f>
        <x:v>12744410640</x:v>
      </x:c>
      <x:c r="H2815" s="23" t="str">
        <x:v>michaelmercadolivre21@GMAIL.COM</x:v>
      </x:c>
      <x:c r="I2815" s="22" t="str">
        <x:f>"35998729076"</x:f>
        <x:v>35998729076</x:v>
      </x:c>
      <x:c r="J2815" s="23" t="str">
        <x:v>SPOT</x:v>
      </x:c>
      <x:c r="K2815" s="23" t="str">
        <x:v>favored_only</x:v>
      </x:c>
      <x:c r="L2815" s="24" t="b">
        <x:v>1</x:v>
      </x:c>
      <x:c r="M2815" s="23" t="n">
        <x:v>2</x:v>
      </x:c>
      <x:c r="N2815" s="28" t="n">
        <x:v>46203.921840393516</x:v>
      </x:c>
      <x:c r="O2815" s="28" t="n">
        <x:v>46220.50400125</x:v>
      </x:c>
      <x:c r="P2815" s="23" t="str">
        <x:v>GUAXUPE</x:v>
      </x:c>
      <x:c r="Q2815" s="30" t="str"/>
      <x:c r="R2815" s="22" t="str"/>
      <x:c r="S2815" s="23" t="str"/>
      <x:c r="T2815" s="22" t="str"/>
      <x:c r="U2815" s="23" t="str">
        <x:v>MICHAEL CARVALHO CUNHA</x:v>
      </x:c>
      <x:c r="V2815" s="22" t="str">
        <x:f>"127.444.106-40"</x:f>
        <x:v>127.444.106-40</x:v>
      </x:c>
      <x:c r="W2815" s="22" t="str">
        <x:f>"12744410640"</x:f>
        <x:v>12744410640</x:v>
      </x:c>
      <x:c r="X2815" s="23" t="str">
        <x:v>MICHAELMERCADOLIVRE21@GMAIL.COM</x:v>
      </x:c>
      <x:c r="Y2815" s="22" t="str">
        <x:f>"35998729076"</x:f>
        <x:v>35998729076</x:v>
      </x:c>
      <x:c r="Z2815" s="30" t="str"/>
    </x:row>
    <x:row r="2816" ht="18" customHeight="1">
      <x:c r="A2816" s="22" t="str">
        <x:f>"96cd0d67-3257-4218-b3bd-e5788a269d95"</x:f>
        <x:v>96cd0d67-3257-4218-b3bd-e5788a269d95</x:v>
      </x:c>
      <x:c r="B2816" s="23" t="str">
        <x:v>MICHAEL DA SILVA FERNANDES</x:v>
      </x:c>
      <x:c r="C2816" s="23" t="str">
        <x:v>michael da silva fernandes</x:v>
      </x:c>
      <x:c r="D2816" s="22" t="str">
        <x:f>"34.274.622/0001-20"</x:f>
        <x:v>34.274.622/0001-20</x:v>
      </x:c>
      <x:c r="E2816" s="22" t="str">
        <x:f>"34274622000120"</x:f>
        <x:v>34274622000120</x:v>
      </x:c>
      <x:c r="F2816" s="22" t="str">
        <x:f>"169.227.817-75"</x:f>
        <x:v>169.227.817-75</x:v>
      </x:c>
      <x:c r="G2816" s="22" t="str">
        <x:f>"16922781775"</x:f>
        <x:v>16922781775</x:v>
      </x:c>
      <x:c r="H2816" s="23" t="str">
        <x:v>michaelfernandes706@gmail.com</x:v>
      </x:c>
      <x:c r="I2816" s="22" t="str">
        <x:f>"21994490048"</x:f>
        <x:v>21994490048</x:v>
      </x:c>
      <x:c r="J2816" s="23" t="str">
        <x:v>SPOT</x:v>
      </x:c>
      <x:c r="K2816" s="23" t="str">
        <x:v>favored_only</x:v>
      </x:c>
      <x:c r="L2816" s="24" t="b">
        <x:v>1</x:v>
      </x:c>
      <x:c r="M2816" s="23" t="n">
        <x:v>1</x:v>
      </x:c>
      <x:c r="N2816" s="28" t="n">
        <x:v>46219.812988715275</x:v>
      </x:c>
      <x:c r="O2816" s="28" t="n">
        <x:v>46219.812988715275</x:v>
      </x:c>
      <x:c r="P2816" s="23" t="str">
        <x:v>SÃO JOAO DE MERITI</x:v>
      </x:c>
      <x:c r="Q2816" s="30" t="n">
        <x:v>36643</x:v>
      </x:c>
      <x:c r="R2816" s="22" t="str">
        <x:f>"303212104"</x:f>
        <x:v>303212104</x:v>
      </x:c>
      <x:c r="S2816" s="23" t="str">
        <x:v>masculino</x:v>
      </x:c>
      <x:c r="T2816" s="22" t="str">
        <x:f>"QPI9H93"</x:f>
        <x:v>QPI9H93</x:v>
      </x:c>
      <x:c r="U2816" s="23" t="str">
        <x:v>MICHAEL DA SILVA FERNANDES</x:v>
      </x:c>
      <x:c r="V2816" s="22" t="str">
        <x:f>"169.227.817-75"</x:f>
        <x:v>169.227.817-75</x:v>
      </x:c>
      <x:c r="W2816" s="22" t="str">
        <x:f>"16922781775"</x:f>
        <x:v>16922781775</x:v>
      </x:c>
      <x:c r="X2816" s="23" t="str">
        <x:v>michaelfernandes706@gmail.com</x:v>
      </x:c>
      <x:c r="Y2816" s="22" t="str">
        <x:f>"21994490048"</x:f>
        <x:v>21994490048</x:v>
      </x:c>
      <x:c r="Z2816" s="30" t="n">
        <x:v>46439</x:v>
      </x:c>
    </x:row>
    <x:row r="2817" ht="18" customHeight="1">
      <x:c r="A2817" s="22" t="str">
        <x:f>"c3b36465-d281-4ebe-b8ea-fdd81f47d6d7"</x:f>
        <x:v>c3b36465-d281-4ebe-b8ea-fdd81f47d6d7</x:v>
      </x:c>
      <x:c r="B2817" s="23" t="str">
        <x:v>MICHAEL DOUGLAS DA SILVA</x:v>
      </x:c>
      <x:c r="C2817" s="23" t="str">
        <x:v>michael douglas da silva</x:v>
      </x:c>
      <x:c r="D2817" s="22" t="str">
        <x:f>"51.473.628/0001-45"</x:f>
        <x:v>51.473.628/0001-45</x:v>
      </x:c>
      <x:c r="E2817" s="22" t="str">
        <x:f>"51473628000145"</x:f>
        <x:v>51473628000145</x:v>
      </x:c>
      <x:c r="F2817" s="22" t="str">
        <x:f>"492.817.948-02"</x:f>
        <x:v>492.817.948-02</x:v>
      </x:c>
      <x:c r="G2817" s="22" t="str">
        <x:f>"49281794802"</x:f>
        <x:v>49281794802</x:v>
      </x:c>
      <x:c r="H2817" s="23" t="str">
        <x:v>michaeldouglasrestaurante@gmail.com</x:v>
      </x:c>
      <x:c r="I2817" s="22" t="str">
        <x:f>"14997420611"</x:f>
        <x:v>14997420611</x:v>
      </x:c>
      <x:c r="J2817" s="23" t="str">
        <x:v>RENTAL</x:v>
      </x:c>
      <x:c r="K2817" s="23" t="str">
        <x:v>rental_company</x:v>
      </x:c>
      <x:c r="L2817" s="24" t="b">
        <x:v>1</x:v>
      </x:c>
      <x:c r="M2817" s="23" t="n">
        <x:v>1</x:v>
      </x:c>
      <x:c r="N2817" s="28" t="n">
        <x:v>46203.92189965278</x:v>
      </x:c>
      <x:c r="O2817" s="28" t="n">
        <x:v>46219.812988715275</x:v>
      </x:c>
      <x:c r="P2817" s="23" t="str">
        <x:v>MARILIA</x:v>
      </x:c>
      <x:c r="Q2817" s="30" t="n">
        <x:v>36208</x:v>
      </x:c>
      <x:c r="R2817" s="22" t="str">
        <x:f>"583617967"</x:f>
        <x:v>583617967</x:v>
      </x:c>
      <x:c r="S2817" s="23" t="str">
        <x:v>masculino</x:v>
      </x:c>
      <x:c r="T2817" s="22" t="str"/>
      <x:c r="U2817" s="23" t="str">
        <x:v>MICHAEL DOUGLAS DA SILVA</x:v>
      </x:c>
      <x:c r="V2817" s="22" t="str">
        <x:f>"492.817.948-02"</x:f>
        <x:v>492.817.948-02</x:v>
      </x:c>
      <x:c r="W2817" s="22" t="str">
        <x:f>"49281794802"</x:f>
        <x:v>49281794802</x:v>
      </x:c>
      <x:c r="X2817" s="23" t="str">
        <x:v>michaeldouglasrestaurante@gmail.com</x:v>
      </x:c>
      <x:c r="Y2817" s="22" t="str">
        <x:f>"14997420611"</x:f>
        <x:v>14997420611</x:v>
      </x:c>
      <x:c r="Z2817" s="30" t="n">
        <x:v>46357</x:v>
      </x:c>
    </x:row>
    <x:row r="2818" ht="18" customHeight="1">
      <x:c r="A2818" s="22" t="str">
        <x:f>"b6406143-fdbe-432b-8a0b-867f29b66511"</x:f>
        <x:v>b6406143-fdbe-432b-8a0b-867f29b66511</x:v>
      </x:c>
      <x:c r="B2818" s="23" t="str">
        <x:v>MICHAEL JAMES FERREIRA ALVES</x:v>
      </x:c>
      <x:c r="C2818" s="23" t="str">
        <x:v>michael james ferreira alves</x:v>
      </x:c>
      <x:c r="D2818" s="22" t="str">
        <x:f>"59.921.309/0001-67"</x:f>
        <x:v>59.921.309/0001-67</x:v>
      </x:c>
      <x:c r="E2818" s="22" t="str">
        <x:f>"59921309000167"</x:f>
        <x:v>59921309000167</x:v>
      </x:c>
      <x:c r="F2818" s="22" t="str">
        <x:f>"108.068.666-59"</x:f>
        <x:v>108.068.666-59</x:v>
      </x:c>
      <x:c r="G2818" s="22" t="str">
        <x:f>"10806866659"</x:f>
        <x:v>10806866659</x:v>
      </x:c>
      <x:c r="H2818" s="23" t="str">
        <x:v>james241213@gmail.com</x:v>
      </x:c>
      <x:c r="I2818" s="22" t="str">
        <x:f>"31998279083"</x:f>
        <x:v>31998279083</x:v>
      </x:c>
      <x:c r="J2818" s="23" t="str">
        <x:v>RENTAL</x:v>
      </x:c>
      <x:c r="K2818" s="23" t="str">
        <x:v>rental_company</x:v>
      </x:c>
      <x:c r="L2818" s="24" t="b">
        <x:v>1</x:v>
      </x:c>
      <x:c r="M2818" s="23" t="n">
        <x:v>1</x:v>
      </x:c>
      <x:c r="N2818" s="28" t="n">
        <x:v>46219.812988715275</x:v>
      </x:c>
      <x:c r="O2818" s="28" t="n">
        <x:v>46219.812988715275</x:v>
      </x:c>
      <x:c r="P2818" s="23" t="str">
        <x:v>NOVA LIMA</x:v>
      </x:c>
      <x:c r="Q2818" s="30" t="n">
        <x:v>33318</x:v>
      </x:c>
      <x:c r="R2818" s="22" t="str">
        <x:f>"3917161"</x:f>
        <x:v>3917161</x:v>
      </x:c>
      <x:c r="S2818" s="23" t="str">
        <x:v>masculino</x:v>
      </x:c>
      <x:c r="T2818" s="22" t="str"/>
      <x:c r="U2818" s="23" t="str">
        <x:v>MICHAEL JAMES FERREIRA ALVES</x:v>
      </x:c>
      <x:c r="V2818" s="22" t="str">
        <x:f>"108.068.666-59"</x:f>
        <x:v>108.068.666-59</x:v>
      </x:c>
      <x:c r="W2818" s="22" t="str">
        <x:f>"10806866659"</x:f>
        <x:v>10806866659</x:v>
      </x:c>
      <x:c r="X2818" s="23" t="str">
        <x:v>james241213@gmail.com</x:v>
      </x:c>
      <x:c r="Y2818" s="22" t="str">
        <x:f>"31998279083"</x:f>
        <x:v>31998279083</x:v>
      </x:c>
      <x:c r="Z2818" s="30" t="n">
        <x:v>46442</x:v>
      </x:c>
    </x:row>
    <x:row r="2819" ht="18" customHeight="1">
      <x:c r="A2819" s="22" t="str">
        <x:f>"4813cad2-5914-470e-a567-118e748c43bc"</x:f>
        <x:v>4813cad2-5914-470e-a567-118e748c43bc</x:v>
      </x:c>
      <x:c r="B2819" s="23" t="str">
        <x:v>MICHAEL JUNIOR JACINTO DUARTE</x:v>
      </x:c>
      <x:c r="C2819" s="23" t="str">
        <x:v>michael junior jacinto duarte</x:v>
      </x:c>
      <x:c r="D2819" s="22" t="str">
        <x:f>"58.598.430/0001-37"</x:f>
        <x:v>58.598.430/0001-37</x:v>
      </x:c>
      <x:c r="E2819" s="22" t="str">
        <x:f>"58598430000137"</x:f>
        <x:v>58598430000137</x:v>
      </x:c>
      <x:c r="F2819" s="22" t="str">
        <x:f>"124.917.226-82"</x:f>
        <x:v>124.917.226-82</x:v>
      </x:c>
      <x:c r="G2819" s="22" t="str">
        <x:f>"12491722682"</x:f>
        <x:v>12491722682</x:v>
      </x:c>
      <x:c r="H2819" s="23" t="str">
        <x:v>biziljrbizil@gmail.com</x:v>
      </x:c>
      <x:c r="I2819" s="22" t="str">
        <x:f>"34996800157"</x:f>
        <x:v>34996800157</x:v>
      </x:c>
      <x:c r="J2819" s="23" t="str">
        <x:v>SPOT</x:v>
      </x:c>
      <x:c r="K2819" s="23" t="str">
        <x:v>favored_only</x:v>
      </x:c>
      <x:c r="L2819" s="24" t="b">
        <x:v>1</x:v>
      </x:c>
      <x:c r="M2819" s="23" t="n">
        <x:v>1</x:v>
      </x:c>
      <x:c r="N2819" s="28" t="n">
        <x:v>46219.812988715275</x:v>
      </x:c>
      <x:c r="O2819" s="28" t="n">
        <x:v>46219.812988715275</x:v>
      </x:c>
      <x:c r="P2819" s="23" t="str">
        <x:v>PATOS DE MINAS</x:v>
      </x:c>
      <x:c r="Q2819" s="30" t="n">
        <x:v>34964</x:v>
      </x:c>
      <x:c r="R2819" s="22" t="str">
        <x:f>"MG 15793624"</x:f>
        <x:v>MG 15793624</x:v>
      </x:c>
      <x:c r="S2819" s="23" t="str">
        <x:v>masculino</x:v>
      </x:c>
      <x:c r="T2819" s="22" t="str">
        <x:f>"QIL5B87"</x:f>
        <x:v>QIL5B87</x:v>
      </x:c>
      <x:c r="U2819" s="23" t="str">
        <x:v>ADRIANO JULIAO PERES DA SILVEIRA</x:v>
      </x:c>
      <x:c r="V2819" s="22" t="str">
        <x:f>"114.902.156-03"</x:f>
        <x:v>114.902.156-03</x:v>
      </x:c>
      <x:c r="W2819" s="22" t="str">
        <x:f>"11490215603"</x:f>
        <x:v>11490215603</x:v>
      </x:c>
      <x:c r="X2819" s="23" t="str">
        <x:v>adrianojuliaops@gmail.com</x:v>
      </x:c>
      <x:c r="Y2819" s="22" t="str">
        <x:f>"34998053878"</x:f>
        <x:v>34998053878</x:v>
      </x:c>
      <x:c r="Z2819" s="30" t="n">
        <x:v>46479</x:v>
      </x:c>
    </x:row>
    <x:row r="2820" ht="18" customHeight="1">
      <x:c r="A2820" s="22" t="str">
        <x:f>"b4ed399c-b3f3-4ae5-8f90-0d392d2e5940"</x:f>
        <x:v>b4ed399c-b3f3-4ae5-8f90-0d392d2e5940</x:v>
      </x:c>
      <x:c r="B2820" s="23" t="str">
        <x:v>MICHAEL LOURENCO</x:v>
      </x:c>
      <x:c r="C2820" s="23" t="str">
        <x:v>michael lourenco</x:v>
      </x:c>
      <x:c r="D2820" s="22" t="str">
        <x:f>"65.919.958/0001-26"</x:f>
        <x:v>65.919.958/0001-26</x:v>
      </x:c>
      <x:c r="E2820" s="22" t="str">
        <x:f>"65919958000126"</x:f>
        <x:v>65919958000126</x:v>
      </x:c>
      <x:c r="F2820" s="22" t="str">
        <x:f>"150.209.866-07"</x:f>
        <x:v>150.209.866-07</x:v>
      </x:c>
      <x:c r="G2820" s="22" t="str">
        <x:f>"15020986607"</x:f>
        <x:v>15020986607</x:v>
      </x:c>
      <x:c r="H2820" s="23" t="str">
        <x:v>michaelldmmg@gmail.com</x:v>
      </x:c>
      <x:c r="I2820" s="22" t="str">
        <x:f>"35 9954-1422"</x:f>
        <x:v>35 9954-1422</x:v>
      </x:c>
      <x:c r="J2820" s="23" t="str">
        <x:v>RENTALS</x:v>
      </x:c>
      <x:c r="K2820" s="23" t="str">
        <x:v>rental_company</x:v>
      </x:c>
      <x:c r="L2820" s="24" t="b">
        <x:v>1</x:v>
      </x:c>
      <x:c r="M2820" s="23" t="n">
        <x:v>1</x:v>
      </x:c>
      <x:c r="N2820" s="28" t="n">
        <x:v>46219.812988715275</x:v>
      </x:c>
      <x:c r="O2820" s="28" t="n">
        <x:v>46219.812988715275</x:v>
      </x:c>
      <x:c r="P2820" s="23" t="str">
        <x:v>POUSO ALEGRE</x:v>
      </x:c>
      <x:c r="Q2820" s="30" t="n">
        <x:v>36116</x:v>
      </x:c>
      <x:c r="R2820" s="22" t="str">
        <x:f>"21394425"</x:f>
        <x:v>21394425</x:v>
      </x:c>
      <x:c r="S2820" s="23" t="str">
        <x:v>masculino</x:v>
      </x:c>
      <x:c r="T2820" s="22" t="str"/>
      <x:c r="U2820" s="23" t="str">
        <x:v>MICHAEL LOURENCO</x:v>
      </x:c>
      <x:c r="V2820" s="22" t="str">
        <x:f>"150.209.866-07"</x:f>
        <x:v>150.209.866-07</x:v>
      </x:c>
      <x:c r="W2820" s="22" t="str">
        <x:f>"15020986607"</x:f>
        <x:v>15020986607</x:v>
      </x:c>
      <x:c r="X2820" s="23" t="str">
        <x:v>michaelldmmg@gmail.com</x:v>
      </x:c>
      <x:c r="Y2820" s="22" t="str">
        <x:f>"35 9954-1422"</x:f>
        <x:v>35 9954-1422</x:v>
      </x:c>
      <x:c r="Z2820" s="30" t="n">
        <x:v>46492</x:v>
      </x:c>
    </x:row>
    <x:row r="2821" ht="18" customHeight="1">
      <x:c r="A2821" s="22" t="str">
        <x:f>"9bc69f59-d069-4a66-abfa-5ae3cfb38faa"</x:f>
        <x:v>9bc69f59-d069-4a66-abfa-5ae3cfb38faa</x:v>
      </x:c>
      <x:c r="B2821" s="23" t="str">
        <x:v>MICHAEL MACHIONI MARCONDES</x:v>
      </x:c>
      <x:c r="C2821" s="23" t="str">
        <x:v>michael machioni marcondes</x:v>
      </x:c>
      <x:c r="D2821" s="22" t="str">
        <x:f>"60.006.049/0001-83"</x:f>
        <x:v>60.006.049/0001-83</x:v>
      </x:c>
      <x:c r="E2821" s="22" t="str">
        <x:f>"60006049000183"</x:f>
        <x:v>60006049000183</x:v>
      </x:c>
      <x:c r="F2821" s="22" t="str">
        <x:f>"117.557.776-63"</x:f>
        <x:v>117.557.776-63</x:v>
      </x:c>
      <x:c r="G2821" s="22" t="str">
        <x:f>"11755777663"</x:f>
        <x:v>11755777663</x:v>
      </x:c>
      <x:c r="H2821" s="23" t="str">
        <x:v>michaelmachioni77@gmail.com</x:v>
      </x:c>
      <x:c r="I2821" s="22" t="str">
        <x:f>"35 99765-4051"</x:f>
        <x:v>35 99765-4051</x:v>
      </x:c>
      <x:c r="J2821" s="23" t="str">
        <x:v>RENTAL</x:v>
      </x:c>
      <x:c r="K2821" s="23" t="str">
        <x:v>rental_company</x:v>
      </x:c>
      <x:c r="L2821" s="24" t="b">
        <x:v>1</x:v>
      </x:c>
      <x:c r="M2821" s="23" t="n">
        <x:v>1</x:v>
      </x:c>
      <x:c r="N2821" s="28" t="n">
        <x:v>46203.921824756944</x:v>
      </x:c>
      <x:c r="O2821" s="28" t="n">
        <x:v>46219.812988715275</x:v>
      </x:c>
      <x:c r="P2821" s="23" t="str">
        <x:v>POCOS DE CALDAS</x:v>
      </x:c>
      <x:c r="Q2821" s="30" t="n">
        <x:v>35422</x:v>
      </x:c>
      <x:c r="R2821" s="22" t="str">
        <x:f>"8507779"</x:f>
        <x:v>8507779</x:v>
      </x:c>
      <x:c r="S2821" s="23" t="str">
        <x:v>masculino</x:v>
      </x:c>
      <x:c r="T2821" s="22" t="str"/>
      <x:c r="U2821" s="23" t="str">
        <x:v>MICHAEL MACHIONI MARCONDES</x:v>
      </x:c>
      <x:c r="V2821" s="22" t="str">
        <x:f>"117.557.776-63"</x:f>
        <x:v>117.557.776-63</x:v>
      </x:c>
      <x:c r="W2821" s="22" t="str">
        <x:f>"11755777663"</x:f>
        <x:v>11755777663</x:v>
      </x:c>
      <x:c r="X2821" s="23" t="str">
        <x:v>michaelmachioni77@gmail.com</x:v>
      </x:c>
      <x:c r="Y2821" s="22" t="str">
        <x:f>"35 99765-4051"</x:f>
        <x:v>35 99765-4051</x:v>
      </x:c>
      <x:c r="Z2821" s="30" t="n">
        <x:v>46420</x:v>
      </x:c>
    </x:row>
    <x:row r="2822" ht="18" customHeight="1">
      <x:c r="A2822" s="22" t="str">
        <x:f>"08542f6f-3fa6-450c-aae4-eabe90edd8ec"</x:f>
        <x:v>08542f6f-3fa6-450c-aae4-eabe90edd8ec</x:v>
      </x:c>
      <x:c r="B2822" s="23" t="str">
        <x:v>MICHAEL SOUZA DE OLIVEIRA</x:v>
      </x:c>
      <x:c r="C2822" s="23" t="str">
        <x:v>michael souza de oliveira</x:v>
      </x:c>
      <x:c r="D2822" s="22" t="str">
        <x:f>"63.637.732/0001-07"</x:f>
        <x:v>63.637.732/0001-07</x:v>
      </x:c>
      <x:c r="E2822" s="22" t="str">
        <x:f>"63637732000107"</x:f>
        <x:v>63637732000107</x:v>
      </x:c>
      <x:c r="F2822" s="22" t="str">
        <x:f>"317.257.098-30"</x:f>
        <x:v>317.257.098-30</x:v>
      </x:c>
      <x:c r="G2822" s="22" t="str">
        <x:f>"31725709830"</x:f>
        <x:v>31725709830</x:v>
      </x:c>
      <x:c r="H2822" s="23" t="str">
        <x:v>MICHAELSOUZAME@GMAIL.COM</x:v>
      </x:c>
      <x:c r="I2822" s="22" t="str">
        <x:f>"14991363054"</x:f>
        <x:v>14991363054</x:v>
      </x:c>
      <x:c r="J2822" s="23" t="str">
        <x:v>RENTAL</x:v>
      </x:c>
      <x:c r="K2822" s="23" t="str">
        <x:v>rental_company</x:v>
      </x:c>
      <x:c r="L2822" s="24" t="b">
        <x:v>1</x:v>
      </x:c>
      <x:c r="M2822" s="23" t="n">
        <x:v>1</x:v>
      </x:c>
      <x:c r="N2822" s="28" t="n">
        <x:v>46203.92189349537</x:v>
      </x:c>
      <x:c r="O2822" s="28" t="n">
        <x:v>46219.812988715275</x:v>
      </x:c>
      <x:c r="P2822" s="23" t="str">
        <x:v>MARILIA</x:v>
      </x:c>
      <x:c r="Q2822" s="30" t="n">
        <x:v>30448</x:v>
      </x:c>
      <x:c r="R2822" s="22" t="str">
        <x:f>"33105711"</x:f>
        <x:v>33105711</x:v>
      </x:c>
      <x:c r="S2822" s="23" t="str">
        <x:v>masculino</x:v>
      </x:c>
      <x:c r="T2822" s="22" t="str"/>
      <x:c r="U2822" s="23" t="str">
        <x:v>MICHAEL SOUZA DE OLIVEIRA</x:v>
      </x:c>
      <x:c r="V2822" s="22" t="str">
        <x:f>"317.257.098-30"</x:f>
        <x:v>317.257.098-30</x:v>
      </x:c>
      <x:c r="W2822" s="22" t="str">
        <x:f>"31725709830"</x:f>
        <x:v>31725709830</x:v>
      </x:c>
      <x:c r="X2822" s="23" t="str">
        <x:v>MICHAELSOUZAME@GMAIL.COM</x:v>
      </x:c>
      <x:c r="Y2822" s="22" t="str">
        <x:f>"14991363054"</x:f>
        <x:v>14991363054</x:v>
      </x:c>
      <x:c r="Z2822" s="30" t="n">
        <x:v>46339</x:v>
      </x:c>
    </x:row>
    <x:row r="2823" ht="18" customHeight="1">
      <x:c r="A2823" s="22" t="str">
        <x:f>"c0a73cf1-4d71-4c21-9bce-eabc6ce4afac"</x:f>
        <x:v>c0a73cf1-4d71-4c21-9bce-eabc6ce4afac</x:v>
      </x:c>
      <x:c r="B2823" s="23" t="str">
        <x:v>MICHEL ANTONIO DA SILVA</x:v>
      </x:c>
      <x:c r="C2823" s="23" t="str">
        <x:v>michel antonio da silva</x:v>
      </x:c>
      <x:c r="D2823" s="22" t="str">
        <x:f>"51.727.348/0001-16"</x:f>
        <x:v>51.727.348/0001-16</x:v>
      </x:c>
      <x:c r="E2823" s="22" t="str">
        <x:f>"51727348000116"</x:f>
        <x:v>51727348000116</x:v>
      </x:c>
      <x:c r="F2823" s="22" t="str">
        <x:f>"050.019.234-09"</x:f>
        <x:v>050.019.234-09</x:v>
      </x:c>
      <x:c r="G2823" s="22" t="str">
        <x:f>"05001923409"</x:f>
        <x:v>05001923409</x:v>
      </x:c>
      <x:c r="H2823" s="23" t="str">
        <x:v>chaeldasilva234@gmail.com</x:v>
      </x:c>
      <x:c r="I2823" s="22" t="str">
        <x:f>"+55 17 99753-7882"</x:f>
        <x:v>+55 17 99753-7882</x:v>
      </x:c>
      <x:c r="J2823" s="23" t="str">
        <x:v>RENTAL</x:v>
      </x:c>
      <x:c r="K2823" s="23" t="str">
        <x:v>rental_company</x:v>
      </x:c>
      <x:c r="L2823" s="24" t="b">
        <x:v>1</x:v>
      </x:c>
      <x:c r="M2823" s="23" t="n">
        <x:v>1</x:v>
      </x:c>
      <x:c r="N2823" s="28" t="n">
        <x:v>46219.812988715275</x:v>
      </x:c>
      <x:c r="O2823" s="28" t="n">
        <x:v>46219.812988715275</x:v>
      </x:c>
      <x:c r="P2823" s="23" t="str">
        <x:v>BARRETOS</x:v>
      </x:c>
      <x:c r="Q2823" s="30" t="n">
        <x:v>33892</x:v>
      </x:c>
      <x:c r="R2823" s="22" t="str">
        <x:f>"654193587"</x:f>
        <x:v>654193587</x:v>
      </x:c>
      <x:c r="S2823" s="23" t="str">
        <x:v>masculino</x:v>
      </x:c>
      <x:c r="T2823" s="22" t="str"/>
      <x:c r="U2823" s="23" t="str">
        <x:v>MICHEL ANTONIO DA SILVA</x:v>
      </x:c>
      <x:c r="V2823" s="22" t="str">
        <x:f>"050.019.234-09"</x:f>
        <x:v>050.019.234-09</x:v>
      </x:c>
      <x:c r="W2823" s="22" t="str">
        <x:f>"05001923409"</x:f>
        <x:v>05001923409</x:v>
      </x:c>
      <x:c r="X2823" s="23" t="str">
        <x:v>chaeldasilva234@gmail.com</x:v>
      </x:c>
      <x:c r="Y2823" s="22" t="str">
        <x:f>"+55 17 99753-7882"</x:f>
        <x:v>+55 17 99753-7882</x:v>
      </x:c>
      <x:c r="Z2823" s="30" t="n">
        <x:v>46548</x:v>
      </x:c>
    </x:row>
    <x:row r="2824" ht="18" customHeight="1">
      <x:c r="A2824" s="22" t="str">
        <x:f>"56013708-4c00-49f8-a8de-cc5e4713e040"</x:f>
        <x:v>56013708-4c00-49f8-a8de-cc5e4713e040</x:v>
      </x:c>
      <x:c r="B2824" s="23" t="str">
        <x:v>MICHEL DE PAULA ANDRAUS</x:v>
      </x:c>
      <x:c r="C2824" s="23" t="str">
        <x:v>michel de paula andraus</x:v>
      </x:c>
      <x:c r="D2824" s="22" t="str">
        <x:f>"37.823.997/0001-90"</x:f>
        <x:v>37.823.997/0001-90</x:v>
      </x:c>
      <x:c r="E2824" s="22" t="str">
        <x:f>"37823997000190"</x:f>
        <x:v>37823997000190</x:v>
      </x:c>
      <x:c r="F2824" s="22" t="str">
        <x:f>"011.045.231-32"</x:f>
        <x:v>011.045.231-32</x:v>
      </x:c>
      <x:c r="G2824" s="22" t="str">
        <x:f>"01104523132"</x:f>
        <x:v>01104523132</x:v>
      </x:c>
      <x:c r="H2824" s="23" t="str">
        <x:v>michelandraus@gmail.com</x:v>
      </x:c>
      <x:c r="I2824" s="22" t="str">
        <x:f>"62999162067"</x:f>
        <x:v>62999162067</x:v>
      </x:c>
      <x:c r="J2824" s="23" t="str">
        <x:v>SPOT</x:v>
      </x:c>
      <x:c r="K2824" s="23" t="str">
        <x:v>favored_only</x:v>
      </x:c>
      <x:c r="L2824" s="24" t="b">
        <x:v>1</x:v>
      </x:c>
      <x:c r="M2824" s="23" t="n">
        <x:v>1</x:v>
      </x:c>
      <x:c r="N2824" s="28" t="n">
        <x:v>46205.601952488425</x:v>
      </x:c>
      <x:c r="O2824" s="28" t="n">
        <x:v>46219.812988715275</x:v>
      </x:c>
      <x:c r="P2824" s="23" t="str">
        <x:v>GOIANIA</x:v>
      </x:c>
      <x:c r="Q2824" s="30" t="n">
        <x:v>32272</x:v>
      </x:c>
      <x:c r="R2824" s="22" t="str">
        <x:f>"4680090"</x:f>
        <x:v>4680090</x:v>
      </x:c>
      <x:c r="S2824" s="23" t="str">
        <x:v>masculino</x:v>
      </x:c>
      <x:c r="T2824" s="22" t="str">
        <x:f>"OVO1D89"</x:f>
        <x:v>OVO1D89</x:v>
      </x:c>
      <x:c r="U2824" s="23" t="str">
        <x:v>DANILLO BACIEL ALMEIDA</x:v>
      </x:c>
      <x:c r="V2824" s="22" t="str">
        <x:f>"962.005.291-91"</x:f>
        <x:v>962.005.291-91</x:v>
      </x:c>
      <x:c r="W2824" s="22" t="str">
        <x:f>"96200529191"</x:f>
        <x:v>96200529191</x:v>
      </x:c>
      <x:c r="X2824" s="23" t="str">
        <x:v>rpt.cargas@gmail.com</x:v>
      </x:c>
      <x:c r="Y2824" s="22" t="str">
        <x:f>"62 996610607"</x:f>
        <x:v>62 996610607</x:v>
      </x:c>
      <x:c r="Z2824" s="30" t="n">
        <x:v>46458</x:v>
      </x:c>
    </x:row>
    <x:row r="2825" ht="18" customHeight="1">
      <x:c r="A2825" s="22" t="str">
        <x:f>"c833e539-2f5c-4347-b5e4-0e64855a4d3f"</x:f>
        <x:v>c833e539-2f5c-4347-b5e4-0e64855a4d3f</x:v>
      </x:c>
      <x:c r="B2825" s="23" t="str">
        <x:v>MICHEL DO NASCIMENTO DA CUNHA</x:v>
      </x:c>
      <x:c r="C2825" s="23" t="str">
        <x:v>michel do nascimento da cunha</x:v>
      </x:c>
      <x:c r="D2825" s="22" t="str">
        <x:f>"61.760.381/0001-00"</x:f>
        <x:v>61.760.381/0001-00</x:v>
      </x:c>
      <x:c r="E2825" s="22" t="str">
        <x:f>"61760381000100"</x:f>
        <x:v>61760381000100</x:v>
      </x:c>
      <x:c r="F2825" s="22" t="str">
        <x:f>"113.768.116-00"</x:f>
        <x:v>113.768.116-00</x:v>
      </x:c>
      <x:c r="G2825" s="22" t="str">
        <x:f>"11376811600"</x:f>
        <x:v>11376811600</x:v>
      </x:c>
      <x:c r="H2825" s="23" t="str">
        <x:v>mgtransportesnascimento@hotmail.com</x:v>
      </x:c>
      <x:c r="I2825" s="22" t="str">
        <x:f>"31991490265"</x:f>
        <x:v>31991490265</x:v>
      </x:c>
      <x:c r="J2825" s="23" t="str">
        <x:v>SPOT</x:v>
      </x:c>
      <x:c r="K2825" s="23" t="str">
        <x:v>favored_only</x:v>
      </x:c>
      <x:c r="L2825" s="24" t="b">
        <x:v>1</x:v>
      </x:c>
      <x:c r="M2825" s="23" t="n">
        <x:v>1</x:v>
      </x:c>
      <x:c r="N2825" s="28" t="n">
        <x:v>46203.92186462963</x:v>
      </x:c>
      <x:c r="O2825" s="28" t="n">
        <x:v>46219.812988715275</x:v>
      </x:c>
      <x:c r="P2825" s="23" t="str">
        <x:v>CONTAGEM</x:v>
      </x:c>
      <x:c r="Q2825" s="30" t="n">
        <x:v>33914</x:v>
      </x:c>
      <x:c r="R2825" s="22" t="str">
        <x:f>"15645680"</x:f>
        <x:v>15645680</x:v>
      </x:c>
      <x:c r="S2825" s="23" t="str">
        <x:v>feminino</x:v>
      </x:c>
      <x:c r="T2825" s="22" t="str">
        <x:f>"HJZ4D75"</x:f>
        <x:v>HJZ4D75</x:v>
      </x:c>
      <x:c r="U2825" s="23" t="str">
        <x:v>MICHEL DO NASCIMENTO DA CUNHA</x:v>
      </x:c>
      <x:c r="V2825" s="22" t="str">
        <x:f>"113.768.116-00"</x:f>
        <x:v>113.768.116-00</x:v>
      </x:c>
      <x:c r="W2825" s="22" t="str">
        <x:f>"11376811600"</x:f>
        <x:v>11376811600</x:v>
      </x:c>
      <x:c r="X2825" s="23" t="str">
        <x:v>mgtransportesnascimento@hotmail.com</x:v>
      </x:c>
      <x:c r="Y2825" s="22" t="str">
        <x:f>"31991490265"</x:f>
        <x:v>31991490265</x:v>
      </x:c>
      <x:c r="Z2825" s="30" t="n">
        <x:v>46281</x:v>
      </x:c>
    </x:row>
    <x:row r="2826" ht="18" customHeight="1">
      <x:c r="A2826" s="22" t="str">
        <x:f>"2d9cf6c3-f916-49bc-b034-4fe62ddb0994"</x:f>
        <x:v>2d9cf6c3-f916-49bc-b034-4fe62ddb0994</x:v>
      </x:c>
      <x:c r="B2826" s="23" t="str">
        <x:v>MICHELE APARECIDA CESTARO PEDROSO</x:v>
      </x:c>
      <x:c r="C2826" s="23" t="str">
        <x:v>michele aparecida cestaro pedroso</x:v>
      </x:c>
      <x:c r="D2826" s="22" t="str">
        <x:f>"46.571.838/0001-36"</x:f>
        <x:v>46.571.838/0001-36</x:v>
      </x:c>
      <x:c r="E2826" s="22" t="str">
        <x:f>"46571838000136"</x:f>
        <x:v>46571838000136</x:v>
      </x:c>
      <x:c r="F2826" s="22" t="str">
        <x:f>"275.848.058-17"</x:f>
        <x:v>275.848.058-17</x:v>
      </x:c>
      <x:c r="G2826" s="22" t="str">
        <x:f>"27584805817"</x:f>
        <x:v>27584805817</x:v>
      </x:c>
      <x:c r="H2826" s="23" t="str">
        <x:v>michelecestarofacas@gmail.com</x:v>
      </x:c>
      <x:c r="I2826" s="22" t="str">
        <x:f>"17 99268‑9025"</x:f>
        <x:v>17 99268‑9025</x:v>
      </x:c>
      <x:c r="J2826" s="23" t="str">
        <x:v>RENTAL</x:v>
      </x:c>
      <x:c r="K2826" s="23" t="str">
        <x:v>rental_company</x:v>
      </x:c>
      <x:c r="L2826" s="24" t="b">
        <x:v>1</x:v>
      </x:c>
      <x:c r="M2826" s="23" t="n">
        <x:v>1</x:v>
      </x:c>
      <x:c r="N2826" s="28" t="n">
        <x:v>46219.812988715275</x:v>
      </x:c>
      <x:c r="O2826" s="28" t="n">
        <x:v>46219.812988715275</x:v>
      </x:c>
      <x:c r="P2826" s="23" t="str">
        <x:v>BARRETOS</x:v>
      </x:c>
      <x:c r="Q2826" s="30" t="n">
        <x:v>29117</x:v>
      </x:c>
      <x:c r="R2826" s="22" t="str">
        <x:f>"32746779"</x:f>
        <x:v>32746779</x:v>
      </x:c>
      <x:c r="S2826" s="23" t="str">
        <x:v>feminino</x:v>
      </x:c>
      <x:c r="T2826" s="22" t="str"/>
      <x:c r="U2826" s="23" t="str">
        <x:v>MICHELE APARECIDA CESTARO PEDROSO</x:v>
      </x:c>
      <x:c r="V2826" s="22" t="str">
        <x:f>"275.848.058-17"</x:f>
        <x:v>275.848.058-17</x:v>
      </x:c>
      <x:c r="W2826" s="22" t="str">
        <x:f>"27584805817"</x:f>
        <x:v>27584805817</x:v>
      </x:c>
      <x:c r="X2826" s="23" t="str">
        <x:v>michelecestarofacas@gmail.com</x:v>
      </x:c>
      <x:c r="Y2826" s="22" t="str">
        <x:f>"17 99268‑9025"</x:f>
        <x:v>17 99268‑9025</x:v>
      </x:c>
      <x:c r="Z2826" s="30" t="n">
        <x:v>46484</x:v>
      </x:c>
    </x:row>
    <x:row r="2827" ht="18" customHeight="1">
      <x:c r="A2827" s="22" t="str">
        <x:f>"a27ba95a-e38c-462c-98ff-6fa301f5c017"</x:f>
        <x:v>a27ba95a-e38c-462c-98ff-6fa301f5c017</x:v>
      </x:c>
      <x:c r="B2827" s="23" t="str">
        <x:v>MICHELE MASSOLA MIRANDA</x:v>
      </x:c>
      <x:c r="C2827" s="23" t="str">
        <x:v>michele massola miranda</x:v>
      </x:c>
      <x:c r="D2827" s="22" t="str">
        <x:f>"66.288.528/0001-16"</x:f>
        <x:v>66.288.528/0001-16</x:v>
      </x:c>
      <x:c r="E2827" s="22" t="str">
        <x:f>"66288528000116"</x:f>
        <x:v>66288528000116</x:v>
      </x:c>
      <x:c r="F2827" s="22" t="str">
        <x:f>"50177981881349421"</x:f>
        <x:v>50177981881349421</x:v>
      </x:c>
      <x:c r="G2827" s="22" t="str">
        <x:f>"50177981881349421"</x:f>
        <x:v>50177981881349421</x:v>
      </x:c>
      <x:c r="H2827" s="23" t="str">
        <x:v>michelemms84@gmail.com</x:v>
      </x:c>
      <x:c r="I2827" s="22" t="str">
        <x:f>"18997958505"</x:f>
        <x:v>18997958505</x:v>
      </x:c>
      <x:c r="J2827" s="23" t="str">
        <x:v>RENTALS</x:v>
      </x:c>
      <x:c r="K2827" s="23" t="str">
        <x:v>rental_company</x:v>
      </x:c>
      <x:c r="L2827" s="24" t="b">
        <x:v>1</x:v>
      </x:c>
      <x:c r="M2827" s="23" t="n">
        <x:v>1</x:v>
      </x:c>
      <x:c r="N2827" s="28" t="n">
        <x:v>46219.812988715275</x:v>
      </x:c>
      <x:c r="O2827" s="28" t="n">
        <x:v>46219.812988715275</x:v>
      </x:c>
      <x:c r="P2827" s="23" t="str">
        <x:v>PRESIDENTE PRUDENTE</x:v>
      </x:c>
      <x:c r="Q2827" s="30" t="n">
        <x:v>34906</x:v>
      </x:c>
      <x:c r="R2827" s="22" t="str">
        <x:f>"454681963"</x:f>
        <x:v>454681963</x:v>
      </x:c>
      <x:c r="S2827" s="23" t="str">
        <x:v>feminino</x:v>
      </x:c>
      <x:c r="T2827" s="22" t="str"/>
      <x:c r="U2827" s="23" t="str">
        <x:v>MICHELE MASSOLA MIRANDA</x:v>
      </x:c>
      <x:c r="V2827" s="22" t="str">
        <x:f>"50177981881349421"</x:f>
        <x:v>50177981881349421</x:v>
      </x:c>
      <x:c r="W2827" s="22" t="str">
        <x:f>"50177981881349421"</x:f>
        <x:v>50177981881349421</x:v>
      </x:c>
      <x:c r="X2827" s="23" t="str">
        <x:v>michelemms84@gmail.com</x:v>
      </x:c>
      <x:c r="Y2827" s="22" t="str">
        <x:f>"18997958505"</x:f>
        <x:v>18997958505</x:v>
      </x:c>
      <x:c r="Z2827" s="30" t="n">
        <x:v>46512</x:v>
      </x:c>
    </x:row>
    <x:row r="2828" ht="18" customHeight="1">
      <x:c r="A2828" s="22" t="str">
        <x:f>"0159808d-f1fc-448d-8a2a-80bcc285aeef"</x:f>
        <x:v>0159808d-f1fc-448d-8a2a-80bcc285aeef</x:v>
      </x:c>
      <x:c r="B2828" s="23" t="str">
        <x:v>MICHELE STUQUE</x:v>
      </x:c>
      <x:c r="C2828" s="23" t="str">
        <x:v>michele stuque</x:v>
      </x:c>
      <x:c r="D2828" s="22" t="str">
        <x:f>"65.792.246/0001-99"</x:f>
        <x:v>65.792.246/0001-99</x:v>
      </x:c>
      <x:c r="E2828" s="22" t="str">
        <x:f>"65792246000199"</x:f>
        <x:v>65792246000199</x:v>
      </x:c>
      <x:c r="F2828" s="22" t="str">
        <x:f>"271.770.218-09"</x:f>
        <x:v>271.770.218-09</x:v>
      </x:c>
      <x:c r="G2828" s="22" t="str">
        <x:f>"27177021809"</x:f>
        <x:v>27177021809</x:v>
      </x:c>
      <x:c r="H2828" s="23" t="str">
        <x:v>michelestuque21@gmail.com</x:v>
      </x:c>
      <x:c r="I2828" s="22" t="str">
        <x:f>"14998092378"</x:f>
        <x:v>14998092378</x:v>
      </x:c>
      <x:c r="J2828" s="23" t="str">
        <x:v>SPOT</x:v>
      </x:c>
      <x:c r="K2828" s="23" t="str">
        <x:v>favored_only</x:v>
      </x:c>
      <x:c r="L2828" s="24" t="b">
        <x:v>1</x:v>
      </x:c>
      <x:c r="M2828" s="23" t="n">
        <x:v>1</x:v>
      </x:c>
      <x:c r="N2828" s="28" t="n">
        <x:v>46219.812988715275</x:v>
      </x:c>
      <x:c r="O2828" s="28" t="n">
        <x:v>46219.812988715275</x:v>
      </x:c>
      <x:c r="P2828" s="23" t="str">
        <x:v>MARILIA</x:v>
      </x:c>
      <x:c r="Q2828" s="30" t="n">
        <x:v>29032</x:v>
      </x:c>
      <x:c r="R2828" s="22" t="str">
        <x:f>"25128179"</x:f>
        <x:v>25128179</x:v>
      </x:c>
      <x:c r="S2828" s="23" t="str">
        <x:v>feminino</x:v>
      </x:c>
      <x:c r="T2828" s="22" t="str">
        <x:f>"FUG2D90"</x:f>
        <x:v>FUG2D90</x:v>
      </x:c>
      <x:c r="U2828" s="23" t="str">
        <x:v>MICHELE STUQUE</x:v>
      </x:c>
      <x:c r="V2828" s="22" t="str">
        <x:f>"271.770.218-09"</x:f>
        <x:v>271.770.218-09</x:v>
      </x:c>
      <x:c r="W2828" s="22" t="str">
        <x:f>"27177021809"</x:f>
        <x:v>27177021809</x:v>
      </x:c>
      <x:c r="X2828" s="23" t="str">
        <x:v>michelestuque21@gmail.com</x:v>
      </x:c>
      <x:c r="Y2828" s="22" t="str">
        <x:f>"14998092378"</x:f>
        <x:v>14998092378</x:v>
      </x:c>
      <x:c r="Z2828" s="30" t="n">
        <x:v>46569</x:v>
      </x:c>
    </x:row>
    <x:row r="2829" ht="18" customHeight="1">
      <x:c r="A2829" s="22" t="str">
        <x:f>"5d9b8401-4bec-4bcb-a569-fab7c8ef6e63"</x:f>
        <x:v>5d9b8401-4bec-4bcb-a569-fab7c8ef6e63</x:v>
      </x:c>
      <x:c r="B2829" s="23" t="str">
        <x:v>MICHEL RICHARD TORQUATO</x:v>
      </x:c>
      <x:c r="C2829" s="23" t="str">
        <x:v>michel richard torquato</x:v>
      </x:c>
      <x:c r="D2829" s="22" t="str">
        <x:f>"57.127.541/0001-00"</x:f>
        <x:v>57.127.541/0001-00</x:v>
      </x:c>
      <x:c r="E2829" s="22" t="str">
        <x:f>"57127541000100"</x:f>
        <x:v>57127541000100</x:v>
      </x:c>
      <x:c r="F2829" s="22" t="str">
        <x:f>"096.435.206-09"</x:f>
        <x:v>096.435.206-09</x:v>
      </x:c>
      <x:c r="G2829" s="22" t="str">
        <x:f>"09643520609"</x:f>
        <x:v>09643520609</x:v>
      </x:c>
      <x:c r="H2829" s="23" t="str">
        <x:v>micheltorquato721@outlook.com</x:v>
      </x:c>
      <x:c r="I2829" s="22" t="str">
        <x:f>"35 99275-8907"</x:f>
        <x:v>35 99275-8907</x:v>
      </x:c>
      <x:c r="J2829" s="23" t="str">
        <x:v>SPOT</x:v>
      </x:c>
      <x:c r="K2829" s="23" t="str">
        <x:v>favored_only</x:v>
      </x:c>
      <x:c r="L2829" s="24" t="b">
        <x:v>1</x:v>
      </x:c>
      <x:c r="M2829" s="23" t="n">
        <x:v>1</x:v>
      </x:c>
      <x:c r="N2829" s="28" t="n">
        <x:v>46219.812988715275</x:v>
      </x:c>
      <x:c r="O2829" s="28" t="n">
        <x:v>46219.812988715275</x:v>
      </x:c>
      <x:c r="P2829" s="23" t="str">
        <x:v>POCOS DE CALDAS</x:v>
      </x:c>
      <x:c r="Q2829" s="30" t="n">
        <x:v>32948</x:v>
      </x:c>
      <x:c r="R2829" s="22" t="str">
        <x:f>"15617951"</x:f>
        <x:v>15617951</x:v>
      </x:c>
      <x:c r="S2829" s="23" t="str">
        <x:v>masculino</x:v>
      </x:c>
      <x:c r="T2829" s="22" t="str">
        <x:f>"ERE5797"</x:f>
        <x:v>ERE5797</x:v>
      </x:c>
      <x:c r="U2829" s="23" t="str">
        <x:v>MICHEL RICHARD TORQUATO</x:v>
      </x:c>
      <x:c r="V2829" s="22" t="str">
        <x:f>"096.435.206-09"</x:f>
        <x:v>096.435.206-09</x:v>
      </x:c>
      <x:c r="W2829" s="22" t="str">
        <x:f>"09643520609"</x:f>
        <x:v>09643520609</x:v>
      </x:c>
      <x:c r="X2829" s="23" t="str">
        <x:v>micheltorquato721@outlook.com</x:v>
      </x:c>
      <x:c r="Y2829" s="22" t="str">
        <x:f>"35 99275-8907"</x:f>
        <x:v>35 99275-8907</x:v>
      </x:c>
      <x:c r="Z2829" s="30" t="n">
        <x:v>46408</x:v>
      </x:c>
    </x:row>
    <x:row r="2830" ht="18" customHeight="1">
      <x:c r="A2830" s="22" t="str">
        <x:f>"bf814997-84d6-4323-9542-f54fff0f4655"</x:f>
        <x:v>bf814997-84d6-4323-9542-f54fff0f4655</x:v>
      </x:c>
      <x:c r="B2830" s="23" t="str">
        <x:v>MICHEL RODRIGUES PRUDENCIO</x:v>
      </x:c>
      <x:c r="C2830" s="23" t="str">
        <x:v>michel rodrigues prudencio</x:v>
      </x:c>
      <x:c r="D2830" s="22" t="str">
        <x:f>"63.063.522/0001-52"</x:f>
        <x:v>63.063.522/0001-52</x:v>
      </x:c>
      <x:c r="E2830" s="22" t="str">
        <x:f>"63063522000152"</x:f>
        <x:v>63063522000152</x:v>
      </x:c>
      <x:c r="F2830" s="22" t="str">
        <x:f>"126.385.627-69"</x:f>
        <x:v>126.385.627-69</x:v>
      </x:c>
      <x:c r="G2830" s="22" t="str">
        <x:f>"12638562769"</x:f>
        <x:v>12638562769</x:v>
      </x:c>
      <x:c r="H2830" s="23" t="str">
        <x:v>Michelmrp@gmail.com</x:v>
      </x:c>
      <x:c r="I2830" s="22" t="str">
        <x:f>"21992785547"</x:f>
        <x:v>21992785547</x:v>
      </x:c>
      <x:c r="J2830" s="23" t="str">
        <x:v>SPOT</x:v>
      </x:c>
      <x:c r="K2830" s="23" t="str">
        <x:v>favored_only</x:v>
      </x:c>
      <x:c r="L2830" s="24" t="b">
        <x:v>1</x:v>
      </x:c>
      <x:c r="M2830" s="23" t="n">
        <x:v>1</x:v>
      </x:c>
      <x:c r="N2830" s="28" t="n">
        <x:v>46203.92186888889</x:v>
      </x:c>
      <x:c r="O2830" s="28" t="n">
        <x:v>46219.812988715275</x:v>
      </x:c>
      <x:c r="P2830" s="23" t="str">
        <x:v>QUEIMADOS</x:v>
      </x:c>
      <x:c r="Q2830" s="30" t="n">
        <x:v>31863</x:v>
      </x:c>
      <x:c r="R2830" s="22" t="str">
        <x:f>"207587189"</x:f>
        <x:v>207587189</x:v>
      </x:c>
      <x:c r="S2830" s="23" t="str">
        <x:v>masculino</x:v>
      </x:c>
      <x:c r="T2830" s="22" t="str">
        <x:f>"LPX8F67"</x:f>
        <x:v>LPX8F67</x:v>
      </x:c>
      <x:c r="U2830" s="23" t="str">
        <x:v>MICHEL RODRIGUES PRUDENCIO</x:v>
      </x:c>
      <x:c r="V2830" s="22" t="str">
        <x:f>"126.385.627-69"</x:f>
        <x:v>126.385.627-69</x:v>
      </x:c>
      <x:c r="W2830" s="22" t="str">
        <x:f>"12638562769"</x:f>
        <x:v>12638562769</x:v>
      </x:c>
      <x:c r="X2830" s="23" t="str">
        <x:v>Michelmrp@gmail.com</x:v>
      </x:c>
      <x:c r="Y2830" s="22" t="str">
        <x:f>"21992785547"</x:f>
        <x:v>21992785547</x:v>
      </x:c>
      <x:c r="Z2830" s="30" t="n">
        <x:v>46303</x:v>
      </x:c>
    </x:row>
    <x:row r="2831" ht="18" customHeight="1">
      <x:c r="A2831" s="22" t="str">
        <x:f>"dbc27d6d-7d7e-4e1f-82a8-c3ab4803178f"</x:f>
        <x:v>dbc27d6d-7d7e-4e1f-82a8-c3ab4803178f</x:v>
      </x:c>
      <x:c r="B2831" s="23" t="str">
        <x:v>MIDIAN GOMES DA SILVA</x:v>
      </x:c>
      <x:c r="C2831" s="23" t="str">
        <x:v>midian gomes da silva</x:v>
      </x:c>
      <x:c r="D2831" s="22" t="str">
        <x:f>"65.276.528/0001-33"</x:f>
        <x:v>65.276.528/0001-33</x:v>
      </x:c>
      <x:c r="E2831" s="22" t="str">
        <x:f>"65276528000133"</x:f>
        <x:v>65276528000133</x:v>
      </x:c>
      <x:c r="F2831" s="22" t="str">
        <x:f>"034.323.895-07"</x:f>
        <x:v>034.323.895-07</x:v>
      </x:c>
      <x:c r="G2831" s="22" t="str">
        <x:f>"03432389507"</x:f>
        <x:v>03432389507</x:v>
      </x:c>
      <x:c r="H2831" s="23" t="str">
        <x:v>gomes86m@gmail.com</x:v>
      </x:c>
      <x:c r="I2831" s="22" t="str">
        <x:f>"(33) 98840-4423"</x:f>
        <x:v>(33) 98840-4423</x:v>
      </x:c>
      <x:c r="J2831" s="23" t="str">
        <x:v>AGREGADO</x:v>
      </x:c>
      <x:c r="K2831" s="23" t="str">
        <x:v>favored_only</x:v>
      </x:c>
      <x:c r="L2831" s="24" t="b">
        <x:v>1</x:v>
      </x:c>
      <x:c r="M2831" s="23" t="n">
        <x:v>1</x:v>
      </x:c>
      <x:c r="N2831" s="28" t="n">
        <x:v>46219.812988715275</x:v>
      </x:c>
      <x:c r="O2831" s="28" t="n">
        <x:v>46219.812988715275</x:v>
      </x:c>
      <x:c r="P2831" s="23" t="str">
        <x:v>TEOFILO OTONI</x:v>
      </x:c>
      <x:c r="Q2831" s="30" t="n">
        <x:v>31591</x:v>
      </x:c>
      <x:c r="R2831" s="22" t="str">
        <x:f>"1299831877"</x:f>
        <x:v>1299831877</x:v>
      </x:c>
      <x:c r="S2831" s="23" t="str">
        <x:v>masculino</x:v>
      </x:c>
      <x:c r="T2831" s="22" t="str">
        <x:f>"OZQ5B21"</x:f>
        <x:v>OZQ5B21</x:v>
      </x:c>
      <x:c r="U2831" s="23" t="str">
        <x:v>MARIA EDUARDA RAMOS SOARES</x:v>
      </x:c>
      <x:c r="V2831" s="22" t="str">
        <x:f>"136.787.146-84"</x:f>
        <x:v>136.787.146-84</x:v>
      </x:c>
      <x:c r="W2831" s="22" t="str">
        <x:f>"13678714684"</x:f>
        <x:v>13678714684</x:v>
      </x:c>
      <x:c r="X2831" s="23" t="str">
        <x:v>dudar9770@gmail.com</x:v>
      </x:c>
      <x:c r="Y2831" s="22" t="str">
        <x:f>"(33) 98583460"</x:f>
        <x:v>(33) 98583460</x:v>
      </x:c>
      <x:c r="Z2831" s="30" t="n">
        <x:v>46456</x:v>
      </x:c>
    </x:row>
    <x:row r="2832" ht="18" customHeight="1">
      <x:c r="A2832" s="22" t="str">
        <x:f>"01d9c012-219f-4e61-81c9-af3ba22993f9"</x:f>
        <x:v>01d9c012-219f-4e61-81c9-af3ba22993f9</x:v>
      </x:c>
      <x:c r="B2832" s="23" t="str">
        <x:v>MIGUEL CARVALHO SCHUFFNER</x:v>
      </x:c>
      <x:c r="C2832" s="23" t="str">
        <x:v>miguel carvalho schuffner</x:v>
      </x:c>
      <x:c r="D2832" s="22" t="str">
        <x:f>"59.088.238/0001-63"</x:f>
        <x:v>59.088.238/0001-63</x:v>
      </x:c>
      <x:c r="E2832" s="22" t="str">
        <x:f>"59088238000163"</x:f>
        <x:v>59088238000163</x:v>
      </x:c>
      <x:c r="F2832" s="22" t="str">
        <x:f>"704.385.436-96"</x:f>
        <x:v>704.385.436-96</x:v>
      </x:c>
      <x:c r="G2832" s="22" t="str">
        <x:f>"70438543696"</x:f>
        <x:v>70438543696</x:v>
      </x:c>
      <x:c r="H2832" s="23" t="str">
        <x:v>miguelcarvalho435@gmail.com</x:v>
      </x:c>
      <x:c r="I2832" s="22" t="str">
        <x:f>"33987397227"</x:f>
        <x:v>33987397227</x:v>
      </x:c>
      <x:c r="J2832" s="23" t="str">
        <x:v>SPOT</x:v>
      </x:c>
      <x:c r="K2832" s="23" t="str">
        <x:v>favored_only</x:v>
      </x:c>
      <x:c r="L2832" s="24" t="b">
        <x:v>1</x:v>
      </x:c>
      <x:c r="M2832" s="23" t="n">
        <x:v>1</x:v>
      </x:c>
      <x:c r="N2832" s="28" t="n">
        <x:v>46203.921904421295</x:v>
      </x:c>
      <x:c r="O2832" s="28" t="n">
        <x:v>46203.921904421295</x:v>
      </x:c>
      <x:c r="P2832" s="23" t="str"/>
      <x:c r="Q2832" s="30" t="str"/>
      <x:c r="R2832" s="22" t="str"/>
      <x:c r="S2832" s="23" t="str"/>
      <x:c r="T2832" s="22" t="str"/>
      <x:c r="U2832" s="23" t="str">
        <x:v>MIGUEL CARVALHO SCHUFFNER</x:v>
      </x:c>
      <x:c r="V2832" s="22" t="str">
        <x:f>"704.385.436-96"</x:f>
        <x:v>704.385.436-96</x:v>
      </x:c>
      <x:c r="W2832" s="22" t="str">
        <x:f>"70438543696"</x:f>
        <x:v>70438543696</x:v>
      </x:c>
      <x:c r="X2832" s="23" t="str">
        <x:v>miguelcarvalho435@gmail.com</x:v>
      </x:c>
      <x:c r="Y2832" s="22" t="str">
        <x:f>"33987397227"</x:f>
        <x:v>33987397227</x:v>
      </x:c>
      <x:c r="Z2832" s="30" t="str"/>
    </x:row>
    <x:row r="2833" ht="18" customHeight="1">
      <x:c r="A2833" s="22" t="str">
        <x:f>"709b1deb-f829-4f14-a3b2-e4e3c48cb070"</x:f>
        <x:v>709b1deb-f829-4f14-a3b2-e4e3c48cb070</x:v>
      </x:c>
      <x:c r="B2833" s="23" t="str">
        <x:v>MIGUEL DEYVSON PINTO</x:v>
      </x:c>
      <x:c r="C2833" s="23" t="str">
        <x:v>miguel deyvson pinto</x:v>
      </x:c>
      <x:c r="D2833" s="22" t="str">
        <x:f>"67.092.826/0001-07"</x:f>
        <x:v>67.092.826/0001-07</x:v>
      </x:c>
      <x:c r="E2833" s="22" t="str">
        <x:f>"67092826000107"</x:f>
        <x:v>67092826000107</x:v>
      </x:c>
      <x:c r="F2833" s="22" t="str">
        <x:f>"820.446.607-25"</x:f>
        <x:v>820.446.607-25</x:v>
      </x:c>
      <x:c r="G2833" s="22" t="str">
        <x:f>"82044660725"</x:f>
        <x:v>82044660725</x:v>
      </x:c>
      <x:c r="H2833" s="23" t="str">
        <x:v>MIGUELPINTO1408@GMAIL.COM</x:v>
      </x:c>
      <x:c r="I2833" s="22" t="str">
        <x:f>"(31) 8629-2705"</x:f>
        <x:v>(31) 8629-2705</x:v>
      </x:c>
      <x:c r="J2833" s="23" t="str">
        <x:v>RENTAL</x:v>
      </x:c>
      <x:c r="K2833" s="23" t="str">
        <x:v>rental_company</x:v>
      </x:c>
      <x:c r="L2833" s="24" t="b">
        <x:v>1</x:v>
      </x:c>
      <x:c r="M2833" s="23" t="n">
        <x:v>1</x:v>
      </x:c>
      <x:c r="N2833" s="28" t="n">
        <x:v>46219.812988715275</x:v>
      </x:c>
      <x:c r="O2833" s="28" t="n">
        <x:v>46219.812988715275</x:v>
      </x:c>
      <x:c r="P2833" s="23" t="str">
        <x:v>CONCEIÇÃO DO MATO DENTRO</x:v>
      </x:c>
      <x:c r="Q2833" s="30" t="n">
        <x:v>23237</x:v>
      </x:c>
      <x:c r="R2833" s="22" t="str">
        <x:f>"2976353"</x:f>
        <x:v>2976353</x:v>
      </x:c>
      <x:c r="S2833" s="23" t="str">
        <x:v>masculino</x:v>
      </x:c>
      <x:c r="T2833" s="22" t="str"/>
      <x:c r="U2833" s="23" t="str">
        <x:v>MIGUEL DEYVSON PINTO</x:v>
      </x:c>
      <x:c r="V2833" s="22" t="str">
        <x:f>"820.446.607-25"</x:f>
        <x:v>820.446.607-25</x:v>
      </x:c>
      <x:c r="W2833" s="22" t="str">
        <x:f>"82044660725"</x:f>
        <x:v>82044660725</x:v>
      </x:c>
      <x:c r="X2833" s="23" t="str">
        <x:v>MIGUELPINTO1408@GMAIL.COM</x:v>
      </x:c>
      <x:c r="Y2833" s="22" t="str">
        <x:f>"(31) 8629-2705"</x:f>
        <x:v>(31) 8629-2705</x:v>
      </x:c>
      <x:c r="Z2833" s="30" t="n">
        <x:v>46539</x:v>
      </x:c>
    </x:row>
    <x:row r="2834" ht="18" customHeight="1">
      <x:c r="A2834" s="22" t="str">
        <x:f>"23723014-11b5-4fdd-b019-9f96f4dde507"</x:f>
        <x:v>23723014-11b5-4fdd-b019-9f96f4dde507</x:v>
      </x:c>
      <x:c r="B2834" s="23" t="str">
        <x:v>MIGUEL GRACILIANO DE CARVALHO</x:v>
      </x:c>
      <x:c r="C2834" s="23" t="str">
        <x:v>miguel graciliano de carvalho</x:v>
      </x:c>
      <x:c r="D2834" s="22" t="str">
        <x:f>"52.221.573/0001-49"</x:f>
        <x:v>52.221.573/0001-49</x:v>
      </x:c>
      <x:c r="E2834" s="22" t="str">
        <x:f>"52221573000149"</x:f>
        <x:v>52221573000149</x:v>
      </x:c>
      <x:c r="F2834" s="22" t="str">
        <x:f>"537.736.478-32"</x:f>
        <x:v>537.736.478-32</x:v>
      </x:c>
      <x:c r="G2834" s="22" t="str">
        <x:f>"53773647832"</x:f>
        <x:v>53773647832</x:v>
      </x:c>
      <x:c r="H2834" s="23" t="str">
        <x:v>MIGUELCARVALHO2802@GMAIL.COM</x:v>
      </x:c>
      <x:c r="I2834" s="22" t="str">
        <x:f>"14997772001"</x:f>
        <x:v>14997772001</x:v>
      </x:c>
      <x:c r="J2834" s="23" t="str">
        <x:v>RENTAL</x:v>
      </x:c>
      <x:c r="K2834" s="23" t="str">
        <x:v>rental_company</x:v>
      </x:c>
      <x:c r="L2834" s="24" t="b">
        <x:v>1</x:v>
      </x:c>
      <x:c r="M2834" s="23" t="n">
        <x:v>1</x:v>
      </x:c>
      <x:c r="N2834" s="28" t="n">
        <x:v>46203.921858726855</x:v>
      </x:c>
      <x:c r="O2834" s="28" t="n">
        <x:v>46219.812988715275</x:v>
      </x:c>
      <x:c r="P2834" s="23" t="str">
        <x:v>MARILIA</x:v>
      </x:c>
      <x:c r="Q2834" s="30" t="n">
        <x:v>37708</x:v>
      </x:c>
      <x:c r="R2834" s="22" t="str">
        <x:f>"660411866"</x:f>
        <x:v>660411866</x:v>
      </x:c>
      <x:c r="S2834" s="23" t="str">
        <x:v>masculino</x:v>
      </x:c>
      <x:c r="T2834" s="22" t="str"/>
      <x:c r="U2834" s="23" t="str">
        <x:v>MIGUEL GRACILIANO DE CARVALHO</x:v>
      </x:c>
      <x:c r="V2834" s="22" t="str">
        <x:f>"537.736.478-32"</x:f>
        <x:v>537.736.478-32</x:v>
      </x:c>
      <x:c r="W2834" s="22" t="str">
        <x:f>"53773647832"</x:f>
        <x:v>53773647832</x:v>
      </x:c>
      <x:c r="X2834" s="23" t="str">
        <x:v>MIGUELCARVALHO2802@GMAIL.COM</x:v>
      </x:c>
      <x:c r="Y2834" s="22" t="str">
        <x:f>"14997772001"</x:f>
        <x:v>14997772001</x:v>
      </x:c>
      <x:c r="Z2834" s="30" t="n">
        <x:v>46269</x:v>
      </x:c>
    </x:row>
    <x:row r="2835" ht="18" customHeight="1">
      <x:c r="A2835" s="22" t="str">
        <x:f>"e3fc4b44-6fd1-4327-acc5-be4c78cc3075"</x:f>
        <x:v>e3fc4b44-6fd1-4327-acc5-be4c78cc3075</x:v>
      </x:c>
      <x:c r="B2835" s="23" t="str">
        <x:v>MIGUEL KRESPAINE DE ANDRADE</x:v>
      </x:c>
      <x:c r="C2835" s="23" t="str">
        <x:v>miguel krespaine de andrade</x:v>
      </x:c>
      <x:c r="D2835" s="22" t="str">
        <x:f>"17.925.189/0001-26"</x:f>
        <x:v>17.925.189/0001-26</x:v>
      </x:c>
      <x:c r="E2835" s="22" t="str">
        <x:f>"17925189000126"</x:f>
        <x:v>17925189000126</x:v>
      </x:c>
      <x:c r="F2835" s="22" t="str">
        <x:f>"165.248.267-95"</x:f>
        <x:v>165.248.267-95</x:v>
      </x:c>
      <x:c r="G2835" s="22" t="str">
        <x:f>"16524826795"</x:f>
        <x:v>16524826795</x:v>
      </x:c>
      <x:c r="H2835" s="23" t="str">
        <x:v>MIGUELVALENTES@HOTMAIL.COM</x:v>
      </x:c>
      <x:c r="I2835" s="22" t="str">
        <x:f>"22999312059"</x:f>
        <x:v>22999312059</x:v>
      </x:c>
      <x:c r="J2835" s="23" t="str">
        <x:v>SPOT</x:v>
      </x:c>
      <x:c r="K2835" s="23" t="str">
        <x:v>favored_only</x:v>
      </x:c>
      <x:c r="L2835" s="24" t="b">
        <x:v>1</x:v>
      </x:c>
      <x:c r="M2835" s="23" t="n">
        <x:v>1</x:v>
      </x:c>
      <x:c r="N2835" s="28" t="n">
        <x:v>46219.812988715275</x:v>
      </x:c>
      <x:c r="O2835" s="28" t="n">
        <x:v>46219.812988715275</x:v>
      </x:c>
      <x:c r="P2835" s="23" t="str">
        <x:v>CAMPOS DOS GOYTACAZES</x:v>
      </x:c>
      <x:c r="Q2835" s="30" t="n">
        <x:v>38259</x:v>
      </x:c>
      <x:c r="R2835" s="22" t="str">
        <x:f>"258236892"</x:f>
        <x:v>258236892</x:v>
      </x:c>
      <x:c r="S2835" s="23" t="str">
        <x:v>masculino</x:v>
      </x:c>
      <x:c r="T2835" s="22" t="str">
        <x:f>"QQM9I52"</x:f>
        <x:v>QQM9I52</x:v>
      </x:c>
      <x:c r="U2835" s="23" t="str">
        <x:v>HANDERSON XAVIER VALENTE MONTEIRO</x:v>
      </x:c>
      <x:c r="V2835" s="22" t="str">
        <x:f>"165.248.267-95"</x:f>
        <x:v>165.248.267-95</x:v>
      </x:c>
      <x:c r="W2835" s="22" t="str">
        <x:f>"16524826795"</x:f>
        <x:v>16524826795</x:v>
      </x:c>
      <x:c r="X2835" s="23" t="str">
        <x:v>MIGUELVALENTES@HOTMAIL.COM</x:v>
      </x:c>
      <x:c r="Y2835" s="22" t="str">
        <x:f>"22999312059"</x:f>
        <x:v>22999312059</x:v>
      </x:c>
      <x:c r="Z2835" s="30" t="n">
        <x:v>46483</x:v>
      </x:c>
    </x:row>
    <x:row r="2836" ht="18" customHeight="1">
      <x:c r="A2836" s="22" t="str">
        <x:f>"cddfe86a-261c-42f4-a389-3e500c5ea27b"</x:f>
        <x:v>cddfe86a-261c-42f4-a389-3e500c5ea27b</x:v>
      </x:c>
      <x:c r="B2836" s="23" t="str">
        <x:v>MIKAEL DA SILVA MORAS</x:v>
      </x:c>
      <x:c r="C2836" s="23" t="str">
        <x:v>mikael da silva moras</x:v>
      </x:c>
      <x:c r="D2836" s="22" t="str">
        <x:f>"37.362.912/0001-13"</x:f>
        <x:v>37.362.912/0001-13</x:v>
      </x:c>
      <x:c r="E2836" s="22" t="str">
        <x:f>"37362912000113"</x:f>
        <x:v>37362912000113</x:v>
      </x:c>
      <x:c r="F2836" s="22" t="str">
        <x:f>"039.175.421-10"</x:f>
        <x:v>039.175.421-10</x:v>
      </x:c>
      <x:c r="G2836" s="22" t="str">
        <x:f>"03917542110"</x:f>
        <x:v>03917542110</x:v>
      </x:c>
      <x:c r="H2836" s="23" t="str">
        <x:v>Mikaelmoraes528@gmail.com</x:v>
      </x:c>
      <x:c r="I2836" s="22" t="str">
        <x:f>"62982306749"</x:f>
        <x:v>62982306749</x:v>
      </x:c>
      <x:c r="J2836" s="23" t="str">
        <x:v>RENTAL</x:v>
      </x:c>
      <x:c r="K2836" s="23" t="str">
        <x:v>rental_company</x:v>
      </x:c>
      <x:c r="L2836" s="24" t="b">
        <x:v>1</x:v>
      </x:c>
      <x:c r="M2836" s="23" t="n">
        <x:v>1</x:v>
      </x:c>
      <x:c r="N2836" s="28" t="n">
        <x:v>46203.92186888889</x:v>
      </x:c>
      <x:c r="O2836" s="28" t="n">
        <x:v>46219.812988715275</x:v>
      </x:c>
      <x:c r="P2836" s="23" t="str">
        <x:v>GOIANIA</x:v>
      </x:c>
      <x:c r="Q2836" s="30" t="n">
        <x:v>36239</x:v>
      </x:c>
      <x:c r="R2836" s="22" t="str">
        <x:f>"1288244"</x:f>
        <x:v>1288244</x:v>
      </x:c>
      <x:c r="S2836" s="23" t="str">
        <x:v>masculino</x:v>
      </x:c>
      <x:c r="T2836" s="22" t="str"/>
      <x:c r="U2836" s="23" t="str">
        <x:v>MIKAEL DA SILVA MORAS</x:v>
      </x:c>
      <x:c r="V2836" s="22" t="str">
        <x:f>"039.175.421-10"</x:f>
        <x:v>039.175.421-10</x:v>
      </x:c>
      <x:c r="W2836" s="22" t="str">
        <x:f>"03917542110"</x:f>
        <x:v>03917542110</x:v>
      </x:c>
      <x:c r="X2836" s="23" t="str">
        <x:v>Mikaelmoraes528@gmail.com</x:v>
      </x:c>
      <x:c r="Y2836" s="22" t="str">
        <x:f>"62982306749"</x:f>
        <x:v>62982306749</x:v>
      </x:c>
      <x:c r="Z2836" s="30" t="n">
        <x:v>46297</x:v>
      </x:c>
    </x:row>
    <x:row r="2837" ht="18" customHeight="1">
      <x:c r="A2837" s="22" t="str">
        <x:f>"343a73ce-b40c-4fec-a4c4-1b9dbf85f60b"</x:f>
        <x:v>343a73ce-b40c-4fec-a4c4-1b9dbf85f60b</x:v>
      </x:c>
      <x:c r="B2837" s="23" t="str">
        <x:v>MIKAEL SANTOS RODRIGUES ARAUJO</x:v>
      </x:c>
      <x:c r="C2837" s="23" t="str">
        <x:v>mikael santos rodrigues araujo</x:v>
      </x:c>
      <x:c r="D2837" s="22" t="str">
        <x:f>"47.459.293/0001-33"</x:f>
        <x:v>47.459.293/0001-33</x:v>
      </x:c>
      <x:c r="E2837" s="22" t="str">
        <x:f>"47459293000133"</x:f>
        <x:v>47459293000133</x:v>
      </x:c>
      <x:c r="F2837" s="22" t="str">
        <x:f>"172.664.937-73"</x:f>
        <x:v>172.664.937-73</x:v>
      </x:c>
      <x:c r="G2837" s="22" t="str">
        <x:f>"17266493773"</x:f>
        <x:v>17266493773</x:v>
      </x:c>
      <x:c r="H2837" s="23" t="str">
        <x:v>Mikaelsantosrodrigues02@gmail.com</x:v>
      </x:c>
      <x:c r="I2837" s="22" t="str">
        <x:f>"22 981077566"</x:f>
        <x:v>22 981077566</x:v>
      </x:c>
      <x:c r="J2837" s="23" t="str">
        <x:v>SPOT</x:v>
      </x:c>
      <x:c r="K2837" s="23" t="str">
        <x:v>favored_only</x:v>
      </x:c>
      <x:c r="L2837" s="24" t="b">
        <x:v>1</x:v>
      </x:c>
      <x:c r="M2837" s="23" t="n">
        <x:v>1</x:v>
      </x:c>
      <x:c r="N2837" s="28" t="n">
        <x:v>46205.60717336806</x:v>
      </x:c>
      <x:c r="O2837" s="28" t="n">
        <x:v>46219.812988715275</x:v>
      </x:c>
      <x:c r="P2837" s="23" t="str">
        <x:v>CAMPOS DOS GOYTACAZES</x:v>
      </x:c>
      <x:c r="Q2837" s="30" t="n">
        <x:v>36253</x:v>
      </x:c>
      <x:c r="R2837" s="22" t="str">
        <x:f>"294587894"</x:f>
        <x:v>294587894</x:v>
      </x:c>
      <x:c r="S2837" s="23" t="str">
        <x:v>masculino</x:v>
      </x:c>
      <x:c r="T2837" s="22" t="str">
        <x:f>"PVD3E"</x:f>
        <x:v>PVD3E</x:v>
      </x:c>
      <x:c r="U2837" s="23" t="str">
        <x:v>SERGIO VIEIRA MONNERAT JUNIOR</x:v>
      </x:c>
      <x:c r="V2837" s="22" t="str">
        <x:f>"100.877.347-61"</x:f>
        <x:v>100.877.347-61</x:v>
      </x:c>
      <x:c r="W2837" s="22" t="str">
        <x:f>"10087734761"</x:f>
        <x:v>10087734761</x:v>
      </x:c>
      <x:c r="X2837" s="23" t="str">
        <x:v>sergiov.monneratjr@gmail.com</x:v>
      </x:c>
      <x:c r="Y2837" s="22" t="str">
        <x:f>"22 981380350"</x:f>
        <x:v>22 981380350</x:v>
      </x:c>
      <x:c r="Z2837" s="30" t="n">
        <x:v>46402</x:v>
      </x:c>
    </x:row>
    <x:row r="2838" ht="18" customHeight="1">
      <x:c r="A2838" s="22" t="str">
        <x:f>"40817d82-2c26-4987-965c-38ce7bca9149"</x:f>
        <x:v>40817d82-2c26-4987-965c-38ce7bca9149</x:v>
      </x:c>
      <x:c r="B2838" s="23" t="str">
        <x:v>MIKAEL SANTOS RODRIGUES ARAUJO</x:v>
      </x:c>
      <x:c r="C2838" s="23" t="str">
        <x:v>mikael santos rodrigues araujo</x:v>
      </x:c>
      <x:c r="D2838" s="22" t="str">
        <x:f>"54.816.237/0001-74"</x:f>
        <x:v>54.816.237/0001-74</x:v>
      </x:c>
      <x:c r="E2838" s="22" t="str">
        <x:f>"54816237000174"</x:f>
        <x:v>54816237000174</x:v>
      </x:c>
      <x:c r="F2838" s="22" t="str">
        <x:f>"172.664.937-73"</x:f>
        <x:v>172.664.937-73</x:v>
      </x:c>
      <x:c r="G2838" s="22" t="str">
        <x:f>"17266493773"</x:f>
        <x:v>17266493773</x:v>
      </x:c>
      <x:c r="H2838" s="23" t="str">
        <x:v>Mikelsantos02@gmail.com</x:v>
      </x:c>
      <x:c r="I2838" s="22" t="str">
        <x:f>"22 981077566"</x:f>
        <x:v>22 981077566</x:v>
      </x:c>
      <x:c r="J2838" s="23" t="str">
        <x:v>SPOT</x:v>
      </x:c>
      <x:c r="K2838" s="23" t="str">
        <x:v>favored_only</x:v>
      </x:c>
      <x:c r="L2838" s="24" t="b">
        <x:v>1</x:v>
      </x:c>
      <x:c r="M2838" s="23" t="n">
        <x:v>1</x:v>
      </x:c>
      <x:c r="N2838" s="28" t="n">
        <x:v>46219.812988715275</x:v>
      </x:c>
      <x:c r="O2838" s="28" t="n">
        <x:v>46219.812988715275</x:v>
      </x:c>
      <x:c r="P2838" s="23" t="str">
        <x:v>CAMPOS DOS GOYTACAZES</x:v>
      </x:c>
      <x:c r="Q2838" s="30" t="n">
        <x:v>36253</x:v>
      </x:c>
      <x:c r="R2838" s="22" t="str">
        <x:f>"294587894"</x:f>
        <x:v>294587894</x:v>
      </x:c>
      <x:c r="S2838" s="23" t="str">
        <x:v>masculino</x:v>
      </x:c>
      <x:c r="T2838" s="22" t="str">
        <x:f>"PVD3E72"</x:f>
        <x:v>PVD3E72</x:v>
      </x:c>
      <x:c r="U2838" s="23" t="str">
        <x:v>POLIANA FARIA MONNERAT</x:v>
      </x:c>
      <x:c r="V2838" s="22" t="str">
        <x:f>"167.379.137-92"</x:f>
        <x:v>167.379.137-92</x:v>
      </x:c>
      <x:c r="W2838" s="22" t="str">
        <x:f>"16737913792"</x:f>
        <x:v>16737913792</x:v>
      </x:c>
      <x:c r="X2838" s="23" t="str">
        <x:v>polianafariamonnerat@gmail.com</x:v>
      </x:c>
      <x:c r="Y2838" s="22" t="str">
        <x:f>"22 981142301"</x:f>
        <x:v>22 981142301</x:v>
      </x:c>
      <x:c r="Z2838" s="30" t="n">
        <x:v>46402</x:v>
      </x:c>
    </x:row>
    <x:row r="2839" ht="18" customHeight="1">
      <x:c r="A2839" s="22" t="str">
        <x:f>"de468746-cb59-446f-bca4-5a37e42373ab"</x:f>
        <x:v>de468746-cb59-446f-bca4-5a37e42373ab</x:v>
      </x:c>
      <x:c r="B2839" s="23" t="str">
        <x:v>MIKESLAN CONCEICAO ARAUJO</x:v>
      </x:c>
      <x:c r="C2839" s="23" t="str">
        <x:v>mikeslan conceicao araujo</x:v>
      </x:c>
      <x:c r="D2839" s="22" t="str">
        <x:f>"62.791.095/0001-66"</x:f>
        <x:v>62.791.095/0001-66</x:v>
      </x:c>
      <x:c r="E2839" s="22" t="str">
        <x:f>"62791095000166"</x:f>
        <x:v>62791095000166</x:v>
      </x:c>
      <x:c r="F2839" s="22" t="str">
        <x:f>"704.045.016-05"</x:f>
        <x:v>704.045.016-05</x:v>
      </x:c>
      <x:c r="G2839" s="22" t="str">
        <x:f>"70404501605"</x:f>
        <x:v>70404501605</x:v>
      </x:c>
      <x:c r="H2839" s="23" t="str">
        <x:v>Mikeslanaraujo@gmail.com</x:v>
      </x:c>
      <x:c r="I2839" s="22" t="str">
        <x:f>"(35) 99835-5511"</x:f>
        <x:v>(35) 99835-5511</x:v>
      </x:c>
      <x:c r="J2839" s="23" t="str">
        <x:v>RENTAL</x:v>
      </x:c>
      <x:c r="K2839" s="23" t="str">
        <x:v>rental_company</x:v>
      </x:c>
      <x:c r="L2839" s="24" t="b">
        <x:v>1</x:v>
      </x:c>
      <x:c r="M2839" s="23" t="n">
        <x:v>1</x:v>
      </x:c>
      <x:c r="N2839" s="28" t="n">
        <x:v>46219.812988715275</x:v>
      </x:c>
      <x:c r="O2839" s="28" t="n">
        <x:v>46219.812988715275</x:v>
      </x:c>
      <x:c r="P2839" s="23" t="str">
        <x:v>POUSO ALEGRE</x:v>
      </x:c>
      <x:c r="Q2839" s="30" t="n">
        <x:v>38234</x:v>
      </x:c>
      <x:c r="R2839" s="22" t="str">
        <x:f>"MG22397555 PC MG"</x:f>
        <x:v>MG22397555 PC MG</x:v>
      </x:c>
      <x:c r="S2839" s="23" t="str">
        <x:v>masculino</x:v>
      </x:c>
      <x:c r="T2839" s="22" t="str"/>
      <x:c r="U2839" s="23" t="str">
        <x:v>MIKESLAN CONCEICAO ARAUJO</x:v>
      </x:c>
      <x:c r="V2839" s="22" t="str">
        <x:f>"704.045.016-05"</x:f>
        <x:v>704.045.016-05</x:v>
      </x:c>
      <x:c r="W2839" s="22" t="str">
        <x:f>"70404501605"</x:f>
        <x:v>70404501605</x:v>
      </x:c>
      <x:c r="X2839" s="23" t="str">
        <x:v>Mikeslanaraujo@gmail.com</x:v>
      </x:c>
      <x:c r="Y2839" s="22" t="str">
        <x:f>"(35) 99835-5511"</x:f>
        <x:v>(35) 99835-5511</x:v>
      </x:c>
      <x:c r="Z2839" s="30" t="n">
        <x:v>46578</x:v>
      </x:c>
    </x:row>
    <x:row r="2840" ht="18" customHeight="1">
      <x:c r="A2840" s="22" t="str">
        <x:f>"d6197060-3cd9-4901-b440-8eec1d1a97fb"</x:f>
        <x:v>d6197060-3cd9-4901-b440-8eec1d1a97fb</x:v>
      </x:c>
      <x:c r="B2840" s="23" t="str">
        <x:v>MILENA ALVES PINHEIRO</x:v>
      </x:c>
      <x:c r="C2840" s="23" t="str">
        <x:v>milena alves pinheiro</x:v>
      </x:c>
      <x:c r="D2840" s="22" t="str">
        <x:f>"67.224.153/0001-93"</x:f>
        <x:v>67.224.153/0001-93</x:v>
      </x:c>
      <x:c r="E2840" s="22" t="str">
        <x:f>"67224153000193"</x:f>
        <x:v>67224153000193</x:v>
      </x:c>
      <x:c r="F2840" s="22" t="str">
        <x:f>"137.068.486-00"</x:f>
        <x:v>137.068.486-00</x:v>
      </x:c>
      <x:c r="G2840" s="22" t="str">
        <x:f>"13706848600"</x:f>
        <x:v>13706848600</x:v>
      </x:c>
      <x:c r="H2840" s="23" t="str">
        <x:v>pillaalves.nc07@gmail.com</x:v>
      </x:c>
      <x:c r="I2840" s="22" t="str">
        <x:f>"33 9845-0258"</x:f>
        <x:v>33 9845-0258</x:v>
      </x:c>
      <x:c r="J2840" s="23" t="str">
        <x:v>SPOT</x:v>
      </x:c>
      <x:c r="K2840" s="23" t="str">
        <x:v>favored_only</x:v>
      </x:c>
      <x:c r="L2840" s="24" t="b">
        <x:v>1</x:v>
      </x:c>
      <x:c r="M2840" s="23" t="n">
        <x:v>1</x:v>
      </x:c>
      <x:c r="N2840" s="28" t="n">
        <x:v>46219.812988715275</x:v>
      </x:c>
      <x:c r="O2840" s="28" t="n">
        <x:v>46219.812988715275</x:v>
      </x:c>
      <x:c r="P2840" s="23" t="str">
        <x:v>TEOFILO OTONI</x:v>
      </x:c>
      <x:c r="Q2840" s="30" t="n">
        <x:v>35947</x:v>
      </x:c>
      <x:c r="R2840" s="22" t="str">
        <x:f>"20279715"</x:f>
        <x:v>20279715</x:v>
      </x:c>
      <x:c r="S2840" s="23" t="str">
        <x:v>masculino</x:v>
      </x:c>
      <x:c r="T2840" s="22" t="str">
        <x:f>"RVX5F44"</x:f>
        <x:v>RVX5F44</x:v>
      </x:c>
      <x:c r="U2840" s="23" t="str">
        <x:v>MILENA ALVES PINHEIRO</x:v>
      </x:c>
      <x:c r="V2840" s="22" t="str">
        <x:f>"137.068.486-00"</x:f>
        <x:v>137.068.486-00</x:v>
      </x:c>
      <x:c r="W2840" s="22" t="str">
        <x:f>"13706848600"</x:f>
        <x:v>13706848600</x:v>
      </x:c>
      <x:c r="X2840" s="23" t="str">
        <x:v>pillaalves.nc07@gmail.com</x:v>
      </x:c>
      <x:c r="Y2840" s="22" t="str">
        <x:f>"33 9845-0258"</x:f>
        <x:v>33 9845-0258</x:v>
      </x:c>
      <x:c r="Z2840" s="30" t="n">
        <x:v>46558</x:v>
      </x:c>
    </x:row>
    <x:row r="2841" ht="18" customHeight="1">
      <x:c r="A2841" s="22" t="str">
        <x:f>"421796d8-739c-48dd-8d38-ac8e23758b12"</x:f>
        <x:v>421796d8-739c-48dd-8d38-ac8e23758b12</x:v>
      </x:c>
      <x:c r="B2841" s="23" t="str">
        <x:v>MILENA NUNES DE OLIVEIRA DA SILVA</x:v>
      </x:c>
      <x:c r="C2841" s="23" t="str">
        <x:v>milena nunes de oliveira da silva</x:v>
      </x:c>
      <x:c r="D2841" s="22" t="str">
        <x:f>"62.708.625/0001-60"</x:f>
        <x:v>62.708.625/0001-60</x:v>
      </x:c>
      <x:c r="E2841" s="22" t="str">
        <x:f>"62708625000160"</x:f>
        <x:v>62708625000160</x:v>
      </x:c>
      <x:c r="F2841" s="22" t="str">
        <x:f>"497.229.598-83"</x:f>
        <x:v>497.229.598-83</x:v>
      </x:c>
      <x:c r="G2841" s="22" t="str">
        <x:f>"49722959883"</x:f>
        <x:v>49722959883</x:v>
      </x:c>
      <x:c r="H2841" s="23" t="str">
        <x:v>vitorhenriquelima@outlook.com.br</x:v>
      </x:c>
      <x:c r="I2841" s="22" t="str">
        <x:f>"18 99721-9013"</x:f>
        <x:v>18 99721-9013</x:v>
      </x:c>
      <x:c r="J2841" s="23" t="str">
        <x:v>SPOT</x:v>
      </x:c>
      <x:c r="K2841" s="23" t="str">
        <x:v>favored_only</x:v>
      </x:c>
      <x:c r="L2841" s="24" t="b">
        <x:v>1</x:v>
      </x:c>
      <x:c r="M2841" s="23" t="n">
        <x:v>1</x:v>
      </x:c>
      <x:c r="N2841" s="28" t="n">
        <x:v>46203.92186888889</x:v>
      </x:c>
      <x:c r="O2841" s="28" t="n">
        <x:v>46203.92186888889</x:v>
      </x:c>
      <x:c r="P2841" s="23" t="str"/>
      <x:c r="Q2841" s="30" t="str"/>
      <x:c r="R2841" s="22" t="str"/>
      <x:c r="S2841" s="23" t="str"/>
      <x:c r="T2841" s="22" t="str"/>
      <x:c r="U2841" s="23" t="str">
        <x:v>MILENA NUNES DE OLIVEIRA DA SILVA</x:v>
      </x:c>
      <x:c r="V2841" s="22" t="str">
        <x:f>"497.229.598-83"</x:f>
        <x:v>497.229.598-83</x:v>
      </x:c>
      <x:c r="W2841" s="22" t="str">
        <x:f>"49722959883"</x:f>
        <x:v>49722959883</x:v>
      </x:c>
      <x:c r="X2841" s="23" t="str">
        <x:v>vitorhenriquelima@outlook.com.br</x:v>
      </x:c>
      <x:c r="Y2841" s="22" t="str">
        <x:f>"18 99721-9013"</x:f>
        <x:v>18 99721-9013</x:v>
      </x:c>
      <x:c r="Z2841" s="30" t="str"/>
    </x:row>
    <x:row r="2842" ht="18" customHeight="1">
      <x:c r="A2842" s="22" t="str">
        <x:f>"5c8d23f1-e6b5-44ed-af6e-49e6fbd06e42"</x:f>
        <x:v>5c8d23f1-e6b5-44ed-af6e-49e6fbd06e42</x:v>
      </x:c>
      <x:c r="B2842" s="23" t="str">
        <x:v>MILENA SOUZA NEGRI</x:v>
      </x:c>
      <x:c r="C2842" s="23" t="str">
        <x:v>milena souza negri</x:v>
      </x:c>
      <x:c r="D2842" s="22" t="str">
        <x:f>"60.421.297/0001-90"</x:f>
        <x:v>60.421.297/0001-90</x:v>
      </x:c>
      <x:c r="E2842" s="22" t="str">
        <x:f>"60421297000190"</x:f>
        <x:v>60421297000190</x:v>
      </x:c>
      <x:c r="F2842" s="22" t="str">
        <x:f>"055.171.671-10"</x:f>
        <x:v>055.171.671-10</x:v>
      </x:c>
      <x:c r="G2842" s="22" t="str">
        <x:f>"05517167110"</x:f>
        <x:v>05517167110</x:v>
      </x:c>
      <x:c r="H2842" s="23" t="str">
        <x:v>naildesigner.msn@gmail.com</x:v>
      </x:c>
      <x:c r="I2842" s="22" t="str">
        <x:f>"66996413045"</x:f>
        <x:v>66996413045</x:v>
      </x:c>
      <x:c r="J2842" s="23" t="str">
        <x:v>SPOT</x:v>
      </x:c>
      <x:c r="K2842" s="23" t="str">
        <x:v>favored_only</x:v>
      </x:c>
      <x:c r="L2842" s="24" t="b">
        <x:v>1</x:v>
      </x:c>
      <x:c r="M2842" s="23" t="n">
        <x:v>1</x:v>
      </x:c>
      <x:c r="N2842" s="28" t="n">
        <x:v>46219.79396105324</x:v>
      </x:c>
      <x:c r="O2842" s="28" t="n">
        <x:v>46219.812988715275</x:v>
      </x:c>
      <x:c r="P2842" s="23" t="str">
        <x:v>SINOP</x:v>
      </x:c>
      <x:c r="Q2842" s="30" t="n">
        <x:v>35387</x:v>
      </x:c>
      <x:c r="R2842" s="22" t="str">
        <x:f>"1000992"</x:f>
        <x:v>1000992</x:v>
      </x:c>
      <x:c r="S2842" s="23" t="str">
        <x:v>feminino</x:v>
      </x:c>
      <x:c r="T2842" s="22" t="str">
        <x:f>"KAN0D27"</x:f>
        <x:v>KAN0D27</x:v>
      </x:c>
      <x:c r="U2842" s="23" t="str">
        <x:v>MILENA SOUZA NEGRI</x:v>
      </x:c>
      <x:c r="V2842" s="22" t="str">
        <x:f>"055.171.671-10"</x:f>
        <x:v>055.171.671-10</x:v>
      </x:c>
      <x:c r="W2842" s="22" t="str">
        <x:f>"05517167110"</x:f>
        <x:v>05517167110</x:v>
      </x:c>
      <x:c r="X2842" s="23" t="str">
        <x:v>naildesigner.msn@gmail.com</x:v>
      </x:c>
      <x:c r="Y2842" s="22" t="str">
        <x:f>"66996413045"</x:f>
        <x:v>66996413045</x:v>
      </x:c>
      <x:c r="Z2842" s="30" t="n">
        <x:v>46425</x:v>
      </x:c>
    </x:row>
    <x:row r="2843" ht="18" customHeight="1">
      <x:c r="A2843" s="22" t="str">
        <x:f>"0a96167a-503d-46cb-bd47-ef44edf04d83"</x:f>
        <x:v>0a96167a-503d-46cb-bd47-ef44edf04d83</x:v>
      </x:c>
      <x:c r="B2843" s="23" t="str">
        <x:v>MILENE CEVITHEREZA EMILIANO</x:v>
      </x:c>
      <x:c r="C2843" s="23" t="str">
        <x:v>milene cevithereza emiliano</x:v>
      </x:c>
      <x:c r="D2843" s="22" t="str">
        <x:f>"45.552.178/0001-83"</x:f>
        <x:v>45.552.178/0001-83</x:v>
      </x:c>
      <x:c r="E2843" s="22" t="str">
        <x:f>"45552178000183"</x:f>
        <x:v>45552178000183</x:v>
      </x:c>
      <x:c r="F2843" s="22" t="str">
        <x:f>"846.686.446-68"</x:f>
        <x:v>846.686.446-68</x:v>
      </x:c>
      <x:c r="G2843" s="22" t="str">
        <x:f>"84668644668"</x:f>
        <x:v>84668644668</x:v>
      </x:c>
      <x:c r="H2843" s="23" t="str">
        <x:v>emiliano_milene@yahoo.com</x:v>
      </x:c>
      <x:c r="I2843" s="22" t="str">
        <x:f>"35999811387"</x:f>
        <x:v>35999811387</x:v>
      </x:c>
      <x:c r="J2843" s="23" t="str">
        <x:v>SPOT</x:v>
      </x:c>
      <x:c r="K2843" s="23" t="str">
        <x:v>favored_only</x:v>
      </x:c>
      <x:c r="L2843" s="24" t="b">
        <x:v>1</x:v>
      </x:c>
      <x:c r="M2843" s="23" t="n">
        <x:v>2</x:v>
      </x:c>
      <x:c r="N2843" s="28" t="n">
        <x:v>46205.60441395833</x:v>
      </x:c>
      <x:c r="O2843" s="28" t="n">
        <x:v>46219.812988715275</x:v>
      </x:c>
      <x:c r="P2843" s="23" t="str">
        <x:v>GUAXUPE</x:v>
      </x:c>
      <x:c r="Q2843" s="30" t="n">
        <x:v>26038</x:v>
      </x:c>
      <x:c r="R2843" s="22" t="str">
        <x:f>"12657020"</x:f>
        <x:v>12657020</x:v>
      </x:c>
      <x:c r="S2843" s="23" t="str">
        <x:v>feminino</x:v>
      </x:c>
      <x:c r="T2843" s="22" t="str">
        <x:f>"FNG8B62"</x:f>
        <x:v>FNG8B62</x:v>
      </x:c>
      <x:c r="U2843" s="23" t="str">
        <x:v>GABRIELA MARIA ALIPIO DE SOUZA</x:v>
      </x:c>
      <x:c r="V2843" s="22" t="str">
        <x:f>"125.463.496-78"</x:f>
        <x:v>125.463.496-78</x:v>
      </x:c>
      <x:c r="W2843" s="22" t="str">
        <x:f>"12546349678"</x:f>
        <x:v>12546349678</x:v>
      </x:c>
      <x:c r="X2843" s="23" t="str">
        <x:v>GABIMARIA878@GMAIL.COM</x:v>
      </x:c>
      <x:c r="Y2843" s="22" t="str">
        <x:f>"35992293240"</x:f>
        <x:v>35992293240</x:v>
      </x:c>
      <x:c r="Z2843" s="30" t="n">
        <x:v>46274</x:v>
      </x:c>
    </x:row>
    <x:row r="2844" ht="18" customHeight="1">
      <x:c r="A2844" s="22" t="str">
        <x:f>"9322673e-2cd5-40ca-b984-b8df34c1c437"</x:f>
        <x:v>9322673e-2cd5-40ca-b984-b8df34c1c437</x:v>
      </x:c>
      <x:c r="B2844" s="23" t="str">
        <x:v>MILENE KERBER LOCATELLI</x:v>
      </x:c>
      <x:c r="C2844" s="23" t="str">
        <x:v>milene kerber locatelli</x:v>
      </x:c>
      <x:c r="D2844" s="22" t="str">
        <x:f>"40.930.797/0001-40"</x:f>
        <x:v>40.930.797/0001-40</x:v>
      </x:c>
      <x:c r="E2844" s="22" t="str">
        <x:f>"40930797000140"</x:f>
        <x:v>40930797000140</x:v>
      </x:c>
      <x:c r="F2844" s="22" t="str">
        <x:f>"010.086.221-76"</x:f>
        <x:v>010.086.221-76</x:v>
      </x:c>
      <x:c r="G2844" s="22" t="str">
        <x:f>"01008622176"</x:f>
        <x:v>01008622176</x:v>
      </x:c>
      <x:c r="H2844" s="23" t="str">
        <x:v>melissalocatelligoncalves@gmail.com</x:v>
      </x:c>
      <x:c r="I2844" s="22" t="str">
        <x:f>"6799161748"</x:f>
        <x:v>6799161748</x:v>
      </x:c>
      <x:c r="J2844" s="23" t="str">
        <x:v>SPOT</x:v>
      </x:c>
      <x:c r="K2844" s="23" t="str">
        <x:v>favored_only</x:v>
      </x:c>
      <x:c r="L2844" s="24" t="b">
        <x:v>1</x:v>
      </x:c>
      <x:c r="M2844" s="23" t="n">
        <x:v>1</x:v>
      </x:c>
      <x:c r="N2844" s="28" t="n">
        <x:v>46205.60298315972</x:v>
      </x:c>
      <x:c r="O2844" s="28" t="n">
        <x:v>46219.812988715275</x:v>
      </x:c>
      <x:c r="P2844" s="23" t="str">
        <x:v>CHAPADÃO DO SUL</x:v>
      </x:c>
      <x:c r="Q2844" s="30" t="n">
        <x:v>31523</x:v>
      </x:c>
      <x:c r="R2844" s="22" t="str">
        <x:f>"1274839"</x:f>
        <x:v>1274839</x:v>
      </x:c>
      <x:c r="S2844" s="23" t="str">
        <x:v>feminino</x:v>
      </x:c>
      <x:c r="T2844" s="22" t="str">
        <x:f>"ook6b01"</x:f>
        <x:v>ook6b01</x:v>
      </x:c>
      <x:c r="U2844" s="23" t="str">
        <x:v>MARCIA CARINA LOCATELLI LIMA</x:v>
      </x:c>
      <x:c r="V2844" s="22" t="str">
        <x:f>"717.151.421-87"</x:f>
        <x:v>717.151.421-87</x:v>
      </x:c>
      <x:c r="W2844" s="22" t="str">
        <x:f>"71715142187"</x:f>
        <x:v>71715142187</x:v>
      </x:c>
      <x:c r="X2844" s="23" t="str">
        <x:v>marciacarinalocatelli@hotmail.com</x:v>
      </x:c>
      <x:c r="Y2844" s="22" t="str">
        <x:f>"6799161748"</x:f>
        <x:v>6799161748</x:v>
      </x:c>
      <x:c r="Z2844" s="30" t="n">
        <x:v>46339</x:v>
      </x:c>
    </x:row>
    <x:row r="2845" ht="18" customHeight="1">
      <x:c r="A2845" s="22" t="str">
        <x:f>"25c97de7-3022-419e-b995-6e8d456bed2b"</x:f>
        <x:v>25c97de7-3022-419e-b995-6e8d456bed2b</x:v>
      </x:c>
      <x:c r="B2845" s="23" t="str">
        <x:v>MILTON NERES DE RESENDE JUNIOR</x:v>
      </x:c>
      <x:c r="C2845" s="23" t="str">
        <x:v>milton neres de resende junior</x:v>
      </x:c>
      <x:c r="D2845" s="22" t="str">
        <x:f>"64.519.039/0001-00"</x:f>
        <x:v>64.519.039/0001-00</x:v>
      </x:c>
      <x:c r="E2845" s="22" t="str">
        <x:f>"64519039000100"</x:f>
        <x:v>64519039000100</x:v>
      </x:c>
      <x:c r="F2845" s="22" t="str">
        <x:f>"079.734.866-23"</x:f>
        <x:v>079.734.866-23</x:v>
      </x:c>
      <x:c r="G2845" s="22" t="str">
        <x:f>"07973486623"</x:f>
        <x:v>07973486623</x:v>
      </x:c>
      <x:c r="H2845" s="23" t="str">
        <x:v>neresmilton61@gmail.com</x:v>
      </x:c>
      <x:c r="I2845" s="22" t="str">
        <x:f>"34 8439-0657"</x:f>
        <x:v>34 8439-0657</x:v>
      </x:c>
      <x:c r="J2845" s="23" t="str">
        <x:v>MG</x:v>
      </x:c>
      <x:c r="K2845" s="23" t="str">
        <x:v>favored_only</x:v>
      </x:c>
      <x:c r="L2845" s="24" t="b">
        <x:v>1</x:v>
      </x:c>
      <x:c r="M2845" s="23" t="n">
        <x:v>1</x:v>
      </x:c>
      <x:c r="N2845" s="28" t="n">
        <x:v>46219.812988715275</x:v>
      </x:c>
      <x:c r="O2845" s="28" t="n">
        <x:v>46219.812988715275</x:v>
      </x:c>
      <x:c r="P2845" s="23" t="str">
        <x:v>ARAXÁ</x:v>
      </x:c>
      <x:c r="Q2845" s="30" t="n">
        <x:v>31513</x:v>
      </x:c>
      <x:c r="R2845" s="22" t="str">
        <x:f>"MG13950643"</x:f>
        <x:v>MG13950643</x:v>
      </x:c>
      <x:c r="S2845" s="23" t="str">
        <x:v>masculino</x:v>
      </x:c>
      <x:c r="T2845" s="22" t="str">
        <x:f>"RVYPC92"</x:f>
        <x:v>RVYPC92</x:v>
      </x:c>
      <x:c r="U2845" s="23" t="str">
        <x:v>MILTON NERES DE RESENDE JUNIOR</x:v>
      </x:c>
      <x:c r="V2845" s="22" t="str">
        <x:f>"079.734.866-23"</x:f>
        <x:v>079.734.866-23</x:v>
      </x:c>
      <x:c r="W2845" s="22" t="str">
        <x:f>"07973486623"</x:f>
        <x:v>07973486623</x:v>
      </x:c>
      <x:c r="X2845" s="23" t="str">
        <x:v>neresmilton61@gmail.com</x:v>
      </x:c>
      <x:c r="Y2845" s="22" t="str">
        <x:f>"34 8439-0657"</x:f>
        <x:v>34 8439-0657</x:v>
      </x:c>
      <x:c r="Z2845" s="30" t="n">
        <x:v>46404</x:v>
      </x:c>
    </x:row>
    <x:row r="2846" ht="18" customHeight="1">
      <x:c r="A2846" s="22" t="str">
        <x:f>"5fa6a6f0-c4e2-4563-9386-a85505b68e0b"</x:f>
        <x:v>5fa6a6f0-c4e2-4563-9386-a85505b68e0b</x:v>
      </x:c>
      <x:c r="B2846" s="23" t="str">
        <x:v>MILTON NERES DE RESENDE JUNIOR</x:v>
      </x:c>
      <x:c r="C2846" s="23" t="str">
        <x:v>milton neres de resende junior</x:v>
      </x:c>
      <x:c r="D2846" s="22" t="str">
        <x:f>"33.723.088/0001-29"</x:f>
        <x:v>33.723.088/0001-29</x:v>
      </x:c>
      <x:c r="E2846" s="22" t="str">
        <x:f>"33723088000129"</x:f>
        <x:v>33723088000129</x:v>
      </x:c>
      <x:c r="F2846" s="22" t="str">
        <x:f>"079.734.866-23"</x:f>
        <x:v>079.734.866-23</x:v>
      </x:c>
      <x:c r="G2846" s="22" t="str">
        <x:f>"07973486623"</x:f>
        <x:v>07973486623</x:v>
      </x:c>
      <x:c r="H2846" s="23" t="str">
        <x:v>neresmilton61@gmail.com</x:v>
      </x:c>
      <x:c r="I2846" s="22" t="str">
        <x:f>"34 8439-0657"</x:f>
        <x:v>34 8439-0657</x:v>
      </x:c>
      <x:c r="J2846" s="23" t="str">
        <x:v>SPOT</x:v>
      </x:c>
      <x:c r="K2846" s="23" t="str">
        <x:v>favored_only</x:v>
      </x:c>
      <x:c r="L2846" s="24" t="b">
        <x:v>1</x:v>
      </x:c>
      <x:c r="M2846" s="23" t="n">
        <x:v>1</x:v>
      </x:c>
      <x:c r="N2846" s="28" t="n">
        <x:v>46203.92189965278</x:v>
      </x:c>
      <x:c r="O2846" s="28" t="n">
        <x:v>46219.812988715275</x:v>
      </x:c>
      <x:c r="P2846" s="23" t="str">
        <x:v>ARAXÁ</x:v>
      </x:c>
      <x:c r="Q2846" s="30" t="n">
        <x:v>31513</x:v>
      </x:c>
      <x:c r="R2846" s="22" t="str">
        <x:f>"MG13950643"</x:f>
        <x:v>MG13950643</x:v>
      </x:c>
      <x:c r="S2846" s="23" t="str">
        <x:v>masculino</x:v>
      </x:c>
      <x:c r="T2846" s="22" t="str">
        <x:f>"RVY9C92"</x:f>
        <x:v>RVY9C92</x:v>
      </x:c>
      <x:c r="U2846" s="23" t="str">
        <x:v>MILTON NERES DE RESENDE JUNIOR</x:v>
      </x:c>
      <x:c r="V2846" s="22" t="str">
        <x:f>"079.734.866-23"</x:f>
        <x:v>079.734.866-23</x:v>
      </x:c>
      <x:c r="W2846" s="22" t="str">
        <x:f>"07973486623"</x:f>
        <x:v>07973486623</x:v>
      </x:c>
      <x:c r="X2846" s="23" t="str">
        <x:v>neresmilton61@gmail.com</x:v>
      </x:c>
      <x:c r="Y2846" s="22" t="str">
        <x:f>"34 8439-0657"</x:f>
        <x:v>34 8439-0657</x:v>
      </x:c>
      <x:c r="Z2846" s="30" t="n">
        <x:v>46385</x:v>
      </x:c>
    </x:row>
    <x:row r="2847" ht="18" customHeight="1">
      <x:c r="A2847" s="22" t="str">
        <x:f>"c67d4f18-390a-4656-bdbb-7820b129406c"</x:f>
        <x:v>c67d4f18-390a-4656-bdbb-7820b129406c</x:v>
      </x:c>
      <x:c r="B2847" s="23" t="str">
        <x:v>MIQUEIAS COSTAS RAMOS</x:v>
      </x:c>
      <x:c r="C2847" s="23" t="str">
        <x:v>miqueias costas ramos</x:v>
      </x:c>
      <x:c r="D2847" s="22" t="str">
        <x:f>"63.376.418/0001-18"</x:f>
        <x:v>63.376.418/0001-18</x:v>
      </x:c>
      <x:c r="E2847" s="22" t="str">
        <x:f>"63376418000118"</x:f>
        <x:v>63376418000118</x:v>
      </x:c>
      <x:c r="F2847" s="22" t="str">
        <x:f>"129.458.476-63"</x:f>
        <x:v>129.458.476-63</x:v>
      </x:c>
      <x:c r="G2847" s="22" t="str">
        <x:f>"12945847663"</x:f>
        <x:v>12945847663</x:v>
      </x:c>
      <x:c r="H2847" s="23" t="str">
        <x:v>miqueiascostar.11@gmail.com</x:v>
      </x:c>
      <x:c r="I2847" s="22" t="str">
        <x:f>"33 9985-6443"</x:f>
        <x:v>33 9985-6443</x:v>
      </x:c>
      <x:c r="J2847" s="23" t="str">
        <x:v>spot</x:v>
      </x:c>
      <x:c r="K2847" s="23" t="str">
        <x:v>favored_only</x:v>
      </x:c>
      <x:c r="L2847" s="24" t="b">
        <x:v>1</x:v>
      </x:c>
      <x:c r="M2847" s="23" t="n">
        <x:v>1</x:v>
      </x:c>
      <x:c r="N2847" s="28" t="n">
        <x:v>46219.812988715275</x:v>
      </x:c>
      <x:c r="O2847" s="28" t="n">
        <x:v>46219.812988715275</x:v>
      </x:c>
      <x:c r="P2847" s="23" t="str">
        <x:v>TEOFILO OTONI</x:v>
      </x:c>
      <x:c r="Q2847" s="30" t="n">
        <x:v>35371</x:v>
      </x:c>
      <x:c r="R2847" s="22" t="str">
        <x:f>"19209945"</x:f>
        <x:v>19209945</x:v>
      </x:c>
      <x:c r="S2847" s="23" t="str">
        <x:v>masculino</x:v>
      </x:c>
      <x:c r="T2847" s="22" t="str">
        <x:f>"FHN4J38"</x:f>
        <x:v>FHN4J38</x:v>
      </x:c>
      <x:c r="U2847" s="23" t="str">
        <x:v>MIQUEIAS COSTAS RAMOS</x:v>
      </x:c>
      <x:c r="V2847" s="22" t="str">
        <x:f>"129.458.476-63"</x:f>
        <x:v>129.458.476-63</x:v>
      </x:c>
      <x:c r="W2847" s="22" t="str">
        <x:f>"12945847663"</x:f>
        <x:v>12945847663</x:v>
      </x:c>
      <x:c r="X2847" s="23" t="str">
        <x:v>miqueiascostar.11@gmail.com</x:v>
      </x:c>
      <x:c r="Y2847" s="22" t="str">
        <x:f>"33 9985-6443"</x:f>
        <x:v>33 9985-6443</x:v>
      </x:c>
      <x:c r="Z2847" s="30" t="n">
        <x:v>46581</x:v>
      </x:c>
    </x:row>
    <x:row r="2848" ht="18" customHeight="1">
      <x:c r="A2848" s="22" t="str">
        <x:f>"45644a0d-8516-4174-bd9e-859e49ef9e65"</x:f>
        <x:v>45644a0d-8516-4174-bd9e-859e49ef9e65</x:v>
      </x:c>
      <x:c r="B2848" s="23" t="str">
        <x:v>MIRIAN DA SILVA PRASERES</x:v>
      </x:c>
      <x:c r="C2848" s="23" t="str">
        <x:v>mirian da silva praseres</x:v>
      </x:c>
      <x:c r="D2848" s="22" t="str">
        <x:f>"19.185.356/0001-75"</x:f>
        <x:v>19.185.356/0001-75</x:v>
      </x:c>
      <x:c r="E2848" s="22" t="str">
        <x:f>"19185356000175"</x:f>
        <x:v>19185356000175</x:v>
      </x:c>
      <x:c r="F2848" s="22" t="str">
        <x:f>"12323627783"</x:f>
        <x:v>12323627783</x:v>
      </x:c>
      <x:c r="G2848" s="22" t="str">
        <x:f>"12323627783"</x:f>
        <x:v>12323627783</x:v>
      </x:c>
      <x:c r="H2848" s="23" t="str">
        <x:v>mmgustavorenato@hotmail.com</x:v>
      </x:c>
      <x:c r="I2848" s="22" t="str">
        <x:f>"2197020-1197"</x:f>
        <x:v>2197020-1197</x:v>
      </x:c>
      <x:c r="J2848" s="23" t="str">
        <x:v>SPOT</x:v>
      </x:c>
      <x:c r="K2848" s="23" t="str">
        <x:v>favored_only</x:v>
      </x:c>
      <x:c r="L2848" s="24" t="b">
        <x:v>1</x:v>
      </x:c>
      <x:c r="M2848" s="23" t="n">
        <x:v>1</x:v>
      </x:c>
      <x:c r="N2848" s="28" t="n">
        <x:v>46203.9219084375</x:v>
      </x:c>
      <x:c r="O2848" s="28" t="n">
        <x:v>46203.9219084375</x:v>
      </x:c>
      <x:c r="P2848" s="23" t="str"/>
      <x:c r="Q2848" s="30" t="str"/>
      <x:c r="R2848" s="22" t="str"/>
      <x:c r="S2848" s="23" t="str"/>
      <x:c r="T2848" s="22" t="str"/>
      <x:c r="U2848" s="23" t="str">
        <x:v>MIRIAN DA SILVA PRASERES</x:v>
      </x:c>
      <x:c r="V2848" s="22" t="str">
        <x:f>"12323627783"</x:f>
        <x:v>12323627783</x:v>
      </x:c>
      <x:c r="W2848" s="22" t="str">
        <x:f>"12323627783"</x:f>
        <x:v>12323627783</x:v>
      </x:c>
      <x:c r="X2848" s="23" t="str">
        <x:v>mmgustavorenato@hotmail.com</x:v>
      </x:c>
      <x:c r="Y2848" s="22" t="str">
        <x:f>"2197020-1197"</x:f>
        <x:v>2197020-1197</x:v>
      </x:c>
      <x:c r="Z2848" s="30" t="str"/>
    </x:row>
    <x:row r="2849" ht="18" customHeight="1">
      <x:c r="A2849" s="22" t="str">
        <x:f>"e6daf9a3-a260-4b22-bf35-24443aba0ba7"</x:f>
        <x:v>e6daf9a3-a260-4b22-bf35-24443aba0ba7</x:v>
      </x:c>
      <x:c r="B2849" s="23" t="str">
        <x:v>MIRIAN SILVESTRE DE OLIVEIRA</x:v>
      </x:c>
      <x:c r="C2849" s="23" t="str">
        <x:v>mirian silvestre de oliveira</x:v>
      </x:c>
      <x:c r="D2849" s="22" t="str">
        <x:f>"63.266.476/0001-99"</x:f>
        <x:v>63.266.476/0001-99</x:v>
      </x:c>
      <x:c r="E2849" s="22" t="str">
        <x:f>"63266476000199"</x:f>
        <x:v>63266476000199</x:v>
      </x:c>
      <x:c r="F2849" s="22" t="str">
        <x:f>"256.274.328-88"</x:f>
        <x:v>256.274.328-88</x:v>
      </x:c>
      <x:c r="G2849" s="22" t="str">
        <x:f>"25627432888"</x:f>
        <x:v>25627432888</x:v>
      </x:c>
      <x:c r="H2849" s="23" t="str">
        <x:v>minaesju@outlook.com</x:v>
      </x:c>
      <x:c r="I2849" s="22" t="str">
        <x:f>"17997180041"</x:f>
        <x:v>17997180041</x:v>
      </x:c>
      <x:c r="J2849" s="23" t="str">
        <x:v>RENTAL</x:v>
      </x:c>
      <x:c r="K2849" s="23" t="str">
        <x:v>rental_company</x:v>
      </x:c>
      <x:c r="L2849" s="24" t="b">
        <x:v>1</x:v>
      </x:c>
      <x:c r="M2849" s="23" t="n">
        <x:v>1</x:v>
      </x:c>
      <x:c r="N2849" s="28" t="n">
        <x:v>46203.9218771875</x:v>
      </x:c>
      <x:c r="O2849" s="28" t="n">
        <x:v>46219.812988715275</x:v>
      </x:c>
      <x:c r="P2849" s="23" t="str">
        <x:v>JALES</x:v>
      </x:c>
      <x:c r="Q2849" s="30" t="n">
        <x:v>27885</x:v>
      </x:c>
      <x:c r="R2849" s="22" t="str">
        <x:f>"24695857"</x:f>
        <x:v>24695857</x:v>
      </x:c>
      <x:c r="S2849" s="23" t="str">
        <x:v>feminino</x:v>
      </x:c>
      <x:c r="T2849" s="22" t="str"/>
      <x:c r="U2849" s="23" t="str">
        <x:v>MIRIAN SILVESTRE DE OLIVEIRA</x:v>
      </x:c>
      <x:c r="V2849" s="22" t="str">
        <x:f>"256.274.328-88"</x:f>
        <x:v>256.274.328-88</x:v>
      </x:c>
      <x:c r="W2849" s="22" t="str">
        <x:f>"25627432888"</x:f>
        <x:v>25627432888</x:v>
      </x:c>
      <x:c r="X2849" s="23" t="str">
        <x:v>minaesju@outlook.com</x:v>
      </x:c>
      <x:c r="Y2849" s="22" t="str">
        <x:f>"17997180041"</x:f>
        <x:v>17997180041</x:v>
      </x:c>
      <x:c r="Z2849" s="30" t="n">
        <x:v>46315</x:v>
      </x:c>
    </x:row>
    <x:row r="2850" ht="18" customHeight="1">
      <x:c r="A2850" s="22" t="str">
        <x:f>"3e8be98f-fec8-49ea-8a08-fc7e82b217d0"</x:f>
        <x:v>3e8be98f-fec8-49ea-8a08-fc7e82b217d0</x:v>
      </x:c>
      <x:c r="B2850" s="23" t="str">
        <x:v>MISAEL BARBOSA DOS REIS</x:v>
      </x:c>
      <x:c r="C2850" s="23" t="str">
        <x:v>misael barbosa dos reis</x:v>
      </x:c>
      <x:c r="D2850" s="22" t="str">
        <x:f>"67.797.303/0001-58"</x:f>
        <x:v>67.797.303/0001-58</x:v>
      </x:c>
      <x:c r="E2850" s="22" t="str">
        <x:f>"67797303000158"</x:f>
        <x:v>67797303000158</x:v>
      </x:c>
      <x:c r="F2850" s="22" t="str">
        <x:f>"088.365.606-01"</x:f>
        <x:v>088.365.606-01</x:v>
      </x:c>
      <x:c r="G2850" s="22" t="str">
        <x:f>"08836560601"</x:f>
        <x:v>08836560601</x:v>
      </x:c>
      <x:c r="H2850" s="23" t="str">
        <x:v>misakkeranger@gmail.com</x:v>
      </x:c>
      <x:c r="I2850" s="22" t="str">
        <x:f>"35 99110-5311"</x:f>
        <x:v>35 99110-5311</x:v>
      </x:c>
      <x:c r="J2850" s="23" t="str">
        <x:v>RENTAL</x:v>
      </x:c>
      <x:c r="K2850" s="23" t="str">
        <x:v>rental_company</x:v>
      </x:c>
      <x:c r="L2850" s="24" t="b">
        <x:v>1</x:v>
      </x:c>
      <x:c r="M2850" s="23" t="n">
        <x:v>1</x:v>
      </x:c>
      <x:c r="N2850" s="28" t="n">
        <x:v>46219.812988715275</x:v>
      </x:c>
      <x:c r="O2850" s="28" t="n">
        <x:v>46219.812988715275</x:v>
      </x:c>
      <x:c r="P2850" s="23" t="str">
        <x:v>POCOS DE CALDAS</x:v>
      </x:c>
      <x:c r="Q2850" s="30" t="n">
        <x:v>32400</x:v>
      </x:c>
      <x:c r="R2850" s="22" t="str">
        <x:f>"15119444"</x:f>
        <x:v>15119444</x:v>
      </x:c>
      <x:c r="S2850" s="23" t="str">
        <x:v>masculino</x:v>
      </x:c>
      <x:c r="T2850" s="22" t="str"/>
      <x:c r="U2850" s="23" t="str">
        <x:v>MISAEL BARBOSA DOS REIS</x:v>
      </x:c>
      <x:c r="V2850" s="22" t="str">
        <x:f>"088.365.606-01"</x:f>
        <x:v>088.365.606-01</x:v>
      </x:c>
      <x:c r="W2850" s="22" t="str">
        <x:f>"08836560601"</x:f>
        <x:v>08836560601</x:v>
      </x:c>
      <x:c r="X2850" s="23" t="str">
        <x:v>misakkeranger@gmail.com</x:v>
      </x:c>
      <x:c r="Y2850" s="22" t="str">
        <x:f>"35 99110-5311"</x:f>
        <x:v>35 99110-5311</x:v>
      </x:c>
      <x:c r="Z2850" s="30" t="n">
        <x:v>46583</x:v>
      </x:c>
    </x:row>
    <x:row r="2851" ht="18" customHeight="1">
      <x:c r="A2851" s="22" t="str">
        <x:f>"172cafad-38a1-445b-852c-8572bfc3c7ec"</x:f>
        <x:v>172cafad-38a1-445b-852c-8572bfc3c7ec</x:v>
      </x:c>
      <x:c r="B2851" s="23" t="str">
        <x:v>MISAEL WILLIAM SOARES RIBEIRO</x:v>
      </x:c>
      <x:c r="C2851" s="23" t="str">
        <x:v>misael william soares ribeiro</x:v>
      </x:c>
      <x:c r="D2851" s="22" t="str">
        <x:f>"54.333.286/0001-56"</x:f>
        <x:v>54.333.286/0001-56</x:v>
      </x:c>
      <x:c r="E2851" s="22" t="str">
        <x:f>"54333286000156"</x:f>
        <x:v>54333286000156</x:v>
      </x:c>
      <x:c r="F2851" s="22" t="str">
        <x:f>"099.257.536-27"</x:f>
        <x:v>099.257.536-27</x:v>
      </x:c>
      <x:c r="G2851" s="22" t="str">
        <x:f>"09925753627"</x:f>
        <x:v>09925753627</x:v>
      </x:c>
      <x:c r="H2851" s="23" t="str">
        <x:v>misael.contato@hotmail.com</x:v>
      </x:c>
      <x:c r="I2851" s="22" t="str">
        <x:f>"31995854977"</x:f>
        <x:v>31995854977</x:v>
      </x:c>
      <x:c r="J2851" s="23" t="str">
        <x:v>SPOT</x:v>
      </x:c>
      <x:c r="K2851" s="23" t="str">
        <x:v>favored_only</x:v>
      </x:c>
      <x:c r="L2851" s="24" t="b">
        <x:v>1</x:v>
      </x:c>
      <x:c r="M2851" s="23" t="n">
        <x:v>1</x:v>
      </x:c>
      <x:c r="N2851" s="28" t="n">
        <x:v>46219.812988715275</x:v>
      </x:c>
      <x:c r="O2851" s="28" t="n">
        <x:v>46219.812988715275</x:v>
      </x:c>
      <x:c r="P2851" s="23" t="str">
        <x:v>PATOS DE MINAS</x:v>
      </x:c>
      <x:c r="Q2851" s="30" t="n">
        <x:v>34564</x:v>
      </x:c>
      <x:c r="R2851" s="22" t="str">
        <x:f>"MG15163915"</x:f>
        <x:v>MG15163915</x:v>
      </x:c>
      <x:c r="S2851" s="23" t="str">
        <x:v>masculino</x:v>
      </x:c>
      <x:c r="T2851" s="22" t="str">
        <x:f>"RNV2A47"</x:f>
        <x:v>RNV2A47</x:v>
      </x:c>
      <x:c r="U2851" s="23" t="str">
        <x:v>MISAEL WILLIAM SOARES RIBEIRO</x:v>
      </x:c>
      <x:c r="V2851" s="22" t="str">
        <x:f>"099.257.536-27"</x:f>
        <x:v>099.257.536-27</x:v>
      </x:c>
      <x:c r="W2851" s="22" t="str">
        <x:f>"09925753627"</x:f>
        <x:v>09925753627</x:v>
      </x:c>
      <x:c r="X2851" s="23" t="str">
        <x:v>misael.contato@hotmail.com</x:v>
      </x:c>
      <x:c r="Y2851" s="22" t="str">
        <x:f>"31995854977"</x:f>
        <x:v>31995854977</x:v>
      </x:c>
      <x:c r="Z2851" s="30" t="n">
        <x:v>46568</x:v>
      </x:c>
    </x:row>
    <x:row r="2852" ht="18" customHeight="1">
      <x:c r="A2852" s="22" t="str">
        <x:f>"f84b7c13-bbd7-4e5b-850e-bd027cc8d2d6"</x:f>
        <x:v>f84b7c13-bbd7-4e5b-850e-bd027cc8d2d6</x:v>
      </x:c>
      <x:c r="B2852" s="23" t="str">
        <x:v>MIZAEL DE SOUZA HIRLE</x:v>
      </x:c>
      <x:c r="C2852" s="23" t="str">
        <x:v>mizael de souza hirle</x:v>
      </x:c>
      <x:c r="D2852" s="22" t="str">
        <x:f>"54.233.639/0001-46"</x:f>
        <x:v>54.233.639/0001-46</x:v>
      </x:c>
      <x:c r="E2852" s="22" t="str">
        <x:f>"54233639000146"</x:f>
        <x:v>54233639000146</x:v>
      </x:c>
      <x:c r="F2852" s="22" t="str">
        <x:f>"118.277.626-40"</x:f>
        <x:v>118.277.626-40</x:v>
      </x:c>
      <x:c r="G2852" s="22" t="str">
        <x:f>"11827762640"</x:f>
        <x:v>11827762640</x:v>
      </x:c>
      <x:c r="H2852" s="23" t="str">
        <x:v>mizahirle30@outlook.com</x:v>
      </x:c>
      <x:c r="I2852" s="22" t="str">
        <x:f>"33998348101"</x:f>
        <x:v>33998348101</x:v>
      </x:c>
      <x:c r="J2852" s="23" t="str">
        <x:v>SPOT</x:v>
      </x:c>
      <x:c r="K2852" s="23" t="str">
        <x:v>favored_only</x:v>
      </x:c>
      <x:c r="L2852" s="24" t="b">
        <x:v>1</x:v>
      </x:c>
      <x:c r="M2852" s="23" t="n">
        <x:v>1</x:v>
      </x:c>
      <x:c r="N2852" s="28" t="n">
        <x:v>46203.921824756944</x:v>
      </x:c>
      <x:c r="O2852" s="28" t="n">
        <x:v>46219.812988715275</x:v>
      </x:c>
      <x:c r="P2852" s="23" t="str">
        <x:v>TEOFILO OTONI</x:v>
      </x:c>
      <x:c r="Q2852" s="30" t="n">
        <x:v>34211</x:v>
      </x:c>
      <x:c r="R2852" s="22" t="str">
        <x:f>"18211000"</x:f>
        <x:v>18211000</x:v>
      </x:c>
      <x:c r="S2852" s="23" t="str">
        <x:v>masculino</x:v>
      </x:c>
      <x:c r="T2852" s="22" t="str">
        <x:f>"HKM3H72"</x:f>
        <x:v>HKM3H72</x:v>
      </x:c>
      <x:c r="U2852" s="23" t="str">
        <x:v>MIZAEL DE SOUZA HIRLE</x:v>
      </x:c>
      <x:c r="V2852" s="22" t="str">
        <x:f>"118.277.626-40"</x:f>
        <x:v>118.277.626-40</x:v>
      </x:c>
      <x:c r="W2852" s="22" t="str">
        <x:f>"11827762640"</x:f>
        <x:v>11827762640</x:v>
      </x:c>
      <x:c r="X2852" s="23" t="str">
        <x:v>mizahirle30@outlook.com</x:v>
      </x:c>
      <x:c r="Y2852" s="22" t="str">
        <x:f>"33998348101"</x:f>
        <x:v>33998348101</x:v>
      </x:c>
      <x:c r="Z2852" s="30" t="n">
        <x:v>46063</x:v>
      </x:c>
    </x:row>
    <x:row r="2853" ht="18" customHeight="1">
      <x:c r="A2853" s="22" t="str">
        <x:f>"13fac959-e03e-40aa-95bb-41432691960d"</x:f>
        <x:v>13fac959-e03e-40aa-95bb-41432691960d</x:v>
      </x:c>
      <x:c r="B2853" s="23" t="str">
        <x:v>MIZAEL RODRIGUES DOS SANTOS</x:v>
      </x:c>
      <x:c r="C2853" s="23" t="str">
        <x:v>mizael rodrigues dos santos</x:v>
      </x:c>
      <x:c r="D2853" s="22" t="str">
        <x:f>"61.559.547/0001-16"</x:f>
        <x:v>61.559.547/0001-16</x:v>
      </x:c>
      <x:c r="E2853" s="22" t="str">
        <x:f>"61559547000116"</x:f>
        <x:v>61559547000116</x:v>
      </x:c>
      <x:c r="F2853" s="22" t="str">
        <x:f>"355.848.758-30"</x:f>
        <x:v>355.848.758-30</x:v>
      </x:c>
      <x:c r="G2853" s="22" t="str">
        <x:f>"35584875830"</x:f>
        <x:v>35584875830</x:v>
      </x:c>
      <x:c r="H2853" s="23" t="str">
        <x:v>mizael.rodrigues120416@gmail.com</x:v>
      </x:c>
      <x:c r="I2853" s="22" t="str">
        <x:f>"11918219153"</x:f>
        <x:v>11918219153</x:v>
      </x:c>
      <x:c r="J2853" s="23" t="str">
        <x:v>RENTAL</x:v>
      </x:c>
      <x:c r="K2853" s="23" t="str">
        <x:v>rental_company</x:v>
      </x:c>
      <x:c r="L2853" s="24" t="b">
        <x:v>1</x:v>
      </x:c>
      <x:c r="M2853" s="23" t="n">
        <x:v>1</x:v>
      </x:c>
      <x:c r="N2853" s="28" t="n">
        <x:v>46203.92183332176</x:v>
      </x:c>
      <x:c r="O2853" s="28" t="n">
        <x:v>46205.60466451389</x:v>
      </x:c>
      <x:c r="P2853" s="23" t="str">
        <x:v>MADEIRA MADEIRA</x:v>
      </x:c>
      <x:c r="Q2853" s="30" t="n">
        <x:v>31242</x:v>
      </x:c>
      <x:c r="R2853" s="22" t="str">
        <x:f>"451600162"</x:f>
        <x:v>451600162</x:v>
      </x:c>
      <x:c r="S2853" s="23" t="str">
        <x:v>Masculino</x:v>
      </x:c>
      <x:c r="T2853" s="22" t="str"/>
      <x:c r="U2853" s="23" t="str">
        <x:v>MIZAEL RODRIGUES DOS SANTOS</x:v>
      </x:c>
      <x:c r="V2853" s="22" t="str">
        <x:f>"35584875830"</x:f>
        <x:v>35584875830</x:v>
      </x:c>
      <x:c r="W2853" s="22" t="str">
        <x:f>"35584875830"</x:f>
        <x:v>35584875830</x:v>
      </x:c>
      <x:c r="X2853" s="23" t="str">
        <x:v>mizael.rodrigues120416@gmail.com</x:v>
      </x:c>
      <x:c r="Y2853" s="22" t="str">
        <x:f>"11918219153"</x:f>
        <x:v>11918219153</x:v>
      </x:c>
      <x:c r="Z2853" s="30" t="n">
        <x:v>46206</x:v>
      </x:c>
    </x:row>
    <x:row r="2854" ht="18" customHeight="1">
      <x:c r="A2854" s="22" t="str">
        <x:f>"160350af-60de-4a2a-bd2c-c0f18bd8aec0"</x:f>
        <x:v>160350af-60de-4a2a-bd2c-c0f18bd8aec0</x:v>
      </x:c>
      <x:c r="B2854" s="23" t="str">
        <x:v>MOISES ELIAS SANTOS DA SILVA</x:v>
      </x:c>
      <x:c r="C2854" s="23" t="str">
        <x:v>moises elias santos da silva</x:v>
      </x:c>
      <x:c r="D2854" s="22" t="str">
        <x:f>"63.554.707/0001-60"</x:f>
        <x:v>63.554.707/0001-60</x:v>
      </x:c>
      <x:c r="E2854" s="22" t="str">
        <x:f>"63554707000160"</x:f>
        <x:v>63554707000160</x:v>
      </x:c>
      <x:c r="F2854" s="22" t="str">
        <x:f>"440.761.538-98"</x:f>
        <x:v>440.761.538-98</x:v>
      </x:c>
      <x:c r="G2854" s="22" t="str">
        <x:f>"44076153898"</x:f>
        <x:v>44076153898</x:v>
      </x:c>
      <x:c r="H2854" s="23" t="str">
        <x:v>Moiseselias2604@gmail.com</x:v>
      </x:c>
      <x:c r="I2854" s="22" t="str">
        <x:f>"18998134758"</x:f>
        <x:v>18998134758</x:v>
      </x:c>
      <x:c r="J2854" s="23" t="str">
        <x:v>RENTAL</x:v>
      </x:c>
      <x:c r="K2854" s="23" t="str">
        <x:v>rental_company</x:v>
      </x:c>
      <x:c r="L2854" s="24" t="b">
        <x:v>1</x:v>
      </x:c>
      <x:c r="M2854" s="23" t="n">
        <x:v>2</x:v>
      </x:c>
      <x:c r="N2854" s="28" t="n">
        <x:v>46203.9219084375</x:v>
      </x:c>
      <x:c r="O2854" s="28" t="n">
        <x:v>46219.812988715275</x:v>
      </x:c>
      <x:c r="P2854" s="23" t="str">
        <x:v>PRESIDENTE PRUDENTE</x:v>
      </x:c>
      <x:c r="Q2854" s="30" t="n">
        <x:v>37098</x:v>
      </x:c>
      <x:c r="R2854" s="22" t="str">
        <x:f>"552432404"</x:f>
        <x:v>552432404</x:v>
      </x:c>
      <x:c r="S2854" s="23" t="str">
        <x:v>masculino</x:v>
      </x:c>
      <x:c r="T2854" s="22" t="str"/>
      <x:c r="U2854" s="23" t="str">
        <x:v>MOISES ELIAS SANTOS DA SILVA</x:v>
      </x:c>
      <x:c r="V2854" s="22" t="str">
        <x:f>"440.761.538-98"</x:f>
        <x:v>440.761.538-98</x:v>
      </x:c>
      <x:c r="W2854" s="22" t="str">
        <x:f>"44076153898"</x:f>
        <x:v>44076153898</x:v>
      </x:c>
      <x:c r="X2854" s="23" t="str">
        <x:v>Moiseselias2604@gmail.com</x:v>
      </x:c>
      <x:c r="Y2854" s="22" t="str">
        <x:f>"18998134758"</x:f>
        <x:v>18998134758</x:v>
      </x:c>
      <x:c r="Z2854" s="30" t="n">
        <x:v>46394</x:v>
      </x:c>
    </x:row>
    <x:row r="2855" ht="18" customHeight="1">
      <x:c r="A2855" s="22" t="str">
        <x:f>"1d6edf19-4552-43e9-bd22-fb1fe49938cd"</x:f>
        <x:v>1d6edf19-4552-43e9-bd22-fb1fe49938cd</x:v>
      </x:c>
      <x:c r="B2855" s="23" t="str">
        <x:v>MOISES FERNANDO PEREIRA DA SILVA</x:v>
      </x:c>
      <x:c r="C2855" s="23" t="str">
        <x:v>moises fernando pereira da silva</x:v>
      </x:c>
      <x:c r="D2855" s="22" t="str">
        <x:f>"63.008.715/0001-00"</x:f>
        <x:v>63.008.715/0001-00</x:v>
      </x:c>
      <x:c r="E2855" s="22" t="str">
        <x:f>"63008715000100"</x:f>
        <x:v>63008715000100</x:v>
      </x:c>
      <x:c r="F2855" s="22" t="str">
        <x:f>"365.295.778-40"</x:f>
        <x:v>365.295.778-40</x:v>
      </x:c>
      <x:c r="G2855" s="22" t="str">
        <x:f>"36529577840"</x:f>
        <x:v>36529577840</x:v>
      </x:c>
      <x:c r="H2855" s="23" t="str">
        <x:v>moisesfpereira18@outlook.com</x:v>
      </x:c>
      <x:c r="I2855" s="22" t="str">
        <x:f>"17991997213"</x:f>
        <x:v>17991997213</x:v>
      </x:c>
      <x:c r="J2855" s="23" t="str">
        <x:v>SPOT</x:v>
      </x:c>
      <x:c r="K2855" s="23" t="str">
        <x:v>favored_only</x:v>
      </x:c>
      <x:c r="L2855" s="24" t="b">
        <x:v>1</x:v>
      </x:c>
      <x:c r="M2855" s="23" t="n">
        <x:v>1</x:v>
      </x:c>
      <x:c r="N2855" s="28" t="n">
        <x:v>46205.605054548614</x:v>
      </x:c>
      <x:c r="O2855" s="28" t="n">
        <x:v>46219.812988715275</x:v>
      </x:c>
      <x:c r="P2855" s="23" t="str">
        <x:v>JALES</x:v>
      </x:c>
      <x:c r="Q2855" s="30" t="n">
        <x:v>31811</x:v>
      </x:c>
      <x:c r="R2855" s="22" t="str">
        <x:f>"40422561"</x:f>
        <x:v>40422561</x:v>
      </x:c>
      <x:c r="S2855" s="23" t="str">
        <x:v>masculino</x:v>
      </x:c>
      <x:c r="T2855" s="22" t="str">
        <x:f>"EPN2C99"</x:f>
        <x:v>EPN2C99</x:v>
      </x:c>
      <x:c r="U2855" s="23" t="str">
        <x:v>CAMILA SAVATIN</x:v>
      </x:c>
      <x:c r="V2855" s="22" t="str">
        <x:f>"400.477.528-07"</x:f>
        <x:v>400.477.528-07</x:v>
      </x:c>
      <x:c r="W2855" s="22" t="str">
        <x:f>"40047752807"</x:f>
        <x:v>40047752807</x:v>
      </x:c>
      <x:c r="X2855" s="23" t="str">
        <x:v>Cahsavatin@gmail.com</x:v>
      </x:c>
      <x:c r="Y2855" s="22" t="str">
        <x:f>"1799658-3621"</x:f>
        <x:v>1799658-3621</x:v>
      </x:c>
      <x:c r="Z2855" s="30" t="n">
        <x:v>46309</x:v>
      </x:c>
    </x:row>
    <x:row r="2856" ht="18" customHeight="1">
      <x:c r="A2856" s="22" t="str">
        <x:f>"a0d32f07-ffd8-4c0f-a7db-f4fd3afa67f8"</x:f>
        <x:v>a0d32f07-ffd8-4c0f-a7db-f4fd3afa67f8</x:v>
      </x:c>
      <x:c r="B2856" s="23" t="str">
        <x:v>MOISES JOSE DE ALMEIDA NETO</x:v>
      </x:c>
      <x:c r="C2856" s="23" t="str">
        <x:v>moises jose de almeida neto</x:v>
      </x:c>
      <x:c r="D2856" s="22" t="str">
        <x:f>"37.823.997/0001-90"</x:f>
        <x:v>37.823.997/0001-90</x:v>
      </x:c>
      <x:c r="E2856" s="22" t="str">
        <x:f>"37823997000190"</x:f>
        <x:v>37823997000190</x:v>
      </x:c>
      <x:c r="F2856" s="22" t="str">
        <x:f>"110.891.085-83"</x:f>
        <x:v>110.891.085-83</x:v>
      </x:c>
      <x:c r="G2856" s="22" t="str">
        <x:f>"11089108583"</x:f>
        <x:v>11089108583</x:v>
      </x:c>
      <x:c r="H2856" s="23" t="str">
        <x:v>moisesapuarema@gmail.com</x:v>
      </x:c>
      <x:c r="I2856" s="22" t="str">
        <x:f>"65981236402"</x:f>
        <x:v>65981236402</x:v>
      </x:c>
      <x:c r="J2856" s="23" t="str">
        <x:v>SPOT</x:v>
      </x:c>
      <x:c r="K2856" s="23" t="str">
        <x:v>favored_only</x:v>
      </x:c>
      <x:c r="L2856" s="24" t="b">
        <x:v>1</x:v>
      </x:c>
      <x:c r="M2856" s="23" t="n">
        <x:v>1</x:v>
      </x:c>
      <x:c r="N2856" s="28" t="n">
        <x:v>46219.812988715275</x:v>
      </x:c>
      <x:c r="O2856" s="28" t="n">
        <x:v>46219.812988715275</x:v>
      </x:c>
      <x:c r="P2856" s="23" t="str">
        <x:v>PONTES E LACERDA</x:v>
      </x:c>
      <x:c r="Q2856" s="30" t="n">
        <x:v>37556</x:v>
      </x:c>
      <x:c r="R2856" s="22" t="str">
        <x:f>"2119460957"</x:f>
        <x:v>2119460957</x:v>
      </x:c>
      <x:c r="S2856" s="23" t="str">
        <x:v>masculino</x:v>
      </x:c>
      <x:c r="T2856" s="22" t="str">
        <x:f>"NTY7C67"</x:f>
        <x:v>NTY7C67</x:v>
      </x:c>
      <x:c r="U2856" s="23" t="str">
        <x:v>RODOPRIME TRANSPORTES E CARGAS LTDA</x:v>
      </x:c>
      <x:c r="V2856" s="22" t="str">
        <x:f>"038.768.901-01"</x:f>
        <x:v>038.768.901-01</x:v>
      </x:c>
      <x:c r="W2856" s="22" t="str">
        <x:f>"03876890101"</x:f>
        <x:v>03876890101</x:v>
      </x:c>
      <x:c r="X2856" s="23" t="str">
        <x:v>rtp.cargas@gmail.com</x:v>
      </x:c>
      <x:c r="Y2856" s="22" t="str">
        <x:f>"62991277279"</x:f>
        <x:v>62991277279</x:v>
      </x:c>
      <x:c r="Z2856" s="30" t="n">
        <x:v>46443</x:v>
      </x:c>
    </x:row>
    <x:row r="2857" ht="18" customHeight="1">
      <x:c r="A2857" s="22" t="str">
        <x:f>"ba42fc75-5706-4428-af19-73f27123ac03"</x:f>
        <x:v>ba42fc75-5706-4428-af19-73f27123ac03</x:v>
      </x:c>
      <x:c r="B2857" s="23" t="str">
        <x:v>MOISES PEREIRA DA SILVA</x:v>
      </x:c>
      <x:c r="C2857" s="23" t="str">
        <x:v>moises pereira da silva</x:v>
      </x:c>
      <x:c r="D2857" s="22" t="str">
        <x:f>"62.075.308/0001-53"</x:f>
        <x:v>62.075.308/0001-53</x:v>
      </x:c>
      <x:c r="E2857" s="22" t="str">
        <x:f>"62075308000153"</x:f>
        <x:v>62075308000153</x:v>
      </x:c>
      <x:c r="F2857" s="22" t="str">
        <x:f>"384.940.398-06"</x:f>
        <x:v>384.940.398-06</x:v>
      </x:c>
      <x:c r="G2857" s="22" t="str">
        <x:f>"38494039806"</x:f>
        <x:v>38494039806</x:v>
      </x:c>
      <x:c r="H2857" s="23" t="str">
        <x:v>max500moises@gmail.com</x:v>
      </x:c>
      <x:c r="I2857" s="22" t="str">
        <x:f>"(16)996378048"</x:f>
        <x:v>(16)996378048</x:v>
      </x:c>
      <x:c r="J2857" s="23" t="str">
        <x:v>RENTAL</x:v>
      </x:c>
      <x:c r="K2857" s="23" t="str">
        <x:v>rental_company</x:v>
      </x:c>
      <x:c r="L2857" s="24" t="b">
        <x:v>1</x:v>
      </x:c>
      <x:c r="M2857" s="23" t="n">
        <x:v>1</x:v>
      </x:c>
      <x:c r="N2857" s="28" t="n">
        <x:v>46203.921887453704</x:v>
      </x:c>
      <x:c r="O2857" s="28" t="n">
        <x:v>46219.812988715275</x:v>
      </x:c>
      <x:c r="P2857" s="23" t="str">
        <x:v>RIBEIRAO PRETO</x:v>
      </x:c>
      <x:c r="Q2857" s="30" t="n">
        <x:v>32483</x:v>
      </x:c>
      <x:c r="R2857" s="22" t="str">
        <x:f>"44844501"</x:f>
        <x:v>44844501</x:v>
      </x:c>
      <x:c r="S2857" s="23" t="str">
        <x:v>masculino</x:v>
      </x:c>
      <x:c r="T2857" s="22" t="str"/>
      <x:c r="U2857" s="23" t="str">
        <x:v>MOISES PEREIRA DA SILVA</x:v>
      </x:c>
      <x:c r="V2857" s="22" t="str">
        <x:f>"384.940.398-06"</x:f>
        <x:v>384.940.398-06</x:v>
      </x:c>
      <x:c r="W2857" s="22" t="str">
        <x:f>"38494039806"</x:f>
        <x:v>38494039806</x:v>
      </x:c>
      <x:c r="X2857" s="23" t="str">
        <x:v>max500moises@gmail.com</x:v>
      </x:c>
      <x:c r="Y2857" s="22" t="str">
        <x:f>"(16)996378048"</x:f>
        <x:v>(16)996378048</x:v>
      </x:c>
      <x:c r="Z2857" s="30" t="n">
        <x:v>46325</x:v>
      </x:c>
    </x:row>
    <x:row r="2858" ht="18" customHeight="1">
      <x:c r="A2858" s="22" t="str">
        <x:f>"0936c0a2-2fb4-45c0-8e74-26f4c876b926"</x:f>
        <x:v>0936c0a2-2fb4-45c0-8e74-26f4c876b926</x:v>
      </x:c>
      <x:c r="B2858" s="23" t="str">
        <x:v>MONIQUE PIMENTA MIRANDA</x:v>
      </x:c>
      <x:c r="C2858" s="23" t="str">
        <x:v>monique pimenta miranda</x:v>
      </x:c>
      <x:c r="D2858" s="22" t="str">
        <x:f>"20963623000177"</x:f>
        <x:v>20963623000177</x:v>
      </x:c>
      <x:c r="E2858" s="22" t="str">
        <x:f>"20963623000177"</x:f>
        <x:v>20963623000177</x:v>
      </x:c>
      <x:c r="F2858" s="22" t="str">
        <x:f>"121.886.906-21"</x:f>
        <x:v>121.886.906-21</x:v>
      </x:c>
      <x:c r="G2858" s="22" t="str">
        <x:f>"12188690621"</x:f>
        <x:v>12188690621</x:v>
      </x:c>
      <x:c r="H2858" s="23" t="str">
        <x:v>studiodeimagens@hotmail.com</x:v>
      </x:c>
      <x:c r="I2858" s="22" t="str">
        <x:f>"(33)9.9900-1562"</x:f>
        <x:v>(33)9.9900-1562</x:v>
      </x:c>
      <x:c r="J2858" s="23" t="str">
        <x:v>SPOT</x:v>
      </x:c>
      <x:c r="K2858" s="23" t="str">
        <x:v>favored_only</x:v>
      </x:c>
      <x:c r="L2858" s="24" t="b">
        <x:v>1</x:v>
      </x:c>
      <x:c r="M2858" s="23" t="n">
        <x:v>1</x:v>
      </x:c>
      <x:c r="N2858" s="28" t="n">
        <x:v>46203.92189965278</x:v>
      </x:c>
      <x:c r="O2858" s="28" t="n">
        <x:v>46203.92189965278</x:v>
      </x:c>
      <x:c r="P2858" s="23" t="str"/>
      <x:c r="Q2858" s="30" t="str"/>
      <x:c r="R2858" s="22" t="str"/>
      <x:c r="S2858" s="23" t="str"/>
      <x:c r="T2858" s="22" t="str"/>
      <x:c r="U2858" s="23" t="str">
        <x:v>MONIQUE PIMENTA MIRANDA</x:v>
      </x:c>
      <x:c r="V2858" s="22" t="str">
        <x:f>"121.886.906-21"</x:f>
        <x:v>121.886.906-21</x:v>
      </x:c>
      <x:c r="W2858" s="22" t="str">
        <x:f>"12188690621"</x:f>
        <x:v>12188690621</x:v>
      </x:c>
      <x:c r="X2858" s="23" t="str">
        <x:v>studiodeimagens@hotmail.com</x:v>
      </x:c>
      <x:c r="Y2858" s="22" t="str">
        <x:f>"(33)9.9900-1562"</x:f>
        <x:v>(33)9.9900-1562</x:v>
      </x:c>
      <x:c r="Z2858" s="30" t="str"/>
    </x:row>
    <x:row r="2859" ht="18" customHeight="1">
      <x:c r="A2859" s="22" t="str">
        <x:f>"1ec88b73-7c91-43c8-a44c-1cb263452b10"</x:f>
        <x:v>1ec88b73-7c91-43c8-a44c-1cb263452b10</x:v>
      </x:c>
      <x:c r="B2859" s="23" t="str">
        <x:v>MONIQUE PONTES DA SILVA</x:v>
      </x:c>
      <x:c r="C2859" s="23" t="str">
        <x:v>monique pontes da silva</x:v>
      </x:c>
      <x:c r="D2859" s="22" t="str">
        <x:f>"64.255.317/0001-51"</x:f>
        <x:v>64.255.317/0001-51</x:v>
      </x:c>
      <x:c r="E2859" s="22" t="str">
        <x:f>"64255317000151"</x:f>
        <x:v>64255317000151</x:v>
      </x:c>
      <x:c r="F2859" s="22" t="str">
        <x:f>"092.369.177-47"</x:f>
        <x:v>092.369.177-47</x:v>
      </x:c>
      <x:c r="G2859" s="22" t="str">
        <x:f>"09236917747"</x:f>
        <x:v>09236917747</x:v>
      </x:c>
      <x:c r="H2859" s="23" t="str">
        <x:v>moniquepontes32@gmail.com</x:v>
      </x:c>
      <x:c r="I2859" s="22" t="str">
        <x:f>"21974466671"</x:f>
        <x:v>21974466671</x:v>
      </x:c>
      <x:c r="J2859" s="23" t="str">
        <x:v>SPOT</x:v>
      </x:c>
      <x:c r="K2859" s="23" t="str">
        <x:v>favored_only</x:v>
      </x:c>
      <x:c r="L2859" s="24" t="b">
        <x:v>1</x:v>
      </x:c>
      <x:c r="M2859" s="23" t="n">
        <x:v>1</x:v>
      </x:c>
      <x:c r="N2859" s="28" t="n">
        <x:v>46203.9219084375</x:v>
      </x:c>
      <x:c r="O2859" s="28" t="n">
        <x:v>46219.812988715275</x:v>
      </x:c>
      <x:c r="P2859" s="23" t="str">
        <x:v>CAMPO GRANDE</x:v>
      </x:c>
      <x:c r="Q2859" s="30" t="n">
        <x:v>29932</x:v>
      </x:c>
      <x:c r="R2859" s="22" t="str">
        <x:f>"133944058"</x:f>
        <x:v>133944058</x:v>
      </x:c>
      <x:c r="S2859" s="23" t="str">
        <x:v>feminino</x:v>
      </x:c>
      <x:c r="T2859" s="22" t="str">
        <x:f>"LSA5C52"</x:f>
        <x:v>LSA5C52</x:v>
      </x:c>
      <x:c r="U2859" s="23" t="str">
        <x:v>MONIQUE PONTES DA SILVA</x:v>
      </x:c>
      <x:c r="V2859" s="22" t="str">
        <x:f>"092.369.177-47"</x:f>
        <x:v>092.369.177-47</x:v>
      </x:c>
      <x:c r="W2859" s="22" t="str">
        <x:f>"09236917747"</x:f>
        <x:v>09236917747</x:v>
      </x:c>
      <x:c r="X2859" s="23" t="str">
        <x:v>moniquepontes32@gmail.com</x:v>
      </x:c>
      <x:c r="Y2859" s="22" t="str">
        <x:f>"21974466671"</x:f>
        <x:v>21974466671</x:v>
      </x:c>
      <x:c r="Z2859" s="30" t="n">
        <x:v>46425</x:v>
      </x:c>
    </x:row>
    <x:row r="2860" ht="18" customHeight="1">
      <x:c r="A2860" s="22" t="str">
        <x:f>"f23f4a65-a01d-4fce-ac20-a9a860374fed"</x:f>
        <x:v>f23f4a65-a01d-4fce-ac20-a9a860374fed</x:v>
      </x:c>
      <x:c r="B2860" s="23" t="str">
        <x:v>MURIEL LORENCO PROVENSI</x:v>
      </x:c>
      <x:c r="C2860" s="23" t="str">
        <x:v>muriel lorenco provensi</x:v>
      </x:c>
      <x:c r="D2860" s="22" t="str">
        <x:f>"63.766.917/0001-11"</x:f>
        <x:v>63.766.917/0001-11</x:v>
      </x:c>
      <x:c r="E2860" s="22" t="str">
        <x:f>"63766917000111"</x:f>
        <x:v>63766917000111</x:v>
      </x:c>
      <x:c r="F2860" s="22" t="str">
        <x:f>"054.389.969-11"</x:f>
        <x:v>054.389.969-11</x:v>
      </x:c>
      <x:c r="G2860" s="22" t="str">
        <x:f>"05438996911"</x:f>
        <x:v>05438996911</x:v>
      </x:c>
      <x:c r="H2860" s="23" t="str">
        <x:v>muriellorenco@gmail.com</x:v>
      </x:c>
      <x:c r="I2860" s="22" t="str">
        <x:f>"(44)98805-2153"</x:f>
        <x:v>(44)98805-2153</x:v>
      </x:c>
      <x:c r="J2860" s="23" t="str">
        <x:v>RENTAL</x:v>
      </x:c>
      <x:c r="K2860" s="23" t="str">
        <x:v>rental_company</x:v>
      </x:c>
      <x:c r="L2860" s="24" t="b">
        <x:v>1</x:v>
      </x:c>
      <x:c r="M2860" s="23" t="n">
        <x:v>1</x:v>
      </x:c>
      <x:c r="N2860" s="28" t="n">
        <x:v>46203.92189965278</x:v>
      </x:c>
      <x:c r="O2860" s="28" t="n">
        <x:v>46219.812988715275</x:v>
      </x:c>
      <x:c r="P2860" s="23" t="str">
        <x:v>PRESIDENTE PRUDENTE</x:v>
      </x:c>
      <x:c r="Q2860" s="30" t="n">
        <x:v>36017</x:v>
      </x:c>
      <x:c r="R2860" s="22" t="str">
        <x:f>"98592202"</x:f>
        <x:v>98592202</x:v>
      </x:c>
      <x:c r="S2860" s="23" t="str">
        <x:v>feminino</x:v>
      </x:c>
      <x:c r="T2860" s="22" t="str"/>
      <x:c r="U2860" s="23" t="str">
        <x:v>MURIEL LORENCO PROVENSI</x:v>
      </x:c>
      <x:c r="V2860" s="22" t="str">
        <x:f>"054.389.969-11"</x:f>
        <x:v>054.389.969-11</x:v>
      </x:c>
      <x:c r="W2860" s="22" t="str">
        <x:f>"05438996911"</x:f>
        <x:v>05438996911</x:v>
      </x:c>
      <x:c r="X2860" s="23" t="str">
        <x:v>muriellorenco@gmail.com</x:v>
      </x:c>
      <x:c r="Y2860" s="22" t="str">
        <x:f>"(44)98805-2153"</x:f>
        <x:v>(44)98805-2153</x:v>
      </x:c>
      <x:c r="Z2860" s="30" t="n">
        <x:v>46348</x:v>
      </x:c>
    </x:row>
    <x:row r="2861" ht="18" customHeight="1">
      <x:c r="A2861" s="22" t="str">
        <x:f>"74182846-6a84-49ee-a257-1765e5d2ec69"</x:f>
        <x:v>74182846-6a84-49ee-a257-1765e5d2ec69</x:v>
      </x:c>
      <x:c r="B2861" s="23" t="str">
        <x:v>MURILO ALMEIDA RAMOS</x:v>
      </x:c>
      <x:c r="C2861" s="23" t="str">
        <x:v>murilo almeida ramos</x:v>
      </x:c>
      <x:c r="D2861" s="22" t="str">
        <x:f>"65.232.916/0001-12"</x:f>
        <x:v>65.232.916/0001-12</x:v>
      </x:c>
      <x:c r="E2861" s="22" t="str">
        <x:f>"65232916000112"</x:f>
        <x:v>65232916000112</x:v>
      </x:c>
      <x:c r="F2861" s="22" t="str">
        <x:f>"114.918.666-67"</x:f>
        <x:v>114.918.666-67</x:v>
      </x:c>
      <x:c r="G2861" s="22" t="str">
        <x:f>"11491866667"</x:f>
        <x:v>11491866667</x:v>
      </x:c>
      <x:c r="H2861" s="23" t="str">
        <x:v>murilo.ramos2019@gmail.com</x:v>
      </x:c>
      <x:c r="I2861" s="22" t="str">
        <x:f>"73999176505"</x:f>
        <x:v>73999176505</x:v>
      </x:c>
      <x:c r="J2861" s="23" t="str">
        <x:v>SPOT</x:v>
      </x:c>
      <x:c r="K2861" s="23" t="str">
        <x:v>favored_only</x:v>
      </x:c>
      <x:c r="L2861" s="24" t="b">
        <x:v>1</x:v>
      </x:c>
      <x:c r="M2861" s="23" t="n">
        <x:v>1</x:v>
      </x:c>
      <x:c r="N2861" s="28" t="n">
        <x:v>46219.812988715275</x:v>
      </x:c>
      <x:c r="O2861" s="28" t="n">
        <x:v>46219.812988715275</x:v>
      </x:c>
      <x:c r="P2861" s="23" t="str">
        <x:v>TEOFILO OTONI</x:v>
      </x:c>
      <x:c r="Q2861" s="30" t="n">
        <x:v>35492</x:v>
      </x:c>
      <x:c r="R2861" s="22" t="str">
        <x:f>"18749422"</x:f>
        <x:v>18749422</x:v>
      </x:c>
      <x:c r="S2861" s="23" t="str">
        <x:v>masculino</x:v>
      </x:c>
      <x:c r="T2861" s="22" t="str">
        <x:f>"HIB9D56"</x:f>
        <x:v>HIB9D56</x:v>
      </x:c>
      <x:c r="U2861" s="23" t="str">
        <x:v>MURILO ALMEIDA RAMOS</x:v>
      </x:c>
      <x:c r="V2861" s="22" t="str">
        <x:f>"114.918.666-67"</x:f>
        <x:v>114.918.666-67</x:v>
      </x:c>
      <x:c r="W2861" s="22" t="str">
        <x:f>"11491866667"</x:f>
        <x:v>11491866667</x:v>
      </x:c>
      <x:c r="X2861" s="23" t="str">
        <x:v>murilo.ramos2019@gmail.com</x:v>
      </x:c>
      <x:c r="Y2861" s="22" t="str">
        <x:f>"73999176505"</x:f>
        <x:v>73999176505</x:v>
      </x:c>
      <x:c r="Z2861" s="30" t="n">
        <x:v>46441</x:v>
      </x:c>
    </x:row>
    <x:row r="2862" ht="18" customHeight="1">
      <x:c r="A2862" s="22" t="str">
        <x:f>"83f39050-702a-4cd6-9240-4ec268f0ec4b"</x:f>
        <x:v>83f39050-702a-4cd6-9240-4ec268f0ec4b</x:v>
      </x:c>
      <x:c r="B2862" s="23" t="str">
        <x:v>MURILO AUGUSTO DO AMARAL</x:v>
      </x:c>
      <x:c r="C2862" s="23" t="str">
        <x:v>murilo augusto do amaral</x:v>
      </x:c>
      <x:c r="D2862" s="22" t="str">
        <x:f>"57.067.251/0001-00"</x:f>
        <x:v>57.067.251/0001-00</x:v>
      </x:c>
      <x:c r="E2862" s="22" t="str">
        <x:f>"57067251000100"</x:f>
        <x:v>57067251000100</x:v>
      </x:c>
      <x:c r="F2862" s="22" t="str">
        <x:f>"352.541.168-54"</x:f>
        <x:v>352.541.168-54</x:v>
      </x:c>
      <x:c r="G2862" s="22" t="str">
        <x:f>"35254116854"</x:f>
        <x:v>35254116854</x:v>
      </x:c>
      <x:c r="H2862" s="23" t="str">
        <x:v>multilarexpress@gmail.com</x:v>
      </x:c>
      <x:c r="I2862" s="22" t="str">
        <x:f>"17 99285-0725"</x:f>
        <x:v>17 99285-0725</x:v>
      </x:c>
      <x:c r="J2862" s="23" t="str">
        <x:v>SPOT</x:v>
      </x:c>
      <x:c r="K2862" s="23" t="str">
        <x:v>favored_only</x:v>
      </x:c>
      <x:c r="L2862" s="24" t="b">
        <x:v>1</x:v>
      </x:c>
      <x:c r="M2862" s="23" t="n">
        <x:v>1</x:v>
      </x:c>
      <x:c r="N2862" s="28" t="n">
        <x:v>46219.812988715275</x:v>
      </x:c>
      <x:c r="O2862" s="28" t="n">
        <x:v>46219.812988715275</x:v>
      </x:c>
      <x:c r="P2862" s="23" t="str">
        <x:v>SÃO JOSE DO RIO PRETO</x:v>
      </x:c>
      <x:c r="Q2862" s="30" t="n">
        <x:v>32855</x:v>
      </x:c>
      <x:c r="R2862" s="22" t="str">
        <x:f>"46141108"</x:f>
        <x:v>46141108</x:v>
      </x:c>
      <x:c r="S2862" s="23" t="str">
        <x:v>masculino</x:v>
      </x:c>
      <x:c r="T2862" s="22" t="str">
        <x:f>"GHT4H10"</x:f>
        <x:v>GHT4H10</x:v>
      </x:c>
      <x:c r="U2862" s="23" t="str">
        <x:v>MURILO AUGUSTO DO AMARAL</x:v>
      </x:c>
      <x:c r="V2862" s="22" t="str">
        <x:f>"352.541.168-54"</x:f>
        <x:v>352.541.168-54</x:v>
      </x:c>
      <x:c r="W2862" s="22" t="str">
        <x:f>"35254116854"</x:f>
        <x:v>35254116854</x:v>
      </x:c>
      <x:c r="X2862" s="23" t="str">
        <x:v>multilarexpress@gmail.com</x:v>
      </x:c>
      <x:c r="Y2862" s="22" t="str">
        <x:f>"17 99285-0725"</x:f>
        <x:v>17 99285-0725</x:v>
      </x:c>
      <x:c r="Z2862" s="30" t="n">
        <x:v>46457</x:v>
      </x:c>
    </x:row>
    <x:row r="2863" ht="18" customHeight="1">
      <x:c r="A2863" s="22" t="str">
        <x:f>"57089a7a-27b4-41b2-9d8a-e5ce42979bae"</x:f>
        <x:v>57089a7a-27b4-41b2-9d8a-e5ce42979bae</x:v>
      </x:c>
      <x:c r="B2863" s="23" t="str">
        <x:v>Murilo Miranda Marzano</x:v>
      </x:c>
      <x:c r="C2863" s="23" t="str">
        <x:v>murilo miranda marzano</x:v>
      </x:c>
      <x:c r="D2863" s="22" t="str">
        <x:f>"33.200.580/0001-10"</x:f>
        <x:v>33.200.580/0001-10</x:v>
      </x:c>
      <x:c r="E2863" s="22" t="str">
        <x:f>"33200580000110"</x:f>
        <x:v>33200580000110</x:v>
      </x:c>
      <x:c r="F2863" s="22" t="str">
        <x:f>"136.119.806-09"</x:f>
        <x:v>136.119.806-09</x:v>
      </x:c>
      <x:c r="G2863" s="22" t="str">
        <x:f>"13611980609"</x:f>
        <x:v>13611980609</x:v>
      </x:c>
      <x:c r="H2863" s="23" t="str">
        <x:v>murilomarzano@hotmail.com</x:v>
      </x:c>
      <x:c r="I2863" s="22" t="str">
        <x:f>"31993461924"</x:f>
        <x:v>31993461924</x:v>
      </x:c>
      <x:c r="J2863" s="23" t="str">
        <x:v>RENTAL</x:v>
      </x:c>
      <x:c r="K2863" s="23" t="str">
        <x:v>rental_company</x:v>
      </x:c>
      <x:c r="L2863" s="24" t="b">
        <x:v>1</x:v>
      </x:c>
      <x:c r="M2863" s="23" t="n">
        <x:v>1</x:v>
      </x:c>
      <x:c r="N2863" s="28" t="n">
        <x:v>46203.921840393516</x:v>
      </x:c>
      <x:c r="O2863" s="28" t="n">
        <x:v>46205.60502326389</x:v>
      </x:c>
      <x:c r="P2863" s="23" t="str">
        <x:v>CONTAGEM</x:v>
      </x:c>
      <x:c r="Q2863" s="30" t="n">
        <x:v>35466</x:v>
      </x:c>
      <x:c r="R2863" s="22" t="str">
        <x:f>"19326564"</x:f>
        <x:v>19326564</x:v>
      </x:c>
      <x:c r="S2863" s="23" t="str">
        <x:v>Masculino</x:v>
      </x:c>
      <x:c r="T2863" s="22" t="str"/>
      <x:c r="U2863" s="23" t="str">
        <x:v>Murilo Miranda Marzano</x:v>
      </x:c>
      <x:c r="V2863" s="22" t="str">
        <x:f>"136.119.806-09"</x:f>
        <x:v>136.119.806-09</x:v>
      </x:c>
      <x:c r="W2863" s="22" t="str">
        <x:f>"13611980609"</x:f>
        <x:v>13611980609</x:v>
      </x:c>
      <x:c r="X2863" s="23" t="str">
        <x:v>murilomarzano@hotmail.com</x:v>
      </x:c>
      <x:c r="Y2863" s="22" t="str">
        <x:f>"31993461924"</x:f>
        <x:v>31993461924</x:v>
      </x:c>
      <x:c r="Z2863" s="30" t="n">
        <x:v>46224</x:v>
      </x:c>
    </x:row>
    <x:row r="2864" ht="18" customHeight="1">
      <x:c r="A2864" s="22" t="str">
        <x:f>"703586a1-4f7c-4d46-8ad7-def183085888"</x:f>
        <x:v>703586a1-4f7c-4d46-8ad7-def183085888</x:v>
      </x:c>
      <x:c r="B2864" s="23" t="str">
        <x:v>MURILO SA SILVA BASTOS</x:v>
      </x:c>
      <x:c r="C2864" s="23" t="str">
        <x:v>murilo sa silva bastos</x:v>
      </x:c>
      <x:c r="D2864" s="22" t="str">
        <x:f>"41.921.781/0001-34"</x:f>
        <x:v>41.921.781/0001-34</x:v>
      </x:c>
      <x:c r="E2864" s="22" t="str">
        <x:f>"41921781000134"</x:f>
        <x:v>41921781000134</x:v>
      </x:c>
      <x:c r="F2864" s="22" t="str">
        <x:f>"485.859.878-04"</x:f>
        <x:v>485.859.878-04</x:v>
      </x:c>
      <x:c r="G2864" s="22" t="str">
        <x:f>"48585987804"</x:f>
        <x:v>48585987804</x:v>
      </x:c>
      <x:c r="H2864" s="23" t="str">
        <x:v>murilob94@gmail.com</x:v>
      </x:c>
      <x:c r="I2864" s="22" t="str">
        <x:f>"17 99600-8162"</x:f>
        <x:v>17 99600-8162</x:v>
      </x:c>
      <x:c r="J2864" s="23" t="str">
        <x:v>SPOT</x:v>
      </x:c>
      <x:c r="K2864" s="23" t="str">
        <x:v>favored_only</x:v>
      </x:c>
      <x:c r="L2864" s="24" t="b">
        <x:v>1</x:v>
      </x:c>
      <x:c r="M2864" s="23" t="n">
        <x:v>1</x:v>
      </x:c>
      <x:c r="N2864" s="28" t="n">
        <x:v>46219.812988715275</x:v>
      </x:c>
      <x:c r="O2864" s="28" t="n">
        <x:v>46219.812988715275</x:v>
      </x:c>
      <x:c r="P2864" s="23" t="str">
        <x:v>SÃO JOSE DO RIO PRETO</x:v>
      </x:c>
      <x:c r="Q2864" s="30" t="n">
        <x:v>36390</x:v>
      </x:c>
      <x:c r="R2864" s="22" t="str">
        <x:f>"55492823"</x:f>
        <x:v>55492823</x:v>
      </x:c>
      <x:c r="S2864" s="23" t="str">
        <x:v>masculino</x:v>
      </x:c>
      <x:c r="T2864" s="22" t="str">
        <x:f>"FLX4B71"</x:f>
        <x:v>FLX4B71</x:v>
      </x:c>
      <x:c r="U2864" s="23" t="str">
        <x:v>MURILO SA SILVA BASTOS</x:v>
      </x:c>
      <x:c r="V2864" s="22" t="str">
        <x:f>"485.859.878-04"</x:f>
        <x:v>485.859.878-04</x:v>
      </x:c>
      <x:c r="W2864" s="22" t="str">
        <x:f>"48585987804"</x:f>
        <x:v>48585987804</x:v>
      </x:c>
      <x:c r="X2864" s="23" t="str">
        <x:v>murilob94@gmail.com</x:v>
      </x:c>
      <x:c r="Y2864" s="22" t="str">
        <x:f>"17 99600-8162"</x:f>
        <x:v>17 99600-8162</x:v>
      </x:c>
      <x:c r="Z2864" s="30" t="n">
        <x:v>46571</x:v>
      </x:c>
    </x:row>
    <x:row r="2865" ht="18" customHeight="1">
      <x:c r="A2865" s="22" t="str">
        <x:f>"ca5f4e02-c329-4844-872b-216aca966c29"</x:f>
        <x:v>ca5f4e02-c329-4844-872b-216aca966c29</x:v>
      </x:c>
      <x:c r="B2865" s="23" t="str">
        <x:v>NAIARA FERNANDES DOS SANTOS CARMO</x:v>
      </x:c>
      <x:c r="C2865" s="23" t="str">
        <x:v>naiara fernandes dos santos carmo</x:v>
      </x:c>
      <x:c r="D2865" s="22" t="str">
        <x:f>"62.589.307/0001-27"</x:f>
        <x:v>62.589.307/0001-27</x:v>
      </x:c>
      <x:c r="E2865" s="22" t="str">
        <x:f>"62589307000127"</x:f>
        <x:v>62589307000127</x:v>
      </x:c>
      <x:c r="F2865" s="22" t="str">
        <x:f>"121.579.396-01"</x:f>
        <x:v>121.579.396-01</x:v>
      </x:c>
      <x:c r="G2865" s="22" t="str">
        <x:f>"12157939601"</x:f>
        <x:v>12157939601</x:v>
      </x:c>
      <x:c r="H2865" s="23" t="str">
        <x:v>naiarafernandes@hotmail.com</x:v>
      </x:c>
      <x:c r="I2865" s="22" t="str">
        <x:f>"(31)983062940"</x:f>
        <x:v>(31)983062940</x:v>
      </x:c>
      <x:c r="J2865" s="23" t="str">
        <x:v>SPOT</x:v>
      </x:c>
      <x:c r="K2865" s="23" t="str">
        <x:v>favored_only</x:v>
      </x:c>
      <x:c r="L2865" s="24" t="b">
        <x:v>1</x:v>
      </x:c>
      <x:c r="M2865" s="23" t="n">
        <x:v>1</x:v>
      </x:c>
      <x:c r="N2865" s="28" t="n">
        <x:v>46219.812988715275</x:v>
      </x:c>
      <x:c r="O2865" s="28" t="n">
        <x:v>46219.812988715275</x:v>
      </x:c>
      <x:c r="P2865" s="23" t="str">
        <x:v>CONCEIÇÃO DO MATO DENTRO</x:v>
      </x:c>
      <x:c r="Q2865" s="30" t="n">
        <x:v>34457</x:v>
      </x:c>
      <x:c r="R2865" s="22" t="str">
        <x:f>"MG18504308"</x:f>
        <x:v>MG18504308</x:v>
      </x:c>
      <x:c r="S2865" s="23" t="str">
        <x:v>feminino</x:v>
      </x:c>
      <x:c r="T2865" s="22" t="str">
        <x:f>"RMJ7J67"</x:f>
        <x:v>RMJ7J67</x:v>
      </x:c>
      <x:c r="U2865" s="23" t="str">
        <x:v>ANIELY FERNANDES DOS SANTOS CARMO</x:v>
      </x:c>
      <x:c r="V2865" s="22" t="str">
        <x:f>"157.622.066-45"</x:f>
        <x:v>157.622.066-45</x:v>
      </x:c>
      <x:c r="W2865" s="22" t="str">
        <x:f>"15762206645"</x:f>
        <x:v>15762206645</x:v>
      </x:c>
      <x:c r="X2865" s="23" t="str">
        <x:v>anielyfernandeseng@yahoo.com</x:v>
      </x:c>
      <x:c r="Y2865" s="22" t="str">
        <x:f>"+55 31 8433-5953"</x:f>
        <x:v>+55 31 8433-5953</x:v>
      </x:c>
      <x:c r="Z2865" s="30" t="n">
        <x:v>46411</x:v>
      </x:c>
    </x:row>
    <x:row r="2866" ht="18" customHeight="1">
      <x:c r="A2866" s="22" t="str">
        <x:f>"c0359954-8db2-48ad-818a-bf0c82d1c57c"</x:f>
        <x:v>c0359954-8db2-48ad-818a-bf0c82d1c57c</x:v>
      </x:c>
      <x:c r="B2866" s="23" t="str">
        <x:v>NANE SUERE GONZAGA DA SILVA</x:v>
      </x:c>
      <x:c r="C2866" s="23" t="str">
        <x:v>nane suere gonzaga da silva</x:v>
      </x:c>
      <x:c r="D2866" s="22" t="str">
        <x:f>"62.075.333/0001-37"</x:f>
        <x:v>62.075.333/0001-37</x:v>
      </x:c>
      <x:c r="E2866" s="22" t="str">
        <x:f>"62075333000137"</x:f>
        <x:v>62075333000137</x:v>
      </x:c>
      <x:c r="F2866" s="22" t="str">
        <x:f>"120.248.366-66"</x:f>
        <x:v>120.248.366-66</x:v>
      </x:c>
      <x:c r="G2866" s="22" t="str">
        <x:f>"12024836666"</x:f>
        <x:v>12024836666</x:v>
      </x:c>
      <x:c r="H2866" s="23" t="str">
        <x:v>suerenane@gmail.com</x:v>
      </x:c>
      <x:c r="I2866" s="22" t="str">
        <x:f>"31981193764"</x:f>
        <x:v>31981193764</x:v>
      </x:c>
      <x:c r="J2866" s="23" t="str">
        <x:v>SPOT</x:v>
      </x:c>
      <x:c r="K2866" s="23" t="str">
        <x:v>favored_only</x:v>
      </x:c>
      <x:c r="L2866" s="24" t="b">
        <x:v>1</x:v>
      </x:c>
      <x:c r="M2866" s="23" t="n">
        <x:v>1</x:v>
      </x:c>
      <x:c r="N2866" s="28" t="n">
        <x:v>46203.921852962965</x:v>
      </x:c>
      <x:c r="O2866" s="28" t="n">
        <x:v>46219.812988715275</x:v>
      </x:c>
      <x:c r="P2866" s="23" t="str">
        <x:v>CONCEIÇÃO DO MATO DENTRO</x:v>
      </x:c>
      <x:c r="Q2866" s="30" t="n">
        <x:v>33612</x:v>
      </x:c>
      <x:c r="R2866" s="22" t="str">
        <x:f>"19174404"</x:f>
        <x:v>19174404</x:v>
      </x:c>
      <x:c r="S2866" s="23" t="str">
        <x:v>feminino</x:v>
      </x:c>
      <x:c r="T2866" s="22" t="str">
        <x:f>"PWW2H25"</x:f>
        <x:v>PWW2H25</x:v>
      </x:c>
      <x:c r="U2866" s="23" t="str">
        <x:v>NANE SUERE GONZAGA DA SILVA</x:v>
      </x:c>
      <x:c r="V2866" s="22" t="str">
        <x:f>"120.248.366-66"</x:f>
        <x:v>120.248.366-66</x:v>
      </x:c>
      <x:c r="W2866" s="22" t="str">
        <x:f>"12024836666"</x:f>
        <x:v>12024836666</x:v>
      </x:c>
      <x:c r="X2866" s="23" t="str">
        <x:v>suerenane@gmail.com</x:v>
      </x:c>
      <x:c r="Y2866" s="22" t="str">
        <x:f>"31981193764"</x:f>
        <x:v>31981193764</x:v>
      </x:c>
      <x:c r="Z2866" s="30" t="n">
        <x:v>46247</x:v>
      </x:c>
    </x:row>
    <x:row r="2867" ht="18" customHeight="1">
      <x:c r="A2867" s="22" t="str">
        <x:f>"82e97271-7c5f-4326-9c16-58d66ab0610d"</x:f>
        <x:v>82e97271-7c5f-4326-9c16-58d66ab0610d</x:v>
      </x:c>
      <x:c r="B2867" s="23" t="str">
        <x:v>NARAIANA RODRIGUES DE FREITAS CALIXTO</x:v>
      </x:c>
      <x:c r="C2867" s="23" t="str">
        <x:v>naraiana rodrigues de freitas calixto</x:v>
      </x:c>
      <x:c r="D2867" s="22" t="str">
        <x:f>"30.170.315/0001-48"</x:f>
        <x:v>30.170.315/0001-48</x:v>
      </x:c>
      <x:c r="E2867" s="22" t="str">
        <x:f>"30170315000148"</x:f>
        <x:v>30170315000148</x:v>
      </x:c>
      <x:c r="F2867" s="22" t="str">
        <x:f>"107.360.966-98"</x:f>
        <x:v>107.360.966-98</x:v>
      </x:c>
      <x:c r="G2867" s="22" t="str">
        <x:f>"10736096698"</x:f>
        <x:v>10736096698</x:v>
      </x:c>
      <x:c r="H2867" s="23" t="str">
        <x:v>nara13xerox@gmail.com</x:v>
      </x:c>
      <x:c r="I2867" s="22" t="str">
        <x:f>"31991382094"</x:f>
        <x:v>31991382094</x:v>
      </x:c>
      <x:c r="J2867" s="23" t="str">
        <x:v>RENTAL</x:v>
      </x:c>
      <x:c r="K2867" s="23" t="str">
        <x:v>rental_company</x:v>
      </x:c>
      <x:c r="L2867" s="24" t="b">
        <x:v>1</x:v>
      </x:c>
      <x:c r="M2867" s="23" t="n">
        <x:v>1</x:v>
      </x:c>
      <x:c r="N2867" s="28" t="n">
        <x:v>46219.79396105324</x:v>
      </x:c>
      <x:c r="O2867" s="28" t="n">
        <x:v>46219.812988715275</x:v>
      </x:c>
      <x:c r="P2867" s="23" t="str">
        <x:v>VESPASIANO</x:v>
      </x:c>
      <x:c r="Q2867" s="30" t="n">
        <x:v>34924</x:v>
      </x:c>
      <x:c r="R2867" s="22" t="str">
        <x:f>"MG18555013"</x:f>
        <x:v>MG18555013</x:v>
      </x:c>
      <x:c r="S2867" s="23" t="str">
        <x:v>feminino</x:v>
      </x:c>
      <x:c r="T2867" s="22" t="str"/>
      <x:c r="U2867" s="23" t="str">
        <x:v>NARAIANA RODRIGUES DE FREITAS CALIXTO</x:v>
      </x:c>
      <x:c r="V2867" s="22" t="str">
        <x:f>"107.360.966-98"</x:f>
        <x:v>107.360.966-98</x:v>
      </x:c>
      <x:c r="W2867" s="22" t="str">
        <x:f>"10736096698"</x:f>
        <x:v>10736096698</x:v>
      </x:c>
      <x:c r="X2867" s="23" t="str">
        <x:v>nara13xerox@gmail.com</x:v>
      </x:c>
      <x:c r="Y2867" s="22" t="str">
        <x:f>"31991382094"</x:f>
        <x:v>31991382094</x:v>
      </x:c>
      <x:c r="Z2867" s="30" t="n">
        <x:v>46332</x:v>
      </x:c>
    </x:row>
    <x:row r="2868" ht="18" customHeight="1">
      <x:c r="A2868" s="22" t="str">
        <x:f>"b5483441-0f58-4c7d-bb1f-796644802ec9"</x:f>
        <x:v>b5483441-0f58-4c7d-bb1f-796644802ec9</x:v>
      </x:c>
      <x:c r="B2868" s="23" t="str">
        <x:v>NARON EDUARDO CARVALHO CURITIBA</x:v>
      </x:c>
      <x:c r="C2868" s="23" t="str">
        <x:v>naron eduardo carvalho curitiba</x:v>
      </x:c>
      <x:c r="D2868" s="22" t="str">
        <x:f>"37.823.997/0001-90"</x:f>
        <x:v>37.823.997/0001-90</x:v>
      </x:c>
      <x:c r="E2868" s="22" t="str">
        <x:f>"37823997000190"</x:f>
        <x:v>37823997000190</x:v>
      </x:c>
      <x:c r="F2868" s="22" t="str">
        <x:f>"051.070.151-58"</x:f>
        <x:v>051.070.151-58</x:v>
      </x:c>
      <x:c r="G2868" s="22" t="str">
        <x:f>"05107015158"</x:f>
        <x:v>05107015158</x:v>
      </x:c>
      <x:c r="H2868" s="23" t="str">
        <x:v>Naron13eduardo@gmail.com</x:v>
      </x:c>
      <x:c r="I2868" s="22" t="str">
        <x:f>"65993377064"</x:f>
        <x:v>65993377064</x:v>
      </x:c>
      <x:c r="J2868" s="23" t="str">
        <x:v>SPOT</x:v>
      </x:c>
      <x:c r="K2868" s="23" t="str">
        <x:v>favored_only</x:v>
      </x:c>
      <x:c r="L2868" s="24" t="b">
        <x:v>1</x:v>
      </x:c>
      <x:c r="M2868" s="23" t="n">
        <x:v>1</x:v>
      </x:c>
      <x:c r="N2868" s="28" t="n">
        <x:v>46219.812988715275</x:v>
      </x:c>
      <x:c r="O2868" s="28" t="n">
        <x:v>46219.812988715275</x:v>
      </x:c>
      <x:c r="P2868" s="23" t="str">
        <x:v>PONTES E LACERDA</x:v>
      </x:c>
      <x:c r="Q2868" s="30" t="n">
        <x:v>35321</x:v>
      </x:c>
      <x:c r="R2868" s="22" t="str">
        <x:f>"22566937"</x:f>
        <x:v>22566937</x:v>
      </x:c>
      <x:c r="S2868" s="23" t="str">
        <x:v>masculino</x:v>
      </x:c>
      <x:c r="T2868" s="22" t="str">
        <x:f>"NTY7C67"</x:f>
        <x:v>NTY7C67</x:v>
      </x:c>
      <x:c r="U2868" s="23" t="str">
        <x:v>RODOPRIME TRANSPORTES E CARGAS LTDA</x:v>
      </x:c>
      <x:c r="V2868" s="22" t="str">
        <x:f>"038.768.901-01"</x:f>
        <x:v>038.768.901-01</x:v>
      </x:c>
      <x:c r="W2868" s="22" t="str">
        <x:f>"03876890101"</x:f>
        <x:v>03876890101</x:v>
      </x:c>
      <x:c r="X2868" s="23" t="str">
        <x:v>rtp.cargas@gmail.com</x:v>
      </x:c>
      <x:c r="Y2868" s="22" t="str">
        <x:f>"62991277279"</x:f>
        <x:v>62991277279</x:v>
      </x:c>
      <x:c r="Z2868" s="30" t="n">
        <x:v>46450</x:v>
      </x:c>
    </x:row>
    <x:row r="2869" ht="18" customHeight="1">
      <x:c r="A2869" s="22" t="str">
        <x:f>"e911e463-2d0e-4cb8-a8ad-79adea1c901b"</x:f>
        <x:v>e911e463-2d0e-4cb8-a8ad-79adea1c901b</x:v>
      </x:c>
      <x:c r="B2869" s="23" t="str">
        <x:v>NATA DA SILVA MOREIRA</x:v>
      </x:c>
      <x:c r="C2869" s="23" t="str">
        <x:v>nata da silva moreira</x:v>
      </x:c>
      <x:c r="D2869" s="22" t="str">
        <x:f>"65.669.577/0001-36"</x:f>
        <x:v>65.669.577/0001-36</x:v>
      </x:c>
      <x:c r="E2869" s="22" t="str">
        <x:f>"65669577000136"</x:f>
        <x:v>65669577000136</x:v>
      </x:c>
      <x:c r="F2869" s="22" t="str">
        <x:f>"134.352.827-54"</x:f>
        <x:v>134.352.827-54</x:v>
      </x:c>
      <x:c r="G2869" s="22" t="str">
        <x:f>"13435282754"</x:f>
        <x:v>13435282754</x:v>
      </x:c>
      <x:c r="H2869" s="23" t="str">
        <x:v>Moreira_nathan@icloud.com</x:v>
      </x:c>
      <x:c r="I2869" s="22" t="str">
        <x:f>"21 99795-0465"</x:f>
        <x:v>21 99795-0465</x:v>
      </x:c>
      <x:c r="J2869" s="23" t="str">
        <x:v>SPOT</x:v>
      </x:c>
      <x:c r="K2869" s="23" t="str">
        <x:v>favored_only</x:v>
      </x:c>
      <x:c r="L2869" s="24" t="b">
        <x:v>1</x:v>
      </x:c>
      <x:c r="M2869" s="23" t="n">
        <x:v>1</x:v>
      </x:c>
      <x:c r="N2869" s="28" t="n">
        <x:v>46219.812988715275</x:v>
      </x:c>
      <x:c r="O2869" s="28" t="n">
        <x:v>46219.812988715275</x:v>
      </x:c>
      <x:c r="P2869" s="23" t="str">
        <x:v>ITABORAI</x:v>
      </x:c>
      <x:c r="Q2869" s="30" t="n">
        <x:v>35416</x:v>
      </x:c>
      <x:c r="R2869" s="22" t="str">
        <x:f>"13435282754"</x:f>
        <x:v>13435282754</x:v>
      </x:c>
      <x:c r="S2869" s="23" t="str">
        <x:v>masculino</x:v>
      </x:c>
      <x:c r="T2869" s="22" t="str">
        <x:f>"HHX1308"</x:f>
        <x:v>HHX1308</x:v>
      </x:c>
      <x:c r="U2869" s="23" t="str">
        <x:v>NATA DA SILVA MOREIRA</x:v>
      </x:c>
      <x:c r="V2869" s="22" t="str">
        <x:f>"134.352.827-54"</x:f>
        <x:v>134.352.827-54</x:v>
      </x:c>
      <x:c r="W2869" s="22" t="str">
        <x:f>"13435282754"</x:f>
        <x:v>13435282754</x:v>
      </x:c>
      <x:c r="X2869" s="23" t="str">
        <x:v>Moreira_nathan@icloud.com</x:v>
      </x:c>
      <x:c r="Y2869" s="22" t="str">
        <x:f>"21 99795-0465"</x:f>
        <x:v>21 99795-0465</x:v>
      </x:c>
      <x:c r="Z2869" s="30" t="n">
        <x:v>46422</x:v>
      </x:c>
    </x:row>
    <x:row r="2870" ht="18" customHeight="1">
      <x:c r="A2870" s="22" t="str">
        <x:f>"80d1cafd-56d1-41a9-967e-689832648de0"</x:f>
        <x:v>80d1cafd-56d1-41a9-967e-689832648de0</x:v>
      </x:c>
      <x:c r="B2870" s="23" t="str">
        <x:v>NATA HENRIQUE ESTEVAM DA CRUZ</x:v>
      </x:c>
      <x:c r="C2870" s="23" t="str">
        <x:v>nata henrique estevam da cruz</x:v>
      </x:c>
      <x:c r="D2870" s="22" t="str">
        <x:f>"43.470.424/0001-13"</x:f>
        <x:v>43.470.424/0001-13</x:v>
      </x:c>
      <x:c r="E2870" s="22" t="str">
        <x:f>"43470424000113"</x:f>
        <x:v>43470424000113</x:v>
      </x:c>
      <x:c r="F2870" s="22" t="str">
        <x:f>"455.158.998-57"</x:f>
        <x:v>455.158.998-57</x:v>
      </x:c>
      <x:c r="G2870" s="22" t="str">
        <x:f>"45515899857"</x:f>
        <x:v>45515899857</x:v>
      </x:c>
      <x:c r="H2870" s="23" t="str">
        <x:v>NATANESTEVAM1997@GMAIL.COM</x:v>
      </x:c>
      <x:c r="I2870" s="22" t="str">
        <x:f>"14998716287"</x:f>
        <x:v>14998716287</x:v>
      </x:c>
      <x:c r="J2870" s="23" t="str">
        <x:v>RENTAL</x:v>
      </x:c>
      <x:c r="K2870" s="23" t="str">
        <x:v>rental_company</x:v>
      </x:c>
      <x:c r="L2870" s="24" t="b">
        <x:v>1</x:v>
      </x:c>
      <x:c r="M2870" s="23" t="n">
        <x:v>1</x:v>
      </x:c>
      <x:c r="N2870" s="28" t="n">
        <x:v>46203.92184908565</x:v>
      </x:c>
      <x:c r="O2870" s="28" t="n">
        <x:v>46205.60509922454</x:v>
      </x:c>
      <x:c r="P2870" s="23" t="str">
        <x:v>MARILIA</x:v>
      </x:c>
      <x:c r="Q2870" s="30" t="n">
        <x:v>35779</x:v>
      </x:c>
      <x:c r="R2870" s="22" t="str">
        <x:f>"49883776"</x:f>
        <x:v>49883776</x:v>
      </x:c>
      <x:c r="S2870" s="23" t="str">
        <x:v>Masculino</x:v>
      </x:c>
      <x:c r="T2870" s="22" t="str"/>
      <x:c r="U2870" s="23" t="str">
        <x:v>NATA HENRIQUE ESTEVAM DA CRUZ</x:v>
      </x:c>
      <x:c r="V2870" s="22" t="str">
        <x:f>"45515899857"</x:f>
        <x:v>45515899857</x:v>
      </x:c>
      <x:c r="W2870" s="22" t="str">
        <x:f>"45515899857"</x:f>
        <x:v>45515899857</x:v>
      </x:c>
      <x:c r="X2870" s="23" t="str">
        <x:v>NATANESTEVAM1997@GMAIL.COM</x:v>
      </x:c>
      <x:c r="Y2870" s="22" t="str">
        <x:f>"14998716287"</x:f>
        <x:v>14998716287</x:v>
      </x:c>
      <x:c r="Z2870" s="30" t="n">
        <x:v>46226</x:v>
      </x:c>
    </x:row>
    <x:row r="2871" ht="18" customHeight="1">
      <x:c r="A2871" s="22" t="str">
        <x:f>"21c1d616-ffb6-41fd-a507-ddb98e239586"</x:f>
        <x:v>21c1d616-ffb6-41fd-a507-ddb98e239586</x:v>
      </x:c>
      <x:c r="B2871" s="23" t="str">
        <x:v>NATAL DOS REIS GONCALVES</x:v>
      </x:c>
      <x:c r="C2871" s="23" t="str">
        <x:v>natal dos reis goncalves</x:v>
      </x:c>
      <x:c r="D2871" s="22" t="str">
        <x:f>"65.478.251/0001-21"</x:f>
        <x:v>65.478.251/0001-21</x:v>
      </x:c>
      <x:c r="E2871" s="22" t="str">
        <x:f>"65478251000121"</x:f>
        <x:v>65478251000121</x:v>
      </x:c>
      <x:c r="F2871" s="22" t="str">
        <x:f>"755.495.306-00"</x:f>
        <x:v>755.495.306-00</x:v>
      </x:c>
      <x:c r="G2871" s="22" t="str">
        <x:f>"75549530600"</x:f>
        <x:v>75549530600</x:v>
      </x:c>
      <x:c r="H2871" s="23" t="str">
        <x:v>dosreisgoncalvesnatal@gmail.com</x:v>
      </x:c>
      <x:c r="I2871" s="22" t="str">
        <x:f>"(16) 9 9749 8659"</x:f>
        <x:v>(16) 9 9749 8659</x:v>
      </x:c>
      <x:c r="J2871" s="23" t="str">
        <x:v>SPOT</x:v>
      </x:c>
      <x:c r="K2871" s="23" t="str">
        <x:v>favored_only</x:v>
      </x:c>
      <x:c r="L2871" s="24" t="b">
        <x:v>1</x:v>
      </x:c>
      <x:c r="M2871" s="23" t="n">
        <x:v>1</x:v>
      </x:c>
      <x:c r="N2871" s="28" t="n">
        <x:v>46219.812988715275</x:v>
      </x:c>
      <x:c r="O2871" s="28" t="n">
        <x:v>46219.812988715275</x:v>
      </x:c>
      <x:c r="P2871" s="23" t="str">
        <x:v>UBERABA</x:v>
      </x:c>
      <x:c r="Q2871" s="30" t="n">
        <x:v>26958</x:v>
      </x:c>
      <x:c r="R2871" s="22" t="str">
        <x:f>"5717217"</x:f>
        <x:v>5717217</x:v>
      </x:c>
      <x:c r="S2871" s="23" t="str">
        <x:v>masculino</x:v>
      </x:c>
      <x:c r="T2871" s="22" t="str">
        <x:f>"FFY1I24"</x:f>
        <x:v>FFY1I24</x:v>
      </x:c>
      <x:c r="U2871" s="23" t="str">
        <x:v>NATAL DOS REIS GONCALVES</x:v>
      </x:c>
      <x:c r="V2871" s="22" t="str">
        <x:f>"755.495.306-00"</x:f>
        <x:v>755.495.306-00</x:v>
      </x:c>
      <x:c r="W2871" s="22" t="str">
        <x:f>"75549530600"</x:f>
        <x:v>75549530600</x:v>
      </x:c>
      <x:c r="X2871" s="23" t="str">
        <x:v>dosreisgoncalvesnatal@gmail.com</x:v>
      </x:c>
      <x:c r="Y2871" s="22" t="str">
        <x:f>"(16) 9 9749 8659"</x:f>
        <x:v>(16) 9 9749 8659</x:v>
      </x:c>
      <x:c r="Z2871" s="30" t="n">
        <x:v>46458</x:v>
      </x:c>
    </x:row>
    <x:row r="2872" ht="18" customHeight="1">
      <x:c r="A2872" s="22" t="str">
        <x:f>"d52e2fa9-1392-4496-828f-03db3e0fd26b"</x:f>
        <x:v>d52e2fa9-1392-4496-828f-03db3e0fd26b</x:v>
      </x:c>
      <x:c r="B2872" s="23" t="str">
        <x:v>NATAL DOS REIS GONCALVES</x:v>
      </x:c>
      <x:c r="C2872" s="23" t="str">
        <x:v>natal dos reis goncalves</x:v>
      </x:c>
      <x:c r="D2872" s="22" t="str">
        <x:f>"63.337.477/0001-87"</x:f>
        <x:v>63.337.477/0001-87</x:v>
      </x:c>
      <x:c r="E2872" s="22" t="str">
        <x:f>"63337477000187"</x:f>
        <x:v>63337477000187</x:v>
      </x:c>
      <x:c r="F2872" s="22" t="str">
        <x:f>"755.495.306-00"</x:f>
        <x:v>755.495.306-00</x:v>
      </x:c>
      <x:c r="G2872" s="22" t="str">
        <x:f>"75549530600"</x:f>
        <x:v>75549530600</x:v>
      </x:c>
      <x:c r="H2872" s="23" t="str">
        <x:v>dosreisgoncalvesnatal@gmail.com</x:v>
      </x:c>
      <x:c r="I2872" s="22" t="str">
        <x:f>"(16) 9 9749 8659"</x:f>
        <x:v>(16) 9 9749 8659</x:v>
      </x:c>
      <x:c r="J2872" s="23" t="str">
        <x:v>SPOT</x:v>
      </x:c>
      <x:c r="K2872" s="23" t="str">
        <x:v>favored_only</x:v>
      </x:c>
      <x:c r="L2872" s="24" t="b">
        <x:v>1</x:v>
      </x:c>
      <x:c r="M2872" s="23" t="n">
        <x:v>1</x:v>
      </x:c>
      <x:c r="N2872" s="28" t="n">
        <x:v>46205.60575349537</x:v>
      </x:c>
      <x:c r="O2872" s="28" t="n">
        <x:v>46219.812988715275</x:v>
      </x:c>
      <x:c r="P2872" s="23" t="str">
        <x:v>UBERABA</x:v>
      </x:c>
      <x:c r="Q2872" s="30" t="n">
        <x:v>26958</x:v>
      </x:c>
      <x:c r="R2872" s="22" t="str">
        <x:f>"5717217"</x:f>
        <x:v>5717217</x:v>
      </x:c>
      <x:c r="S2872" s="23" t="str">
        <x:v>masculino</x:v>
      </x:c>
      <x:c r="T2872" s="22" t="str">
        <x:f>"FFY1I24"</x:f>
        <x:v>FFY1I24</x:v>
      </x:c>
      <x:c r="U2872" s="23" t="str">
        <x:v>ELIVAINA FRANCO BARRETO</x:v>
      </x:c>
      <x:c r="V2872" s="22" t="str">
        <x:f>"032.297.961-79"</x:f>
        <x:v>032.297.961-79</x:v>
      </x:c>
      <x:c r="W2872" s="22" t="str">
        <x:f>"03229796179"</x:f>
        <x:v>03229796179</x:v>
      </x:c>
      <x:c r="X2872" s="23" t="str">
        <x:v>elivainaf@gmail.com</x:v>
      </x:c>
      <x:c r="Y2872" s="22" t="str">
        <x:f>"(34) 9 9196 5771"</x:f>
        <x:v>(34) 9 9196 5771</x:v>
      </x:c>
      <x:c r="Z2872" s="30" t="n">
        <x:v>46332</x:v>
      </x:c>
    </x:row>
    <x:row r="2873" ht="18" customHeight="1">
      <x:c r="A2873" s="22" t="str">
        <x:f>"aa5392f1-6fef-4a76-bfe0-6e054a3ef92b"</x:f>
        <x:v>aa5392f1-6fef-4a76-bfe0-6e054a3ef92b</x:v>
      </x:c>
      <x:c r="B2873" s="23" t="str">
        <x:v>NATALIA ANICETA MARCELINO</x:v>
      </x:c>
      <x:c r="C2873" s="23" t="str">
        <x:v>natalia aniceta marcelino</x:v>
      </x:c>
      <x:c r="D2873" s="22" t="str">
        <x:f>"66.011.468/0001-90"</x:f>
        <x:v>66.011.468/0001-90</x:v>
      </x:c>
      <x:c r="E2873" s="22" t="str">
        <x:f>"66011468000190"</x:f>
        <x:v>66011468000190</x:v>
      </x:c>
      <x:c r="F2873" s="22" t="str">
        <x:f>"462.809.768-23"</x:f>
        <x:v>462.809.768-23</x:v>
      </x:c>
      <x:c r="G2873" s="22" t="str">
        <x:f>"46280976823"</x:f>
        <x:v>46280976823</x:v>
      </x:c>
      <x:c r="H2873" s="23" t="str">
        <x:v>naty.marcelino23@gmail.com</x:v>
      </x:c>
      <x:c r="I2873" s="22" t="str">
        <x:f>"14 99176-1283"</x:f>
        <x:v>14 99176-1283</x:v>
      </x:c>
      <x:c r="J2873" s="23" t="str">
        <x:v>RENTAL</x:v>
      </x:c>
      <x:c r="K2873" s="23" t="str">
        <x:v>rental_company</x:v>
      </x:c>
      <x:c r="L2873" s="24" t="b">
        <x:v>1</x:v>
      </x:c>
      <x:c r="M2873" s="23" t="n">
        <x:v>1</x:v>
      </x:c>
      <x:c r="N2873" s="28" t="n">
        <x:v>46219.812988715275</x:v>
      </x:c>
      <x:c r="O2873" s="28" t="n">
        <x:v>46219.812988715275</x:v>
      </x:c>
      <x:c r="P2873" s="23" t="str">
        <x:v>BAURU</x:v>
      </x:c>
      <x:c r="Q2873" s="30" t="n">
        <x:v>35147</x:v>
      </x:c>
      <x:c r="R2873" s="22" t="str">
        <x:f>"52.274.111-3"</x:f>
        <x:v>52.274.111-3</x:v>
      </x:c>
      <x:c r="S2873" s="23" t="str">
        <x:v>feminino</x:v>
      </x:c>
      <x:c r="T2873" s="22" t="str"/>
      <x:c r="U2873" s="23" t="str">
        <x:v>NATALIA ANICETA MARCELINO</x:v>
      </x:c>
      <x:c r="V2873" s="22" t="str">
        <x:f>"462.809.768-23"</x:f>
        <x:v>462.809.768-23</x:v>
      </x:c>
      <x:c r="W2873" s="22" t="str">
        <x:f>"46280976823"</x:f>
        <x:v>46280976823</x:v>
      </x:c>
      <x:c r="X2873" s="23" t="str">
        <x:v>naty.marcelino23@gmail.com</x:v>
      </x:c>
      <x:c r="Y2873" s="22" t="str">
        <x:f>"14 99176-1283"</x:f>
        <x:v>14 99176-1283</x:v>
      </x:c>
      <x:c r="Z2873" s="30" t="n">
        <x:v>46485</x:v>
      </x:c>
    </x:row>
    <x:row r="2874" ht="18" customHeight="1">
      <x:c r="A2874" s="22" t="str">
        <x:f>"37596010-04d5-4c13-b6e9-6f27b11e539c"</x:f>
        <x:v>37596010-04d5-4c13-b6e9-6f27b11e539c</x:v>
      </x:c>
      <x:c r="B2874" s="23" t="str">
        <x:v>NATANAEL APARECIDO DE SOUZA</x:v>
      </x:c>
      <x:c r="C2874" s="23" t="str">
        <x:v>natanael aparecido de souza</x:v>
      </x:c>
      <x:c r="D2874" s="22" t="str">
        <x:f>"64.257.908/0001-68"</x:f>
        <x:v>64.257.908/0001-68</x:v>
      </x:c>
      <x:c r="E2874" s="22" t="str">
        <x:f>"64257908000168"</x:f>
        <x:v>64257908000168</x:v>
      </x:c>
      <x:c r="F2874" s="22" t="str">
        <x:f>"091.338.936-67"</x:f>
        <x:v>091.338.936-67</x:v>
      </x:c>
      <x:c r="G2874" s="22" t="str">
        <x:f>"09133893667"</x:f>
        <x:v>09133893667</x:v>
      </x:c>
      <x:c r="H2874" s="23" t="str">
        <x:v>anatanael706@gmail.com</x:v>
      </x:c>
      <x:c r="I2874" s="22" t="str">
        <x:f>"35 99918-6404"</x:f>
        <x:v>35 99918-6404</x:v>
      </x:c>
      <x:c r="J2874" s="23" t="str">
        <x:v>SPOT</x:v>
      </x:c>
      <x:c r="K2874" s="23" t="str">
        <x:v>favored_only</x:v>
      </x:c>
      <x:c r="L2874" s="24" t="b">
        <x:v>1</x:v>
      </x:c>
      <x:c r="M2874" s="23" t="n">
        <x:v>1</x:v>
      </x:c>
      <x:c r="N2874" s="28" t="n">
        <x:v>46219.812988715275</x:v>
      </x:c>
      <x:c r="O2874" s="28" t="n">
        <x:v>46219.812988715275</x:v>
      </x:c>
      <x:c r="P2874" s="23" t="str">
        <x:v>GUAXUPE</x:v>
      </x:c>
      <x:c r="Q2874" s="30" t="n">
        <x:v>32576</x:v>
      </x:c>
      <x:c r="R2874" s="22" t="str">
        <x:f>"16552359"</x:f>
        <x:v>16552359</x:v>
      </x:c>
      <x:c r="S2874" s="23" t="str">
        <x:v>masculino</x:v>
      </x:c>
      <x:c r="T2874" s="22" t="str">
        <x:f>"QPB5071"</x:f>
        <x:v>QPB5071</x:v>
      </x:c>
      <x:c r="U2874" s="23" t="str">
        <x:v>RICARDO BARROS VECCHI</x:v>
      </x:c>
      <x:c r="V2874" s="22" t="str">
        <x:f>"117.673.196-30"</x:f>
        <x:v>117.673.196-30</x:v>
      </x:c>
      <x:c r="W2874" s="22" t="str">
        <x:f>"11767319630"</x:f>
        <x:v>11767319630</x:v>
      </x:c>
      <x:c r="X2874" s="23" t="str">
        <x:v>ricardo.vecchi2013@gmail.com</x:v>
      </x:c>
      <x:c r="Y2874" s="22" t="str">
        <x:f>"35998933894"</x:f>
        <x:v>35998933894</x:v>
      </x:c>
      <x:c r="Z2874" s="30" t="n">
        <x:v>46513</x:v>
      </x:c>
    </x:row>
    <x:row r="2875" ht="18" customHeight="1">
      <x:c r="A2875" s="22" t="str">
        <x:f>"d7fa208f-17a3-4232-984e-4f70d789e790"</x:f>
        <x:v>d7fa208f-17a3-4232-984e-4f70d789e790</x:v>
      </x:c>
      <x:c r="B2875" s="23" t="str">
        <x:v>NATANAEL DUARTE VILAS BOAS</x:v>
      </x:c>
      <x:c r="C2875" s="23" t="str">
        <x:v>natanael duarte vilas boas</x:v>
      </x:c>
      <x:c r="D2875" s="22" t="str">
        <x:f>"65.541.882/0001-48"</x:f>
        <x:v>65.541.882/0001-48</x:v>
      </x:c>
      <x:c r="E2875" s="22" t="str">
        <x:f>"65541882000148"</x:f>
        <x:v>65541882000148</x:v>
      </x:c>
      <x:c r="F2875" s="22" t="str">
        <x:f>"076.164.166-16"</x:f>
        <x:v>076.164.166-16</x:v>
      </x:c>
      <x:c r="G2875" s="22" t="str">
        <x:f>"07616416616"</x:f>
        <x:v>07616416616</x:v>
      </x:c>
      <x:c r="H2875" s="23" t="str">
        <x:v>Nathandurtev@gmail.com</x:v>
      </x:c>
      <x:c r="I2875" s="22" t="str">
        <x:f>"33 9110-5976"</x:f>
        <x:v>33 9110-5976</x:v>
      </x:c>
      <x:c r="J2875" s="23" t="str">
        <x:v>SPOT</x:v>
      </x:c>
      <x:c r="K2875" s="23" t="str">
        <x:v>favored_only</x:v>
      </x:c>
      <x:c r="L2875" s="24" t="b">
        <x:v>1</x:v>
      </x:c>
      <x:c r="M2875" s="23" t="n">
        <x:v>1</x:v>
      </x:c>
      <x:c r="N2875" s="28" t="n">
        <x:v>46219.812988715275</x:v>
      </x:c>
      <x:c r="O2875" s="28" t="n">
        <x:v>46219.812988715275</x:v>
      </x:c>
      <x:c r="P2875" s="23" t="str">
        <x:v>TEOFILO OTONI</x:v>
      </x:c>
      <x:c r="Q2875" s="30" t="n">
        <x:v>35415</x:v>
      </x:c>
      <x:c r="R2875" s="22" t="str">
        <x:f>"178020750050"</x:f>
        <x:v>178020750050</x:v>
      </x:c>
      <x:c r="S2875" s="23" t="str">
        <x:v>masculino</x:v>
      </x:c>
      <x:c r="T2875" s="22" t="str">
        <x:f>"HNI9I23"</x:f>
        <x:v>HNI9I23</x:v>
      </x:c>
      <x:c r="U2875" s="23" t="str">
        <x:v>EMERSON BRANDAO SANTOS</x:v>
      </x:c>
      <x:c r="V2875" s="22" t="str">
        <x:f>"137.989.696-71"</x:f>
        <x:v>137.989.696-71</x:v>
      </x:c>
      <x:c r="W2875" s="22" t="str">
        <x:f>"13798969671"</x:f>
        <x:v>13798969671</x:v>
      </x:c>
      <x:c r="X2875" s="23" t="str">
        <x:v>EMERSONBRANDAO373@GMAIL.COM</x:v>
      </x:c>
      <x:c r="Y2875" s="22" t="str">
        <x:f>"33 9110-5976"</x:f>
        <x:v>33 9110-5976</x:v>
      </x:c>
      <x:c r="Z2875" s="30" t="n">
        <x:v>46453</x:v>
      </x:c>
    </x:row>
    <x:row r="2876" ht="18" customHeight="1">
      <x:c r="A2876" s="22" t="str">
        <x:f>"b06eca2d-64fe-4371-a92d-60d59a04cbc5"</x:f>
        <x:v>b06eca2d-64fe-4371-a92d-60d59a04cbc5</x:v>
      </x:c>
      <x:c r="B2876" s="23" t="str">
        <x:v>NATANAEL MACHIONI DA SILVA</x:v>
      </x:c>
      <x:c r="C2876" s="23" t="str">
        <x:v>natanael machioni da silva</x:v>
      </x:c>
      <x:c r="D2876" s="22" t="str">
        <x:f>"57.880.172/0001-14"</x:f>
        <x:v>57.880.172/0001-14</x:v>
      </x:c>
      <x:c r="E2876" s="22" t="str">
        <x:f>"57880172000114"</x:f>
        <x:v>57880172000114</x:v>
      </x:c>
      <x:c r="F2876" s="22" t="str">
        <x:f>"123.961.666-03"</x:f>
        <x:v>123.961.666-03</x:v>
      </x:c>
      <x:c r="G2876" s="22" t="str">
        <x:f>"12396166603"</x:f>
        <x:v>12396166603</x:v>
      </x:c>
      <x:c r="H2876" s="23" t="str">
        <x:v>natanaelmachionis@gmail.com</x:v>
      </x:c>
      <x:c r="I2876" s="22" t="str">
        <x:f>"35 99143-8989"</x:f>
        <x:v>35 99143-8989</x:v>
      </x:c>
      <x:c r="J2876" s="23" t="str">
        <x:v>RENTAL</x:v>
      </x:c>
      <x:c r="K2876" s="23" t="str">
        <x:v>rental_company</x:v>
      </x:c>
      <x:c r="L2876" s="24" t="b">
        <x:v>1</x:v>
      </x:c>
      <x:c r="M2876" s="23" t="n">
        <x:v>1</x:v>
      </x:c>
      <x:c r="N2876" s="28" t="n">
        <x:v>46219.812988715275</x:v>
      </x:c>
      <x:c r="O2876" s="28" t="n">
        <x:v>46219.812988715275</x:v>
      </x:c>
      <x:c r="P2876" s="23" t="str">
        <x:v>POCOS DE CALDAS</x:v>
      </x:c>
      <x:c r="Q2876" s="30" t="n">
        <x:v>35466</x:v>
      </x:c>
      <x:c r="R2876" s="22" t="str">
        <x:f>"18444285"</x:f>
        <x:v>18444285</x:v>
      </x:c>
      <x:c r="S2876" s="23" t="str">
        <x:v>masculino</x:v>
      </x:c>
      <x:c r="T2876" s="22" t="str"/>
      <x:c r="U2876" s="23" t="str">
        <x:v>NATANAEL MACHIONI DA SILVA</x:v>
      </x:c>
      <x:c r="V2876" s="22" t="str">
        <x:f>"123.961.666-03"</x:f>
        <x:v>123.961.666-03</x:v>
      </x:c>
      <x:c r="W2876" s="22" t="str">
        <x:f>"12396166603"</x:f>
        <x:v>12396166603</x:v>
      </x:c>
      <x:c r="X2876" s="23" t="str">
        <x:v>natanaelmachionis@gmail.com</x:v>
      </x:c>
      <x:c r="Y2876" s="22" t="str">
        <x:f>"35 99143-8989"</x:f>
        <x:v>35 99143-8989</x:v>
      </x:c>
      <x:c r="Z2876" s="30" t="n">
        <x:v>46536</x:v>
      </x:c>
    </x:row>
    <x:row r="2877" ht="18" customHeight="1">
      <x:c r="A2877" s="22" t="str">
        <x:f>"ce5f2931-a658-4e78-86a9-f160c7e5c43e"</x:f>
        <x:v>ce5f2931-a658-4e78-86a9-f160c7e5c43e</x:v>
      </x:c>
      <x:c r="B2877" s="23" t="str">
        <x:v>NATANAEL RODRIGUES DIAS</x:v>
      </x:c>
      <x:c r="C2877" s="23" t="str">
        <x:v>natanael rodrigues dias</x:v>
      </x:c>
      <x:c r="D2877" s="22" t="str">
        <x:f>"64.087.115/0001-48"</x:f>
        <x:v>64.087.115/0001-48</x:v>
      </x:c>
      <x:c r="E2877" s="22" t="str">
        <x:f>"64087115000148"</x:f>
        <x:v>64087115000148</x:v>
      </x:c>
      <x:c r="F2877" s="22" t="str">
        <x:f>"952.754.601-04"</x:f>
        <x:v>952.754.601-04</x:v>
      </x:c>
      <x:c r="G2877" s="22" t="str">
        <x:f>"95275460104"</x:f>
        <x:v>95275460104</x:v>
      </x:c>
      <x:c r="H2877" s="23" t="str">
        <x:v>natanaelrodriguesdias444@gmail.com</x:v>
      </x:c>
      <x:c r="I2877" s="22" t="str">
        <x:f>"66 9977-3375"</x:f>
        <x:v>66 9977-3375</x:v>
      </x:c>
      <x:c r="J2877" s="23" t="str">
        <x:v>SPOT</x:v>
      </x:c>
      <x:c r="K2877" s="23" t="str">
        <x:v>favored_only</x:v>
      </x:c>
      <x:c r="L2877" s="24" t="b">
        <x:v>1</x:v>
      </x:c>
      <x:c r="M2877" s="23" t="n">
        <x:v>1</x:v>
      </x:c>
      <x:c r="N2877" s="28" t="n">
        <x:v>46203.921904421295</x:v>
      </x:c>
      <x:c r="O2877" s="28" t="n">
        <x:v>46219.812988715275</x:v>
      </x:c>
      <x:c r="P2877" s="23" t="str">
        <x:v>SINOP</x:v>
      </x:c>
      <x:c r="Q2877" s="30" t="n">
        <x:v>30073</x:v>
      </x:c>
      <x:c r="R2877" s="22" t="str">
        <x:f>"14268744"</x:f>
        <x:v>14268744</x:v>
      </x:c>
      <x:c r="S2877" s="23" t="str">
        <x:v>masculino</x:v>
      </x:c>
      <x:c r="T2877" s="22" t="str">
        <x:f>"QCT2BB53"</x:f>
        <x:v>QCT2BB53</x:v>
      </x:c>
      <x:c r="U2877" s="23" t="str">
        <x:v>NATANAEL RODRIGUES DIAS</x:v>
      </x:c>
      <x:c r="V2877" s="22" t="str">
        <x:f>"952.754.601-04"</x:f>
        <x:v>952.754.601-04</x:v>
      </x:c>
      <x:c r="W2877" s="22" t="str">
        <x:f>"95275460104"</x:f>
        <x:v>95275460104</x:v>
      </x:c>
      <x:c r="X2877" s="23" t="str">
        <x:v>natanaelrodriguesdias444@gmail.com</x:v>
      </x:c>
      <x:c r="Y2877" s="22" t="str">
        <x:f>"66 9977-3375"</x:f>
        <x:v>66 9977-3375</x:v>
      </x:c>
      <x:c r="Z2877" s="30" t="n">
        <x:v>46374</x:v>
      </x:c>
    </x:row>
    <x:row r="2878" ht="18" customHeight="1">
      <x:c r="A2878" s="22" t="str">
        <x:f>"6ff94e01-241e-4b42-8a0d-65eb69730273"</x:f>
        <x:v>6ff94e01-241e-4b42-8a0d-65eb69730273</x:v>
      </x:c>
      <x:c r="B2878" s="23" t="str">
        <x:v>NATAN JOSE PERES DOS SANTOS</x:v>
      </x:c>
      <x:c r="C2878" s="23" t="str">
        <x:v>natan jose peres dos santos</x:v>
      </x:c>
      <x:c r="D2878" s="22" t="str">
        <x:f>"15.271.538/0001-08"</x:f>
        <x:v>15.271.538/0001-08</x:v>
      </x:c>
      <x:c r="E2878" s="22" t="str">
        <x:f>"15271538000108"</x:f>
        <x:v>15271538000108</x:v>
      </x:c>
      <x:c r="F2878" s="22" t="str">
        <x:f>"062.272.931-48"</x:f>
        <x:v>062.272.931-48</x:v>
      </x:c>
      <x:c r="G2878" s="22" t="str">
        <x:f>"06227293148"</x:f>
        <x:v>06227293148</x:v>
      </x:c>
      <x:c r="H2878" s="23" t="str">
        <x:v>owalyson1@gmail.com</x:v>
      </x:c>
      <x:c r="I2878" s="22" t="str">
        <x:f>"65992285265"</x:f>
        <x:v>65992285265</x:v>
      </x:c>
      <x:c r="J2878" s="23" t="str">
        <x:v>SPOT</x:v>
      </x:c>
      <x:c r="K2878" s="23" t="str">
        <x:v>favored_only</x:v>
      </x:c>
      <x:c r="L2878" s="24" t="b">
        <x:v>1</x:v>
      </x:c>
      <x:c r="M2878" s="23" t="n">
        <x:v>1</x:v>
      </x:c>
      <x:c r="N2878" s="28" t="n">
        <x:v>46205.60530880787</x:v>
      </x:c>
      <x:c r="O2878" s="28" t="n">
        <x:v>46219.812988715275</x:v>
      </x:c>
      <x:c r="P2878" s="23" t="str">
        <x:v>CUIABA</x:v>
      </x:c>
      <x:c r="Q2878" s="30" t="n">
        <x:v>35916</x:v>
      </x:c>
      <x:c r="R2878" s="22" t="str">
        <x:f>"5501744"</x:f>
        <x:v>5501744</x:v>
      </x:c>
      <x:c r="S2878" s="23" t="str">
        <x:v>masculino</x:v>
      </x:c>
      <x:c r="T2878" s="22" t="str">
        <x:f>"SQC1F08"</x:f>
        <x:v>SQC1F08</x:v>
      </x:c>
      <x:c r="U2878" s="23" t="str">
        <x:v>HELENA BARBOSA MARTINS</x:v>
      </x:c>
      <x:c r="V2878" s="22" t="str">
        <x:f>"481.275.661-87"</x:f>
        <x:v>481.275.661-87</x:v>
      </x:c>
      <x:c r="W2878" s="22" t="str">
        <x:f>"48127566187"</x:f>
        <x:v>48127566187</x:v>
      </x:c>
      <x:c r="X2878" s="23" t="str">
        <x:v>nortaoacessorios@hotmail.com</x:v>
      </x:c>
      <x:c r="Y2878" s="22" t="str">
        <x:f>"(65)99611-8718"</x:f>
        <x:v>(65)99611-8718</x:v>
      </x:c>
      <x:c r="Z2878" s="30" t="n">
        <x:v>46318</x:v>
      </x:c>
    </x:row>
    <x:row r="2879" ht="18" customHeight="1">
      <x:c r="A2879" s="22" t="str">
        <x:f>"93d1541e-9ae9-4aee-b111-10987f218790"</x:f>
        <x:v>93d1541e-9ae9-4aee-b111-10987f218790</x:v>
      </x:c>
      <x:c r="B2879" s="23" t="str">
        <x:v>NATASHA CRISTINA TAVARES DA SILVA</x:v>
      </x:c>
      <x:c r="C2879" s="23" t="str">
        <x:v>natasha cristina tavares da silva</x:v>
      </x:c>
      <x:c r="D2879" s="22" t="str">
        <x:f>"65.187.891/0001-82"</x:f>
        <x:v>65.187.891/0001-82</x:v>
      </x:c>
      <x:c r="E2879" s="22" t="str">
        <x:f>"65187891000182"</x:f>
        <x:v>65187891000182</x:v>
      </x:c>
      <x:c r="F2879" s="22" t="str">
        <x:f>"192.500.037-06"</x:f>
        <x:v>192.500.037-06</x:v>
      </x:c>
      <x:c r="G2879" s="22" t="str">
        <x:f>"19250003706"</x:f>
        <x:v>19250003706</x:v>
      </x:c>
      <x:c r="H2879" s="23" t="str">
        <x:v>natashacristina.216@gmail.com</x:v>
      </x:c>
      <x:c r="I2879" s="22" t="str">
        <x:f>"21979979696"</x:f>
        <x:v>21979979696</x:v>
      </x:c>
      <x:c r="J2879" s="23" t="str">
        <x:v>SPOT</x:v>
      </x:c>
      <x:c r="K2879" s="23" t="str">
        <x:v>favored_only</x:v>
      </x:c>
      <x:c r="L2879" s="24" t="b">
        <x:v>1</x:v>
      </x:c>
      <x:c r="M2879" s="23" t="n">
        <x:v>1</x:v>
      </x:c>
      <x:c r="N2879" s="28" t="n">
        <x:v>46219.812988715275</x:v>
      </x:c>
      <x:c r="O2879" s="28" t="n">
        <x:v>46219.812988715275</x:v>
      </x:c>
      <x:c r="P2879" s="23" t="str">
        <x:v>QUEIMADOS</x:v>
      </x:c>
      <x:c r="Q2879" s="30" t="n">
        <x:v>37183</x:v>
      </x:c>
      <x:c r="R2879" s="22" t="str">
        <x:f>"274523240"</x:f>
        <x:v>274523240</x:v>
      </x:c>
      <x:c r="S2879" s="23" t="str">
        <x:v>feminino</x:v>
      </x:c>
      <x:c r="T2879" s="22" t="str">
        <x:f>"RMZ3J90"</x:f>
        <x:v>RMZ3J90</x:v>
      </x:c>
      <x:c r="U2879" s="23" t="str">
        <x:v>NATASHA CRISTINA TAVARES DA SILVA</x:v>
      </x:c>
      <x:c r="V2879" s="22" t="str">
        <x:f>"192.500.037-06"</x:f>
        <x:v>192.500.037-06</x:v>
      </x:c>
      <x:c r="W2879" s="22" t="str">
        <x:f>"19250003706"</x:f>
        <x:v>19250003706</x:v>
      </x:c>
      <x:c r="X2879" s="23" t="str">
        <x:v>natashacristina.216@gmail.com</x:v>
      </x:c>
      <x:c r="Y2879" s="22" t="str">
        <x:f>"21979979696"</x:f>
        <x:v>21979979696</x:v>
      </x:c>
      <x:c r="Z2879" s="30" t="n">
        <x:v>46553</x:v>
      </x:c>
    </x:row>
    <x:row r="2880" ht="18" customHeight="1">
      <x:c r="A2880" s="22" t="str">
        <x:f>"0fa85d93-1295-4398-9c52-ff09613c2dbe"</x:f>
        <x:v>0fa85d93-1295-4398-9c52-ff09613c2dbe</x:v>
      </x:c>
      <x:c r="B2880" s="23" t="str">
        <x:v>Nathalia Araujo  Garcia</x:v>
      </x:c>
      <x:c r="C2880" s="23" t="str">
        <x:v>nathalia araujo garcia</x:v>
      </x:c>
      <x:c r="D2880" s="22" t="str">
        <x:f>"58441763000158"</x:f>
        <x:v>58441763000158</x:v>
      </x:c>
      <x:c r="E2880" s="22" t="str">
        <x:f>"58441763000158"</x:f>
        <x:v>58441763000158</x:v>
      </x:c>
      <x:c r="F2880" s="22" t="str">
        <x:f>"02904226125"</x:f>
        <x:v>02904226125</x:v>
      </x:c>
      <x:c r="G2880" s="22" t="str">
        <x:f>"02904226125"</x:f>
        <x:v>02904226125</x:v>
      </x:c>
      <x:c r="H2880" s="23" t="str">
        <x:v>kinodouglas6@gmail.com</x:v>
      </x:c>
      <x:c r="I2880" s="22" t="str">
        <x:f>"629 8184 7154"</x:f>
        <x:v>629 8184 7154</x:v>
      </x:c>
      <x:c r="J2880" s="23" t="str">
        <x:v>SPOT</x:v>
      </x:c>
      <x:c r="K2880" s="23" t="str">
        <x:v>favored_only</x:v>
      </x:c>
      <x:c r="L2880" s="24" t="b">
        <x:v>1</x:v>
      </x:c>
      <x:c r="M2880" s="23" t="n">
        <x:v>1</x:v>
      </x:c>
      <x:c r="N2880" s="28" t="n">
        <x:v>46203.92183332176</x:v>
      </x:c>
      <x:c r="O2880" s="28" t="n">
        <x:v>46203.92183332176</x:v>
      </x:c>
      <x:c r="P2880" s="23" t="str"/>
      <x:c r="Q2880" s="30" t="str"/>
      <x:c r="R2880" s="22" t="str"/>
      <x:c r="S2880" s="23" t="str"/>
      <x:c r="T2880" s="22" t="str"/>
      <x:c r="U2880" s="23" t="str">
        <x:v>Nathalia Araujo  Garcia</x:v>
      </x:c>
      <x:c r="V2880" s="22" t="str">
        <x:f>"02904226125"</x:f>
        <x:v>02904226125</x:v>
      </x:c>
      <x:c r="W2880" s="22" t="str">
        <x:f>"02904226125"</x:f>
        <x:v>02904226125</x:v>
      </x:c>
      <x:c r="X2880" s="23" t="str">
        <x:v>kinodouglas6@gmail.com</x:v>
      </x:c>
      <x:c r="Y2880" s="22" t="str">
        <x:f>"629 8184 7154"</x:f>
        <x:v>629 8184 7154</x:v>
      </x:c>
      <x:c r="Z2880" s="30" t="str"/>
    </x:row>
    <x:row r="2881" ht="18" customHeight="1">
      <x:c r="A2881" s="22" t="str">
        <x:f>"a971d362-3498-40c5-b941-89a20de57840"</x:f>
        <x:v>a971d362-3498-40c5-b941-89a20de57840</x:v>
      </x:c>
      <x:c r="B2881" s="23" t="str">
        <x:v>NATHALIA ARAUJO GONCALVES</x:v>
      </x:c>
      <x:c r="C2881" s="23" t="str">
        <x:v>nathalia araujo goncalves</x:v>
      </x:c>
      <x:c r="D2881" s="22" t="str">
        <x:f>"49.351.023/0001-30"</x:f>
        <x:v>49.351.023/0001-30</x:v>
      </x:c>
      <x:c r="E2881" s="22" t="str">
        <x:f>"49351023000130"</x:f>
        <x:v>49351023000130</x:v>
      </x:c>
      <x:c r="F2881" s="22" t="str">
        <x:f>"157.227.747-58"</x:f>
        <x:v>157.227.747-58</x:v>
      </x:c>
      <x:c r="G2881" s="22" t="str">
        <x:f>"15722774758"</x:f>
        <x:v>15722774758</x:v>
      </x:c>
      <x:c r="H2881" s="23" t="str">
        <x:v>nathaliaaraujogoncalves@gmail.com</x:v>
      </x:c>
      <x:c r="I2881" s="22" t="str">
        <x:f>"21998806128"</x:f>
        <x:v>21998806128</x:v>
      </x:c>
      <x:c r="J2881" s="23" t="str">
        <x:v>SPOT</x:v>
      </x:c>
      <x:c r="K2881" s="23" t="str">
        <x:v>favored_only</x:v>
      </x:c>
      <x:c r="L2881" s="24" t="b">
        <x:v>1</x:v>
      </x:c>
      <x:c r="M2881" s="23" t="n">
        <x:v>1</x:v>
      </x:c>
      <x:c r="N2881" s="28" t="n">
        <x:v>46219.812988715275</x:v>
      </x:c>
      <x:c r="O2881" s="28" t="n">
        <x:v>46219.812988715275</x:v>
      </x:c>
      <x:c r="P2881" s="23" t="str">
        <x:v>CORDOVIL</x:v>
      </x:c>
      <x:c r="Q2881" s="30" t="n">
        <x:v>36430</x:v>
      </x:c>
      <x:c r="R2881" s="22" t="str">
        <x:f>"271093866"</x:f>
        <x:v>271093866</x:v>
      </x:c>
      <x:c r="S2881" s="23" t="str">
        <x:v>feminino</x:v>
      </x:c>
      <x:c r="T2881" s="22" t="str">
        <x:f>"KYS9045"</x:f>
        <x:v>KYS9045</x:v>
      </x:c>
      <x:c r="U2881" s="23" t="str">
        <x:v>NATHALIA ARAUJO GONCALVES</x:v>
      </x:c>
      <x:c r="V2881" s="22" t="str">
        <x:f>"157.227.747-58"</x:f>
        <x:v>157.227.747-58</x:v>
      </x:c>
      <x:c r="W2881" s="22" t="str">
        <x:f>"15722774758"</x:f>
        <x:v>15722774758</x:v>
      </x:c>
      <x:c r="X2881" s="23" t="str">
        <x:v>nathaliaaraujogoncalves@gmail.com</x:v>
      </x:c>
      <x:c r="Y2881" s="22" t="str">
        <x:f>"21998806128"</x:f>
        <x:v>21998806128</x:v>
      </x:c>
      <x:c r="Z2881" s="30" t="n">
        <x:v>46452</x:v>
      </x:c>
    </x:row>
    <x:row r="2882" ht="18" customHeight="1">
      <x:c r="A2882" s="22" t="str">
        <x:f>"d57157b1-9ed0-440e-8cc0-9cd765f1bfda"</x:f>
        <x:v>d57157b1-9ed0-440e-8cc0-9cd765f1bfda</x:v>
      </x:c>
      <x:c r="B2882" s="23" t="str">
        <x:v>NATHALIA CAROLINE GOMES DA SILVA</x:v>
      </x:c>
      <x:c r="C2882" s="23" t="str">
        <x:v>nathalia caroline gomes da silva</x:v>
      </x:c>
      <x:c r="D2882" s="22" t="str">
        <x:f>"31.095.678/0001-29"</x:f>
        <x:v>31.095.678/0001-29</x:v>
      </x:c>
      <x:c r="E2882" s="22" t="str">
        <x:f>"31095678000129"</x:f>
        <x:v>31095678000129</x:v>
      </x:c>
      <x:c r="F2882" s="22" t="str">
        <x:f>"072.769.594-60"</x:f>
        <x:v>072.769.594-60</x:v>
      </x:c>
      <x:c r="G2882" s="22" t="str">
        <x:f>"07276959460"</x:f>
        <x:v>07276959460</x:v>
      </x:c>
      <x:c r="H2882" s="23" t="str">
        <x:v>Nathaliasilvaclara13@outlook.com</x:v>
      </x:c>
      <x:c r="I2882" s="22" t="str">
        <x:f>"34988633933"</x:f>
        <x:v>34988633933</x:v>
      </x:c>
      <x:c r="J2882" s="23" t="str">
        <x:v>SPOT</x:v>
      </x:c>
      <x:c r="K2882" s="23" t="str">
        <x:v>favored_only</x:v>
      </x:c>
      <x:c r="L2882" s="24" t="b">
        <x:v>1</x:v>
      </x:c>
      <x:c r="M2882" s="23" t="n">
        <x:v>1</x:v>
      </x:c>
      <x:c r="N2882" s="28" t="n">
        <x:v>46219.812988715275</x:v>
      </x:c>
      <x:c r="O2882" s="28" t="n">
        <x:v>46219.812988715275</x:v>
      </x:c>
      <x:c r="P2882" s="23" t="str">
        <x:v>ARAXÁ</x:v>
      </x:c>
      <x:c r="Q2882" s="30" t="n">
        <x:v>32764</x:v>
      </x:c>
      <x:c r="R2882" s="22" t="str">
        <x:f>"MG13348751"</x:f>
        <x:v>MG13348751</x:v>
      </x:c>
      <x:c r="S2882" s="23" t="str">
        <x:v>feminino</x:v>
      </x:c>
      <x:c r="T2882" s="22" t="str">
        <x:f>"JIE8C51"</x:f>
        <x:v>JIE8C51</x:v>
      </x:c>
      <x:c r="U2882" s="23" t="str">
        <x:v>NATHALIA CAROLINE GOMES DA SILVA</x:v>
      </x:c>
      <x:c r="V2882" s="22" t="str">
        <x:f>"072.769.594-60"</x:f>
        <x:v>072.769.594-60</x:v>
      </x:c>
      <x:c r="W2882" s="22" t="str">
        <x:f>"07276959460"</x:f>
        <x:v>07276959460</x:v>
      </x:c>
      <x:c r="X2882" s="23" t="str">
        <x:v>Nathaliasilvaclara13@outlook.com</x:v>
      </x:c>
      <x:c r="Y2882" s="22" t="str">
        <x:f>"34988633933"</x:f>
        <x:v>34988633933</x:v>
      </x:c>
      <x:c r="Z2882" s="30" t="n">
        <x:v>46581</x:v>
      </x:c>
    </x:row>
    <x:row r="2883" ht="18" customHeight="1">
      <x:c r="A2883" s="22" t="str">
        <x:f>"131f1683-6b78-4d7c-895c-b919a27fa2fe"</x:f>
        <x:v>131f1683-6b78-4d7c-895c-b919a27fa2fe</x:v>
      </x:c>
      <x:c r="B2883" s="23" t="str">
        <x:v>NATHALIA CRISTINA BORGES REGO</x:v>
      </x:c>
      <x:c r="C2883" s="23" t="str">
        <x:v>nathalia cristina borges rego</x:v>
      </x:c>
      <x:c r="D2883" s="22" t="str">
        <x:f>"38.226.032/0001-82"</x:f>
        <x:v>38.226.032/0001-82</x:v>
      </x:c>
      <x:c r="E2883" s="22" t="str">
        <x:f>"38226032000182"</x:f>
        <x:v>38226032000182</x:v>
      </x:c>
      <x:c r="F2883" s="22" t="str">
        <x:f>"103.225.776-83"</x:f>
        <x:v>103.225.776-83</x:v>
      </x:c>
      <x:c r="G2883" s="22" t="str">
        <x:f>"10322577683"</x:f>
        <x:v>10322577683</x:v>
      </x:c>
      <x:c r="H2883" s="23" t="str">
        <x:v>nathaliaborges09@hotmail.com</x:v>
      </x:c>
      <x:c r="I2883" s="22" t="str">
        <x:f>"35 9911-5083"</x:f>
        <x:v>35 9911-5083</x:v>
      </x:c>
      <x:c r="J2883" s="23" t="str">
        <x:v>SPOT</x:v>
      </x:c>
      <x:c r="K2883" s="23" t="str">
        <x:v>favored_only</x:v>
      </x:c>
      <x:c r="L2883" s="24" t="b">
        <x:v>1</x:v>
      </x:c>
      <x:c r="M2883" s="23" t="n">
        <x:v>1</x:v>
      </x:c>
      <x:c r="N2883" s="28" t="n">
        <x:v>46205.606321770836</x:v>
      </x:c>
      <x:c r="O2883" s="28" t="n">
        <x:v>46219.812988715275</x:v>
      </x:c>
      <x:c r="P2883" s="23" t="str">
        <x:v>GUAXUPE</x:v>
      </x:c>
      <x:c r="Q2883" s="30" t="n">
        <x:v>31025</x:v>
      </x:c>
      <x:c r="R2883" s="22" t="str">
        <x:f>"18620933"</x:f>
        <x:v>18620933</x:v>
      </x:c>
      <x:c r="S2883" s="23" t="str">
        <x:v>masculino</x:v>
      </x:c>
      <x:c r="T2883" s="22" t="str">
        <x:f>"FPQ5I77"</x:f>
        <x:v>FPQ5I77</x:v>
      </x:c>
      <x:c r="U2883" s="23" t="str">
        <x:v>KLEISER JOSE ARAUJO</x:v>
      </x:c>
      <x:c r="V2883" s="22" t="str">
        <x:f>"097.608.156-30"</x:f>
        <x:v>097.608.156-30</x:v>
      </x:c>
      <x:c r="W2883" s="22" t="str">
        <x:f>"09760815630"</x:f>
        <x:v>09760815630</x:v>
      </x:c>
      <x:c r="X2883" s="23" t="str">
        <x:v>savanastore19@outlook.com</x:v>
      </x:c>
      <x:c r="Y2883" s="22" t="str">
        <x:f>"35 9173-0019"</x:f>
        <x:v>35 9173-0019</x:v>
      </x:c>
      <x:c r="Z2883" s="30" t="n">
        <x:v>46353</x:v>
      </x:c>
    </x:row>
    <x:row r="2884" ht="18" customHeight="1">
      <x:c r="A2884" s="22" t="str">
        <x:f>"11020b63-7c91-4d64-b908-0400738e48ab"</x:f>
        <x:v>11020b63-7c91-4d64-b908-0400738e48ab</x:v>
      </x:c>
      <x:c r="B2884" s="23" t="str">
        <x:v>NATHALIA FERREIRA DOS SANTOS</x:v>
      </x:c>
      <x:c r="C2884" s="23" t="str">
        <x:v>nathalia ferreira dos santos</x:v>
      </x:c>
      <x:c r="D2884" s="22" t="str">
        <x:f>"57.342.569/0001-52"</x:f>
        <x:v>57.342.569/0001-52</x:v>
      </x:c>
      <x:c r="E2884" s="22" t="str">
        <x:f>"57342569000152"</x:f>
        <x:v>57342569000152</x:v>
      </x:c>
      <x:c r="F2884" s="22" t="str">
        <x:f>"44308798850"</x:f>
        <x:v>44308798850</x:v>
      </x:c>
      <x:c r="G2884" s="22" t="str">
        <x:f>"44308798850"</x:f>
        <x:v>44308798850</x:v>
      </x:c>
      <x:c r="H2884" s="23" t="str">
        <x:v>nathaliaferreirasantos2@gmail.com</x:v>
      </x:c>
      <x:c r="I2884" s="22" t="str">
        <x:f>"17 99272-1820"</x:f>
        <x:v>17 99272-1820</x:v>
      </x:c>
      <x:c r="J2884" s="23" t="str">
        <x:v>SPOT</x:v>
      </x:c>
      <x:c r="K2884" s="23" t="str">
        <x:v>favored_only</x:v>
      </x:c>
      <x:c r="L2884" s="24" t="b">
        <x:v>1</x:v>
      </x:c>
      <x:c r="M2884" s="23" t="n">
        <x:v>1</x:v>
      </x:c>
      <x:c r="N2884" s="28" t="n">
        <x:v>46203.92184908565</x:v>
      </x:c>
      <x:c r="O2884" s="28" t="n">
        <x:v>46203.92184908565</x:v>
      </x:c>
      <x:c r="P2884" s="23" t="str"/>
      <x:c r="Q2884" s="30" t="str"/>
      <x:c r="R2884" s="22" t="str"/>
      <x:c r="S2884" s="23" t="str"/>
      <x:c r="T2884" s="22" t="str"/>
      <x:c r="U2884" s="23" t="str">
        <x:v>NATHALIA FERREIRA DOS SANTOS</x:v>
      </x:c>
      <x:c r="V2884" s="22" t="str">
        <x:f>"44308798850"</x:f>
        <x:v>44308798850</x:v>
      </x:c>
      <x:c r="W2884" s="22" t="str">
        <x:f>"44308798850"</x:f>
        <x:v>44308798850</x:v>
      </x:c>
      <x:c r="X2884" s="23" t="str">
        <x:v>nathaliaferreirasantos2@gmail.com</x:v>
      </x:c>
      <x:c r="Y2884" s="22" t="str">
        <x:f>"17 99272-1820"</x:f>
        <x:v>17 99272-1820</x:v>
      </x:c>
      <x:c r="Z2884" s="30" t="str"/>
    </x:row>
    <x:row r="2885" ht="18" customHeight="1">
      <x:c r="A2885" s="22" t="str">
        <x:f>"3f9da8f4-c36c-4d67-ad09-11e1f8734471"</x:f>
        <x:v>3f9da8f4-c36c-4d67-ad09-11e1f8734471</x:v>
      </x:c>
      <x:c r="B2885" s="23" t="str">
        <x:v>NATHALIA KAROLINE ALVES</x:v>
      </x:c>
      <x:c r="C2885" s="23" t="str">
        <x:v>nathalia karoline alves</x:v>
      </x:c>
      <x:c r="D2885" s="22" t="str">
        <x:f>"55.252.216/0001-36"</x:f>
        <x:v>55.252.216/0001-36</x:v>
      </x:c>
      <x:c r="E2885" s="22" t="str">
        <x:f>"55252216000136"</x:f>
        <x:v>55252216000136</x:v>
      </x:c>
      <x:c r="F2885" s="22" t="str">
        <x:f>"079.512.496-10"</x:f>
        <x:v>079.512.496-10</x:v>
      </x:c>
      <x:c r="G2885" s="22" t="str">
        <x:f>"07951249610"</x:f>
        <x:v>07951249610</x:v>
      </x:c>
      <x:c r="H2885" s="23" t="str">
        <x:v>nathaliakaroline23@gmail.com</x:v>
      </x:c>
      <x:c r="I2885" s="22" t="str">
        <x:f>"35 99246-6219"</x:f>
        <x:v>35 99246-6219</x:v>
      </x:c>
      <x:c r="J2885" s="23" t="str">
        <x:v>spot</x:v>
      </x:c>
      <x:c r="K2885" s="23" t="str">
        <x:v>favored_only</x:v>
      </x:c>
      <x:c r="L2885" s="24" t="b">
        <x:v>1</x:v>
      </x:c>
      <x:c r="M2885" s="23" t="n">
        <x:v>1</x:v>
      </x:c>
      <x:c r="N2885" s="28" t="n">
        <x:v>46219.812988715275</x:v>
      </x:c>
      <x:c r="O2885" s="28" t="n">
        <x:v>46219.812988715275</x:v>
      </x:c>
      <x:c r="P2885" s="23" t="str">
        <x:v>GUAXUPE</x:v>
      </x:c>
      <x:c r="Q2885" s="30" t="n">
        <x:v>37855</x:v>
      </x:c>
      <x:c r="R2885" s="22" t="str">
        <x:f>"19997722"</x:f>
        <x:v>19997722</x:v>
      </x:c>
      <x:c r="S2885" s="23" t="str">
        <x:v>feminino</x:v>
      </x:c>
      <x:c r="T2885" s="22" t="str">
        <x:f>"PZF8486"</x:f>
        <x:v>PZF8486</x:v>
      </x:c>
      <x:c r="U2885" s="23" t="str">
        <x:v>GUILHERME AUGUSTO RAMOS TORRES</x:v>
      </x:c>
      <x:c r="V2885" s="22" t="str">
        <x:f>"147.339.376-01"</x:f>
        <x:v>147.339.376-01</x:v>
      </x:c>
      <x:c r="W2885" s="22" t="str">
        <x:f>"14733937601"</x:f>
        <x:v>14733937601</x:v>
      </x:c>
      <x:c r="X2885" s="23" t="str">
        <x:v>GUIRAMOSDESOUZA@GMAIL.COM</x:v>
      </x:c>
      <x:c r="Y2885" s="22" t="str">
        <x:f>"35 8867-7126"</x:f>
        <x:v>35 8867-7126</x:v>
      </x:c>
      <x:c r="Z2885" s="30" t="n">
        <x:v>46555</x:v>
      </x:c>
    </x:row>
    <x:row r="2886" ht="18" customHeight="1">
      <x:c r="A2886" s="22" t="str">
        <x:f>"c8697ef7-c072-4184-8f08-c0b546e07d49"</x:f>
        <x:v>c8697ef7-c072-4184-8f08-c0b546e07d49</x:v>
      </x:c>
      <x:c r="B2886" s="23" t="str">
        <x:v>NATHANAEL VICTOR SANTOS CAMILO</x:v>
      </x:c>
      <x:c r="C2886" s="23" t="str">
        <x:v>nathanael victor santos camilo</x:v>
      </x:c>
      <x:c r="D2886" s="22" t="str">
        <x:f>"62.628.585/0001-46"</x:f>
        <x:v>62.628.585/0001-46</x:v>
      </x:c>
      <x:c r="E2886" s="22" t="str">
        <x:f>"62628585000146"</x:f>
        <x:v>62628585000146</x:v>
      </x:c>
      <x:c r="F2886" s="22" t="str">
        <x:f>"018.648.896-32"</x:f>
        <x:v>018.648.896-32</x:v>
      </x:c>
      <x:c r="G2886" s="22" t="str">
        <x:f>"01864889632"</x:f>
        <x:v>01864889632</x:v>
      </x:c>
      <x:c r="H2886" s="23" t="str">
        <x:v>NAFLEX123@GMAIL.COM</x:v>
      </x:c>
      <x:c r="I2886" s="22" t="str">
        <x:f>"34999110437"</x:f>
        <x:v>34999110437</x:v>
      </x:c>
      <x:c r="J2886" s="23" t="str">
        <x:v>RENTAL</x:v>
      </x:c>
      <x:c r="K2886" s="23" t="str">
        <x:v>rental_company</x:v>
      </x:c>
      <x:c r="L2886" s="24" t="b">
        <x:v>1</x:v>
      </x:c>
      <x:c r="M2886" s="23" t="n">
        <x:v>1</x:v>
      </x:c>
      <x:c r="N2886" s="28" t="n">
        <x:v>46219.812988715275</x:v>
      </x:c>
      <x:c r="O2886" s="28" t="n">
        <x:v>46219.812988715275</x:v>
      </x:c>
      <x:c r="P2886" s="23" t="str">
        <x:v>UBERLANDIA</x:v>
      </x:c>
      <x:c r="Q2886" s="30" t="n">
        <x:v>37545</x:v>
      </x:c>
      <x:c r="R2886" s="22" t="str">
        <x:f>"MG19407283"</x:f>
        <x:v>MG19407283</x:v>
      </x:c>
      <x:c r="S2886" s="23" t="str">
        <x:v>masculino</x:v>
      </x:c>
      <x:c r="T2886" s="22" t="str"/>
      <x:c r="U2886" s="23" t="str">
        <x:v>NATHANAEL VICTOR SANTOS CAMILO</x:v>
      </x:c>
      <x:c r="V2886" s="22" t="str">
        <x:f>"018.648.896-32"</x:f>
        <x:v>018.648.896-32</x:v>
      </x:c>
      <x:c r="W2886" s="22" t="str">
        <x:f>"01864889632"</x:f>
        <x:v>01864889632</x:v>
      </x:c>
      <x:c r="X2886" s="23" t="str">
        <x:v>NAFLEX123@GMAIL.COM</x:v>
      </x:c>
      <x:c r="Y2886" s="22" t="str">
        <x:f>"34999110437"</x:f>
        <x:v>34999110437</x:v>
      </x:c>
      <x:c r="Z2886" s="30" t="n">
        <x:v>46534</x:v>
      </x:c>
    </x:row>
    <x:row r="2887" ht="18" customHeight="1">
      <x:c r="A2887" s="22" t="str">
        <x:f>"e58decd7-73c8-47eb-8f59-af511ca2b9d7"</x:f>
        <x:v>e58decd7-73c8-47eb-8f59-af511ca2b9d7</x:v>
      </x:c>
      <x:c r="B2887" s="23" t="str">
        <x:v>NATHAN DE CASTRO FANTINE</x:v>
      </x:c>
      <x:c r="C2887" s="23" t="str">
        <x:v>nathan de castro fantine</x:v>
      </x:c>
      <x:c r="D2887" s="22" t="str">
        <x:f>"51.393.919/0001-23"</x:f>
        <x:v>51.393.919/0001-23</x:v>
      </x:c>
      <x:c r="E2887" s="22" t="str">
        <x:f>"51393919000123"</x:f>
        <x:v>51393919000123</x:v>
      </x:c>
      <x:c r="F2887" s="22" t="str">
        <x:f>"405.651.028-85"</x:f>
        <x:v>405.651.028-85</x:v>
      </x:c>
      <x:c r="G2887" s="22" t="str">
        <x:f>"40565102885"</x:f>
        <x:v>40565102885</x:v>
      </x:c>
      <x:c r="H2887" s="23" t="str">
        <x:v>castrotur.excursoes@gmail.com</x:v>
      </x:c>
      <x:c r="I2887" s="22" t="str">
        <x:f>"1698821-4712"</x:f>
        <x:v>1698821-4712</x:v>
      </x:c>
      <x:c r="J2887" s="23" t="str">
        <x:v>RENTAL</x:v>
      </x:c>
      <x:c r="K2887" s="23" t="str">
        <x:v>rental_company</x:v>
      </x:c>
      <x:c r="L2887" s="24" t="b">
        <x:v>1</x:v>
      </x:c>
      <x:c r="M2887" s="23" t="n">
        <x:v>1</x:v>
      </x:c>
      <x:c r="N2887" s="28" t="n">
        <x:v>46219.812988715275</x:v>
      </x:c>
      <x:c r="O2887" s="28" t="n">
        <x:v>46219.812988715275</x:v>
      </x:c>
      <x:c r="P2887" s="23" t="str">
        <x:v>RIBEIRAO PRETO</x:v>
      </x:c>
      <x:c r="Q2887" s="30" t="n">
        <x:v>33861</x:v>
      </x:c>
      <x:c r="R2887" s="22" t="str">
        <x:f>"48.990.917-6"</x:f>
        <x:v>48.990.917-6</x:v>
      </x:c>
      <x:c r="S2887" s="23" t="str">
        <x:v>masculino</x:v>
      </x:c>
      <x:c r="T2887" s="22" t="str"/>
      <x:c r="U2887" s="23" t="str">
        <x:v>NATHAN DE CASTRO FANTINE</x:v>
      </x:c>
      <x:c r="V2887" s="22" t="str">
        <x:f>"405.651.028-85"</x:f>
        <x:v>405.651.028-85</x:v>
      </x:c>
      <x:c r="W2887" s="22" t="str">
        <x:f>"40565102885"</x:f>
        <x:v>40565102885</x:v>
      </x:c>
      <x:c r="X2887" s="23" t="str">
        <x:v>castrotur.excursoes@gmail.com</x:v>
      </x:c>
      <x:c r="Y2887" s="22" t="str">
        <x:f>"1698821-4712"</x:f>
        <x:v>1698821-4712</x:v>
      </x:c>
      <x:c r="Z2887" s="30" t="n">
        <x:v>46505</x:v>
      </x:c>
    </x:row>
    <x:row r="2888" ht="18" customHeight="1">
      <x:c r="A2888" s="22" t="str">
        <x:f>"40a8a329-162f-4e82-9469-557f1433733b"</x:f>
        <x:v>40a8a329-162f-4e82-9469-557f1433733b</x:v>
      </x:c>
      <x:c r="B2888" s="23" t="str">
        <x:v>NATHAN FABRICIO JAIVONA CABRERA</x:v>
      </x:c>
      <x:c r="C2888" s="23" t="str">
        <x:v>nathan fabricio jaivona cabrera</x:v>
      </x:c>
      <x:c r="D2888" s="22" t="str">
        <x:f>"65.159.321/0001-89"</x:f>
        <x:v>65.159.321/0001-89</x:v>
      </x:c>
      <x:c r="E2888" s="22" t="str">
        <x:f>"65159321000189"</x:f>
        <x:v>65159321000189</x:v>
      </x:c>
      <x:c r="F2888" s="22" t="str">
        <x:f>"027.469.631-24"</x:f>
        <x:v>027.469.631-24</x:v>
      </x:c>
      <x:c r="G2888" s="22" t="str">
        <x:f>"02746963124"</x:f>
        <x:v>02746963124</x:v>
      </x:c>
      <x:c r="H2888" s="23" t="str">
        <x:v>nathanfabricioo77@gmail.com</x:v>
      </x:c>
      <x:c r="I2888" s="22" t="str">
        <x:f>"65996978915"</x:f>
        <x:v>65996978915</x:v>
      </x:c>
      <x:c r="J2888" s="23" t="str">
        <x:v>SPOT</x:v>
      </x:c>
      <x:c r="K2888" s="23" t="str">
        <x:v>favored_only</x:v>
      </x:c>
      <x:c r="L2888" s="24" t="b">
        <x:v>1</x:v>
      </x:c>
      <x:c r="M2888" s="23" t="n">
        <x:v>1</x:v>
      </x:c>
      <x:c r="N2888" s="28" t="n">
        <x:v>46219.812988715275</x:v>
      </x:c>
      <x:c r="O2888" s="28" t="n">
        <x:v>46219.812988715275</x:v>
      </x:c>
      <x:c r="P2888" s="23" t="str">
        <x:v>CÁCERES</x:v>
      </x:c>
      <x:c r="Q2888" s="30" t="n">
        <x:v>33058</x:v>
      </x:c>
      <x:c r="R2888" s="22" t="str">
        <x:f>"20220570"</x:f>
        <x:v>20220570</x:v>
      </x:c>
      <x:c r="S2888" s="23" t="str">
        <x:v>masculino</x:v>
      </x:c>
      <x:c r="T2888" s="22" t="str">
        <x:f>"OBA7E82"</x:f>
        <x:v>OBA7E82</x:v>
      </x:c>
      <x:c r="U2888" s="23" t="str">
        <x:v>NATHAN FABRICIO JAIVONA CABRERA</x:v>
      </x:c>
      <x:c r="V2888" s="22" t="str">
        <x:f>"027.469.631-24"</x:f>
        <x:v>027.469.631-24</x:v>
      </x:c>
      <x:c r="W2888" s="22" t="str">
        <x:f>"02746963124"</x:f>
        <x:v>02746963124</x:v>
      </x:c>
      <x:c r="X2888" s="23" t="str">
        <x:v>nathanfabricioo77@gmail.com</x:v>
      </x:c>
      <x:c r="Y2888" s="22" t="str">
        <x:f>"65996978915"</x:f>
        <x:v>65996978915</x:v>
      </x:c>
      <x:c r="Z2888" s="30" t="n">
        <x:v>46438</x:v>
      </x:c>
    </x:row>
    <x:row r="2889" ht="18" customHeight="1">
      <x:c r="A2889" s="22" t="str">
        <x:f>"9f7f17f4-a776-4bad-b575-bf8341bdf2b5"</x:f>
        <x:v>9f7f17f4-a776-4bad-b575-bf8341bdf2b5</x:v>
      </x:c>
      <x:c r="B2889" s="23" t="str">
        <x:v>NATHAN HENRIQUE SILVA DOMINGOS</x:v>
      </x:c>
      <x:c r="C2889" s="23" t="str">
        <x:v>nathan henrique silva domingos</x:v>
      </x:c>
      <x:c r="D2889" s="22" t="str">
        <x:f>"66.239.820/0001-49"</x:f>
        <x:v>66.239.820/0001-49</x:v>
      </x:c>
      <x:c r="E2889" s="22" t="str">
        <x:f>"66239820000149"</x:f>
        <x:v>66239820000149</x:v>
      </x:c>
      <x:c r="F2889" s="22" t="str">
        <x:f>"462.994.138-08"</x:f>
        <x:v>462.994.138-08</x:v>
      </x:c>
      <x:c r="G2889" s="22" t="str">
        <x:f>"46299413808"</x:f>
        <x:v>46299413808</x:v>
      </x:c>
      <x:c r="H2889" s="23" t="str">
        <x:v>nathanzin28122003@gmail.com</x:v>
      </x:c>
      <x:c r="I2889" s="22" t="str">
        <x:f>"18997466569"</x:f>
        <x:v>18997466569</x:v>
      </x:c>
      <x:c r="J2889" s="23" t="str">
        <x:v>RENTAL</x:v>
      </x:c>
      <x:c r="K2889" s="23" t="str">
        <x:v>rental_company</x:v>
      </x:c>
      <x:c r="L2889" s="24" t="b">
        <x:v>1</x:v>
      </x:c>
      <x:c r="M2889" s="23" t="n">
        <x:v>1</x:v>
      </x:c>
      <x:c r="N2889" s="28" t="n">
        <x:v>46219.812988715275</x:v>
      </x:c>
      <x:c r="O2889" s="28" t="n">
        <x:v>46219.812988715275</x:v>
      </x:c>
      <x:c r="P2889" s="23" t="str">
        <x:v>PRESIDENTE PRUDENTE</x:v>
      </x:c>
      <x:c r="Q2889" s="30" t="n">
        <x:v>37984</x:v>
      </x:c>
      <x:c r="R2889" s="22" t="str">
        <x:f>"570176670"</x:f>
        <x:v>570176670</x:v>
      </x:c>
      <x:c r="S2889" s="23" t="str">
        <x:v>masculino</x:v>
      </x:c>
      <x:c r="T2889" s="22" t="str"/>
      <x:c r="U2889" s="23" t="str">
        <x:v>NATHAN HENRIQUE SILVA DOMINGOS</x:v>
      </x:c>
      <x:c r="V2889" s="22" t="str">
        <x:f>"462.994.138-08"</x:f>
        <x:v>462.994.138-08</x:v>
      </x:c>
      <x:c r="W2889" s="22" t="str">
        <x:f>"46299413808"</x:f>
        <x:v>46299413808</x:v>
      </x:c>
      <x:c r="X2889" s="23" t="str">
        <x:v>nathanzin28122003@gmail.com</x:v>
      </x:c>
      <x:c r="Y2889" s="22" t="str">
        <x:f>"18997466569"</x:f>
        <x:v>18997466569</x:v>
      </x:c>
      <x:c r="Z2889" s="30" t="n">
        <x:v>46492</x:v>
      </x:c>
    </x:row>
    <x:row r="2890" ht="18" customHeight="1">
      <x:c r="A2890" s="22" t="str">
        <x:f>"479f789b-9394-463a-bba4-34624ec4c96a"</x:f>
        <x:v>479f789b-9394-463a-bba4-34624ec4c96a</x:v>
      </x:c>
      <x:c r="B2890" s="23" t="str">
        <x:v>NATHAN MELLO DE ANDRADE</x:v>
      </x:c>
      <x:c r="C2890" s="23" t="str">
        <x:v>nathan mello de andrade</x:v>
      </x:c>
      <x:c r="D2890" s="22" t="str">
        <x:f>"64.480.814/0001-53"</x:f>
        <x:v>64.480.814/0001-53</x:v>
      </x:c>
      <x:c r="E2890" s="22" t="str">
        <x:f>"64480814000153"</x:f>
        <x:v>64480814000153</x:v>
      </x:c>
      <x:c r="F2890" s="22" t="str">
        <x:f>"116.686.847-80"</x:f>
        <x:v>116.686.847-80</x:v>
      </x:c>
      <x:c r="G2890" s="22" t="str">
        <x:f>"11668684780"</x:f>
        <x:v>11668684780</x:v>
      </x:c>
      <x:c r="H2890" s="23" t="str">
        <x:v>nathanshnyder003@gmail.com</x:v>
      </x:c>
      <x:c r="I2890" s="22" t="str">
        <x:f>"21965094443"</x:f>
        <x:v>21965094443</x:v>
      </x:c>
      <x:c r="J2890" s="23" t="str">
        <x:v>STOP</x:v>
      </x:c>
      <x:c r="K2890" s="23" t="str">
        <x:v>favored_only</x:v>
      </x:c>
      <x:c r="L2890" s="24" t="b">
        <x:v>1</x:v>
      </x:c>
      <x:c r="M2890" s="23" t="n">
        <x:v>1</x:v>
      </x:c>
      <x:c r="N2890" s="28" t="n">
        <x:v>46219.812988715275</x:v>
      </x:c>
      <x:c r="O2890" s="28" t="n">
        <x:v>46219.812988715275</x:v>
      </x:c>
      <x:c r="P2890" s="23" t="str">
        <x:v>CAMPO GRANDE</x:v>
      </x:c>
      <x:c r="Q2890" s="30" t="n">
        <x:v>33957</x:v>
      </x:c>
      <x:c r="R2890" s="22" t="str">
        <x:f>"287821268"</x:f>
        <x:v>287821268</x:v>
      </x:c>
      <x:c r="S2890" s="23" t="str">
        <x:v>masculino</x:v>
      </x:c>
      <x:c r="T2890" s="22" t="str">
        <x:f>"PWY1D83"</x:f>
        <x:v>PWY1D83</x:v>
      </x:c>
      <x:c r="U2890" s="23" t="str">
        <x:v>NATHAN MELLO DE ANDRADE</x:v>
      </x:c>
      <x:c r="V2890" s="22" t="str">
        <x:f>"116.686.847-80"</x:f>
        <x:v>116.686.847-80</x:v>
      </x:c>
      <x:c r="W2890" s="22" t="str">
        <x:f>"11668684780"</x:f>
        <x:v>11668684780</x:v>
      </x:c>
      <x:c r="X2890" s="23" t="str">
        <x:v>nathanshnyder003@gmail.com</x:v>
      </x:c>
      <x:c r="Y2890" s="22" t="str">
        <x:f>"21965094443"</x:f>
        <x:v>21965094443</x:v>
      </x:c>
      <x:c r="Z2890" s="30" t="n">
        <x:v>46564</x:v>
      </x:c>
    </x:row>
    <x:row r="2891" ht="18" customHeight="1">
      <x:c r="A2891" s="22" t="str">
        <x:f>"9c16f2b3-548a-41d8-b8ab-35af869260eb"</x:f>
        <x:v>9c16f2b3-548a-41d8-b8ab-35af869260eb</x:v>
      </x:c>
      <x:c r="B2891" s="23" t="str">
        <x:v>NATHAN NUNES DA SILVA</x:v>
      </x:c>
      <x:c r="C2891" s="23" t="str">
        <x:v>nathan nunes da silva</x:v>
      </x:c>
      <x:c r="D2891" s="22" t="str">
        <x:f>"67.569.420/0001-64"</x:f>
        <x:v>67.569.420/0001-64</x:v>
      </x:c>
      <x:c r="E2891" s="22" t="str">
        <x:f>"67569420000164"</x:f>
        <x:v>67569420000164</x:v>
      </x:c>
      <x:c r="F2891" s="22" t="str">
        <x:f>"401.779.468-81"</x:f>
        <x:v>401.779.468-81</x:v>
      </x:c>
      <x:c r="G2891" s="22" t="str">
        <x:f>"40177946881"</x:f>
        <x:v>40177946881</x:v>
      </x:c>
      <x:c r="H2891" s="23" t="str">
        <x:v>nathangestor487@gmail.com</x:v>
      </x:c>
      <x:c r="I2891" s="22" t="str">
        <x:f>"11983989606"</x:f>
        <x:v>11983989606</x:v>
      </x:c>
      <x:c r="J2891" s="23" t="str">
        <x:v>SPOT</x:v>
      </x:c>
      <x:c r="K2891" s="23" t="str">
        <x:v>favored_only</x:v>
      </x:c>
      <x:c r="L2891" s="24" t="b">
        <x:v>1</x:v>
      </x:c>
      <x:c r="M2891" s="23" t="n">
        <x:v>1</x:v>
      </x:c>
      <x:c r="N2891" s="28" t="n">
        <x:v>46219.812988715275</x:v>
      </x:c>
      <x:c r="O2891" s="28" t="n">
        <x:v>46219.812988715275</x:v>
      </x:c>
      <x:c r="P2891" s="23" t="str">
        <x:v>BARUERI</x:v>
      </x:c>
      <x:c r="Q2891" s="30" t="n">
        <x:v>37879</x:v>
      </x:c>
      <x:c r="R2891" s="22" t="str">
        <x:f>"523385419"</x:f>
        <x:v>523385419</x:v>
      </x:c>
      <x:c r="S2891" s="23" t="str">
        <x:v>masculino</x:v>
      </x:c>
      <x:c r="T2891" s="22" t="str">
        <x:f>"FGG1D93"</x:f>
        <x:v>FGG1D93</x:v>
      </x:c>
      <x:c r="U2891" s="23" t="str">
        <x:v>NATHAN NUNES DA SILVA</x:v>
      </x:c>
      <x:c r="V2891" s="22" t="str">
        <x:f>"401.779.468-81"</x:f>
        <x:v>401.779.468-81</x:v>
      </x:c>
      <x:c r="W2891" s="22" t="str">
        <x:f>"40177946881"</x:f>
        <x:v>40177946881</x:v>
      </x:c>
      <x:c r="X2891" s="23" t="str">
        <x:v>nathangestor487@gmail.com</x:v>
      </x:c>
      <x:c r="Y2891" s="22" t="str">
        <x:f>"11983989606"</x:f>
        <x:v>11983989606</x:v>
      </x:c>
      <x:c r="Z2891" s="30" t="n">
        <x:v>46567</x:v>
      </x:c>
    </x:row>
    <x:row r="2892" ht="18" customHeight="1">
      <x:c r="A2892" s="22" t="str">
        <x:f>"067b2a76-617c-4e18-a98a-87071f84c984"</x:f>
        <x:v>067b2a76-617c-4e18-a98a-87071f84c984</x:v>
      </x:c>
      <x:c r="B2892" s="23" t="str">
        <x:v>NATHAN PEREIRA LAGES TAVARES</x:v>
      </x:c>
      <x:c r="C2892" s="23" t="str">
        <x:v>nathan pereira lages tavares</x:v>
      </x:c>
      <x:c r="D2892" s="22" t="str">
        <x:f>"62.910.495/0001-43"</x:f>
        <x:v>62.910.495/0001-43</x:v>
      </x:c>
      <x:c r="E2892" s="22" t="str">
        <x:f>"62910495000143"</x:f>
        <x:v>62910495000143</x:v>
      </x:c>
      <x:c r="F2892" s="22" t="str">
        <x:f>"091.971.396-37"</x:f>
        <x:v>091.971.396-37</x:v>
      </x:c>
      <x:c r="G2892" s="22" t="str">
        <x:f>"09197139637"</x:f>
        <x:v>09197139637</x:v>
      </x:c>
      <x:c r="H2892" s="23" t="str">
        <x:v>nathan.pl.tavares@hotmail.com</x:v>
      </x:c>
      <x:c r="I2892" s="22" t="str">
        <x:f>"988245961"</x:f>
        <x:v>988245961</x:v>
      </x:c>
      <x:c r="J2892" s="23" t="str">
        <x:v>RENTAL</x:v>
      </x:c>
      <x:c r="K2892" s="23" t="str">
        <x:v>rental_company</x:v>
      </x:c>
      <x:c r="L2892" s="24" t="b">
        <x:v>1</x:v>
      </x:c>
      <x:c r="M2892" s="23" t="n">
        <x:v>1</x:v>
      </x:c>
      <x:c r="N2892" s="28" t="n">
        <x:v>46203.92186888889</x:v>
      </x:c>
      <x:c r="O2892" s="28" t="n">
        <x:v>46219.812988715275</x:v>
      </x:c>
      <x:c r="P2892" s="23" t="str">
        <x:v>POUSO ALEGRE</x:v>
      </x:c>
      <x:c r="Q2892" s="30" t="n">
        <x:v>38222</x:v>
      </x:c>
      <x:c r="R2892" s="22" t="str">
        <x:f>"22625878"</x:f>
        <x:v>22625878</x:v>
      </x:c>
      <x:c r="S2892" s="23" t="str">
        <x:v>masculino</x:v>
      </x:c>
      <x:c r="T2892" s="22" t="str"/>
      <x:c r="U2892" s="23" t="str">
        <x:v>NATHAN PEREIRA LAGES TAVARES</x:v>
      </x:c>
      <x:c r="V2892" s="22" t="str">
        <x:f>"091.971.396-37"</x:f>
        <x:v>091.971.396-37</x:v>
      </x:c>
      <x:c r="W2892" s="22" t="str">
        <x:f>"09197139637"</x:f>
        <x:v>09197139637</x:v>
      </x:c>
      <x:c r="X2892" s="23" t="str">
        <x:v>nathan.pl.tavares@hotmail.com</x:v>
      </x:c>
      <x:c r="Y2892" s="22" t="str">
        <x:f>"988245961"</x:f>
        <x:v>988245961</x:v>
      </x:c>
      <x:c r="Z2892" s="30" t="n">
        <x:v>46294</x:v>
      </x:c>
    </x:row>
    <x:row r="2893" ht="18" customHeight="1">
      <x:c r="A2893" s="22" t="str">
        <x:f>"5b39b65d-59ac-4d1e-9782-009c0135f878"</x:f>
        <x:v>5b39b65d-59ac-4d1e-9782-009c0135f878</x:v>
      </x:c>
      <x:c r="B2893" s="23" t="str">
        <x:v>NAYTON VICENTE</x:v>
      </x:c>
      <x:c r="C2893" s="23" t="str">
        <x:v>nayton vicente</x:v>
      </x:c>
      <x:c r="D2893" s="22" t="str">
        <x:f>"62.266.164/0001-12"</x:f>
        <x:v>62.266.164/0001-12</x:v>
      </x:c>
      <x:c r="E2893" s="22" t="str">
        <x:f>"62266164000112"</x:f>
        <x:v>62266164000112</x:v>
      </x:c>
      <x:c r="F2893" s="22" t="str">
        <x:f>"435.042.448-28"</x:f>
        <x:v>435.042.448-28</x:v>
      </x:c>
      <x:c r="G2893" s="22" t="str">
        <x:f>"43504244828"</x:f>
        <x:v>43504244828</x:v>
      </x:c>
      <x:c r="H2893" s="23" t="str">
        <x:v>roundtripvicente@gmail.com</x:v>
      </x:c>
      <x:c r="I2893" s="22" t="str">
        <x:f>"19992039296"</x:f>
        <x:v>19992039296</x:v>
      </x:c>
      <x:c r="J2893" s="23" t="str">
        <x:v>SPOT</x:v>
      </x:c>
      <x:c r="K2893" s="23" t="str">
        <x:v>favored_only</x:v>
      </x:c>
      <x:c r="L2893" s="24" t="b">
        <x:v>1</x:v>
      </x:c>
      <x:c r="M2893" s="23" t="n">
        <x:v>1</x:v>
      </x:c>
      <x:c r="N2893" s="28" t="n">
        <x:v>46203.921858726855</x:v>
      </x:c>
      <x:c r="O2893" s="28" t="n">
        <x:v>46219.812988715275</x:v>
      </x:c>
      <x:c r="P2893" s="23" t="str">
        <x:v>SÃO CARLOS</x:v>
      </x:c>
      <x:c r="Q2893" s="30" t="n">
        <x:v>34257</x:v>
      </x:c>
      <x:c r="R2893" s="22" t="str">
        <x:f>"489168838"</x:f>
        <x:v>489168838</x:v>
      </x:c>
      <x:c r="S2893" s="23" t="str">
        <x:v>masculino</x:v>
      </x:c>
      <x:c r="T2893" s="22" t="str">
        <x:f>"FOF2610"</x:f>
        <x:v>FOF2610</x:v>
      </x:c>
      <x:c r="U2893" s="23" t="str">
        <x:v>NAYTON VICENTE</x:v>
      </x:c>
      <x:c r="V2893" s="22" t="str">
        <x:f>"435.042.448-28"</x:f>
        <x:v>435.042.448-28</x:v>
      </x:c>
      <x:c r="W2893" s="22" t="str">
        <x:f>"43504244828"</x:f>
        <x:v>43504244828</x:v>
      </x:c>
      <x:c r="X2893" s="23" t="str">
        <x:v>roundtripvicente@gmail.com</x:v>
      </x:c>
      <x:c r="Y2893" s="22" t="str">
        <x:f>"(19)99203-9296"</x:f>
        <x:v>(19)99203-9296</x:v>
      </x:c>
      <x:c r="Z2893" s="30" t="n">
        <x:v>46261</x:v>
      </x:c>
    </x:row>
    <x:row r="2894" ht="18" customHeight="1">
      <x:c r="A2894" s="22" t="str">
        <x:f>"f51f4ae4-048f-4c22-ab3e-195f2b3be130"</x:f>
        <x:v>f51f4ae4-048f-4c22-ab3e-195f2b3be130</x:v>
      </x:c>
      <x:c r="B2894" s="23" t="str">
        <x:v>Neide Alves da Rocha da Silva</x:v>
      </x:c>
      <x:c r="C2894" s="23" t="str">
        <x:v>neide alves da rocha da silva</x:v>
      </x:c>
      <x:c r="D2894" s="22" t="str">
        <x:f>"55.432.027/0001-45"</x:f>
        <x:v>55.432.027/0001-45</x:v>
      </x:c>
      <x:c r="E2894" s="22" t="str">
        <x:f>"55432027000145"</x:f>
        <x:v>55432027000145</x:v>
      </x:c>
      <x:c r="F2894" s="22" t="str">
        <x:f>"18152268895"</x:f>
        <x:v>18152268895</x:v>
      </x:c>
      <x:c r="G2894" s="22" t="str">
        <x:f>"18152268895"</x:f>
        <x:v>18152268895</x:v>
      </x:c>
      <x:c r="H2894" s="23" t="str">
        <x:v>ns1467506@gmail.com</x:v>
      </x:c>
      <x:c r="I2894" s="22" t="str">
        <x:f>"19983389902"</x:f>
        <x:v>19983389902</x:v>
      </x:c>
      <x:c r="J2894" s="23" t="str">
        <x:v>SPOT</x:v>
      </x:c>
      <x:c r="K2894" s="23" t="str">
        <x:v>favored_only</x:v>
      </x:c>
      <x:c r="L2894" s="24" t="b">
        <x:v>1</x:v>
      </x:c>
      <x:c r="M2894" s="23" t="n">
        <x:v>1</x:v>
      </x:c>
      <x:c r="N2894" s="28" t="n">
        <x:v>46203.921904421295</x:v>
      </x:c>
      <x:c r="O2894" s="28" t="n">
        <x:v>46203.921904421295</x:v>
      </x:c>
      <x:c r="P2894" s="23" t="str"/>
      <x:c r="Q2894" s="30" t="str"/>
      <x:c r="R2894" s="22" t="str"/>
      <x:c r="S2894" s="23" t="str"/>
      <x:c r="T2894" s="22" t="str"/>
      <x:c r="U2894" s="23" t="str">
        <x:v>Neide Alves da Rocha da Silva</x:v>
      </x:c>
      <x:c r="V2894" s="22" t="str">
        <x:f>"18152268895"</x:f>
        <x:v>18152268895</x:v>
      </x:c>
      <x:c r="W2894" s="22" t="str">
        <x:f>"18152268895"</x:f>
        <x:v>18152268895</x:v>
      </x:c>
      <x:c r="X2894" s="23" t="str">
        <x:v>ns1467506@gmail.com</x:v>
      </x:c>
      <x:c r="Y2894" s="22" t="str">
        <x:f>"19983389902"</x:f>
        <x:v>19983389902</x:v>
      </x:c>
      <x:c r="Z2894" s="30" t="str"/>
    </x:row>
    <x:row r="2895" ht="18" customHeight="1">
      <x:c r="A2895" s="22" t="str">
        <x:f>"47d9833a-c2c6-45e2-8676-b9354c69ee78"</x:f>
        <x:v>47d9833a-c2c6-45e2-8676-b9354c69ee78</x:v>
      </x:c>
      <x:c r="B2895" s="23" t="str">
        <x:v>NEIDE APARECIDA DE CARVALHO</x:v>
      </x:c>
      <x:c r="C2895" s="23" t="str">
        <x:v>neide aparecida de carvalho</x:v>
      </x:c>
      <x:c r="D2895" s="22" t="str">
        <x:f>"60.619.754/0001-56"</x:f>
        <x:v>60.619.754/0001-56</x:v>
      </x:c>
      <x:c r="E2895" s="22" t="str">
        <x:f>"60619754000156"</x:f>
        <x:v>60619754000156</x:v>
      </x:c>
      <x:c r="F2895" s="22" t="str">
        <x:f>"820.744.961-68"</x:f>
        <x:v>820.744.961-68</x:v>
      </x:c>
      <x:c r="G2895" s="22" t="str">
        <x:f>"82074496168"</x:f>
        <x:v>82074496168</x:v>
      </x:c>
      <x:c r="H2895" s="23" t="str">
        <x:v>neide_carvalho@hotmail.com</x:v>
      </x:c>
      <x:c r="I2895" s="22" t="str">
        <x:f>"62982663556"</x:f>
        <x:v>62982663556</x:v>
      </x:c>
      <x:c r="J2895" s="23" t="str">
        <x:v>SPOT</x:v>
      </x:c>
      <x:c r="K2895" s="23" t="str">
        <x:v>favored_only</x:v>
      </x:c>
      <x:c r="L2895" s="24" t="b">
        <x:v>1</x:v>
      </x:c>
      <x:c r="M2895" s="23" t="n">
        <x:v>2</x:v>
      </x:c>
      <x:c r="N2895" s="28" t="n">
        <x:v>46203.92183017361</x:v>
      </x:c>
      <x:c r="O2895" s="28" t="n">
        <x:v>46203.92183017361</x:v>
      </x:c>
      <x:c r="P2895" s="23" t="str"/>
      <x:c r="Q2895" s="30" t="str"/>
      <x:c r="R2895" s="22" t="str"/>
      <x:c r="S2895" s="23" t="str"/>
      <x:c r="T2895" s="22" t="str"/>
      <x:c r="U2895" s="23" t="str">
        <x:v>Neide Aparecida De Carvalho</x:v>
      </x:c>
      <x:c r="V2895" s="22" t="str">
        <x:f>"820.744.961-68"</x:f>
        <x:v>820.744.961-68</x:v>
      </x:c>
      <x:c r="W2895" s="22" t="str">
        <x:f>"82074496168"</x:f>
        <x:v>82074496168</x:v>
      </x:c>
      <x:c r="X2895" s="23" t="str">
        <x:v>neidea_carvalho@hotmail.com</x:v>
      </x:c>
      <x:c r="Y2895" s="22" t="str">
        <x:f>"62 982663556"</x:f>
        <x:v>62 982663556</x:v>
      </x:c>
      <x:c r="Z2895" s="30" t="str"/>
    </x:row>
    <x:row r="2896" ht="18" customHeight="1">
      <x:c r="A2896" s="22" t="str">
        <x:f>"f990670b-743e-4ca3-9ace-ae42a41af9c2"</x:f>
        <x:v>f990670b-743e-4ca3-9ace-ae42a41af9c2</x:v>
      </x:c>
      <x:c r="B2896" s="23" t="str">
        <x:v>NEIL ALEX RODRIGUES DE FREITAS</x:v>
      </x:c>
      <x:c r="C2896" s="23" t="str">
        <x:v>neil alex rodrigues de freitas</x:v>
      </x:c>
      <x:c r="D2896" s="22" t="str">
        <x:f>"64.018.653/0001-80"</x:f>
        <x:v>64.018.653/0001-80</x:v>
      </x:c>
      <x:c r="E2896" s="22" t="str">
        <x:f>"64018653000180"</x:f>
        <x:v>64018653000180</x:v>
      </x:c>
      <x:c r="F2896" s="22" t="str">
        <x:f>"125.185.787-65"</x:f>
        <x:v>125.185.787-65</x:v>
      </x:c>
      <x:c r="G2896" s="22" t="str">
        <x:f>"12518578765"</x:f>
        <x:v>12518578765</x:v>
      </x:c>
      <x:c r="H2896" s="23" t="str">
        <x:v>freitas1909ml@gmail.com</x:v>
      </x:c>
      <x:c r="I2896" s="22" t="str">
        <x:f>"21979481611"</x:f>
        <x:v>21979481611</x:v>
      </x:c>
      <x:c r="J2896" s="23" t="str">
        <x:v>SPOT</x:v>
      </x:c>
      <x:c r="K2896" s="23" t="str">
        <x:v>favored_only</x:v>
      </x:c>
      <x:c r="L2896" s="24" t="b">
        <x:v>1</x:v>
      </x:c>
      <x:c r="M2896" s="23" t="n">
        <x:v>1</x:v>
      </x:c>
      <x:c r="N2896" s="28" t="n">
        <x:v>46205.6066503125</x:v>
      </x:c>
      <x:c r="O2896" s="28" t="n">
        <x:v>46219.812988715275</x:v>
      </x:c>
      <x:c r="P2896" s="23" t="str">
        <x:v>CAMPO GRANDE</x:v>
      </x:c>
      <x:c r="Q2896" s="30" t="n">
        <x:v>33135</x:v>
      </x:c>
      <x:c r="R2896" s="22" t="str">
        <x:f>"317022762"</x:f>
        <x:v>317022762</x:v>
      </x:c>
      <x:c r="S2896" s="23" t="str">
        <x:v>masculino</x:v>
      </x:c>
      <x:c r="T2896" s="22" t="str">
        <x:f>"ODN3D69"</x:f>
        <x:v>ODN3D69</x:v>
      </x:c>
      <x:c r="U2896" s="23" t="str">
        <x:v>EDVALDO SOUSA DA SILVA</x:v>
      </x:c>
      <x:c r="V2896" s="22" t="str">
        <x:f>"780.747.114-04"</x:f>
        <x:v>780.747.114-04</x:v>
      </x:c>
      <x:c r="W2896" s="22" t="str">
        <x:f>"78074711404"</x:f>
        <x:v>78074711404</x:v>
      </x:c>
      <x:c r="X2896" s="23" t="str">
        <x:v>theolino2911@gmail.com</x:v>
      </x:c>
      <x:c r="Y2896" s="22" t="str">
        <x:f>"21920071706"</x:f>
        <x:v>21920071706</x:v>
      </x:c>
      <x:c r="Z2896" s="30" t="n">
        <x:v>46368</x:v>
      </x:c>
    </x:row>
    <x:row r="2897" ht="18" customHeight="1">
      <x:c r="A2897" s="22" t="str">
        <x:f>"fd027f22-9cc6-4b4a-a977-11642a0cf8db"</x:f>
        <x:v>fd027f22-9cc6-4b4a-a977-11642a0cf8db</x:v>
      </x:c>
      <x:c r="B2897" s="23" t="str">
        <x:v>NEIL ALEX RODRIGUES DE FREITAS</x:v>
      </x:c>
      <x:c r="C2897" s="23" t="str">
        <x:v>neil alex rodrigues de freitas</x:v>
      </x:c>
      <x:c r="D2897" s="22" t="str">
        <x:f>"41.080.845/0001-11"</x:f>
        <x:v>41.080.845/0001-11</x:v>
      </x:c>
      <x:c r="E2897" s="22" t="str">
        <x:f>"41080845000111"</x:f>
        <x:v>41080845000111</x:v>
      </x:c>
      <x:c r="F2897" s="22" t="str">
        <x:f>"125.185.787-65"</x:f>
        <x:v>125.185.787-65</x:v>
      </x:c>
      <x:c r="G2897" s="22" t="str">
        <x:f>"12518578765"</x:f>
        <x:v>12518578765</x:v>
      </x:c>
      <x:c r="H2897" s="23" t="str">
        <x:v>Freitas1909ml@gmail.com</x:v>
      </x:c>
      <x:c r="I2897" s="22" t="str">
        <x:f>"2197948-1611"</x:f>
        <x:v>2197948-1611</x:v>
      </x:c>
      <x:c r="J2897" s="23" t="str">
        <x:v>SPOT</x:v>
      </x:c>
      <x:c r="K2897" s="23" t="str">
        <x:v>favored_only</x:v>
      </x:c>
      <x:c r="L2897" s="24" t="b">
        <x:v>1</x:v>
      </x:c>
      <x:c r="M2897" s="23" t="n">
        <x:v>1</x:v>
      </x:c>
      <x:c r="N2897" s="28" t="n">
        <x:v>46205.606459780094</x:v>
      </x:c>
      <x:c r="O2897" s="28" t="n">
        <x:v>46219.812988715275</x:v>
      </x:c>
      <x:c r="P2897" s="23" t="str">
        <x:v>CAMPO GRANDE</x:v>
      </x:c>
      <x:c r="Q2897" s="30" t="n">
        <x:v>33135</x:v>
      </x:c>
      <x:c r="R2897" s="22" t="str">
        <x:f>"317022762"</x:f>
        <x:v>317022762</x:v>
      </x:c>
      <x:c r="S2897" s="23" t="str">
        <x:v>masculino</x:v>
      </x:c>
      <x:c r="T2897" s="22" t="str">
        <x:f>"ODN3D69"</x:f>
        <x:v>ODN3D69</x:v>
      </x:c>
      <x:c r="U2897" s="23" t="str">
        <x:v>DAYANA LINO DE ABREU LIMA</x:v>
      </x:c>
      <x:c r="V2897" s="22" t="str">
        <x:f>"125.570.697-01"</x:f>
        <x:v>125.570.697-01</x:v>
      </x:c>
      <x:c r="W2897" s="22" t="str">
        <x:f>"12557069701"</x:f>
        <x:v>12557069701</x:v>
      </x:c>
      <x:c r="X2897" s="23" t="str">
        <x:v>anadayfalcao@gmail.com</x:v>
      </x:c>
      <x:c r="Y2897" s="22" t="str">
        <x:f>"21964414251"</x:f>
        <x:v>21964414251</x:v>
      </x:c>
      <x:c r="Z2897" s="30" t="n">
        <x:v>46360</x:v>
      </x:c>
    </x:row>
    <x:row r="2898" ht="18" customHeight="1">
      <x:c r="A2898" s="22" t="str">
        <x:f>"e3d3c9ce-cd39-4504-a685-3c8f1a9cb1fc"</x:f>
        <x:v>e3d3c9ce-cd39-4504-a685-3c8f1a9cb1fc</x:v>
      </x:c>
      <x:c r="B2898" s="23" t="str">
        <x:v>NEIVA MARIA MARQUES BRANDÃO PASSARINI</x:v>
      </x:c>
      <x:c r="C2898" s="23" t="str">
        <x:v>neiva maria marques brandao passarini</x:v>
      </x:c>
      <x:c r="D2898" s="22" t="str">
        <x:f>"46.408.243/0001-64"</x:f>
        <x:v>46.408.243/0001-64</x:v>
      </x:c>
      <x:c r="E2898" s="22" t="str">
        <x:f>"46408243000164"</x:f>
        <x:v>46408243000164</x:v>
      </x:c>
      <x:c r="F2898" s="22" t="str">
        <x:f>"309.464.968.89"</x:f>
        <x:v>309.464.968.89</x:v>
      </x:c>
      <x:c r="G2898" s="22" t="str">
        <x:f>"30946496889"</x:f>
        <x:v>30946496889</x:v>
      </x:c>
      <x:c r="H2898" s="23" t="str">
        <x:v>neivammbpassarini@gmail.com</x:v>
      </x:c>
      <x:c r="I2898" s="22" t="str">
        <x:f>"18997743527"</x:f>
        <x:v>18997743527</x:v>
      </x:c>
      <x:c r="J2898" s="23" t="str">
        <x:v>SPOT</x:v>
      </x:c>
      <x:c r="K2898" s="23" t="str">
        <x:v>favored_only</x:v>
      </x:c>
      <x:c r="L2898" s="24" t="b">
        <x:v>1</x:v>
      </x:c>
      <x:c r="M2898" s="23" t="n">
        <x:v>1</x:v>
      </x:c>
      <x:c r="N2898" s="28" t="n">
        <x:v>46203.921858726855</x:v>
      </x:c>
      <x:c r="O2898" s="28" t="n">
        <x:v>46203.921858726855</x:v>
      </x:c>
      <x:c r="P2898" s="23" t="str"/>
      <x:c r="Q2898" s="30" t="str"/>
      <x:c r="R2898" s="22" t="str"/>
      <x:c r="S2898" s="23" t="str"/>
      <x:c r="T2898" s="22" t="str"/>
      <x:c r="U2898" s="23" t="str">
        <x:v>NEIVA MARIA MARQUES BRANDÃO PASSARINI</x:v>
      </x:c>
      <x:c r="V2898" s="22" t="str">
        <x:f>"309.464.968.89"</x:f>
        <x:v>309.464.968.89</x:v>
      </x:c>
      <x:c r="W2898" s="22" t="str">
        <x:f>"30946496889"</x:f>
        <x:v>30946496889</x:v>
      </x:c>
      <x:c r="X2898" s="23" t="str">
        <x:v>neivammbpassarini@gmail.com</x:v>
      </x:c>
      <x:c r="Y2898" s="22" t="str">
        <x:f>"18997743527"</x:f>
        <x:v>18997743527</x:v>
      </x:c>
      <x:c r="Z2898" s="30" t="str"/>
    </x:row>
    <x:row r="2899" ht="18" customHeight="1">
      <x:c r="A2899" s="22" t="str">
        <x:f>"07a32160-5d5e-4876-8385-30791accd5c7"</x:f>
        <x:v>07a32160-5d5e-4876-8385-30791accd5c7</x:v>
      </x:c>
      <x:c r="B2899" s="23" t="str">
        <x:v>NELSON DOS SANTOS DE JESUS JUNIOR</x:v>
      </x:c>
      <x:c r="C2899" s="23" t="str">
        <x:v>nelson dos santos de jesus junior</x:v>
      </x:c>
      <x:c r="D2899" s="22" t="str">
        <x:f>"53.611.005/0001-17"</x:f>
        <x:v>53.611.005/0001-17</x:v>
      </x:c>
      <x:c r="E2899" s="22" t="str">
        <x:f>"53611005000117"</x:f>
        <x:v>53611005000117</x:v>
      </x:c>
      <x:c r="F2899" s="22" t="str">
        <x:f>"488.581.008-67"</x:f>
        <x:v>488.581.008-67</x:v>
      </x:c>
      <x:c r="G2899" s="22" t="str">
        <x:f>"48858100867"</x:f>
        <x:v>48858100867</x:v>
      </x:c>
      <x:c r="H2899" s="23" t="str">
        <x:v>nelsonsantos5653@gmail.com</x:v>
      </x:c>
      <x:c r="I2899" s="22" t="str">
        <x:f>"11939051795"</x:f>
        <x:v>11939051795</x:v>
      </x:c>
      <x:c r="J2899" s="23" t="str">
        <x:v>RENTAL</x:v>
      </x:c>
      <x:c r="K2899" s="23" t="str">
        <x:v>rental_company</x:v>
      </x:c>
      <x:c r="L2899" s="24" t="b">
        <x:v>1</x:v>
      </x:c>
      <x:c r="M2899" s="23" t="n">
        <x:v>1</x:v>
      </x:c>
      <x:c r="N2899" s="28" t="n">
        <x:v>46203.92186888889</x:v>
      </x:c>
      <x:c r="O2899" s="28" t="n">
        <x:v>46219.812988715275</x:v>
      </x:c>
      <x:c r="P2899" s="23" t="str">
        <x:v>BARUERI</x:v>
      </x:c>
      <x:c r="Q2899" s="30" t="n">
        <x:v>36371</x:v>
      </x:c>
      <x:c r="R2899" s="22" t="str">
        <x:f>"541135375"</x:f>
        <x:v>541135375</x:v>
      </x:c>
      <x:c r="S2899" s="23" t="str">
        <x:v>masculino</x:v>
      </x:c>
      <x:c r="T2899" s="22" t="str"/>
      <x:c r="U2899" s="23" t="str">
        <x:v>NELSON DOS SANTOS DE JESUS JUNIOR</x:v>
      </x:c>
      <x:c r="V2899" s="22" t="str">
        <x:f>"488.581.008-67"</x:f>
        <x:v>488.581.008-67</x:v>
      </x:c>
      <x:c r="W2899" s="22" t="str">
        <x:f>"48858100867"</x:f>
        <x:v>48858100867</x:v>
      </x:c>
      <x:c r="X2899" s="23" t="str">
        <x:v>nelsonsantos5653@gmail.com</x:v>
      </x:c>
      <x:c r="Y2899" s="22" t="str">
        <x:f>"11939051795"</x:f>
        <x:v>11939051795</x:v>
      </x:c>
      <x:c r="Z2899" s="30" t="n">
        <x:v>46289</x:v>
      </x:c>
    </x:row>
    <x:row r="2900" ht="18" customHeight="1">
      <x:c r="A2900" s="22" t="str">
        <x:f>"5a07ae27-2c89-43f3-8000-645654844ab3"</x:f>
        <x:v>5a07ae27-2c89-43f3-8000-645654844ab3</x:v>
      </x:c>
      <x:c r="B2900" s="23" t="str">
        <x:v>NELSON SCARCELE RIBEIRO</x:v>
      </x:c>
      <x:c r="C2900" s="23" t="str">
        <x:v>nelson scarcele ribeiro</x:v>
      </x:c>
      <x:c r="D2900" s="22" t="str">
        <x:f>"61.647.796/0001-63"</x:f>
        <x:v>61.647.796/0001-63</x:v>
      </x:c>
      <x:c r="E2900" s="22" t="str">
        <x:f>"61647796000163"</x:f>
        <x:v>61647796000163</x:v>
      </x:c>
      <x:c r="F2900" s="22" t="str">
        <x:f>"543.777.148-72"</x:f>
        <x:v>543.777.148-72</x:v>
      </x:c>
      <x:c r="G2900" s="22" t="str">
        <x:f>"54377714872"</x:f>
        <x:v>54377714872</x:v>
      </x:c>
      <x:c r="H2900" s="23" t="str">
        <x:v>nelsonscarceleribeiro@gmail.com</x:v>
      </x:c>
      <x:c r="I2900" s="22" t="str">
        <x:f>"18998096542"</x:f>
        <x:v>18998096542</x:v>
      </x:c>
      <x:c r="J2900" s="23" t="str">
        <x:v>SPOT</x:v>
      </x:c>
      <x:c r="K2900" s="23" t="str">
        <x:v>favored_only</x:v>
      </x:c>
      <x:c r="L2900" s="24" t="b">
        <x:v>1</x:v>
      </x:c>
      <x:c r="M2900" s="23" t="n">
        <x:v>1</x:v>
      </x:c>
      <x:c r="N2900" s="28" t="n">
        <x:v>46203.92184908565</x:v>
      </x:c>
      <x:c r="O2900" s="28" t="n">
        <x:v>46219.812988715275</x:v>
      </x:c>
      <x:c r="P2900" s="23" t="str">
        <x:v>PRESIDENTE PRUDENTE</x:v>
      </x:c>
      <x:c r="Q2900" s="30" t="n">
        <x:v>20105</x:v>
      </x:c>
      <x:c r="R2900" s="22" t="str">
        <x:f>"7380148"</x:f>
        <x:v>7380148</x:v>
      </x:c>
      <x:c r="S2900" s="23" t="str">
        <x:v>masculino</x:v>
      </x:c>
      <x:c r="T2900" s="22" t="str">
        <x:f>"RMV2D23"</x:f>
        <x:v>RMV2D23</x:v>
      </x:c>
      <x:c r="U2900" s="23" t="str">
        <x:v>NELSON SCARCELE RIBEIRO</x:v>
      </x:c>
      <x:c r="V2900" s="22" t="str">
        <x:f>"543.777.148-72"</x:f>
        <x:v>543.777.148-72</x:v>
      </x:c>
      <x:c r="W2900" s="22" t="str">
        <x:f>"54377714872"</x:f>
        <x:v>54377714872</x:v>
      </x:c>
      <x:c r="X2900" s="23" t="str">
        <x:v>nelsonscarceleribeiro@gmail.com</x:v>
      </x:c>
      <x:c r="Y2900" s="22" t="str">
        <x:f>"18998096542"</x:f>
        <x:v>18998096542</x:v>
      </x:c>
      <x:c r="Z2900" s="30" t="n">
        <x:v>46231</x:v>
      </x:c>
    </x:row>
    <x:row r="2901" ht="18" customHeight="1">
      <x:c r="A2901" s="22" t="str">
        <x:f>"44bec041-672d-446a-ace9-e17de293c59e"</x:f>
        <x:v>44bec041-672d-446a-ace9-e17de293c59e</x:v>
      </x:c>
      <x:c r="B2901" s="23" t="str">
        <x:v>NEUZILENE SANTOS DE JESUS BARROS</x:v>
      </x:c>
      <x:c r="C2901" s="23" t="str">
        <x:v>neuzilene santos de jesus barros</x:v>
      </x:c>
      <x:c r="D2901" s="22" t="str">
        <x:f>"52.867.982/0001-17"</x:f>
        <x:v>52.867.982/0001-17</x:v>
      </x:c>
      <x:c r="E2901" s="22" t="str">
        <x:f>"52867982000117"</x:f>
        <x:v>52867982000117</x:v>
      </x:c>
      <x:c r="F2901" s="22" t="str">
        <x:f>"064.045.651-02"</x:f>
        <x:v>064.045.651-02</x:v>
      </x:c>
      <x:c r="G2901" s="22" t="str">
        <x:f>"06404565102"</x:f>
        <x:v>06404565102</x:v>
      </x:c>
      <x:c r="H2901" s="23" t="str">
        <x:v>neuzilenes064@gmail.com</x:v>
      </x:c>
      <x:c r="I2901" s="22" t="str">
        <x:f>"(65) 99217-5486"</x:f>
        <x:v>(65) 99217-5486</x:v>
      </x:c>
      <x:c r="J2901" s="23" t="str">
        <x:v>SPOT</x:v>
      </x:c>
      <x:c r="K2901" s="23" t="str">
        <x:v>favored_only</x:v>
      </x:c>
      <x:c r="L2901" s="24" t="b">
        <x:v>1</x:v>
      </x:c>
      <x:c r="M2901" s="23" t="n">
        <x:v>1</x:v>
      </x:c>
      <x:c r="N2901" s="28" t="n">
        <x:v>46219.812988715275</x:v>
      </x:c>
      <x:c r="O2901" s="28" t="n">
        <x:v>46219.812988715275</x:v>
      </x:c>
      <x:c r="P2901" s="23" t="str">
        <x:v>PONTES E LACERDA</x:v>
      </x:c>
      <x:c r="Q2901" s="30" t="n">
        <x:v>34691</x:v>
      </x:c>
      <x:c r="R2901" s="22" t="str">
        <x:f>"35891750"</x:f>
        <x:v>35891750</x:v>
      </x:c>
      <x:c r="S2901" s="23" t="str">
        <x:v>feminino</x:v>
      </x:c>
      <x:c r="T2901" s="22" t="str">
        <x:f>"NUG2B63"</x:f>
        <x:v>NUG2B63</x:v>
      </x:c>
      <x:c r="U2901" s="23" t="str">
        <x:v>NEUZILENE SANTOS DE JESUS BARROS</x:v>
      </x:c>
      <x:c r="V2901" s="22" t="str">
        <x:f>"064.045.651-02"</x:f>
        <x:v>064.045.651-02</x:v>
      </x:c>
      <x:c r="W2901" s="22" t="str">
        <x:f>"06404565102"</x:f>
        <x:v>06404565102</x:v>
      </x:c>
      <x:c r="X2901" s="23" t="str">
        <x:v>neuzilenes064@gmail.com</x:v>
      </x:c>
      <x:c r="Y2901" s="22" t="str">
        <x:f>"(65) 99217-5486"</x:f>
        <x:v>(65) 99217-5486</x:v>
      </x:c>
      <x:c r="Z2901" s="30" t="n">
        <x:v>46409</x:v>
      </x:c>
    </x:row>
    <x:row r="2902" ht="18" customHeight="1">
      <x:c r="A2902" s="22" t="str">
        <x:f>"6796309f-f319-476e-8007-d717928b5f13"</x:f>
        <x:v>6796309f-f319-476e-8007-d717928b5f13</x:v>
      </x:c>
      <x:c r="B2902" s="23" t="str">
        <x:v>NICODEMOS ANTONIO DE MELO NETO</x:v>
      </x:c>
      <x:c r="C2902" s="23" t="str">
        <x:v>nicodemos antonio de melo neto</x:v>
      </x:c>
      <x:c r="D2902" s="22" t="str">
        <x:f>"66.530.592/0001-61"</x:f>
        <x:v>66.530.592/0001-61</x:v>
      </x:c>
      <x:c r="E2902" s="22" t="str">
        <x:f>"66530592000161"</x:f>
        <x:v>66530592000161</x:v>
      </x:c>
      <x:c r="F2902" s="22" t="str">
        <x:f>"827.244.906-49"</x:f>
        <x:v>827.244.906-49</x:v>
      </x:c>
      <x:c r="G2902" s="22" t="str">
        <x:f>"82724490649"</x:f>
        <x:v>82724490649</x:v>
      </x:c>
      <x:c r="H2902" s="23" t="str">
        <x:v>jonathasmelo022@gmail.com</x:v>
      </x:c>
      <x:c r="I2902" s="22" t="str">
        <x:f>"34999082869"</x:f>
        <x:v>34999082869</x:v>
      </x:c>
      <x:c r="J2902" s="23" t="str">
        <x:v>SPOT</x:v>
      </x:c>
      <x:c r="K2902" s="23" t="str">
        <x:v>favored_only</x:v>
      </x:c>
      <x:c r="L2902" s="24" t="b">
        <x:v>1</x:v>
      </x:c>
      <x:c r="M2902" s="23" t="n">
        <x:v>1</x:v>
      </x:c>
      <x:c r="N2902" s="28" t="n">
        <x:v>46205.60730671296</x:v>
      </x:c>
      <x:c r="O2902" s="28" t="n">
        <x:v>46219.812988715275</x:v>
      </x:c>
      <x:c r="P2902" s="23" t="str">
        <x:v>PATOS DE MINAS</x:v>
      </x:c>
      <x:c r="Q2902" s="30" t="n">
        <x:v>25450</x:v>
      </x:c>
      <x:c r="R2902" s="22" t="str">
        <x:f>"M6478663"</x:f>
        <x:v>M6478663</x:v>
      </x:c>
      <x:c r="S2902" s="23" t="str">
        <x:v>masculino</x:v>
      </x:c>
      <x:c r="T2902" s="22" t="str">
        <x:f>"HEA3C29"</x:f>
        <x:v>HEA3C29</x:v>
      </x:c>
      <x:c r="U2902" s="23" t="str">
        <x:v>JONATHAS MIGUEL MELO</x:v>
      </x:c>
      <x:c r="V2902" s="22" t="str">
        <x:f>"148.502.746-25"</x:f>
        <x:v>148.502.746-25</x:v>
      </x:c>
      <x:c r="W2902" s="22" t="str">
        <x:f>"14850274625"</x:f>
        <x:v>14850274625</x:v>
      </x:c>
      <x:c r="X2902" s="23" t="str">
        <x:v>jonathasmelo022@gmail.com</x:v>
      </x:c>
      <x:c r="Y2902" s="22" t="str">
        <x:f>"34996566857"</x:f>
        <x:v>34996566857</x:v>
      </x:c>
      <x:c r="Z2902" s="30" t="str"/>
    </x:row>
    <x:row r="2903" ht="18" customHeight="1">
      <x:c r="A2903" s="22" t="str">
        <x:f>"b52b6918-c8da-482f-8e27-f6311c2f3897"</x:f>
        <x:v>b52b6918-c8da-482f-8e27-f6311c2f3897</x:v>
      </x:c>
      <x:c r="B2903" s="23" t="str">
        <x:v>NICOLAS GABRIEL MATIAS PEREIRA DA COSTA</x:v>
      </x:c>
      <x:c r="C2903" s="23" t="str">
        <x:v>nicolas gabriel matias pereira da costa</x:v>
      </x:c>
      <x:c r="D2903" s="22" t="str">
        <x:f>"65.752.155/0001-20"</x:f>
        <x:v>65.752.155/0001-20</x:v>
      </x:c>
      <x:c r="E2903" s="22" t="str">
        <x:f>"65752155000120"</x:f>
        <x:v>65752155000120</x:v>
      </x:c>
      <x:c r="F2903" s="22" t="str">
        <x:f>"134.704.496-51"</x:f>
        <x:v>134.704.496-51</x:v>
      </x:c>
      <x:c r="G2903" s="22" t="str">
        <x:f>"13470449651"</x:f>
        <x:v>13470449651</x:v>
      </x:c>
      <x:c r="H2903" s="23" t="str">
        <x:v>nicolasgabrielmatiaspereira@gmail.com</x:v>
      </x:c>
      <x:c r="I2903" s="22" t="str">
        <x:f>"(31)999995058"</x:f>
        <x:v>(31)999995058</x:v>
      </x:c>
      <x:c r="J2903" s="23" t="str">
        <x:v>RENTAL</x:v>
      </x:c>
      <x:c r="K2903" s="23" t="str">
        <x:v>rental_company</x:v>
      </x:c>
      <x:c r="L2903" s="24" t="b">
        <x:v>1</x:v>
      </x:c>
      <x:c r="M2903" s="23" t="n">
        <x:v>1</x:v>
      </x:c>
      <x:c r="N2903" s="28" t="n">
        <x:v>46219.812988715275</x:v>
      </x:c>
      <x:c r="O2903" s="28" t="n">
        <x:v>46219.812988715275</x:v>
      </x:c>
      <x:c r="P2903" s="23" t="str">
        <x:v>NOVA LIMA</x:v>
      </x:c>
      <x:c r="Q2903" s="30" t="n">
        <x:v>37712</x:v>
      </x:c>
      <x:c r="R2903" s="22" t="str">
        <x:f>"19741612"</x:f>
        <x:v>19741612</x:v>
      </x:c>
      <x:c r="S2903" s="23" t="str">
        <x:v>masculino</x:v>
      </x:c>
      <x:c r="T2903" s="22" t="str"/>
      <x:c r="U2903" s="23" t="str">
        <x:v>NICOLAS GABRIEL MATIAS PEREIRA DA COSTA</x:v>
      </x:c>
      <x:c r="V2903" s="22" t="str">
        <x:f>"134.704.496-51"</x:f>
        <x:v>134.704.496-51</x:v>
      </x:c>
      <x:c r="W2903" s="22" t="str">
        <x:f>"13470449651"</x:f>
        <x:v>13470449651</x:v>
      </x:c>
      <x:c r="X2903" s="23" t="str">
        <x:v>nicolasgabrielmatiaspereira@gmail.com</x:v>
      </x:c>
      <x:c r="Y2903" s="22" t="str">
        <x:f>"(31)999995058"</x:f>
        <x:v>(31)999995058</x:v>
      </x:c>
      <x:c r="Z2903" s="30" t="n">
        <x:v>46535</x:v>
      </x:c>
    </x:row>
    <x:row r="2904" ht="18" customHeight="1">
      <x:c r="A2904" s="22" t="str">
        <x:f>"3ae68c91-aa12-4451-a4b8-97e8c9539913"</x:f>
        <x:v>3ae68c91-aa12-4451-a4b8-97e8c9539913</x:v>
      </x:c>
      <x:c r="B2904" s="23" t="str">
        <x:v>NICOLAS HIAGO DE OLIVEIRA MARCIANO</x:v>
      </x:c>
      <x:c r="C2904" s="23" t="str">
        <x:v>nicolas hiago de oliveira marciano</x:v>
      </x:c>
      <x:c r="D2904" s="22" t="str">
        <x:f>"62.008.904/0001-10"</x:f>
        <x:v>62.008.904/0001-10</x:v>
      </x:c>
      <x:c r="E2904" s="22" t="str">
        <x:f>"62008904000110"</x:f>
        <x:v>62008904000110</x:v>
      </x:c>
      <x:c r="F2904" s="22" t="str">
        <x:f>"155.597.226-85"</x:f>
        <x:v>155.597.226-85</x:v>
      </x:c>
      <x:c r="G2904" s="22" t="str">
        <x:f>"15559722685"</x:f>
        <x:v>15559722685</x:v>
      </x:c>
      <x:c r="H2904" s="23" t="str">
        <x:v>manocrill@gmail.com</x:v>
      </x:c>
      <x:c r="I2904" s="22" t="str">
        <x:f>"(35)98429-8904"</x:f>
        <x:v>(35)98429-8904</x:v>
      </x:c>
      <x:c r="J2904" s="23" t="str">
        <x:v>SPOT</x:v>
      </x:c>
      <x:c r="K2904" s="23" t="str">
        <x:v>favored_only</x:v>
      </x:c>
      <x:c r="L2904" s="24" t="b">
        <x:v>1</x:v>
      </x:c>
      <x:c r="M2904" s="23" t="n">
        <x:v>1</x:v>
      </x:c>
      <x:c r="N2904" s="28" t="n">
        <x:v>46219.812988715275</x:v>
      </x:c>
      <x:c r="O2904" s="28" t="n">
        <x:v>46219.812988715275</x:v>
      </x:c>
      <x:c r="P2904" s="23" t="str">
        <x:v>POUSO ALEGRE</x:v>
      </x:c>
      <x:c r="Q2904" s="30" t="n">
        <x:v>36596</x:v>
      </x:c>
      <x:c r="R2904" s="22" t="str">
        <x:f>"MG21859105 SSP MG"</x:f>
        <x:v>MG21859105 SSP MG</x:v>
      </x:c>
      <x:c r="S2904" s="23" t="str">
        <x:v>masculino</x:v>
      </x:c>
      <x:c r="T2904" s="22" t="str">
        <x:f>"GHV8B42"</x:f>
        <x:v>GHV8B42</x:v>
      </x:c>
      <x:c r="U2904" s="23" t="str">
        <x:v>NICOLAS HIAGO DE OLIVEIRA MARCIANO</x:v>
      </x:c>
      <x:c r="V2904" s="22" t="str">
        <x:f>"155.597.226-85"</x:f>
        <x:v>155.597.226-85</x:v>
      </x:c>
      <x:c r="W2904" s="22" t="str">
        <x:f>"15559722685"</x:f>
        <x:v>15559722685</x:v>
      </x:c>
      <x:c r="X2904" s="23" t="str">
        <x:v>manocrill@gmail.com</x:v>
      </x:c>
      <x:c r="Y2904" s="22" t="str">
        <x:f>"(35)98429-8904"</x:f>
        <x:v>(35)98429-8904</x:v>
      </x:c>
      <x:c r="Z2904" s="30" t="n">
        <x:v>46460</x:v>
      </x:c>
    </x:row>
    <x:row r="2905" ht="18" customHeight="1">
      <x:c r="A2905" s="22" t="str">
        <x:f>"b1f830e9-e3fa-499b-a360-6d32055f7688"</x:f>
        <x:v>b1f830e9-e3fa-499b-a360-6d32055f7688</x:v>
      </x:c>
      <x:c r="B2905" s="23" t="str">
        <x:v>NICOLAS HIAGO DE OLIVEIRA MARCIANO</x:v>
      </x:c>
      <x:c r="C2905" s="23" t="str">
        <x:v>nicolas hiago de oliveira marciano</x:v>
      </x:c>
      <x:c r="D2905" s="22" t="str">
        <x:f>"66.555.176/0001-18"</x:f>
        <x:v>66.555.176/0001-18</x:v>
      </x:c>
      <x:c r="E2905" s="22" t="str">
        <x:f>"66555176000118"</x:f>
        <x:v>66555176000118</x:v>
      </x:c>
      <x:c r="F2905" s="22" t="str">
        <x:f>"155.597.226-85"</x:f>
        <x:v>155.597.226-85</x:v>
      </x:c>
      <x:c r="G2905" s="22" t="str">
        <x:f>"15559722685"</x:f>
        <x:v>15559722685</x:v>
      </x:c>
      <x:c r="H2905" s="23" t="str">
        <x:v>manocrill@gmail.com</x:v>
      </x:c>
      <x:c r="I2905" s="22" t="str">
        <x:f>"(35)98429-8904"</x:f>
        <x:v>(35)98429-8904</x:v>
      </x:c>
      <x:c r="J2905" s="23" t="str">
        <x:v>SPOT</x:v>
      </x:c>
      <x:c r="K2905" s="23" t="str">
        <x:v>favored_only</x:v>
      </x:c>
      <x:c r="L2905" s="24" t="b">
        <x:v>1</x:v>
      </x:c>
      <x:c r="M2905" s="23" t="n">
        <x:v>1</x:v>
      </x:c>
      <x:c r="N2905" s="28" t="n">
        <x:v>46219.812988715275</x:v>
      </x:c>
      <x:c r="O2905" s="28" t="n">
        <x:v>46219.812988715275</x:v>
      </x:c>
      <x:c r="P2905" s="23" t="str">
        <x:v>POUSO ALEGRE</x:v>
      </x:c>
      <x:c r="Q2905" s="30" t="n">
        <x:v>36596</x:v>
      </x:c>
      <x:c r="R2905" s="22" t="str">
        <x:f>"MG21859105 SSP MG"</x:f>
        <x:v>MG21859105 SSP MG</x:v>
      </x:c>
      <x:c r="S2905" s="23" t="str">
        <x:v>masculino</x:v>
      </x:c>
      <x:c r="T2905" s="22" t="str">
        <x:f>"GHV8B42"</x:f>
        <x:v>GHV8B42</x:v>
      </x:c>
      <x:c r="U2905" s="23" t="str">
        <x:v>NICOLAS HIAGO DE OLIVEIRA MARCIANO</x:v>
      </x:c>
      <x:c r="V2905" s="22" t="str">
        <x:f>"155.597.226-85"</x:f>
        <x:v>155.597.226-85</x:v>
      </x:c>
      <x:c r="W2905" s="22" t="str">
        <x:f>"15559722685"</x:f>
        <x:v>15559722685</x:v>
      </x:c>
      <x:c r="X2905" s="23" t="str">
        <x:v>manocrill@gmail.com</x:v>
      </x:c>
      <x:c r="Y2905" s="22" t="str">
        <x:f>"(35)98429-8904"</x:f>
        <x:v>(35)98429-8904</x:v>
      </x:c>
      <x:c r="Z2905" s="30" t="n">
        <x:v>46511</x:v>
      </x:c>
    </x:row>
    <x:row r="2906" ht="18" customHeight="1">
      <x:c r="A2906" s="22" t="str">
        <x:f>"3357c8ef-1bf9-48f2-80a4-0f8e46a8e66c"</x:f>
        <x:v>3357c8ef-1bf9-48f2-80a4-0f8e46a8e66c</x:v>
      </x:c>
      <x:c r="B2906" s="23" t="str">
        <x:v>NICOLLAS SIMOES PINTO DA CUNHA</x:v>
      </x:c>
      <x:c r="C2906" s="23" t="str">
        <x:v>nicollas simoes pinto da cunha</x:v>
      </x:c>
      <x:c r="D2906" s="22" t="str">
        <x:f>"65.959.997/0001-57"</x:f>
        <x:v>65.959.997/0001-57</x:v>
      </x:c>
      <x:c r="E2906" s="22" t="str">
        <x:f>"65959997000157"</x:f>
        <x:v>65959997000157</x:v>
      </x:c>
      <x:c r="F2906" s="22" t="str">
        <x:f>"097.806.156-01"</x:f>
        <x:v>097.806.156-01</x:v>
      </x:c>
      <x:c r="G2906" s="22" t="str">
        <x:f>"09780615601"</x:f>
        <x:v>09780615601</x:v>
      </x:c>
      <x:c r="H2906" s="23" t="str">
        <x:v>nicollasspdc@gmail.com</x:v>
      </x:c>
      <x:c r="I2906" s="22" t="str">
        <x:f>"(35) 99722-3698"</x:f>
        <x:v>(35) 99722-3698</x:v>
      </x:c>
      <x:c r="J2906" s="23" t="str">
        <x:v>RENTAL</x:v>
      </x:c>
      <x:c r="K2906" s="23" t="str">
        <x:v>rental_company</x:v>
      </x:c>
      <x:c r="L2906" s="24" t="b">
        <x:v>1</x:v>
      </x:c>
      <x:c r="M2906" s="23" t="n">
        <x:v>1</x:v>
      </x:c>
      <x:c r="N2906" s="28" t="n">
        <x:v>46219.812988715275</x:v>
      </x:c>
      <x:c r="O2906" s="28" t="n">
        <x:v>46219.812988715275</x:v>
      </x:c>
      <x:c r="P2906" s="23" t="str">
        <x:v>POUSO ALEGRE</x:v>
      </x:c>
      <x:c r="Q2906" s="30" t="n">
        <x:v>36714</x:v>
      </x:c>
      <x:c r="R2906" s="22" t="str">
        <x:f>"MG21079352 PC MG"</x:f>
        <x:v>MG21079352 PC MG</x:v>
      </x:c>
      <x:c r="S2906" s="23" t="str">
        <x:v>masculino</x:v>
      </x:c>
      <x:c r="T2906" s="22" t="str"/>
      <x:c r="U2906" s="23" t="str">
        <x:v>NICOLLAS SIMOES PINTO DA CUNHA</x:v>
      </x:c>
      <x:c r="V2906" s="22" t="str">
        <x:f>"097.806.156-01"</x:f>
        <x:v>097.806.156-01</x:v>
      </x:c>
      <x:c r="W2906" s="22" t="str">
        <x:f>"09780615601"</x:f>
        <x:v>09780615601</x:v>
      </x:c>
      <x:c r="X2906" s="23" t="str">
        <x:v>nicollasspdc@gmail.com</x:v>
      </x:c>
      <x:c r="Y2906" s="22" t="str">
        <x:f>"(35) 99722-3698"</x:f>
        <x:v>(35) 99722-3698</x:v>
      </x:c>
      <x:c r="Z2906" s="30" t="n">
        <x:v>46575</x:v>
      </x:c>
    </x:row>
    <x:row r="2907" ht="18" customHeight="1">
      <x:c r="A2907" s="22" t="str">
        <x:f>"a62b5cf7-dc01-4b00-91ea-4142e19883f7"</x:f>
        <x:v>a62b5cf7-dc01-4b00-91ea-4142e19883f7</x:v>
      </x:c>
      <x:c r="B2907" s="23" t="str">
        <x:v>NIELISON NILTON SILVA SANTOS</x:v>
      </x:c>
      <x:c r="C2907" s="23" t="str">
        <x:v>nielison nilton silva santos</x:v>
      </x:c>
      <x:c r="D2907" s="22" t="str">
        <x:f>"45.367.044/0001-92"</x:f>
        <x:v>45.367.044/0001-92</x:v>
      </x:c>
      <x:c r="E2907" s="22" t="str">
        <x:f>"45367044000192"</x:f>
        <x:v>45367044000192</x:v>
      </x:c>
      <x:c r="F2907" s="22" t="str">
        <x:f>"061.622.065-05"</x:f>
        <x:v>061.622.065-05</x:v>
      </x:c>
      <x:c r="G2907" s="22" t="str">
        <x:f>"06162206505"</x:f>
        <x:v>06162206505</x:v>
      </x:c>
      <x:c r="H2907" s="23" t="str">
        <x:v>nielisonni@gmail.com</x:v>
      </x:c>
      <x:c r="I2907" s="22" t="str">
        <x:f>"66996695516"</x:f>
        <x:v>66996695516</x:v>
      </x:c>
      <x:c r="J2907" s="23" t="str">
        <x:v>SPOT</x:v>
      </x:c>
      <x:c r="K2907" s="23" t="str">
        <x:v>favored_only</x:v>
      </x:c>
      <x:c r="L2907" s="24" t="b">
        <x:v>1</x:v>
      </x:c>
      <x:c r="M2907" s="23" t="n">
        <x:v>1</x:v>
      </x:c>
      <x:c r="N2907" s="28" t="n">
        <x:v>46203.921852962965</x:v>
      </x:c>
      <x:c r="O2907" s="28" t="n">
        <x:v>46219.812988715275</x:v>
      </x:c>
      <x:c r="P2907" s="23" t="str">
        <x:v>SINOP</x:v>
      </x:c>
      <x:c r="Q2907" s="30" t="n">
        <x:v>36936</x:v>
      </x:c>
      <x:c r="R2907" s="22" t="str">
        <x:f>"25760572"</x:f>
        <x:v>25760572</x:v>
      </x:c>
      <x:c r="S2907" s="23" t="str">
        <x:v>masculino</x:v>
      </x:c>
      <x:c r="T2907" s="22" t="str">
        <x:f>"TAI8G21"</x:f>
        <x:v>TAI8G21</x:v>
      </x:c>
      <x:c r="U2907" s="23" t="str">
        <x:v>NIELISON NILTON SILVA SANTOS</x:v>
      </x:c>
      <x:c r="V2907" s="22" t="str">
        <x:f>"061.622.065-05"</x:f>
        <x:v>061.622.065-05</x:v>
      </x:c>
      <x:c r="W2907" s="22" t="str">
        <x:f>"06162206505"</x:f>
        <x:v>06162206505</x:v>
      </x:c>
      <x:c r="X2907" s="23" t="str">
        <x:v>nielisonni@gmail.com</x:v>
      </x:c>
      <x:c r="Y2907" s="22" t="str">
        <x:f>"66996695516"</x:f>
        <x:v>66996695516</x:v>
      </x:c>
      <x:c r="Z2907" s="30" t="n">
        <x:v>46252</x:v>
      </x:c>
    </x:row>
    <x:row r="2908" ht="18" customHeight="1">
      <x:c r="A2908" s="22" t="str">
        <x:f>"dbebcc8d-3097-4037-912a-f39151ba725b"</x:f>
        <x:v>dbebcc8d-3097-4037-912a-f39151ba725b</x:v>
      </x:c>
      <x:c r="B2908" s="23" t="str">
        <x:v>NILMAX CASTRO SOUZA</x:v>
      </x:c>
      <x:c r="C2908" s="23" t="str">
        <x:v>nilmax castro souza</x:v>
      </x:c>
      <x:c r="D2908" s="22" t="str">
        <x:f>"62.764.648/0001-91"</x:f>
        <x:v>62.764.648/0001-91</x:v>
      </x:c>
      <x:c r="E2908" s="22" t="str">
        <x:f>"62764648000191"</x:f>
        <x:v>62764648000191</x:v>
      </x:c>
      <x:c r="F2908" s="22" t="str">
        <x:f>"051.529.973-12"</x:f>
        <x:v>051.529.973-12</x:v>
      </x:c>
      <x:c r="G2908" s="22" t="str">
        <x:f>"05152997312"</x:f>
        <x:v>05152997312</x:v>
      </x:c>
      <x:c r="H2908" s="23" t="str">
        <x:v>Nilmaxcastro42@gmail.com</x:v>
      </x:c>
      <x:c r="I2908" s="22" t="str">
        <x:f>"62993054178"</x:f>
        <x:v>62993054178</x:v>
      </x:c>
      <x:c r="J2908" s="23" t="str">
        <x:v>RENTALS</x:v>
      </x:c>
      <x:c r="K2908" s="23" t="str">
        <x:v>rental_company</x:v>
      </x:c>
      <x:c r="L2908" s="24" t="b">
        <x:v>1</x:v>
      </x:c>
      <x:c r="M2908" s="23" t="n">
        <x:v>1</x:v>
      </x:c>
      <x:c r="N2908" s="28" t="n">
        <x:v>46219.812988715275</x:v>
      </x:c>
      <x:c r="O2908" s="28" t="n">
        <x:v>46219.812988715275</x:v>
      </x:c>
      <x:c r="P2908" s="23" t="str">
        <x:v>GOIANIA</x:v>
      </x:c>
      <x:c r="Q2908" s="30" t="n">
        <x:v>34347</x:v>
      </x:c>
      <x:c r="R2908" s="22" t="str">
        <x:f>"8025437"</x:f>
        <x:v>8025437</x:v>
      </x:c>
      <x:c r="S2908" s="23" t="str">
        <x:v>masculino</x:v>
      </x:c>
      <x:c r="T2908" s="22" t="str"/>
      <x:c r="U2908" s="23" t="str">
        <x:v>NILMAX CASTRO SOUZA</x:v>
      </x:c>
      <x:c r="V2908" s="22" t="str">
        <x:f>"051.529.973-12"</x:f>
        <x:v>051.529.973-12</x:v>
      </x:c>
      <x:c r="W2908" s="22" t="str">
        <x:f>"05152997312"</x:f>
        <x:v>05152997312</x:v>
      </x:c>
      <x:c r="X2908" s="23" t="str">
        <x:v>Nilmaxcastro42@gmail.com</x:v>
      </x:c>
      <x:c r="Y2908" s="22" t="str">
        <x:f>"62993054178"</x:f>
        <x:v>62993054178</x:v>
      </x:c>
      <x:c r="Z2908" s="30" t="n">
        <x:v>46416</x:v>
      </x:c>
    </x:row>
    <x:row r="2909" ht="18" customHeight="1">
      <x:c r="A2909" s="22" t="str">
        <x:f>"689705d6-9565-4f6d-ba1d-78956b7165b3"</x:f>
        <x:v>689705d6-9565-4f6d-ba1d-78956b7165b3</x:v>
      </x:c>
      <x:c r="B2909" s="23" t="str">
        <x:v>NILSON ANTONIO DE SOUSA</x:v>
      </x:c>
      <x:c r="C2909" s="23" t="str">
        <x:v>nilson antonio de sousa</x:v>
      </x:c>
      <x:c r="D2909" s="22" t="str">
        <x:f>"60.809.940/0001-58"</x:f>
        <x:v>60.809.940/0001-58</x:v>
      </x:c>
      <x:c r="E2909" s="22" t="str">
        <x:f>"60809940000158"</x:f>
        <x:v>60809940000158</x:v>
      </x:c>
      <x:c r="F2909" s="22" t="str">
        <x:f>"714.478.656-34"</x:f>
        <x:v>714.478.656-34</x:v>
      </x:c>
      <x:c r="G2909" s="22" t="str">
        <x:f>"71447865634"</x:f>
        <x:v>71447865634</x:v>
      </x:c>
      <x:c r="H2909" s="23" t="str">
        <x:v>nilsonantoniosousa.28@gmail.com</x:v>
      </x:c>
      <x:c r="I2909" s="22" t="str">
        <x:f>"34 99835-3044"</x:f>
        <x:v>34 99835-3044</x:v>
      </x:c>
      <x:c r="J2909" s="23" t="str">
        <x:v>SPOT</x:v>
      </x:c>
      <x:c r="K2909" s="23" t="str">
        <x:v>favored_only</x:v>
      </x:c>
      <x:c r="L2909" s="24" t="b">
        <x:v>1</x:v>
      </x:c>
      <x:c r="M2909" s="23" t="n">
        <x:v>1</x:v>
      </x:c>
      <x:c r="N2909" s="28" t="n">
        <x:v>46205.60400831018</x:v>
      </x:c>
      <x:c r="O2909" s="28" t="n">
        <x:v>46219.812988715275</x:v>
      </x:c>
      <x:c r="P2909" s="23" t="str">
        <x:v>PATOS DE MINAS</x:v>
      </x:c>
      <x:c r="Q2909" s="30" t="n">
        <x:v>25351</x:v>
      </x:c>
      <x:c r="R2909" s="22" t="str">
        <x:f>"7496056"</x:f>
        <x:v>7496056</x:v>
      </x:c>
      <x:c r="S2909" s="23" t="str">
        <x:v>masculino</x:v>
      </x:c>
      <x:c r="T2909" s="22" t="str">
        <x:f>"QUL4A95"</x:f>
        <x:v>QUL4A95</x:v>
      </x:c>
      <x:c r="U2909" s="23" t="str">
        <x:v>JUNIA SARON DOS SANTOS</x:v>
      </x:c>
      <x:c r="V2909" s="22" t="str">
        <x:f>"044.601.956-90"</x:f>
        <x:v>044.601.956-90</x:v>
      </x:c>
      <x:c r="W2909" s="22" t="str">
        <x:f>"04460195690"</x:f>
        <x:v>04460195690</x:v>
      </x:c>
      <x:c r="X2909" s="23" t="str">
        <x:v>Juniasarondossantos@gmail.com</x:v>
      </x:c>
      <x:c r="Y2909" s="22" t="str">
        <x:f>"34993208786"</x:f>
        <x:v>34993208786</x:v>
      </x:c>
      <x:c r="Z2909" s="30" t="n">
        <x:v>46253</x:v>
      </x:c>
    </x:row>
    <x:row r="2910" ht="18" customHeight="1">
      <x:c r="A2910" s="22" t="str">
        <x:f>"409cdcf3-d3d0-46c6-8bfe-a4d3acfdfa6b"</x:f>
        <x:v>409cdcf3-d3d0-46c6-8bfe-a4d3acfdfa6b</x:v>
      </x:c>
      <x:c r="B2910" s="23" t="str">
        <x:v>NILSON DIVINO RODRIGUES LEITE</x:v>
      </x:c>
      <x:c r="C2910" s="23" t="str">
        <x:v>nilson divino rodrigues leite</x:v>
      </x:c>
      <x:c r="D2910" s="22" t="str">
        <x:f>"63424855000160"</x:f>
        <x:v>63424855000160</x:v>
      </x:c>
      <x:c r="E2910" s="22" t="str">
        <x:f>"63424855000160"</x:f>
        <x:v>63424855000160</x:v>
      </x:c>
      <x:c r="F2910" s="22" t="str">
        <x:f>"00466251190"</x:f>
        <x:v>00466251190</x:v>
      </x:c>
      <x:c r="G2910" s="22" t="str">
        <x:f>"00466251190"</x:f>
        <x:v>00466251190</x:v>
      </x:c>
      <x:c r="H2910" s="23" t="str">
        <x:v>n55268015@gmail.com</x:v>
      </x:c>
      <x:c r="I2910" s="22" t="str">
        <x:f>"65998078415"</x:f>
        <x:v>65998078415</x:v>
      </x:c>
      <x:c r="J2910" s="23" t="str">
        <x:v>SPOT</x:v>
      </x:c>
      <x:c r="K2910" s="23" t="str">
        <x:v>favored_only</x:v>
      </x:c>
      <x:c r="L2910" s="24" t="b">
        <x:v>1</x:v>
      </x:c>
      <x:c r="M2910" s="23" t="n">
        <x:v>1</x:v>
      </x:c>
      <x:c r="N2910" s="28" t="n">
        <x:v>46203.9219084375</x:v>
      </x:c>
      <x:c r="O2910" s="28" t="n">
        <x:v>46220.50400356481</x:v>
      </x:c>
      <x:c r="P2910" s="23" t="str">
        <x:v>CÁCERES</x:v>
      </x:c>
      <x:c r="Q2910" s="30" t="str"/>
      <x:c r="R2910" s="22" t="str"/>
      <x:c r="S2910" s="23" t="str"/>
      <x:c r="T2910" s="22" t="str"/>
      <x:c r="U2910" s="23" t="str">
        <x:v>NILSON DIVINO RODRIGUES LEITE</x:v>
      </x:c>
      <x:c r="V2910" s="22" t="str">
        <x:f>"00466251190"</x:f>
        <x:v>00466251190</x:v>
      </x:c>
      <x:c r="W2910" s="22" t="str">
        <x:f>"00466251190"</x:f>
        <x:v>00466251190</x:v>
      </x:c>
      <x:c r="X2910" s="23" t="str">
        <x:v>n55268015@gmail.com</x:v>
      </x:c>
      <x:c r="Y2910" s="22" t="str">
        <x:f>"65998078415"</x:f>
        <x:v>65998078415</x:v>
      </x:c>
      <x:c r="Z2910" s="30" t="str"/>
    </x:row>
    <x:row r="2911" ht="18" customHeight="1">
      <x:c r="A2911" s="22" t="str">
        <x:f>"52e28080-cc52-4b15-9352-a728d7cf53eb"</x:f>
        <x:v>52e28080-cc52-4b15-9352-a728d7cf53eb</x:v>
      </x:c>
      <x:c r="B2911" s="23" t="str">
        <x:v>NILSON DIVINO RODRIGUES LEITE</x:v>
      </x:c>
      <x:c r="C2911" s="23" t="str">
        <x:v>nilson divino rodrigues leite</x:v>
      </x:c>
      <x:c r="D2911" s="22" t="str">
        <x:f>"50.073.217/0001-08"</x:f>
        <x:v>50.073.217/0001-08</x:v>
      </x:c>
      <x:c r="E2911" s="22" t="str">
        <x:f>"50073217000108"</x:f>
        <x:v>50073217000108</x:v>
      </x:c>
      <x:c r="F2911" s="22" t="str">
        <x:f>"004.662.511-90"</x:f>
        <x:v>004.662.511-90</x:v>
      </x:c>
      <x:c r="G2911" s="22" t="str">
        <x:f>"00466251190"</x:f>
        <x:v>00466251190</x:v>
      </x:c>
      <x:c r="H2911" s="23" t="str">
        <x:v>n55268015@gmail.com</x:v>
      </x:c>
      <x:c r="I2911" s="22" t="str">
        <x:f>"65998078415"</x:f>
        <x:v>65998078415</x:v>
      </x:c>
      <x:c r="J2911" s="23" t="str">
        <x:v>SPOT</x:v>
      </x:c>
      <x:c r="K2911" s="23" t="str">
        <x:v>favored_only</x:v>
      </x:c>
      <x:c r="L2911" s="24" t="b">
        <x:v>1</x:v>
      </x:c>
      <x:c r="M2911" s="23" t="n">
        <x:v>1</x:v>
      </x:c>
      <x:c r="N2911" s="28" t="n">
        <x:v>46205.6056353588</x:v>
      </x:c>
      <x:c r="O2911" s="28" t="n">
        <x:v>46219.812988715275</x:v>
      </x:c>
      <x:c r="P2911" s="23" t="str">
        <x:v>CÁCERES</x:v>
      </x:c>
      <x:c r="Q2911" s="30" t="n">
        <x:v>30771</x:v>
      </x:c>
      <x:c r="R2911" s="22" t="str">
        <x:f>"15647706"</x:f>
        <x:v>15647706</x:v>
      </x:c>
      <x:c r="S2911" s="23" t="str">
        <x:v>masculino</x:v>
      </x:c>
      <x:c r="T2911" s="22" t="str">
        <x:f>"AXR7H38"</x:f>
        <x:v>AXR7H38</x:v>
      </x:c>
      <x:c r="U2911" s="23" t="str">
        <x:v>EVANDRO DE OLIVEIRA LOURENCO</x:v>
      </x:c>
      <x:c r="V2911" s="22" t="str">
        <x:f>"012.957.851-70"</x:f>
        <x:v>012.957.851-70</x:v>
      </x:c>
      <x:c r="W2911" s="22" t="str">
        <x:f>"01295785170"</x:f>
        <x:v>01295785170</x:v>
      </x:c>
      <x:c r="X2911" s="23" t="str">
        <x:v>evandrotransportes1098@gmail.com</x:v>
      </x:c>
      <x:c r="Y2911" s="22" t="str">
        <x:f>"65992188094"</x:f>
        <x:v>65992188094</x:v>
      </x:c>
      <x:c r="Z2911" s="30" t="n">
        <x:v>46329</x:v>
      </x:c>
    </x:row>
    <x:row r="2912" ht="18" customHeight="1">
      <x:c r="A2912" s="22" t="str">
        <x:f>"53a77b2b-513b-4481-9f92-b7782d7f24d0"</x:f>
        <x:v>53a77b2b-513b-4481-9f92-b7782d7f24d0</x:v>
      </x:c>
      <x:c r="B2912" s="23" t="str">
        <x:v>NILSON DUTRA DE ARAUJO FILHO</x:v>
      </x:c>
      <x:c r="C2912" s="23" t="str">
        <x:v>nilson dutra de araujo filho</x:v>
      </x:c>
      <x:c r="D2912" s="22" t="str">
        <x:f>"49.790.120/0001-29"</x:f>
        <x:v>49.790.120/0001-29</x:v>
      </x:c>
      <x:c r="E2912" s="22" t="str">
        <x:f>"49790120000129"</x:f>
        <x:v>49790120000129</x:v>
      </x:c>
      <x:c r="F2912" s="22" t="str">
        <x:f>"116.583.427-80"</x:f>
        <x:v>116.583.427-80</x:v>
      </x:c>
      <x:c r="G2912" s="22" t="str">
        <x:f>"11658342780"</x:f>
        <x:v>11658342780</x:v>
      </x:c>
      <x:c r="H2912" s="23" t="str">
        <x:v>nilsonfilho86@gmail.com</x:v>
      </x:c>
      <x:c r="I2912" s="22" t="str">
        <x:f>"21973549925"</x:f>
        <x:v>21973549925</x:v>
      </x:c>
      <x:c r="J2912" s="23" t="str">
        <x:v>spot</x:v>
      </x:c>
      <x:c r="K2912" s="23" t="str">
        <x:v>favored_only</x:v>
      </x:c>
      <x:c r="L2912" s="24" t="b">
        <x:v>1</x:v>
      </x:c>
      <x:c r="M2912" s="23" t="n">
        <x:v>2</x:v>
      </x:c>
      <x:c r="N2912" s="28" t="n">
        <x:v>46219.812988715275</x:v>
      </x:c>
      <x:c r="O2912" s="28" t="n">
        <x:v>46219.812988715275</x:v>
      </x:c>
      <x:c r="P2912" s="23" t="str">
        <x:v>ITABORAI</x:v>
      </x:c>
      <x:c r="Q2912" s="30" t="n">
        <x:v>31489</x:v>
      </x:c>
      <x:c r="R2912" s="22" t="str">
        <x:f>"210687869"</x:f>
        <x:v>210687869</x:v>
      </x:c>
      <x:c r="S2912" s="23" t="str">
        <x:v>masculino</x:v>
      </x:c>
      <x:c r="T2912" s="22" t="str">
        <x:f>"QPE3H95"</x:f>
        <x:v>QPE3H95</x:v>
      </x:c>
      <x:c r="U2912" s="23" t="str">
        <x:v>NILSON DUTRA DE ARAUJO FILHO</x:v>
      </x:c>
      <x:c r="V2912" s="22" t="str">
        <x:f>"116.583.427-80"</x:f>
        <x:v>116.583.427-80</x:v>
      </x:c>
      <x:c r="W2912" s="22" t="str">
        <x:f>"11658342780"</x:f>
        <x:v>11658342780</x:v>
      </x:c>
      <x:c r="X2912" s="23" t="str">
        <x:v>nilsonfilho86@gmail.com</x:v>
      </x:c>
      <x:c r="Y2912" s="22" t="str">
        <x:f>"21973549925"</x:f>
        <x:v>21973549925</x:v>
      </x:c>
      <x:c r="Z2912" s="30" t="n">
        <x:v>46560</x:v>
      </x:c>
    </x:row>
    <x:row r="2913" ht="18" customHeight="1">
      <x:c r="A2913" s="22" t="str">
        <x:f>"36aad7d9-1004-4dc4-9e35-6e838ed18d40"</x:f>
        <x:v>36aad7d9-1004-4dc4-9e35-6e838ed18d40</x:v>
      </x:c>
      <x:c r="B2913" s="23" t="str">
        <x:v>NILSON ESTRELLA PIRATININGA</x:v>
      </x:c>
      <x:c r="C2913" s="23" t="str">
        <x:v>nilson estrella piratininga</x:v>
      </x:c>
      <x:c r="D2913" s="22" t="str">
        <x:f>"51.483.727/0001-08"</x:f>
        <x:v>51.483.727/0001-08</x:v>
      </x:c>
      <x:c r="E2913" s="22" t="str">
        <x:f>"51483727000108"</x:f>
        <x:v>51483727000108</x:v>
      </x:c>
      <x:c r="F2913" s="22" t="str">
        <x:f>"496.753.977-72"</x:f>
        <x:v>496.753.977-72</x:v>
      </x:c>
      <x:c r="G2913" s="22" t="str">
        <x:f>"49675397772"</x:f>
        <x:v>49675397772</x:v>
      </x:c>
      <x:c r="H2913" s="23" t="str">
        <x:v>estrella_pira@hotmail.com</x:v>
      </x:c>
      <x:c r="I2913" s="22" t="str">
        <x:f>"21998836728"</x:f>
        <x:v>21998836728</x:v>
      </x:c>
      <x:c r="J2913" s="23" t="str">
        <x:v>SPOT</x:v>
      </x:c>
      <x:c r="K2913" s="23" t="str">
        <x:v>favored_only</x:v>
      </x:c>
      <x:c r="L2913" s="24" t="b">
        <x:v>1</x:v>
      </x:c>
      <x:c r="M2913" s="23" t="n">
        <x:v>1</x:v>
      </x:c>
      <x:c r="N2913" s="28" t="n">
        <x:v>46219.812988715275</x:v>
      </x:c>
      <x:c r="O2913" s="28" t="n">
        <x:v>46219.812988715275</x:v>
      </x:c>
      <x:c r="P2913" s="23" t="str">
        <x:v>CORDOVIL</x:v>
      </x:c>
      <x:c r="Q2913" s="30" t="n">
        <x:v>21202</x:v>
      </x:c>
      <x:c r="R2913" s="22" t="str">
        <x:f>"57355398"</x:f>
        <x:v>57355398</x:v>
      </x:c>
      <x:c r="S2913" s="23" t="str">
        <x:v>masculino</x:v>
      </x:c>
      <x:c r="T2913" s="22" t="str">
        <x:f>"pmi1f94"</x:f>
        <x:v>pmi1f94</x:v>
      </x:c>
      <x:c r="U2913" s="23" t="str">
        <x:v>LUIZ FERNANDO VINCLES DOS SANTOS</x:v>
      </x:c>
      <x:c r="V2913" s="22" t="str">
        <x:f>"162.082.277-63"</x:f>
        <x:v>162.082.277-63</x:v>
      </x:c>
      <x:c r="W2913" s="22" t="str">
        <x:f>"16208227763"</x:f>
        <x:v>16208227763</x:v>
      </x:c>
      <x:c r="X2913" s="23" t="str">
        <x:v>fernandovincles@gmail.com</x:v>
      </x:c>
      <x:c r="Y2913" s="22" t="str">
        <x:f>"21964605120"</x:f>
        <x:v>21964605120</x:v>
      </x:c>
      <x:c r="Z2913" s="30" t="n">
        <x:v>46301</x:v>
      </x:c>
    </x:row>
    <x:row r="2914" ht="18" customHeight="1">
      <x:c r="A2914" s="22" t="str">
        <x:f>"3a59f961-eb92-439b-b70b-94f85900c9b3"</x:f>
        <x:v>3a59f961-eb92-439b-b70b-94f85900c9b3</x:v>
      </x:c>
      <x:c r="B2914" s="23" t="str">
        <x:v>NILTON ALCIDES DE MATOS JUNIOR</x:v>
      </x:c>
      <x:c r="C2914" s="23" t="str">
        <x:v>nilton alcides de matos junior</x:v>
      </x:c>
      <x:c r="D2914" s="22" t="str">
        <x:f>"42.412.644/0001-37"</x:f>
        <x:v>42.412.644/0001-37</x:v>
      </x:c>
      <x:c r="E2914" s="22" t="str">
        <x:f>"42412644000137"</x:f>
        <x:v>42412644000137</x:v>
      </x:c>
      <x:c r="F2914" s="22" t="str">
        <x:f>"047.967.541-48"</x:f>
        <x:v>047.967.541-48</x:v>
      </x:c>
      <x:c r="G2914" s="22" t="str">
        <x:f>"04796754148"</x:f>
        <x:v>04796754148</x:v>
      </x:c>
      <x:c r="H2914" s="23" t="str">
        <x:v>niltonalcidesrv@gmail.com</x:v>
      </x:c>
      <x:c r="I2914" s="22" t="str">
        <x:f>"64 8459-6175"</x:f>
        <x:v>64 8459-6175</x:v>
      </x:c>
      <x:c r="J2914" s="23" t="str">
        <x:v>RENTAL</x:v>
      </x:c>
      <x:c r="K2914" s="23" t="str">
        <x:v>rental_company</x:v>
      </x:c>
      <x:c r="L2914" s="24" t="b">
        <x:v>1</x:v>
      </x:c>
      <x:c r="M2914" s="23" t="n">
        <x:v>1</x:v>
      </x:c>
      <x:c r="N2914" s="28" t="n">
        <x:v>46203.92186888889</x:v>
      </x:c>
      <x:c r="O2914" s="28" t="n">
        <x:v>46219.812988715275</x:v>
      </x:c>
      <x:c r="P2914" s="23" t="str">
        <x:v>RIO VERDE</x:v>
      </x:c>
      <x:c r="Q2914" s="30" t="n">
        <x:v>34706</x:v>
      </x:c>
      <x:c r="R2914" s="22" t="str">
        <x:f>"5676901"</x:f>
        <x:v>5676901</x:v>
      </x:c>
      <x:c r="S2914" s="23" t="str">
        <x:v>masculino</x:v>
      </x:c>
      <x:c r="T2914" s="22" t="str"/>
      <x:c r="U2914" s="23" t="str">
        <x:v>NILTON ALCIDES DE MATOS JUNIOR</x:v>
      </x:c>
      <x:c r="V2914" s="22" t="str">
        <x:f>"047.967.541-48"</x:f>
        <x:v>047.967.541-48</x:v>
      </x:c>
      <x:c r="W2914" s="22" t="str">
        <x:f>"04796754148"</x:f>
        <x:v>04796754148</x:v>
      </x:c>
      <x:c r="X2914" s="23" t="str">
        <x:v>niltonalcidesrv@gmail.com</x:v>
      </x:c>
      <x:c r="Y2914" s="22" t="str">
        <x:f>"64 8459-6175"</x:f>
        <x:v>64 8459-6175</x:v>
      </x:c>
      <x:c r="Z2914" s="30" t="n">
        <x:v>46298</x:v>
      </x:c>
    </x:row>
    <x:row r="2915" ht="18" customHeight="1">
      <x:c r="A2915" s="22" t="str">
        <x:f>"c89d4c37-1588-4ddd-88d1-da58cf04ff8a"</x:f>
        <x:v>c89d4c37-1588-4ddd-88d1-da58cf04ff8a</x:v>
      </x:c>
      <x:c r="B2915" s="23" t="str">
        <x:v>NILTON ALCIDES DE MATOS JUNIOR</x:v>
      </x:c>
      <x:c r="C2915" s="23" t="str">
        <x:v>nilton alcides de matos junior</x:v>
      </x:c>
      <x:c r="D2915" s="22" t="str">
        <x:f>"62.651.637/0001-03"</x:f>
        <x:v>62.651.637/0001-03</x:v>
      </x:c>
      <x:c r="E2915" s="22" t="str">
        <x:f>"62651637000103"</x:f>
        <x:v>62651637000103</x:v>
      </x:c>
      <x:c r="F2915" s="22" t="str">
        <x:f>"047.967.541-48"</x:f>
        <x:v>047.967.541-48</x:v>
      </x:c>
      <x:c r="G2915" s="22" t="str">
        <x:f>"04796754148"</x:f>
        <x:v>04796754148</x:v>
      </x:c>
      <x:c r="H2915" s="23" t="str">
        <x:v>niltonalcidesrv@gmail.com</x:v>
      </x:c>
      <x:c r="I2915" s="22" t="str">
        <x:f>"64 8459-6175"</x:f>
        <x:v>64 8459-6175</x:v>
      </x:c>
      <x:c r="J2915" s="23" t="str">
        <x:v>SPOT</x:v>
      </x:c>
      <x:c r="K2915" s="23" t="str">
        <x:v>favored_only</x:v>
      </x:c>
      <x:c r="L2915" s="24" t="b">
        <x:v>1</x:v>
      </x:c>
      <x:c r="M2915" s="23" t="n">
        <x:v>1</x:v>
      </x:c>
      <x:c r="N2915" s="28" t="n">
        <x:v>46205.604889965274</x:v>
      </x:c>
      <x:c r="O2915" s="28" t="n">
        <x:v>46219.812988715275</x:v>
      </x:c>
      <x:c r="P2915" s="23" t="str">
        <x:v>RIO VERDE</x:v>
      </x:c>
      <x:c r="Q2915" s="30" t="n">
        <x:v>34706</x:v>
      </x:c>
      <x:c r="R2915" s="22" t="str">
        <x:f>"5676901"</x:f>
        <x:v>5676901</x:v>
      </x:c>
      <x:c r="S2915" s="23" t="str">
        <x:v>masculino</x:v>
      </x:c>
      <x:c r="T2915" s="22" t="str">
        <x:f>"FGB7F60"</x:f>
        <x:v>FGB7F60</x:v>
      </x:c>
      <x:c r="U2915" s="23" t="str">
        <x:v>PATRICK RUAN DA SILVA MARQUES</x:v>
      </x:c>
      <x:c r="V2915" s="22" t="str">
        <x:f>"043.843.891-40"</x:f>
        <x:v>043.843.891-40</x:v>
      </x:c>
      <x:c r="W2915" s="22" t="str">
        <x:f>"04384389140"</x:f>
        <x:v>04384389140</x:v>
      </x:c>
      <x:c r="X2915" s="23" t="str">
        <x:v>ruanmarquesrv482@gmail.com</x:v>
      </x:c>
      <x:c r="Y2915" s="22" t="str">
        <x:f>"64 9241-9550"</x:f>
        <x:v>64 9241-9550</x:v>
      </x:c>
      <x:c r="Z2915" s="30" t="n">
        <x:v>46302</x:v>
      </x:c>
    </x:row>
    <x:row r="2916" ht="18" customHeight="1">
      <x:c r="A2916" s="22" t="str">
        <x:f>"c9d1f9d0-a16c-4e31-aac4-ad19329397ec"</x:f>
        <x:v>c9d1f9d0-a16c-4e31-aac4-ad19329397ec</x:v>
      </x:c>
      <x:c r="B2916" s="23" t="str">
        <x:v>NILTON CESAR ANDRETA</x:v>
      </x:c>
      <x:c r="C2916" s="23" t="str">
        <x:v>nilton cesar andreta</x:v>
      </x:c>
      <x:c r="D2916" s="22" t="str">
        <x:f>"61672238000158"</x:f>
        <x:v>61672238000158</x:v>
      </x:c>
      <x:c r="E2916" s="22" t="str">
        <x:f>"61672238000158"</x:f>
        <x:v>61672238000158</x:v>
      </x:c>
      <x:c r="F2916" s="22" t="str">
        <x:f>"07042705874"</x:f>
        <x:v>07042705874</x:v>
      </x:c>
      <x:c r="G2916" s="22" t="str">
        <x:f>"07042705874"</x:f>
        <x:v>07042705874</x:v>
      </x:c>
      <x:c r="H2916" s="23" t="str">
        <x:v>cesarnilton438@gmail.com</x:v>
      </x:c>
      <x:c r="I2916" s="22" t="str">
        <x:f>"62998509364"</x:f>
        <x:v>62998509364</x:v>
      </x:c>
      <x:c r="J2916" s="23" t="str">
        <x:v>SPOT</x:v>
      </x:c>
      <x:c r="K2916" s="23" t="str">
        <x:v>favored_only</x:v>
      </x:c>
      <x:c r="L2916" s="24" t="b">
        <x:v>1</x:v>
      </x:c>
      <x:c r="M2916" s="23" t="n">
        <x:v>1</x:v>
      </x:c>
      <x:c r="N2916" s="28" t="n">
        <x:v>46203.921840393516</x:v>
      </x:c>
      <x:c r="O2916" s="28" t="n">
        <x:v>46203.921840393516</x:v>
      </x:c>
      <x:c r="P2916" s="23" t="str"/>
      <x:c r="Q2916" s="30" t="str"/>
      <x:c r="R2916" s="22" t="str"/>
      <x:c r="S2916" s="23" t="str"/>
      <x:c r="T2916" s="22" t="str"/>
      <x:c r="U2916" s="23" t="str">
        <x:v>NILTON CESAR ANDRETA</x:v>
      </x:c>
      <x:c r="V2916" s="22" t="str">
        <x:f>"07042705874"</x:f>
        <x:v>07042705874</x:v>
      </x:c>
      <x:c r="W2916" s="22" t="str">
        <x:f>"07042705874"</x:f>
        <x:v>07042705874</x:v>
      </x:c>
      <x:c r="X2916" s="23" t="str">
        <x:v>cesarnilton438@gmail.com</x:v>
      </x:c>
      <x:c r="Y2916" s="22" t="str">
        <x:f>"62998509364"</x:f>
        <x:v>62998509364</x:v>
      </x:c>
      <x:c r="Z2916" s="30" t="str"/>
    </x:row>
    <x:row r="2917" ht="18" customHeight="1">
      <x:c r="A2917" s="22" t="str">
        <x:f>"34d6fa96-896e-402b-86e2-1f29a27a3708"</x:f>
        <x:v>34d6fa96-896e-402b-86e2-1f29a27a3708</x:v>
      </x:c>
      <x:c r="B2917" s="23" t="str">
        <x:v>NILTON CESAR MOURA MACHADO</x:v>
      </x:c>
      <x:c r="C2917" s="23" t="str">
        <x:v>nilton cesar moura machado</x:v>
      </x:c>
      <x:c r="D2917" s="22" t="str">
        <x:f>"62.539.268/0001-53"</x:f>
        <x:v>62.539.268/0001-53</x:v>
      </x:c>
      <x:c r="E2917" s="22" t="str">
        <x:f>"62539268000153"</x:f>
        <x:v>62539268000153</x:v>
      </x:c>
      <x:c r="F2917" s="22" t="str">
        <x:f>"382.838.358-07"</x:f>
        <x:v>382.838.358-07</x:v>
      </x:c>
      <x:c r="G2917" s="22" t="str">
        <x:f>"38283835807"</x:f>
        <x:v>38283835807</x:v>
      </x:c>
      <x:c r="H2917" s="23" t="str">
        <x:v>nilton.machado1988@gmail.com</x:v>
      </x:c>
      <x:c r="I2917" s="22" t="str">
        <x:f>"11 9 7876-5437"</x:f>
        <x:v>11 9 7876-5437</x:v>
      </x:c>
      <x:c r="J2917" s="23" t="str">
        <x:v>RENTAL</x:v>
      </x:c>
      <x:c r="K2917" s="23" t="str">
        <x:v>rental_company</x:v>
      </x:c>
      <x:c r="L2917" s="24" t="b">
        <x:v>1</x:v>
      </x:c>
      <x:c r="M2917" s="23" t="n">
        <x:v>1</x:v>
      </x:c>
      <x:c r="N2917" s="28" t="n">
        <x:v>46203.92186888889</x:v>
      </x:c>
      <x:c r="O2917" s="28" t="n">
        <x:v>46219.812988715275</x:v>
      </x:c>
      <x:c r="P2917" s="23" t="str">
        <x:v>GOIANIA</x:v>
      </x:c>
      <x:c r="Q2917" s="30" t="n">
        <x:v>32488</x:v>
      </x:c>
      <x:c r="R2917" s="22" t="str">
        <x:f>"32.213.333-6"</x:f>
        <x:v>32.213.333-6</x:v>
      </x:c>
      <x:c r="S2917" s="23" t="str">
        <x:v>masculino</x:v>
      </x:c>
      <x:c r="T2917" s="22" t="str"/>
      <x:c r="U2917" s="23" t="str">
        <x:v>NILTON CESAR MOURA MACHADO</x:v>
      </x:c>
      <x:c r="V2917" s="22" t="str">
        <x:f>"382.838.358-07"</x:f>
        <x:v>382.838.358-07</x:v>
      </x:c>
      <x:c r="W2917" s="22" t="str">
        <x:f>"38283835807"</x:f>
        <x:v>38283835807</x:v>
      </x:c>
      <x:c r="X2917" s="23" t="str">
        <x:v>nilton.machado1988@gmail.com</x:v>
      </x:c>
      <x:c r="Y2917" s="22" t="str">
        <x:f>"11 9 7876-5437"</x:f>
        <x:v>11 9 7876-5437</x:v>
      </x:c>
      <x:c r="Z2917" s="30" t="n">
        <x:v>46296</x:v>
      </x:c>
    </x:row>
    <x:row r="2918" ht="18" customHeight="1">
      <x:c r="A2918" s="22" t="str">
        <x:f>"dfd2f7e9-6aca-4ad0-a627-d912a91b7eec"</x:f>
        <x:v>dfd2f7e9-6aca-4ad0-a627-d912a91b7eec</x:v>
      </x:c>
      <x:c r="B2918" s="23" t="str">
        <x:v>NILTON POLLINI</x:v>
      </x:c>
      <x:c r="C2918" s="23" t="str">
        <x:v>nilton pollini</x:v>
      </x:c>
      <x:c r="D2918" s="22" t="str">
        <x:f>"35.912.362/0001-33"</x:f>
        <x:v>35.912.362/0001-33</x:v>
      </x:c>
      <x:c r="E2918" s="22" t="str">
        <x:f>"35912362000133"</x:f>
        <x:v>35912362000133</x:v>
      </x:c>
      <x:c r="F2918" s="22" t="str">
        <x:f>"067.995.328-06"</x:f>
        <x:v>067.995.328-06</x:v>
      </x:c>
      <x:c r="G2918" s="22" t="str">
        <x:f>"06799532806"</x:f>
        <x:v>06799532806</x:v>
      </x:c>
      <x:c r="H2918" s="23" t="str">
        <x:v>npopopollini@gmail.com</x:v>
      </x:c>
      <x:c r="I2918" s="22" t="str">
        <x:f>"34997110501"</x:f>
        <x:v>34997110501</x:v>
      </x:c>
      <x:c r="J2918" s="23" t="str">
        <x:v>SPOT</x:v>
      </x:c>
      <x:c r="K2918" s="23" t="str">
        <x:v>favored_only</x:v>
      </x:c>
      <x:c r="L2918" s="24" t="b">
        <x:v>1</x:v>
      </x:c>
      <x:c r="M2918" s="23" t="n">
        <x:v>1</x:v>
      </x:c>
      <x:c r="N2918" s="28" t="n">
        <x:v>46219.812988715275</x:v>
      </x:c>
      <x:c r="O2918" s="28" t="n">
        <x:v>46219.812988715275</x:v>
      </x:c>
      <x:c r="P2918" s="23" t="str">
        <x:v>PATOS DE MINAS</x:v>
      </x:c>
      <x:c r="Q2918" s="30" t="n">
        <x:v>23713</x:v>
      </x:c>
      <x:c r="R2918" s="22" t="str">
        <x:f>"168294886 SSP"</x:f>
        <x:v>168294886 SSP</x:v>
      </x:c>
      <x:c r="S2918" s="23" t="str">
        <x:v>masculino</x:v>
      </x:c>
      <x:c r="T2918" s="22" t="str">
        <x:f>"OPQ9A50"</x:f>
        <x:v>OPQ9A50</x:v>
      </x:c>
      <x:c r="U2918" s="23" t="str">
        <x:v>ANA CLAUDIA SOARES DA SILVA</x:v>
      </x:c>
      <x:c r="V2918" s="22" t="str">
        <x:f>"328.496.278-60"</x:f>
        <x:v>328.496.278-60</x:v>
      </x:c>
      <x:c r="W2918" s="22" t="str">
        <x:f>"32849627860"</x:f>
        <x:v>32849627860</x:v>
      </x:c>
      <x:c r="X2918" s="23" t="str">
        <x:v>npopopollini@gmail.com</x:v>
      </x:c>
      <x:c r="Y2918" s="22" t="str">
        <x:f>"34998413568"</x:f>
        <x:v>34998413568</x:v>
      </x:c>
      <x:c r="Z2918" s="30" t="n">
        <x:v>46334</x:v>
      </x:c>
    </x:row>
    <x:row r="2919" ht="18" customHeight="1">
      <x:c r="A2919" s="22" t="str">
        <x:f>"b0ba9f8f-1bb4-462f-a2ea-40736ad68d61"</x:f>
        <x:v>b0ba9f8f-1bb4-462f-a2ea-40736ad68d61</x:v>
      </x:c>
      <x:c r="B2919" s="23" t="str">
        <x:v>NILTON RODRIGUES MACHADO</x:v>
      </x:c>
      <x:c r="C2919" s="23" t="str">
        <x:v>nilton rodrigues machado</x:v>
      </x:c>
      <x:c r="D2919" s="22" t="str">
        <x:f>"36.596.610/0001-47"</x:f>
        <x:v>36.596.610/0001-47</x:v>
      </x:c>
      <x:c r="E2919" s="22" t="str">
        <x:f>"36596610000147"</x:f>
        <x:v>36596610000147</x:v>
      </x:c>
      <x:c r="F2919" s="22" t="str">
        <x:f>"675.850.356-91"</x:f>
        <x:v>675.850.356-91</x:v>
      </x:c>
      <x:c r="G2919" s="22" t="str">
        <x:f>"67585035691"</x:f>
        <x:v>67585035691</x:v>
      </x:c>
      <x:c r="H2919" s="23" t="str">
        <x:v>niltonmachado490@gmail.com</x:v>
      </x:c>
      <x:c r="I2919" s="22" t="str">
        <x:f>"11 987053330"</x:f>
        <x:v>11 987053330</x:v>
      </x:c>
      <x:c r="J2919" s="23" t="str">
        <x:v>RENTAL</x:v>
      </x:c>
      <x:c r="K2919" s="23" t="str">
        <x:v>rental_company</x:v>
      </x:c>
      <x:c r="L2919" s="24" t="b">
        <x:v>1</x:v>
      </x:c>
      <x:c r="M2919" s="23" t="n">
        <x:v>1</x:v>
      </x:c>
      <x:c r="N2919" s="28" t="n">
        <x:v>46203.921852962965</x:v>
      </x:c>
      <x:c r="O2919" s="28" t="n">
        <x:v>46205.605500844904</x:v>
      </x:c>
      <x:c r="P2919" s="23" t="str">
        <x:v>POUSO ALEGRE</x:v>
      </x:c>
      <x:c r="Q2919" s="30" t="n">
        <x:v>25197</x:v>
      </x:c>
      <x:c r="R2919" s="22" t="str">
        <x:f>"5145472"</x:f>
        <x:v>5145472</x:v>
      </x:c>
      <x:c r="S2919" s="23" t="str">
        <x:v>Masculino</x:v>
      </x:c>
      <x:c r="T2919" s="22" t="str"/>
      <x:c r="U2919" s="23" t="str">
        <x:v>NILTON RODRIGUES MACHADO</x:v>
      </x:c>
      <x:c r="V2919" s="22" t="str">
        <x:f>"675.850.356-91"</x:f>
        <x:v>675.850.356-91</x:v>
      </x:c>
      <x:c r="W2919" s="22" t="str">
        <x:f>"67585035691"</x:f>
        <x:v>67585035691</x:v>
      </x:c>
      <x:c r="X2919" s="23" t="str">
        <x:v>niltonmachado490@gmail.com</x:v>
      </x:c>
      <x:c r="Y2919" s="22" t="str">
        <x:f>"11 987053330"</x:f>
        <x:v>11 987053330</x:v>
      </x:c>
      <x:c r="Z2919" s="30" t="n">
        <x:v>46223</x:v>
      </x:c>
    </x:row>
    <x:row r="2920" ht="18" customHeight="1">
      <x:c r="A2920" s="22" t="str">
        <x:f>"5f39e276-7154-4f9e-8b0f-4c8743e615b2"</x:f>
        <x:v>5f39e276-7154-4f9e-8b0f-4c8743e615b2</x:v>
      </x:c>
      <x:c r="B2920" s="23" t="str">
        <x:v>NILVANIA APARECIDA DIAS</x:v>
      </x:c>
      <x:c r="C2920" s="23" t="str">
        <x:v>nilvania aparecida dias</x:v>
      </x:c>
      <x:c r="D2920" s="22" t="str">
        <x:f>"60.305.192/0001-76"</x:f>
        <x:v>60.305.192/0001-76</x:v>
      </x:c>
      <x:c r="E2920" s="22" t="str">
        <x:f>"60305192000176"</x:f>
        <x:v>60305192000176</x:v>
      </x:c>
      <x:c r="F2920" s="22" t="str">
        <x:f>"045.818.101-32"</x:f>
        <x:v>045.818.101-32</x:v>
      </x:c>
      <x:c r="G2920" s="22" t="str">
        <x:f>"04581810132"</x:f>
        <x:v>04581810132</x:v>
      </x:c>
      <x:c r="H2920" s="23" t="str">
        <x:v>nilvaniadias4@gmail.com</x:v>
      </x:c>
      <x:c r="I2920" s="22" t="str">
        <x:f>"67982148916"</x:f>
        <x:v>67982148916</x:v>
      </x:c>
      <x:c r="J2920" s="23" t="str">
        <x:v>SPOT</x:v>
      </x:c>
      <x:c r="K2920" s="23" t="str">
        <x:v>favored_only</x:v>
      </x:c>
      <x:c r="L2920" s="24" t="b">
        <x:v>1</x:v>
      </x:c>
      <x:c r="M2920" s="23" t="n">
        <x:v>1</x:v>
      </x:c>
      <x:c r="N2920" s="28" t="n">
        <x:v>46205.60628732639</x:v>
      </x:c>
      <x:c r="O2920" s="28" t="n">
        <x:v>46219.812988715275</x:v>
      </x:c>
      <x:c r="P2920" s="23" t="str">
        <x:v>CHAPADÃO DO SUL</x:v>
      </x:c>
      <x:c r="Q2920" s="30" t="n">
        <x:v>34221</x:v>
      </x:c>
      <x:c r="R2920" s="22" t="str">
        <x:f>"1872184"</x:f>
        <x:v>1872184</x:v>
      </x:c>
      <x:c r="S2920" s="23" t="str">
        <x:v>feminino</x:v>
      </x:c>
      <x:c r="T2920" s="22" t="str">
        <x:f>"PRZ2B45"</x:f>
        <x:v>PRZ2B45</x:v>
      </x:c>
      <x:c r="U2920" s="23" t="str">
        <x:v>CASSICLEI CEZAR SILVA GUIMARAES</x:v>
      </x:c>
      <x:c r="V2920" s="22" t="str">
        <x:f>"045.251.681-10"</x:f>
        <x:v>045.251.681-10</x:v>
      </x:c>
      <x:c r="W2920" s="22" t="str">
        <x:f>"04525168110"</x:f>
        <x:v>04525168110</x:v>
      </x:c>
      <x:c r="X2920" s="23" t="str">
        <x:v>cacioguimaraes1991@gmail.com</x:v>
      </x:c>
      <x:c r="Y2920" s="22" t="str">
        <x:f>"67981917493"</x:f>
        <x:v>67981917493</x:v>
      </x:c>
      <x:c r="Z2920" s="30" t="n">
        <x:v>46352</x:v>
      </x:c>
    </x:row>
    <x:row r="2921" ht="18" customHeight="1">
      <x:c r="A2921" s="22" t="str">
        <x:f>"514c5e01-1292-481c-9411-021d1b6b97d9"</x:f>
        <x:v>514c5e01-1292-481c-9411-021d1b6b97d9</x:v>
      </x:c>
      <x:c r="B2921" s="23" t="str">
        <x:v>NILVO CESAR TALAVEIRA ROJAS</x:v>
      </x:c>
      <x:c r="C2921" s="23" t="str">
        <x:v>nilvo cesar talaveira rojas</x:v>
      </x:c>
      <x:c r="D2921" s="22" t="str">
        <x:f>"62.803.027/0001-70"</x:f>
        <x:v>62.803.027/0001-70</x:v>
      </x:c>
      <x:c r="E2921" s="22" t="str">
        <x:f>"62803027000170"</x:f>
        <x:v>62803027000170</x:v>
      </x:c>
      <x:c r="F2921" s="22" t="str">
        <x:f>"405.556.231-49"</x:f>
        <x:v>405.556.231-49</x:v>
      </x:c>
      <x:c r="G2921" s="22" t="str">
        <x:f>"40555623149"</x:f>
        <x:v>40555623149</x:v>
      </x:c>
      <x:c r="H2921" s="23" t="str">
        <x:v>globonortee@hotmail.com</x:v>
      </x:c>
      <x:c r="I2921" s="22" t="str">
        <x:f>"65 8100-0002"</x:f>
        <x:v>65 8100-0002</x:v>
      </x:c>
      <x:c r="J2921" s="23" t="str">
        <x:v>SPOT</x:v>
      </x:c>
      <x:c r="K2921" s="23" t="str">
        <x:v>favored_only</x:v>
      </x:c>
      <x:c r="L2921" s="24" t="b">
        <x:v>1</x:v>
      </x:c>
      <x:c r="M2921" s="23" t="n">
        <x:v>1</x:v>
      </x:c>
      <x:c r="N2921" s="28" t="n">
        <x:v>46219.812988715275</x:v>
      </x:c>
      <x:c r="O2921" s="28" t="n">
        <x:v>46219.812988715275</x:v>
      </x:c>
      <x:c r="P2921" s="23" t="str">
        <x:v>SINOP</x:v>
      </x:c>
      <x:c r="Q2921" s="30" t="n">
        <x:v>24609</x:v>
      </x:c>
      <x:c r="R2921" s="22" t="str">
        <x:f>"307055"</x:f>
        <x:v>307055</x:v>
      </x:c>
      <x:c r="S2921" s="23" t="str">
        <x:v>masculino</x:v>
      </x:c>
      <x:c r="T2921" s="22" t="str">
        <x:f>"PUF7A43"</x:f>
        <x:v>PUF7A43</x:v>
      </x:c>
      <x:c r="U2921" s="23" t="str">
        <x:v>NILVO CESAR TALAVEIRA ROJAS</x:v>
      </x:c>
      <x:c r="V2921" s="22" t="str">
        <x:f>"405.556.231-49"</x:f>
        <x:v>405.556.231-49</x:v>
      </x:c>
      <x:c r="W2921" s="22" t="str">
        <x:f>"40555623149"</x:f>
        <x:v>40555623149</x:v>
      </x:c>
      <x:c r="X2921" s="23" t="str">
        <x:v>globonortee@hotmail.com</x:v>
      </x:c>
      <x:c r="Y2921" s="22" t="str">
        <x:f>"65 8100-0002"</x:f>
        <x:v>65 8100-0002</x:v>
      </x:c>
      <x:c r="Z2921" s="30" t="n">
        <x:v>46331</x:v>
      </x:c>
    </x:row>
    <x:row r="2922" ht="18" customHeight="1">
      <x:c r="A2922" s="22" t="str">
        <x:f>"2ec5ae3e-aaa4-40a3-8f25-6520262c6344"</x:f>
        <x:v>2ec5ae3e-aaa4-40a3-8f25-6520262c6344</x:v>
      </x:c>
      <x:c r="B2922" s="23" t="str">
        <x:v>NILZA DE OLIVEIRA ROCHA</x:v>
      </x:c>
      <x:c r="C2922" s="23" t="str">
        <x:v>nilza de oliveira rocha</x:v>
      </x:c>
      <x:c r="D2922" s="22" t="str">
        <x:f>"28.871.353/0001-86"</x:f>
        <x:v>28.871.353/0001-86</x:v>
      </x:c>
      <x:c r="E2922" s="22" t="str">
        <x:f>"28871353000186"</x:f>
        <x:v>28871353000186</x:v>
      </x:c>
      <x:c r="F2922" s="22" t="str">
        <x:f>"025.005.719-04"</x:f>
        <x:v>025.005.719-04</x:v>
      </x:c>
      <x:c r="G2922" s="22" t="str">
        <x:f>"02500571904"</x:f>
        <x:v>02500571904</x:v>
      </x:c>
      <x:c r="H2922" s="23" t="str">
        <x:v>nilzadeoliveirarocha1@gmail.com</x:v>
      </x:c>
      <x:c r="I2922" s="22" t="str">
        <x:f>"67 8453-9616"</x:f>
        <x:v>67 8453-9616</x:v>
      </x:c>
      <x:c r="J2922" s="23" t="str">
        <x:v>SPOT</x:v>
      </x:c>
      <x:c r="K2922" s="23" t="str">
        <x:v>favored_only</x:v>
      </x:c>
      <x:c r="L2922" s="24" t="b">
        <x:v>1</x:v>
      </x:c>
      <x:c r="M2922" s="23" t="n">
        <x:v>1</x:v>
      </x:c>
      <x:c r="N2922" s="28" t="n">
        <x:v>46219.812988715275</x:v>
      </x:c>
      <x:c r="O2922" s="28" t="n">
        <x:v>46219.812988715275</x:v>
      </x:c>
      <x:c r="P2922" s="23" t="str">
        <x:v>CHAPADÃO DO SUL</x:v>
      </x:c>
      <x:c r="Q2922" s="30" t="n">
        <x:v>25104</x:v>
      </x:c>
      <x:c r="R2922" s="22" t="str">
        <x:f>"2500571904"</x:f>
        <x:v>2500571904</x:v>
      </x:c>
      <x:c r="S2922" s="23" t="str">
        <x:v>feminino</x:v>
      </x:c>
      <x:c r="T2922" s="22" t="str">
        <x:f>"pww1i33"</x:f>
        <x:v>pww1i33</x:v>
      </x:c>
      <x:c r="U2922" s="23" t="str">
        <x:v>DENISE DE OLIVEIRA ROCHA QUEIROZ DE MATOS</x:v>
      </x:c>
      <x:c r="V2922" s="22" t="str">
        <x:f>"045.039.971-06"</x:f>
        <x:v>045.039.971-06</x:v>
      </x:c>
      <x:c r="W2922" s="22" t="str">
        <x:f>"04503997106"</x:f>
        <x:v>04503997106</x:v>
      </x:c>
      <x:c r="X2922" s="23" t="str">
        <x:v>denisedeoliveirarocha664@gmail.com</x:v>
      </x:c>
      <x:c r="Y2922" s="22" t="str">
        <x:f>"67 8453-9616"</x:f>
        <x:v>67 8453-9616</x:v>
      </x:c>
      <x:c r="Z2922" s="30" t="n">
        <x:v>46420</x:v>
      </x:c>
    </x:row>
    <x:row r="2923" ht="18" customHeight="1">
      <x:c r="A2923" s="22" t="str">
        <x:f>"280e6042-c9e1-491b-b60d-c7a4f7ba2453"</x:f>
        <x:v>280e6042-c9e1-491b-b60d-c7a4f7ba2453</x:v>
      </x:c>
      <x:c r="B2923" s="23" t="str">
        <x:v>NIXON BRENER MARTINS DA SILVA</x:v>
      </x:c>
      <x:c r="C2923" s="23" t="str">
        <x:v>nixon brener martins da silva</x:v>
      </x:c>
      <x:c r="D2923" s="22" t="str">
        <x:f>"42677173000199"</x:f>
        <x:v>42677173000199</x:v>
      </x:c>
      <x:c r="E2923" s="22" t="str">
        <x:f>"42677173000199"</x:f>
        <x:v>42677173000199</x:v>
      </x:c>
      <x:c r="F2923" s="22" t="str">
        <x:f>"84893729187"</x:f>
        <x:v>84893729187</x:v>
      </x:c>
      <x:c r="G2923" s="22" t="str">
        <x:f>"84893729187"</x:f>
        <x:v>84893729187</x:v>
      </x:c>
      <x:c r="H2923" s="23" t="str">
        <x:v>bcmfinancias@gmail.com</x:v>
      </x:c>
      <x:c r="I2923" s="22" t="str">
        <x:f>"6798111042"</x:f>
        <x:v>6798111042</x:v>
      </x:c>
      <x:c r="J2923" s="23" t="str">
        <x:v>SPOT</x:v>
      </x:c>
      <x:c r="K2923" s="23" t="str">
        <x:v>favored_only</x:v>
      </x:c>
      <x:c r="L2923" s="24" t="b">
        <x:v>1</x:v>
      </x:c>
      <x:c r="M2923" s="23" t="n">
        <x:v>3</x:v>
      </x:c>
      <x:c r="N2923" s="28" t="n">
        <x:v>46203.921858726855</x:v>
      </x:c>
      <x:c r="O2923" s="28" t="n">
        <x:v>46203.921858726855</x:v>
      </x:c>
      <x:c r="P2923" s="23" t="str"/>
      <x:c r="Q2923" s="30" t="str"/>
      <x:c r="R2923" s="22" t="str"/>
      <x:c r="S2923" s="23" t="str"/>
      <x:c r="T2923" s="22" t="str"/>
      <x:c r="U2923" s="23" t="str">
        <x:v>NIXON BRENER MARTINS DA SILVA</x:v>
      </x:c>
      <x:c r="V2923" s="22" t="str">
        <x:f>"84893729187"</x:f>
        <x:v>84893729187</x:v>
      </x:c>
      <x:c r="W2923" s="22" t="str">
        <x:f>"84893729187"</x:f>
        <x:v>84893729187</x:v>
      </x:c>
      <x:c r="X2923" s="23" t="str">
        <x:v>bcmfinancias@gmail.com</x:v>
      </x:c>
      <x:c r="Y2923" s="22" t="str">
        <x:f>"67 9811-1042"</x:f>
        <x:v>67 9811-1042</x:v>
      </x:c>
      <x:c r="Z2923" s="30" t="str"/>
    </x:row>
    <x:row r="2924" ht="18" customHeight="1">
      <x:c r="A2924" s="22" t="str">
        <x:f>"45025e3e-5400-4b31-bf5f-81cfec60af84"</x:f>
        <x:v>45025e3e-5400-4b31-bf5f-81cfec60af84</x:v>
      </x:c>
      <x:c r="B2924" s="23" t="str">
        <x:v>NUBIA CAROLINA NUNES COSTA CARVALHO</x:v>
      </x:c>
      <x:c r="C2924" s="23" t="str">
        <x:v>nubia carolina nunes costa carvalho</x:v>
      </x:c>
      <x:c r="D2924" s="22" t="str">
        <x:f>"37.127.740/0001-01"</x:f>
        <x:v>37.127.740/0001-01</x:v>
      </x:c>
      <x:c r="E2924" s="22" t="str">
        <x:f>"37127740000101"</x:f>
        <x:v>37127740000101</x:v>
      </x:c>
      <x:c r="F2924" s="22" t="str">
        <x:f>"071.750.586-32"</x:f>
        <x:v>071.750.586-32</x:v>
      </x:c>
      <x:c r="G2924" s="22" t="str">
        <x:f>"07175058632"</x:f>
        <x:v>07175058632</x:v>
      </x:c>
      <x:c r="H2924" s="23" t="str">
        <x:v>nubia.costta@gmail.com</x:v>
      </x:c>
      <x:c r="I2924" s="22" t="str">
        <x:f>"31 99597-1201"</x:f>
        <x:v>31 99597-1201</x:v>
      </x:c>
      <x:c r="J2924" s="23" t="str">
        <x:v>SPOT</x:v>
      </x:c>
      <x:c r="K2924" s="23" t="str">
        <x:v>favored_only</x:v>
      </x:c>
      <x:c r="L2924" s="24" t="b">
        <x:v>1</x:v>
      </x:c>
      <x:c r="M2924" s="23" t="n">
        <x:v>1</x:v>
      </x:c>
      <x:c r="N2924" s="28" t="n">
        <x:v>46219.812988715275</x:v>
      </x:c>
      <x:c r="O2924" s="28" t="n">
        <x:v>46219.812988715275</x:v>
      </x:c>
      <x:c r="P2924" s="23" t="str">
        <x:v>IPATINGA</x:v>
      </x:c>
      <x:c r="Q2924" s="30" t="n">
        <x:v>31285</x:v>
      </x:c>
      <x:c r="R2924" s="22" t="str">
        <x:f>"MG12057848 SSP MG"</x:f>
        <x:v>MG12057848 SSP MG</x:v>
      </x:c>
      <x:c r="S2924" s="23" t="str">
        <x:v>feminino</x:v>
      </x:c>
      <x:c r="T2924" s="22" t="str">
        <x:f>"QNA2F43"</x:f>
        <x:v>QNA2F43</x:v>
      </x:c>
      <x:c r="U2924" s="23" t="str">
        <x:v>NUBIA CAROLINA NUNES COSTA CARVALHO</x:v>
      </x:c>
      <x:c r="V2924" s="22" t="str">
        <x:f>"071.750.586-32"</x:f>
        <x:v>071.750.586-32</x:v>
      </x:c>
      <x:c r="W2924" s="22" t="str">
        <x:f>"07175058632"</x:f>
        <x:v>07175058632</x:v>
      </x:c>
      <x:c r="X2924" s="23" t="str">
        <x:v>nubia.costta@gmail.com</x:v>
      </x:c>
      <x:c r="Y2924" s="22" t="str">
        <x:f>"31 99597-1201"</x:f>
        <x:v>31 99597-1201</x:v>
      </x:c>
      <x:c r="Z2924" s="30" t="n">
        <x:v>46471</x:v>
      </x:c>
    </x:row>
    <x:row r="2925" ht="18" customHeight="1">
      <x:c r="A2925" s="22" t="str">
        <x:f>"c73534d0-7155-400d-81a3-a17c83f2ac21"</x:f>
        <x:v>c73534d0-7155-400d-81a3-a17c83f2ac21</x:v>
      </x:c>
      <x:c r="B2925" s="23" t="str">
        <x:v>NUBIA TAVARES BARBOSA DE SOUZA</x:v>
      </x:c>
      <x:c r="C2925" s="23" t="str">
        <x:v>nubia tavares barbosa de souza</x:v>
      </x:c>
      <x:c r="D2925" s="22" t="str">
        <x:f>"35.306.798/0001-89"</x:f>
        <x:v>35.306.798/0001-89</x:v>
      </x:c>
      <x:c r="E2925" s="22" t="str">
        <x:f>"35306798000189"</x:f>
        <x:v>35306798000189</x:v>
      </x:c>
      <x:c r="F2925" s="22" t="str">
        <x:f>"007.394.031-33"</x:f>
        <x:v>007.394.031-33</x:v>
      </x:c>
      <x:c r="G2925" s="22" t="str">
        <x:f>"00739403133"</x:f>
        <x:v>00739403133</x:v>
      </x:c>
      <x:c r="H2925" s="23" t="str">
        <x:v>clesioalves601@gmail.com</x:v>
      </x:c>
      <x:c r="I2925" s="22" t="str">
        <x:f>"62985458244"</x:f>
        <x:v>62985458244</x:v>
      </x:c>
      <x:c r="J2925" s="23" t="str">
        <x:v>SPOT</x:v>
      </x:c>
      <x:c r="K2925" s="23" t="str">
        <x:v>favored_only</x:v>
      </x:c>
      <x:c r="L2925" s="24" t="b">
        <x:v>1</x:v>
      </x:c>
      <x:c r="M2925" s="23" t="n">
        <x:v>1</x:v>
      </x:c>
      <x:c r="N2925" s="28" t="n">
        <x:v>46205.60301741898</x:v>
      </x:c>
      <x:c r="O2925" s="28" t="n">
        <x:v>46219.812988715275</x:v>
      </x:c>
      <x:c r="P2925" s="23" t="str">
        <x:v>MINAÇU</x:v>
      </x:c>
      <x:c r="Q2925" s="30" t="n">
        <x:v>32915</x:v>
      </x:c>
      <x:c r="R2925" s="22" t="str">
        <x:f>"5606445"</x:f>
        <x:v>5606445</x:v>
      </x:c>
      <x:c r="S2925" s="23" t="str">
        <x:v>feminino</x:v>
      </x:c>
      <x:c r="T2925" s="22" t="str">
        <x:f>"JHJ4954"</x:f>
        <x:v>JHJ4954</x:v>
      </x:c>
      <x:c r="U2925" s="23" t="str">
        <x:v>CLESIO ALVES DE SOUZA</x:v>
      </x:c>
      <x:c r="V2925" s="22" t="str">
        <x:f>"020.398.361-01"</x:f>
        <x:v>020.398.361-01</x:v>
      </x:c>
      <x:c r="W2925" s="22" t="str">
        <x:f>"02039836101"</x:f>
        <x:v>02039836101</x:v>
      </x:c>
      <x:c r="X2925" s="23" t="str">
        <x:v>clesioalves601@gmail.com</x:v>
      </x:c>
      <x:c r="Y2925" s="22" t="str">
        <x:f>"62985458244"</x:f>
        <x:v>62985458244</x:v>
      </x:c>
      <x:c r="Z2925" s="30" t="n">
        <x:v>46516</x:v>
      </x:c>
    </x:row>
    <x:row r="2926" ht="18" customHeight="1">
      <x:c r="A2926" s="22" t="str">
        <x:f>"5903349f-44a0-4a57-bf09-cca6310f80bd"</x:f>
        <x:v>5903349f-44a0-4a57-bf09-cca6310f80bd</x:v>
      </x:c>
      <x:c r="B2926" s="23" t="str">
        <x:v>ODAIR JOSE SALES FREITAS</x:v>
      </x:c>
      <x:c r="C2926" s="23" t="str">
        <x:v>odair jose sales freitas</x:v>
      </x:c>
      <x:c r="D2926" s="22" t="str">
        <x:f>"57.201.225/0001-23"</x:f>
        <x:v>57.201.225/0001-23</x:v>
      </x:c>
      <x:c r="E2926" s="22" t="str">
        <x:f>"57201225000123"</x:f>
        <x:v>57201225000123</x:v>
      </x:c>
      <x:c r="F2926" s="22" t="str">
        <x:f>"305.549.458-00"</x:f>
        <x:v>305.549.458-00</x:v>
      </x:c>
      <x:c r="G2926" s="22" t="str">
        <x:f>"30554945800"</x:f>
        <x:v>30554945800</x:v>
      </x:c>
      <x:c r="H2926" s="23" t="str">
        <x:v>odairjfreitas38@gmail.com</x:v>
      </x:c>
      <x:c r="I2926" s="22" t="str">
        <x:f>"18996335595"</x:f>
        <x:v>18996335595</x:v>
      </x:c>
      <x:c r="J2926" s="23" t="str">
        <x:v>RENTAL</x:v>
      </x:c>
      <x:c r="K2926" s="23" t="str">
        <x:v>rental_company</x:v>
      </x:c>
      <x:c r="L2926" s="24" t="b">
        <x:v>1</x:v>
      </x:c>
      <x:c r="M2926" s="23" t="n">
        <x:v>1</x:v>
      </x:c>
      <x:c r="N2926" s="28" t="n">
        <x:v>46203.921887453704</x:v>
      </x:c>
      <x:c r="O2926" s="28" t="n">
        <x:v>46219.812988715275</x:v>
      </x:c>
      <x:c r="P2926" s="23" t="str">
        <x:v>PRESIDENTE PRUDENTE</x:v>
      </x:c>
      <x:c r="Q2926" s="30" t="n">
        <x:v>30048</x:v>
      </x:c>
      <x:c r="R2926" s="22" t="str">
        <x:f>"34937604"</x:f>
        <x:v>34937604</x:v>
      </x:c>
      <x:c r="S2926" s="23" t="str">
        <x:v>masculino</x:v>
      </x:c>
      <x:c r="T2926" s="22" t="str"/>
      <x:c r="U2926" s="23" t="str">
        <x:v>ODAIR JOSE SALES FREITAS</x:v>
      </x:c>
      <x:c r="V2926" s="22" t="str">
        <x:f>"305.549.458-00"</x:f>
        <x:v>305.549.458-00</x:v>
      </x:c>
      <x:c r="W2926" s="22" t="str">
        <x:f>"30554945800"</x:f>
        <x:v>30554945800</x:v>
      </x:c>
      <x:c r="X2926" s="23" t="str">
        <x:v>odairjfreitas38@gmail.com</x:v>
      </x:c>
      <x:c r="Y2926" s="22" t="str">
        <x:f>"18996335595"</x:f>
        <x:v>18996335595</x:v>
      </x:c>
      <x:c r="Z2926" s="30" t="n">
        <x:v>46329</x:v>
      </x:c>
    </x:row>
    <x:row r="2927" ht="18" customHeight="1">
      <x:c r="A2927" s="22" t="str">
        <x:f>"cdcd5d88-7088-4158-ad25-3ac2b8f4c8af"</x:f>
        <x:v>cdcd5d88-7088-4158-ad25-3ac2b8f4c8af</x:v>
      </x:c>
      <x:c r="B2927" s="23" t="str">
        <x:v>ODAIR JUNIO FERREIRA DE JESUS</x:v>
      </x:c>
      <x:c r="C2927" s="23" t="str">
        <x:v>odair junio ferreira de jesus</x:v>
      </x:c>
      <x:c r="D2927" s="22" t="str">
        <x:f>"51.770.031/0001-62"</x:f>
        <x:v>51.770.031/0001-62</x:v>
      </x:c>
      <x:c r="E2927" s="22" t="str">
        <x:f>"51770031000162"</x:f>
        <x:v>51770031000162</x:v>
      </x:c>
      <x:c r="F2927" s="22" t="str">
        <x:f>"045.983.451-79"</x:f>
        <x:v>045.983.451-79</x:v>
      </x:c>
      <x:c r="G2927" s="22" t="str">
        <x:f>"04598345179"</x:f>
        <x:v>04598345179</x:v>
      </x:c>
      <x:c r="H2927" s="23" t="str">
        <x:v>odairjunio612@gmail.com</x:v>
      </x:c>
      <x:c r="I2927" s="22" t="str">
        <x:f>"62982136818"</x:f>
        <x:v>62982136818</x:v>
      </x:c>
      <x:c r="J2927" s="23" t="str">
        <x:v>RENTAL</x:v>
      </x:c>
      <x:c r="K2927" s="23" t="str">
        <x:v>rental_company</x:v>
      </x:c>
      <x:c r="L2927" s="24" t="b">
        <x:v>1</x:v>
      </x:c>
      <x:c r="M2927" s="23" t="n">
        <x:v>1</x:v>
      </x:c>
      <x:c r="N2927" s="28" t="n">
        <x:v>46219.812988715275</x:v>
      </x:c>
      <x:c r="O2927" s="28" t="n">
        <x:v>46219.812988715275</x:v>
      </x:c>
      <x:c r="P2927" s="23" t="str">
        <x:v>GOIANIA</x:v>
      </x:c>
      <x:c r="Q2927" s="30" t="n">
        <x:v>36111</x:v>
      </x:c>
      <x:c r="R2927" s="22" t="str">
        <x:f>"6889589"</x:f>
        <x:v>6889589</x:v>
      </x:c>
      <x:c r="S2927" s="23" t="str">
        <x:v>masculino</x:v>
      </x:c>
      <x:c r="T2927" s="22" t="str"/>
      <x:c r="U2927" s="23" t="str">
        <x:v>ODAIR JUNIO FERREIRA DE JESUS</x:v>
      </x:c>
      <x:c r="V2927" s="22" t="str">
        <x:f>"045.983.451-79"</x:f>
        <x:v>045.983.451-79</x:v>
      </x:c>
      <x:c r="W2927" s="22" t="str">
        <x:f>"04598345179"</x:f>
        <x:v>04598345179</x:v>
      </x:c>
      <x:c r="X2927" s="23" t="str">
        <x:v>odairjunio612@gmail.com</x:v>
      </x:c>
      <x:c r="Y2927" s="22" t="str">
        <x:f>"62982136818"</x:f>
        <x:v>62982136818</x:v>
      </x:c>
      <x:c r="Z2927" s="30" t="n">
        <x:v>46575</x:v>
      </x:c>
    </x:row>
    <x:row r="2928" ht="18" customHeight="1">
      <x:c r="A2928" s="22" t="str">
        <x:f>"23bef010-8ae9-47bd-a07b-1bf723da8522"</x:f>
        <x:v>23bef010-8ae9-47bd-a07b-1bf723da8522</x:v>
      </x:c>
      <x:c r="B2928" s="23" t="str">
        <x:v>ODAIR RAMOS DA SILVA</x:v>
      </x:c>
      <x:c r="C2928" s="23" t="str">
        <x:v>odair ramos da silva</x:v>
      </x:c>
      <x:c r="D2928" s="22" t="str">
        <x:f>"55.783.923/0001-59"</x:f>
        <x:v>55.783.923/0001-59</x:v>
      </x:c>
      <x:c r="E2928" s="22" t="str">
        <x:f>"55783923000159"</x:f>
        <x:v>55783923000159</x:v>
      </x:c>
      <x:c r="F2928" s="22" t="str">
        <x:f>"010.009.371-00"</x:f>
        <x:v>010.009.371-00</x:v>
      </x:c>
      <x:c r="G2928" s="22" t="str">
        <x:f>"01000937100"</x:f>
        <x:v>01000937100</x:v>
      </x:c>
      <x:c r="H2928" s="23" t="str">
        <x:v>odairramos637@gmail.com</x:v>
      </x:c>
      <x:c r="I2928" s="22" t="str">
        <x:f>"65981695365"</x:f>
        <x:v>65981695365</x:v>
      </x:c>
      <x:c r="J2928" s="23" t="str">
        <x:v>SPOT</x:v>
      </x:c>
      <x:c r="K2928" s="23" t="str">
        <x:v>favored_only</x:v>
      </x:c>
      <x:c r="L2928" s="24" t="b">
        <x:v>1</x:v>
      </x:c>
      <x:c r="M2928" s="23" t="n">
        <x:v>1</x:v>
      </x:c>
      <x:c r="N2928" s="28" t="n">
        <x:v>46205.604546724535</x:v>
      </x:c>
      <x:c r="O2928" s="28" t="n">
        <x:v>46219.812988715275</x:v>
      </x:c>
      <x:c r="P2928" s="23" t="str">
        <x:v>CÁCERES</x:v>
      </x:c>
      <x:c r="Q2928" s="30" t="n">
        <x:v>29208</x:v>
      </x:c>
      <x:c r="R2928" s="22" t="str">
        <x:f>"16943660"</x:f>
        <x:v>16943660</x:v>
      </x:c>
      <x:c r="S2928" s="23" t="str">
        <x:v>masculino</x:v>
      </x:c>
      <x:c r="T2928" s="22" t="str">
        <x:f>"OBE6H74"</x:f>
        <x:v>OBE6H74</x:v>
      </x:c>
      <x:c r="U2928" s="23" t="str">
        <x:v>CAIQUE HENRIQUE DA CRUZ</x:v>
      </x:c>
      <x:c r="V2928" s="22" t="str">
        <x:f>"058.062.901-58"</x:f>
        <x:v>058.062.901-58</x:v>
      </x:c>
      <x:c r="W2928" s="22" t="str">
        <x:f>"05806290158"</x:f>
        <x:v>05806290158</x:v>
      </x:c>
      <x:c r="X2928" s="23" t="str">
        <x:v>caiquehenrique112@gmail.com</x:v>
      </x:c>
      <x:c r="Y2928" s="22" t="str">
        <x:f>"65981695365"</x:f>
        <x:v>65981695365</x:v>
      </x:c>
      <x:c r="Z2928" s="30" t="n">
        <x:v>46282</x:v>
      </x:c>
    </x:row>
    <x:row r="2929" ht="18" customHeight="1">
      <x:c r="A2929" s="22" t="str">
        <x:f>"d1dd1901-681a-4391-a550-cd0146508f14"</x:f>
        <x:v>d1dd1901-681a-4391-a550-cd0146508f14</x:v>
      </x:c>
      <x:c r="B2929" s="23" t="str">
        <x:v>ODILON RAMOS OLIVEIRA</x:v>
      </x:c>
      <x:c r="C2929" s="23" t="str">
        <x:v>odilon ramos oliveira</x:v>
      </x:c>
      <x:c r="D2929" s="22" t="str">
        <x:f>"51.914.028/0001-75"</x:f>
        <x:v>51.914.028/0001-75</x:v>
      </x:c>
      <x:c r="E2929" s="22" t="str">
        <x:f>"51914028000175"</x:f>
        <x:v>51914028000175</x:v>
      </x:c>
      <x:c r="F2929" s="22" t="str">
        <x:f>"338.285.548-81"</x:f>
        <x:v>338.285.548-81</x:v>
      </x:c>
      <x:c r="G2929" s="22" t="str">
        <x:f>"33828554881"</x:f>
        <x:v>33828554881</x:v>
      </x:c>
      <x:c r="H2929" s="23" t="str">
        <x:v>dickvigarista.n1@gmail.com</x:v>
      </x:c>
      <x:c r="I2929" s="22" t="str">
        <x:f>"17 98127-7634"</x:f>
        <x:v>17 98127-7634</x:v>
      </x:c>
      <x:c r="J2929" s="23" t="str">
        <x:v>SPOT</x:v>
      </x:c>
      <x:c r="K2929" s="23" t="str">
        <x:v>favored_only</x:v>
      </x:c>
      <x:c r="L2929" s="24" t="b">
        <x:v>1</x:v>
      </x:c>
      <x:c r="M2929" s="23" t="n">
        <x:v>1</x:v>
      </x:c>
      <x:c r="N2929" s="28" t="n">
        <x:v>46205.605240081015</x:v>
      </x:c>
      <x:c r="O2929" s="28" t="n">
        <x:v>46219.812988715275</x:v>
      </x:c>
      <x:c r="P2929" s="23" t="str">
        <x:v>BARRETOS</x:v>
      </x:c>
      <x:c r="Q2929" s="30" t="n">
        <x:v>31016</x:v>
      </x:c>
      <x:c r="R2929" s="22" t="str">
        <x:f>"42067924"</x:f>
        <x:v>42067924</x:v>
      </x:c>
      <x:c r="S2929" s="23" t="str">
        <x:v>masculino</x:v>
      </x:c>
      <x:c r="T2929" s="22" t="str">
        <x:f>"FHJ2470"</x:f>
        <x:v>FHJ2470</x:v>
      </x:c>
      <x:c r="U2929" s="23" t="str">
        <x:v>GABRIEL HENRIQUE PENHA FELIPE</x:v>
      </x:c>
      <x:c r="V2929" s="22" t="str">
        <x:f>"591.604.868-80"</x:f>
        <x:v>591.604.868-80</x:v>
      </x:c>
      <x:c r="W2929" s="22" t="str">
        <x:f>"59160486880"</x:f>
        <x:v>59160486880</x:v>
      </x:c>
      <x:c r="X2929" s="23" t="str">
        <x:v>gh5582556@gmail.com</x:v>
      </x:c>
      <x:c r="Y2929" s="22" t="str">
        <x:f>"17 981277634"</x:f>
        <x:v>17 981277634</x:v>
      </x:c>
      <x:c r="Z2929" s="30" t="n">
        <x:v>46316</x:v>
      </x:c>
    </x:row>
    <x:row r="2930" ht="18" customHeight="1">
      <x:c r="A2930" s="22" t="str">
        <x:f>"b6ace89a-259a-41cc-a753-d96a43b46f1c"</x:f>
        <x:v>b6ace89a-259a-41cc-a753-d96a43b46f1c</x:v>
      </x:c>
      <x:c r="B2930" s="23" t="str">
        <x:v>OG MARCELO JUNIOR</x:v>
      </x:c>
      <x:c r="C2930" s="23" t="str">
        <x:v>og marcelo junior</x:v>
      </x:c>
      <x:c r="D2930" s="22" t="str">
        <x:f>"65.173.507/0001-92"</x:f>
        <x:v>65.173.507/0001-92</x:v>
      </x:c>
      <x:c r="E2930" s="22" t="str">
        <x:f>"65173507000192"</x:f>
        <x:v>65173507000192</x:v>
      </x:c>
      <x:c r="F2930" s="22" t="str">
        <x:f>"047.561.586-76"</x:f>
        <x:v>047.561.586-76</x:v>
      </x:c>
      <x:c r="G2930" s="22" t="str">
        <x:f>"04756158676"</x:f>
        <x:v>04756158676</x:v>
      </x:c>
      <x:c r="H2930" s="23" t="str">
        <x:v>65.173log@gmail.com</x:v>
      </x:c>
      <x:c r="I2930" s="22" t="str">
        <x:f>"34999925572"</x:f>
        <x:v>34999925572</x:v>
      </x:c>
      <x:c r="J2930" s="23" t="str">
        <x:v>SPOT</x:v>
      </x:c>
      <x:c r="K2930" s="23" t="str">
        <x:v>favored_only</x:v>
      </x:c>
      <x:c r="L2930" s="24" t="b">
        <x:v>1</x:v>
      </x:c>
      <x:c r="M2930" s="23" t="n">
        <x:v>1</x:v>
      </x:c>
      <x:c r="N2930" s="28" t="n">
        <x:v>46219.812988715275</x:v>
      </x:c>
      <x:c r="O2930" s="28" t="n">
        <x:v>46219.812988715275</x:v>
      </x:c>
      <x:c r="P2930" s="23" t="str">
        <x:v>PATOS DE MINAS</x:v>
      </x:c>
      <x:c r="Q2930" s="30" t="n">
        <x:v>29745</x:v>
      </x:c>
      <x:c r="R2930" s="22" t="str">
        <x:f>"MG 10590098"</x:f>
        <x:v>MG 10590098</x:v>
      </x:c>
      <x:c r="S2930" s="23" t="str">
        <x:v>masculino</x:v>
      </x:c>
      <x:c r="T2930" s="22" t="str">
        <x:f>"RMS8F61"</x:f>
        <x:v>RMS8F61</x:v>
      </x:c>
      <x:c r="U2930" s="23" t="str">
        <x:v>OG MARCELO JUNIOR</x:v>
      </x:c>
      <x:c r="V2930" s="22" t="str">
        <x:f>"047.561.586-76"</x:f>
        <x:v>047.561.586-76</x:v>
      </x:c>
      <x:c r="W2930" s="22" t="str">
        <x:f>"04756158676"</x:f>
        <x:v>04756158676</x:v>
      </x:c>
      <x:c r="X2930" s="23" t="str">
        <x:v>65.173log@gmail.com</x:v>
      </x:c>
      <x:c r="Y2930" s="22" t="str">
        <x:f>"34999925572"</x:f>
        <x:v>34999925572</x:v>
      </x:c>
      <x:c r="Z2930" s="30" t="n">
        <x:v>46478</x:v>
      </x:c>
    </x:row>
    <x:row r="2931" ht="18" customHeight="1">
      <x:c r="A2931" s="22" t="str">
        <x:f>"2556cbe4-0e18-4319-a5f6-f57ac29f39c4"</x:f>
        <x:v>2556cbe4-0e18-4319-a5f6-f57ac29f39c4</x:v>
      </x:c>
      <x:c r="B2931" s="23" t="str">
        <x:v>OLDAIR JOSE RIBEIRO MATOS</x:v>
      </x:c>
      <x:c r="C2931" s="23" t="str">
        <x:v>oldair jose ribeiro matos</x:v>
      </x:c>
      <x:c r="D2931" s="22" t="str">
        <x:f>"37.624.531/0001-65"</x:f>
        <x:v>37.624.531/0001-65</x:v>
      </x:c>
      <x:c r="E2931" s="22" t="str">
        <x:f>"37624531000165"</x:f>
        <x:v>37624531000165</x:v>
      </x:c>
      <x:c r="F2931" s="22" t="str">
        <x:f>"901.012.430-49"</x:f>
        <x:v>901.012.430-49</x:v>
      </x:c>
      <x:c r="G2931" s="22" t="str">
        <x:f>"90101243049"</x:f>
        <x:v>90101243049</x:v>
      </x:c>
      <x:c r="H2931" s="23" t="str">
        <x:v>Oldairmatos73@gmail.com</x:v>
      </x:c>
      <x:c r="I2931" s="22" t="str">
        <x:f>"67 9622-4877"</x:f>
        <x:v>67 9622-4877</x:v>
      </x:c>
      <x:c r="J2931" s="23" t="str">
        <x:v>SPOT</x:v>
      </x:c>
      <x:c r="K2931" s="23" t="str">
        <x:v>favored_only</x:v>
      </x:c>
      <x:c r="L2931" s="24" t="b">
        <x:v>1</x:v>
      </x:c>
      <x:c r="M2931" s="23" t="n">
        <x:v>1</x:v>
      </x:c>
      <x:c r="N2931" s="28" t="n">
        <x:v>46203.92186888889</x:v>
      </x:c>
      <x:c r="O2931" s="28" t="n">
        <x:v>46219.812988715275</x:v>
      </x:c>
      <x:c r="P2931" s="23" t="str">
        <x:v>CHAPADÃO DO SUL</x:v>
      </x:c>
      <x:c r="Q2931" s="30" t="n">
        <x:v>28748</x:v>
      </x:c>
      <x:c r="R2931" s="22" t="str">
        <x:f>"8070928364"</x:f>
        <x:v>8070928364</x:v>
      </x:c>
      <x:c r="S2931" s="23" t="str">
        <x:v>masculino</x:v>
      </x:c>
      <x:c r="T2931" s="22" t="str">
        <x:f>"FQU2C01"</x:f>
        <x:v>FQU2C01</x:v>
      </x:c>
      <x:c r="U2931" s="23" t="str">
        <x:v>OLDAIR JOSE RIBEIRO MATOS</x:v>
      </x:c>
      <x:c r="V2931" s="22" t="str">
        <x:f>"901.012.430-49"</x:f>
        <x:v>901.012.430-49</x:v>
      </x:c>
      <x:c r="W2931" s="22" t="str">
        <x:f>"90101243049"</x:f>
        <x:v>90101243049</x:v>
      </x:c>
      <x:c r="X2931" s="23" t="str">
        <x:v>Oldairmatos73@gmail.com</x:v>
      </x:c>
      <x:c r="Y2931" s="22" t="str">
        <x:f>"67 9622-4877"</x:f>
        <x:v>67 9622-4877</x:v>
      </x:c>
      <x:c r="Z2931" s="30" t="n">
        <x:v>46294</x:v>
      </x:c>
    </x:row>
    <x:row r="2932" ht="18" customHeight="1">
      <x:c r="A2932" s="22" t="str">
        <x:f>"0b5f1599-7f83-42a9-80d4-34134a215e53"</x:f>
        <x:v>0b5f1599-7f83-42a9-80d4-34134a215e53</x:v>
      </x:c>
      <x:c r="B2932" s="23" t="str">
        <x:v>ONIVALDO FORMENTON JUNIOR</x:v>
      </x:c>
      <x:c r="C2932" s="23" t="str">
        <x:v>onivaldo formenton junior</x:v>
      </x:c>
      <x:c r="D2932" s="22" t="str">
        <x:f>"65.649.422/0001-38"</x:f>
        <x:v>65.649.422/0001-38</x:v>
      </x:c>
      <x:c r="E2932" s="22" t="str">
        <x:f>"65649422000138"</x:f>
        <x:v>65649422000138</x:v>
      </x:c>
      <x:c r="F2932" s="22" t="str">
        <x:f>"217.997.208-37"</x:f>
        <x:v>217.997.208-37</x:v>
      </x:c>
      <x:c r="G2932" s="22" t="str">
        <x:f>"21799720837"</x:f>
        <x:v>21799720837</x:v>
      </x:c>
      <x:c r="H2932" s="23" t="str">
        <x:v>gfjalimentos@gmail.com</x:v>
      </x:c>
      <x:c r="I2932" s="22" t="str">
        <x:f>"17 99773-7045"</x:f>
        <x:v>17 99773-7045</x:v>
      </x:c>
      <x:c r="J2932" s="23" t="str">
        <x:v>SPOT</x:v>
      </x:c>
      <x:c r="K2932" s="23" t="str">
        <x:v>favored_only</x:v>
      </x:c>
      <x:c r="L2932" s="24" t="b">
        <x:v>1</x:v>
      </x:c>
      <x:c r="M2932" s="23" t="n">
        <x:v>1</x:v>
      </x:c>
      <x:c r="N2932" s="28" t="n">
        <x:v>46219.812988715275</x:v>
      </x:c>
      <x:c r="O2932" s="28" t="n">
        <x:v>46219.812988715275</x:v>
      </x:c>
      <x:c r="P2932" s="23" t="str">
        <x:v>JALES</x:v>
      </x:c>
      <x:c r="Q2932" s="30" t="n">
        <x:v>29575</x:v>
      </x:c>
      <x:c r="R2932" s="22" t="str">
        <x:f>"32284029"</x:f>
        <x:v>32284029</x:v>
      </x:c>
      <x:c r="S2932" s="23" t="str">
        <x:v>masculino</x:v>
      </x:c>
      <x:c r="T2932" s="22" t="str">
        <x:f>"FNF1H46"</x:f>
        <x:v>FNF1H46</x:v>
      </x:c>
      <x:c r="U2932" s="23" t="str">
        <x:v>ONIVALDO FORMENTON JUNIOR</x:v>
      </x:c>
      <x:c r="V2932" s="22" t="str">
        <x:f>"217.997.208-37"</x:f>
        <x:v>217.997.208-37</x:v>
      </x:c>
      <x:c r="W2932" s="22" t="str">
        <x:f>"21799720837"</x:f>
        <x:v>21799720837</x:v>
      </x:c>
      <x:c r="X2932" s="23" t="str">
        <x:v>gfjalimentos@gmail.com</x:v>
      </x:c>
      <x:c r="Y2932" s="22" t="str">
        <x:f>"17 99773-7045"</x:f>
        <x:v>17 99773-7045</x:v>
      </x:c>
      <x:c r="Z2932" s="30" t="n">
        <x:v>46483</x:v>
      </x:c>
    </x:row>
    <x:row r="2933" ht="18" customHeight="1">
      <x:c r="A2933" s="22" t="str">
        <x:f>"1344dc53-a28e-4c73-bfa7-2458f9754a53"</x:f>
        <x:v>1344dc53-a28e-4c73-bfa7-2458f9754a53</x:v>
      </x:c>
      <x:c r="B2933" s="23" t="str">
        <x:v>ORIVALDO SEVERINO MACEDO</x:v>
      </x:c>
      <x:c r="C2933" s="23" t="str">
        <x:v>orivaldo severino macedo</x:v>
      </x:c>
      <x:c r="D2933" s="22" t="str">
        <x:f>"63.115.650/0001-00"</x:f>
        <x:v>63.115.650/0001-00</x:v>
      </x:c>
      <x:c r="E2933" s="22" t="str">
        <x:f>"63115650000100"</x:f>
        <x:v>63115650000100</x:v>
      </x:c>
      <x:c r="F2933" s="22" t="str">
        <x:f>"560.682.391-87"</x:f>
        <x:v>560.682.391-87</x:v>
      </x:c>
      <x:c r="G2933" s="22" t="str">
        <x:f>"56068239187"</x:f>
        <x:v>56068239187</x:v>
      </x:c>
      <x:c r="H2933" s="23" t="str">
        <x:v>eudesjrgyn@gmail.com</x:v>
      </x:c>
      <x:c r="I2933" s="22" t="str">
        <x:f>"62 9459-0040"</x:f>
        <x:v>62 9459-0040</x:v>
      </x:c>
      <x:c r="J2933" s="23" t="str">
        <x:v>SPOT</x:v>
      </x:c>
      <x:c r="K2933" s="23" t="str">
        <x:v>favored_only</x:v>
      </x:c>
      <x:c r="L2933" s="24" t="b">
        <x:v>1</x:v>
      </x:c>
      <x:c r="M2933" s="23" t="n">
        <x:v>2</x:v>
      </x:c>
      <x:c r="N2933" s="28" t="n">
        <x:v>46203.9218771875</x:v>
      </x:c>
      <x:c r="O2933" s="28" t="n">
        <x:v>46203.9218771875</x:v>
      </x:c>
      <x:c r="P2933" s="23" t="str"/>
      <x:c r="Q2933" s="30" t="str"/>
      <x:c r="R2933" s="22" t="str"/>
      <x:c r="S2933" s="23" t="str"/>
      <x:c r="T2933" s="22" t="str"/>
      <x:c r="U2933" s="23" t="str">
        <x:v>ORIVALDO SEVERINO MACEDO</x:v>
      </x:c>
      <x:c r="V2933" s="22" t="str">
        <x:f>"560.682.391-87"</x:f>
        <x:v>560.682.391-87</x:v>
      </x:c>
      <x:c r="W2933" s="22" t="str">
        <x:f>"56068239187"</x:f>
        <x:v>56068239187</x:v>
      </x:c>
      <x:c r="X2933" s="23" t="str">
        <x:v>eudesjrgyn@gmail.com</x:v>
      </x:c>
      <x:c r="Y2933" s="22" t="str">
        <x:f>"62 9459-0040"</x:f>
        <x:v>62 9459-0040</x:v>
      </x:c>
      <x:c r="Z2933" s="30" t="str"/>
    </x:row>
    <x:row r="2934" ht="18" customHeight="1">
      <x:c r="A2934" s="22" t="str">
        <x:f>"984b20d3-a37b-4c15-984d-271b5a54dc7d"</x:f>
        <x:v>984b20d3-a37b-4c15-984d-271b5a54dc7d</x:v>
      </x:c>
      <x:c r="B2934" s="23" t="str">
        <x:v>ORLANDO AFFONSO NETO DOS SANTOS</x:v>
      </x:c>
      <x:c r="C2934" s="23" t="str">
        <x:v>orlando affonso neto dos santos</x:v>
      </x:c>
      <x:c r="D2934" s="22" t="str">
        <x:f>"61.549.821/0001-76"</x:f>
        <x:v>61.549.821/0001-76</x:v>
      </x:c>
      <x:c r="E2934" s="22" t="str">
        <x:f>"61549821000176"</x:f>
        <x:v>61549821000176</x:v>
      </x:c>
      <x:c r="F2934" s="22" t="str">
        <x:f>"093.436.776-00"</x:f>
        <x:v>093.436.776-00</x:v>
      </x:c>
      <x:c r="G2934" s="22" t="str">
        <x:f>"09343677600"</x:f>
        <x:v>09343677600</x:v>
      </x:c>
      <x:c r="H2934" s="23" t="str">
        <x:v>Orlando1410@gmail.com</x:v>
      </x:c>
      <x:c r="I2934" s="22" t="str">
        <x:f>"35 9910-5204"</x:f>
        <x:v>35 9910-5204</x:v>
      </x:c>
      <x:c r="J2934" s="23" t="str">
        <x:v>SPOT</x:v>
      </x:c>
      <x:c r="K2934" s="23" t="str">
        <x:v>favored_only</x:v>
      </x:c>
      <x:c r="L2934" s="24" t="b">
        <x:v>1</x:v>
      </x:c>
      <x:c r="M2934" s="23" t="n">
        <x:v>1</x:v>
      </x:c>
      <x:c r="N2934" s="28" t="n">
        <x:v>46203.92186462963</x:v>
      </x:c>
      <x:c r="O2934" s="28" t="n">
        <x:v>46203.92186462963</x:v>
      </x:c>
      <x:c r="P2934" s="23" t="str"/>
      <x:c r="Q2934" s="30" t="str"/>
      <x:c r="R2934" s="22" t="str"/>
      <x:c r="S2934" s="23" t="str"/>
      <x:c r="T2934" s="22" t="str"/>
      <x:c r="U2934" s="23" t="str">
        <x:v>ORLANDO AFFONSO NETO DOS SANTOS</x:v>
      </x:c>
      <x:c r="V2934" s="22" t="str">
        <x:f>"093.436.776-00"</x:f>
        <x:v>093.436.776-00</x:v>
      </x:c>
      <x:c r="W2934" s="22" t="str">
        <x:f>"09343677600"</x:f>
        <x:v>09343677600</x:v>
      </x:c>
      <x:c r="X2934" s="23" t="str">
        <x:v>Orlando1410@gmail.com</x:v>
      </x:c>
      <x:c r="Y2934" s="22" t="str">
        <x:f>"35 9910-5204"</x:f>
        <x:v>35 9910-5204</x:v>
      </x:c>
      <x:c r="Z2934" s="30" t="str"/>
    </x:row>
    <x:row r="2935" ht="18" customHeight="1">
      <x:c r="A2935" s="22" t="str">
        <x:f>"f03120bb-ade8-43d5-82af-a446079fb9d4"</x:f>
        <x:v>f03120bb-ade8-43d5-82af-a446079fb9d4</x:v>
      </x:c>
      <x:c r="B2935" s="23" t="str">
        <x:v>ORLANDO AFFONSO NETO DOS SANTOS</x:v>
      </x:c>
      <x:c r="C2935" s="23" t="str">
        <x:v>orlando affonso neto dos santos</x:v>
      </x:c>
      <x:c r="D2935" s="22" t="str">
        <x:f>"64041688000130"</x:f>
        <x:v>64041688000130</x:v>
      </x:c>
      <x:c r="E2935" s="22" t="str">
        <x:f>"64041688000130"</x:f>
        <x:v>64041688000130</x:v>
      </x:c>
      <x:c r="F2935" s="22" t="str">
        <x:f>"093.436.776-00"</x:f>
        <x:v>093.436.776-00</x:v>
      </x:c>
      <x:c r="G2935" s="22" t="str">
        <x:f>"09343677600"</x:f>
        <x:v>09343677600</x:v>
      </x:c>
      <x:c r="H2935" s="23" t="str">
        <x:v>orando1410@gmail.com</x:v>
      </x:c>
      <x:c r="I2935" s="22" t="str">
        <x:f>"35 99910-5204"</x:f>
        <x:v>35 99910-5204</x:v>
      </x:c>
      <x:c r="J2935" s="23" t="str">
        <x:v>SPOT</x:v>
      </x:c>
      <x:c r="K2935" s="23" t="str">
        <x:v>favored_only</x:v>
      </x:c>
      <x:c r="L2935" s="24" t="b">
        <x:v>1</x:v>
      </x:c>
      <x:c r="M2935" s="23" t="n">
        <x:v>1</x:v>
      </x:c>
      <x:c r="N2935" s="28" t="n">
        <x:v>46203.921904421295</x:v>
      </x:c>
      <x:c r="O2935" s="28" t="n">
        <x:v>46203.921904421295</x:v>
      </x:c>
      <x:c r="P2935" s="23" t="str"/>
      <x:c r="Q2935" s="30" t="str"/>
      <x:c r="R2935" s="22" t="str"/>
      <x:c r="S2935" s="23" t="str"/>
      <x:c r="T2935" s="22" t="str"/>
      <x:c r="U2935" s="23" t="str">
        <x:v>ORLANDO AFFONSO NETO DOS SANTOS</x:v>
      </x:c>
      <x:c r="V2935" s="22" t="str">
        <x:f>"093.436.776-00"</x:f>
        <x:v>093.436.776-00</x:v>
      </x:c>
      <x:c r="W2935" s="22" t="str">
        <x:f>"09343677600"</x:f>
        <x:v>09343677600</x:v>
      </x:c>
      <x:c r="X2935" s="23" t="str">
        <x:v>orando1410@gmail.com</x:v>
      </x:c>
      <x:c r="Y2935" s="22" t="str">
        <x:f>"35 99910-5204"</x:f>
        <x:v>35 99910-5204</x:v>
      </x:c>
      <x:c r="Z2935" s="30" t="str"/>
    </x:row>
    <x:row r="2936" ht="18" customHeight="1">
      <x:c r="A2936" s="22" t="str">
        <x:f>"3a44bb41-53b0-430e-aa2b-bd8308e2a21e"</x:f>
        <x:v>3a44bb41-53b0-430e-aa2b-bd8308e2a21e</x:v>
      </x:c>
      <x:c r="B2936" s="23" t="str">
        <x:v>ORLANDO FIRMINO DE OLIVEIRA</x:v>
      </x:c>
      <x:c r="C2936" s="23" t="str">
        <x:v>orlando firmino de oliveira</x:v>
      </x:c>
      <x:c r="D2936" s="22" t="str">
        <x:f>"544194930000128"</x:f>
        <x:v>544194930000128</x:v>
      </x:c>
      <x:c r="E2936" s="22" t="str">
        <x:f>"544194930000128"</x:f>
        <x:v>544194930000128</x:v>
      </x:c>
      <x:c r="F2936" s="22" t="str">
        <x:f>"098.183.626-75"</x:f>
        <x:v>098.183.626-75</x:v>
      </x:c>
      <x:c r="G2936" s="22" t="str">
        <x:f>"09818362675"</x:f>
        <x:v>09818362675</x:v>
      </x:c>
      <x:c r="H2936" s="23" t="str">
        <x:v>orlando.ura1993@gmail.com</x:v>
      </x:c>
      <x:c r="I2936" s="22" t="str">
        <x:f>"(34) 99724-0701"</x:f>
        <x:v>(34) 99724-0701</x:v>
      </x:c>
      <x:c r="J2936" s="23" t="str">
        <x:v>RENTAL</x:v>
      </x:c>
      <x:c r="K2936" s="23" t="str">
        <x:v>rental_company</x:v>
      </x:c>
      <x:c r="L2936" s="24" t="b">
        <x:v>1</x:v>
      </x:c>
      <x:c r="M2936" s="23" t="n">
        <x:v>1</x:v>
      </x:c>
      <x:c r="N2936" s="28" t="n">
        <x:v>46203.921824756944</x:v>
      </x:c>
      <x:c r="O2936" s="28" t="n">
        <x:v>46219.812988715275</x:v>
      </x:c>
      <x:c r="P2936" s="23" t="str">
        <x:v>UBERABA</x:v>
      </x:c>
      <x:c r="Q2936" s="30" t="n">
        <x:v>32234</x:v>
      </x:c>
      <x:c r="R2936" s="22" t="str">
        <x:f>"16467193"</x:f>
        <x:v>16467193</x:v>
      </x:c>
      <x:c r="S2936" s="23" t="str">
        <x:v>masculino</x:v>
      </x:c>
      <x:c r="T2936" s="22" t="str"/>
      <x:c r="U2936" s="23" t="str">
        <x:v>ORLANDO FIRMINO DE OLIVEIRA</x:v>
      </x:c>
      <x:c r="V2936" s="22" t="str">
        <x:f>"098.183.626-75"</x:f>
        <x:v>098.183.626-75</x:v>
      </x:c>
      <x:c r="W2936" s="22" t="str">
        <x:f>"09818362675"</x:f>
        <x:v>09818362675</x:v>
      </x:c>
      <x:c r="X2936" s="23" t="str">
        <x:v>orlando.ura1993@gmail.com</x:v>
      </x:c>
      <x:c r="Y2936" s="22" t="str">
        <x:f>"(34) 99724-0701"</x:f>
        <x:v>(34) 99724-0701</x:v>
      </x:c>
      <x:c r="Z2936" s="30" t="n">
        <x:v>46283</x:v>
      </x:c>
    </x:row>
    <x:row r="2937" ht="18" customHeight="1">
      <x:c r="A2937" s="22" t="str">
        <x:f>"e5d081f4-14e4-4aca-ba1c-62f104c7ddd2"</x:f>
        <x:v>e5d081f4-14e4-4aca-ba1c-62f104c7ddd2</x:v>
      </x:c>
      <x:c r="B2937" s="23" t="str">
        <x:v>ORLANDO FIRMINO DE OLIVEIRA</x:v>
      </x:c>
      <x:c r="C2937" s="23" t="str">
        <x:v>orlando firmino de oliveira</x:v>
      </x:c>
      <x:c r="D2937" s="22" t="str">
        <x:f>"54.419.493/0001-28"</x:f>
        <x:v>54.419.493/0001-28</x:v>
      </x:c>
      <x:c r="E2937" s="22" t="str">
        <x:f>"54419493000128"</x:f>
        <x:v>54419493000128</x:v>
      </x:c>
      <x:c r="F2937" s="22" t="str">
        <x:f>"098.183.626-75"</x:f>
        <x:v>098.183.626-75</x:v>
      </x:c>
      <x:c r="G2937" s="22" t="str">
        <x:f>"09818362675"</x:f>
        <x:v>09818362675</x:v>
      </x:c>
      <x:c r="H2937" s="23" t="str">
        <x:v>orlando.ura1993@gmail.com</x:v>
      </x:c>
      <x:c r="I2937" s="22" t="str">
        <x:f>"(34) 99724-0701"</x:f>
        <x:v>(34) 99724-0701</x:v>
      </x:c>
      <x:c r="J2937" s="23" t="str">
        <x:v>RENTAL</x:v>
      </x:c>
      <x:c r="K2937" s="23" t="str">
        <x:v>rental_company</x:v>
      </x:c>
      <x:c r="L2937" s="24" t="b">
        <x:v>1</x:v>
      </x:c>
      <x:c r="M2937" s="23" t="n">
        <x:v>1</x:v>
      </x:c>
      <x:c r="N2937" s="28" t="n">
        <x:v>46203.921824756944</x:v>
      </x:c>
      <x:c r="O2937" s="28" t="n">
        <x:v>46219.812988715275</x:v>
      </x:c>
      <x:c r="P2937" s="23" t="str">
        <x:v>UBERABA</x:v>
      </x:c>
      <x:c r="Q2937" s="30" t="n">
        <x:v>34025</x:v>
      </x:c>
      <x:c r="R2937" s="22" t="str">
        <x:f>"16467193"</x:f>
        <x:v>16467193</x:v>
      </x:c>
      <x:c r="S2937" s="23" t="str">
        <x:v>masculino</x:v>
      </x:c>
      <x:c r="T2937" s="22" t="str"/>
      <x:c r="U2937" s="23" t="str">
        <x:v>ORLANDO FIRMINO DE OLIVEIRA</x:v>
      </x:c>
      <x:c r="V2937" s="22" t="str">
        <x:f>"098.183.626-75"</x:f>
        <x:v>098.183.626-75</x:v>
      </x:c>
      <x:c r="W2937" s="22" t="str">
        <x:f>"09818362675"</x:f>
        <x:v>09818362675</x:v>
      </x:c>
      <x:c r="X2937" s="23" t="str">
        <x:v>orlando.ura1993@gmail.com</x:v>
      </x:c>
      <x:c r="Y2937" s="22" t="str">
        <x:f>"(34) 99724-0701"</x:f>
        <x:v>(34) 99724-0701</x:v>
      </x:c>
      <x:c r="Z2937" s="30" t="n">
        <x:v>46283</x:v>
      </x:c>
    </x:row>
    <x:row r="2938" ht="18" customHeight="1">
      <x:c r="A2938" s="22" t="str">
        <x:f>"9636c2da-ea84-4b2d-a35c-7864843d7c38"</x:f>
        <x:v>9636c2da-ea84-4b2d-a35c-7864843d7c38</x:v>
      </x:c>
      <x:c r="B2938" s="23" t="str">
        <x:v>OSIEL MACEDO RIOS</x:v>
      </x:c>
      <x:c r="C2938" s="23" t="str">
        <x:v>osiel macedo rios</x:v>
      </x:c>
      <x:c r="D2938" s="22" t="str">
        <x:f>"63.631.930/0001-63"</x:f>
        <x:v>63.631.930/0001-63</x:v>
      </x:c>
      <x:c r="E2938" s="22" t="str">
        <x:f>"63631930000163"</x:f>
        <x:v>63631930000163</x:v>
      </x:c>
      <x:c r="F2938" s="22" t="str">
        <x:f>"051.234.283-05"</x:f>
        <x:v>051.234.283-05</x:v>
      </x:c>
      <x:c r="G2938" s="22" t="str">
        <x:f>"05123428305"</x:f>
        <x:v>05123428305</x:v>
      </x:c>
      <x:c r="H2938" s="23" t="str">
        <x:v>riososiel39@gmail.com</x:v>
      </x:c>
      <x:c r="I2938" s="22" t="str">
        <x:f>"+55 66 9206-4567"</x:f>
        <x:v>+55 66 9206-4567</x:v>
      </x:c>
      <x:c r="J2938" s="23" t="str">
        <x:v>SPOT</x:v>
      </x:c>
      <x:c r="K2938" s="23" t="str">
        <x:v>favored_only</x:v>
      </x:c>
      <x:c r="L2938" s="24" t="b">
        <x:v>1</x:v>
      </x:c>
      <x:c r="M2938" s="23" t="n">
        <x:v>1</x:v>
      </x:c>
      <x:c r="N2938" s="28" t="n">
        <x:v>46203.92189349537</x:v>
      </x:c>
      <x:c r="O2938" s="28" t="n">
        <x:v>46219.812988715275</x:v>
      </x:c>
      <x:c r="P2938" s="23" t="str">
        <x:v>SINOP</x:v>
      </x:c>
      <x:c r="Q2938" s="30" t="n">
        <x:v>32903</x:v>
      </x:c>
      <x:c r="R2938" s="22" t="str">
        <x:f>"362514020080"</x:f>
        <x:v>362514020080</x:v>
      </x:c>
      <x:c r="S2938" s="23" t="str">
        <x:v>masculino</x:v>
      </x:c>
      <x:c r="T2938" s="22" t="str">
        <x:f>"NJV9D48"</x:f>
        <x:v>NJV9D48</x:v>
      </x:c>
      <x:c r="U2938" s="23" t="str">
        <x:v>OSIEL MACEDO RIOS</x:v>
      </x:c>
      <x:c r="V2938" s="22" t="str">
        <x:f>"051.234.283-05"</x:f>
        <x:v>051.234.283-05</x:v>
      </x:c>
      <x:c r="W2938" s="22" t="str">
        <x:f>"05123428305"</x:f>
        <x:v>05123428305</x:v>
      </x:c>
      <x:c r="X2938" s="23" t="str">
        <x:v>riososiel39@gmail.com</x:v>
      </x:c>
      <x:c r="Y2938" s="22" t="str">
        <x:f>"+55 66 9206-4567"</x:f>
        <x:v>+55 66 9206-4567</x:v>
      </x:c>
      <x:c r="Z2938" s="30" t="n">
        <x:v>46339</x:v>
      </x:c>
    </x:row>
    <x:row r="2939" ht="18" customHeight="1">
      <x:c r="A2939" s="22" t="str">
        <x:f>"3a2f05d0-b0ba-42a4-bedb-05a9af1d1b6c"</x:f>
        <x:v>3a2f05d0-b0ba-42a4-bedb-05a9af1d1b6c</x:v>
      </x:c>
      <x:c r="B2939" s="23" t="str">
        <x:v>OSMAR LUCENA SOARES</x:v>
      </x:c>
      <x:c r="C2939" s="23" t="str">
        <x:v>osmar lucena soares</x:v>
      </x:c>
      <x:c r="D2939" s="22" t="str">
        <x:f>"62.838.460/0001-40"</x:f>
        <x:v>62.838.460/0001-40</x:v>
      </x:c>
      <x:c r="E2939" s="22" t="str">
        <x:f>"62838460000140"</x:f>
        <x:v>62838460000140</x:v>
      </x:c>
      <x:c r="F2939" s="22" t="str">
        <x:f>"333.791.868-99"</x:f>
        <x:v>333.791.868-99</x:v>
      </x:c>
      <x:c r="G2939" s="22" t="str">
        <x:f>"33379186899"</x:f>
        <x:v>33379186899</x:v>
      </x:c>
      <x:c r="H2939" s="23" t="str">
        <x:v>osmarlucena29@gmail.com</x:v>
      </x:c>
      <x:c r="I2939" s="22" t="str">
        <x:f>"+55 64 9241-1581"</x:f>
        <x:v>+55 64 9241-1581</x:v>
      </x:c>
      <x:c r="J2939" s="23" t="str">
        <x:v>SPOT</x:v>
      </x:c>
      <x:c r="K2939" s="23" t="str">
        <x:v>favored_only</x:v>
      </x:c>
      <x:c r="L2939" s="24" t="b">
        <x:v>1</x:v>
      </x:c>
      <x:c r="M2939" s="23" t="n">
        <x:v>1</x:v>
      </x:c>
      <x:c r="N2939" s="28" t="n">
        <x:v>46203.92186888889</x:v>
      </x:c>
      <x:c r="O2939" s="28" t="n">
        <x:v>46219.812988715275</x:v>
      </x:c>
      <x:c r="P2939" s="23" t="str">
        <x:v>RIO VERDE</x:v>
      </x:c>
      <x:c r="Q2939" s="30" t="n">
        <x:v>30464</x:v>
      </x:c>
      <x:c r="R2939" s="22" t="str">
        <x:f>"56033288"</x:f>
        <x:v>56033288</x:v>
      </x:c>
      <x:c r="S2939" s="23" t="str">
        <x:v>masculino</x:v>
      </x:c>
      <x:c r="T2939" s="22" t="str">
        <x:f>"PRS5A35"</x:f>
        <x:v>PRS5A35</x:v>
      </x:c>
      <x:c r="U2939" s="23" t="str">
        <x:v>OSMAR LUCENA SOARES</x:v>
      </x:c>
      <x:c r="V2939" s="22" t="str">
        <x:f>"333.791.868-99"</x:f>
        <x:v>333.791.868-99</x:v>
      </x:c>
      <x:c r="W2939" s="22" t="str">
        <x:f>"33379186899"</x:f>
        <x:v>33379186899</x:v>
      </x:c>
      <x:c r="X2939" s="23" t="str">
        <x:v>osmarlucena29@gmail.com</x:v>
      </x:c>
      <x:c r="Y2939" s="22" t="str">
        <x:f>"+55 64 9241-1581"</x:f>
        <x:v>+55 64 9241-1581</x:v>
      </x:c>
      <x:c r="Z2939" s="30" t="n">
        <x:v>46290</x:v>
      </x:c>
    </x:row>
    <x:row r="2940" ht="18" customHeight="1">
      <x:c r="A2940" s="22" t="str">
        <x:f>"cfb04af3-466a-467d-95d0-bd857398b1b9"</x:f>
        <x:v>cfb04af3-466a-467d-95d0-bd857398b1b9</x:v>
      </x:c>
      <x:c r="B2940" s="23" t="str">
        <x:v>OSVALDO ALVES DOS SANTOS CARDOSO</x:v>
      </x:c>
      <x:c r="C2940" s="23" t="str">
        <x:v>osvaldo alves dos santos cardoso</x:v>
      </x:c>
      <x:c r="D2940" s="22" t="str">
        <x:f>"62.600.142/0001-47"</x:f>
        <x:v>62.600.142/0001-47</x:v>
      </x:c>
      <x:c r="E2940" s="22" t="str">
        <x:f>"62600142000147"</x:f>
        <x:v>62600142000147</x:v>
      </x:c>
      <x:c r="F2940" s="22" t="str">
        <x:f>"072.540.046-32"</x:f>
        <x:v>072.540.046-32</x:v>
      </x:c>
      <x:c r="G2940" s="22" t="str">
        <x:f>"07254004632"</x:f>
        <x:v>07254004632</x:v>
      </x:c>
      <x:c r="H2940" s="23" t="str">
        <x:v>Osvaldocardosoalves245@gmail.com</x:v>
      </x:c>
      <x:c r="I2940" s="22" t="str">
        <x:f>"33987189067"</x:f>
        <x:v>33987189067</x:v>
      </x:c>
      <x:c r="J2940" s="23" t="str">
        <x:v>SPOT</x:v>
      </x:c>
      <x:c r="K2940" s="23" t="str">
        <x:v>favored_only</x:v>
      </x:c>
      <x:c r="L2940" s="24" t="b">
        <x:v>1</x:v>
      </x:c>
      <x:c r="M2940" s="23" t="n">
        <x:v>1</x:v>
      </x:c>
      <x:c r="N2940" s="28" t="n">
        <x:v>46203.92186888889</x:v>
      </x:c>
      <x:c r="O2940" s="28" t="n">
        <x:v>46219.812988715275</x:v>
      </x:c>
      <x:c r="P2940" s="23" t="str">
        <x:v>TEOFILO OTONI</x:v>
      </x:c>
      <x:c r="Q2940" s="30" t="n">
        <x:v>28929</x:v>
      </x:c>
      <x:c r="R2940" s="22" t="str">
        <x:f>"10680501"</x:f>
        <x:v>10680501</x:v>
      </x:c>
      <x:c r="S2940" s="23" t="str">
        <x:v>masculino</x:v>
      </x:c>
      <x:c r="T2940" s="22" t="str">
        <x:f>"KWF6F69"</x:f>
        <x:v>KWF6F69</x:v>
      </x:c>
      <x:c r="U2940" s="23" t="str">
        <x:v>OSVALDO ALVES DOS SANTOS CARDOSO</x:v>
      </x:c>
      <x:c r="V2940" s="22" t="str">
        <x:f>"072.540.046-32"</x:f>
        <x:v>072.540.046-32</x:v>
      </x:c>
      <x:c r="W2940" s="22" t="str">
        <x:f>"07254004632"</x:f>
        <x:v>07254004632</x:v>
      </x:c>
      <x:c r="X2940" s="23" t="str">
        <x:v>Osvaldocardosoalves245@gmail.com</x:v>
      </x:c>
      <x:c r="Y2940" s="22" t="str">
        <x:f>"33987189067"</x:f>
        <x:v>33987189067</x:v>
      </x:c>
      <x:c r="Z2940" s="30" t="n">
        <x:v>46301</x:v>
      </x:c>
    </x:row>
    <x:row r="2941" ht="18" customHeight="1">
      <x:c r="A2941" s="22" t="str">
        <x:f>"aa959e97-d04e-4c33-bc2a-6b30c0838968"</x:f>
        <x:v>aa959e97-d04e-4c33-bc2a-6b30c0838968</x:v>
      </x:c>
      <x:c r="B2941" s="23" t="str">
        <x:v>Otacílio Amorim Gonçalves</x:v>
      </x:c>
      <x:c r="C2941" s="23" t="str">
        <x:v>otacilio amorim goncalves</x:v>
      </x:c>
      <x:c r="D2941" s="22" t="str">
        <x:f>"54.362.995/0001-60"</x:f>
        <x:v>54.362.995/0001-60</x:v>
      </x:c>
      <x:c r="E2941" s="22" t="str">
        <x:f>"54362995000160"</x:f>
        <x:v>54362995000160</x:v>
      </x:c>
      <x:c r="F2941" s="22" t="str">
        <x:f>"345.221.528-84"</x:f>
        <x:v>345.221.528-84</x:v>
      </x:c>
      <x:c r="G2941" s="22" t="str">
        <x:f>"34522152884"</x:f>
        <x:v>34522152884</x:v>
      </x:c>
      <x:c r="H2941" s="23" t="str">
        <x:v>mei.otacilio@gmail.com</x:v>
      </x:c>
      <x:c r="I2941" s="22" t="str">
        <x:f>"11972662777"</x:f>
        <x:v>11972662777</x:v>
      </x:c>
      <x:c r="J2941" s="23" t="str">
        <x:v>RENTAL</x:v>
      </x:c>
      <x:c r="K2941" s="23" t="str">
        <x:v>rental_company</x:v>
      </x:c>
      <x:c r="L2941" s="24" t="b">
        <x:v>1</x:v>
      </x:c>
      <x:c r="M2941" s="23" t="n">
        <x:v>1</x:v>
      </x:c>
      <x:c r="N2941" s="28" t="n">
        <x:v>46203.92184908565</x:v>
      </x:c>
      <x:c r="O2941" s="28" t="n">
        <x:v>46205.60511988426</x:v>
      </x:c>
      <x:c r="P2941" s="23" t="str">
        <x:v>BARUERI</x:v>
      </x:c>
      <x:c r="Q2941" s="30" t="n">
        <x:v>31942</x:v>
      </x:c>
      <x:c r="R2941" s="22" t="str">
        <x:f>"40914973"</x:f>
        <x:v>40914973</x:v>
      </x:c>
      <x:c r="S2941" s="23" t="str">
        <x:v>Masculino</x:v>
      </x:c>
      <x:c r="T2941" s="22" t="str"/>
      <x:c r="U2941" s="23" t="str">
        <x:v>Otacílio Amorim Gonçalves</x:v>
      </x:c>
      <x:c r="V2941" s="22" t="str">
        <x:f>"34522152884"</x:f>
        <x:v>34522152884</x:v>
      </x:c>
      <x:c r="W2941" s="22" t="str">
        <x:f>"34522152884"</x:f>
        <x:v>34522152884</x:v>
      </x:c>
      <x:c r="X2941" s="23" t="str">
        <x:v>mei.otacilio@gmail.com</x:v>
      </x:c>
      <x:c r="Y2941" s="22" t="str">
        <x:f>"11972662777"</x:f>
        <x:v>11972662777</x:v>
      </x:c>
      <x:c r="Z2941" s="30" t="n">
        <x:v>46227</x:v>
      </x:c>
    </x:row>
    <x:row r="2942" ht="18" customHeight="1">
      <x:c r="A2942" s="22" t="str">
        <x:f>"00d12a64-1e57-42c0-be59-a28b77da3800"</x:f>
        <x:v>00d12a64-1e57-42c0-be59-a28b77da3800</x:v>
      </x:c>
      <x:c r="B2942" s="23" t="str">
        <x:v>OTAVIO AUGUSTO PERES GREGORIO</x:v>
      </x:c>
      <x:c r="C2942" s="23" t="str">
        <x:v>otavio augusto peres gregorio</x:v>
      </x:c>
      <x:c r="D2942" s="22" t="str">
        <x:f>"61.913.592/0001-27"</x:f>
        <x:v>61.913.592/0001-27</x:v>
      </x:c>
      <x:c r="E2942" s="22" t="str">
        <x:f>"61913592000127"</x:f>
        <x:v>61913592000127</x:v>
      </x:c>
      <x:c r="F2942" s="22" t="str">
        <x:f>"137.021.986-52"</x:f>
        <x:v>137.021.986-52</x:v>
      </x:c>
      <x:c r="G2942" s="22" t="str">
        <x:f>"13702198652"</x:f>
        <x:v>13702198652</x:v>
      </x:c>
      <x:c r="H2942" s="23" t="str">
        <x:v>otavio.gregorio@icloud.com</x:v>
      </x:c>
      <x:c r="I2942" s="22" t="str">
        <x:f>"34992022895"</x:f>
        <x:v>34992022895</x:v>
      </x:c>
      <x:c r="J2942" s="23" t="str">
        <x:v>RENTAL</x:v>
      </x:c>
      <x:c r="K2942" s="23" t="str">
        <x:v>rental_company</x:v>
      </x:c>
      <x:c r="L2942" s="24" t="b">
        <x:v>1</x:v>
      </x:c>
      <x:c r="M2942" s="23" t="n">
        <x:v>1</x:v>
      </x:c>
      <x:c r="N2942" s="28" t="n">
        <x:v>46219.812988715275</x:v>
      </x:c>
      <x:c r="O2942" s="28" t="n">
        <x:v>46219.812988715275</x:v>
      </x:c>
      <x:c r="P2942" s="23" t="str">
        <x:v>UBERABA</x:v>
      </x:c>
      <x:c r="Q2942" s="30" t="n">
        <x:v>35731</x:v>
      </x:c>
      <x:c r="R2942" s="22" t="str">
        <x:f>"18097420"</x:f>
        <x:v>18097420</x:v>
      </x:c>
      <x:c r="S2942" s="23" t="str">
        <x:v>masculino</x:v>
      </x:c>
      <x:c r="T2942" s="22" t="str"/>
      <x:c r="U2942" s="23" t="str">
        <x:v>OTAVIO AUGUSTO PERES GREGORIO</x:v>
      </x:c>
      <x:c r="V2942" s="22" t="str">
        <x:f>"137.021.986-52"</x:f>
        <x:v>137.021.986-52</x:v>
      </x:c>
      <x:c r="W2942" s="22" t="str">
        <x:f>"13702198652"</x:f>
        <x:v>13702198652</x:v>
      </x:c>
      <x:c r="X2942" s="23" t="str">
        <x:v>otavio.gregorio@icloud.com</x:v>
      </x:c>
      <x:c r="Y2942" s="22" t="str">
        <x:f>"34992022895"</x:f>
        <x:v>34992022895</x:v>
      </x:c>
      <x:c r="Z2942" s="30" t="n">
        <x:v>46521</x:v>
      </x:c>
    </x:row>
    <x:row r="2943" ht="18" customHeight="1">
      <x:c r="A2943" s="22" t="str">
        <x:f>"e417ed19-d6e0-4f8b-a62f-b0e4963a0bef"</x:f>
        <x:v>e417ed19-d6e0-4f8b-a62f-b0e4963a0bef</x:v>
      </x:c>
      <x:c r="B2943" s="23" t="str">
        <x:v>OTAVIO DOS SANTOS SENA</x:v>
      </x:c>
      <x:c r="C2943" s="23" t="str">
        <x:v>otavio dos santos sena</x:v>
      </x:c>
      <x:c r="D2943" s="22" t="str">
        <x:f>"66.422.274/0001-87"</x:f>
        <x:v>66.422.274/0001-87</x:v>
      </x:c>
      <x:c r="E2943" s="22" t="str">
        <x:f>"66422274000187"</x:f>
        <x:v>66422274000187</x:v>
      </x:c>
      <x:c r="F2943" s="22" t="str">
        <x:f>"549.137.268-46"</x:f>
        <x:v>549.137.268-46</x:v>
      </x:c>
      <x:c r="G2943" s="22" t="str">
        <x:f>"54913726846"</x:f>
        <x:v>54913726846</x:v>
      </x:c>
      <x:c r="H2943" s="23" t="str">
        <x:v>Otaviosava23@icloud.com</x:v>
      </x:c>
      <x:c r="I2943" s="22" t="str">
        <x:f>"16996084059"</x:f>
        <x:v>16996084059</x:v>
      </x:c>
      <x:c r="J2943" s="23" t="str">
        <x:v>SPOT</x:v>
      </x:c>
      <x:c r="K2943" s="23" t="str">
        <x:v>favored_only</x:v>
      </x:c>
      <x:c r="L2943" s="24" t="b">
        <x:v>1</x:v>
      </x:c>
      <x:c r="M2943" s="23" t="n">
        <x:v>1</x:v>
      </x:c>
      <x:c r="N2943" s="28" t="n">
        <x:v>46203.92191240741</x:v>
      </x:c>
      <x:c r="O2943" s="28" t="n">
        <x:v>46219.812988715275</x:v>
      </x:c>
      <x:c r="P2943" s="23" t="str">
        <x:v>SÃO CARLOS</x:v>
      </x:c>
      <x:c r="Q2943" s="30" t="n">
        <x:v>37424</x:v>
      </x:c>
      <x:c r="R2943" s="22" t="str">
        <x:f>"603118616"</x:f>
        <x:v>603118616</x:v>
      </x:c>
      <x:c r="S2943" s="23" t="str">
        <x:v>masculino</x:v>
      </x:c>
      <x:c r="T2943" s="22" t="str">
        <x:f>"FKT1731"</x:f>
        <x:v>FKT1731</x:v>
      </x:c>
      <x:c r="U2943" s="23" t="str">
        <x:v>OTAVIO DOS SANTOS SENA</x:v>
      </x:c>
      <x:c r="V2943" s="22" t="str">
        <x:f>"549.137.268-46"</x:f>
        <x:v>549.137.268-46</x:v>
      </x:c>
      <x:c r="W2943" s="22" t="str">
        <x:f>"54913726846"</x:f>
        <x:v>54913726846</x:v>
      </x:c>
      <x:c r="X2943" s="23" t="str">
        <x:v>Otaviosava23@icloud.com</x:v>
      </x:c>
      <x:c r="Y2943" s="22" t="str">
        <x:f>"16996084059"</x:f>
        <x:v>16996084059</x:v>
      </x:c>
      <x:c r="Z2943" s="30" t="n">
        <x:v>46217</x:v>
      </x:c>
    </x:row>
    <x:row r="2944" ht="18" customHeight="1">
      <x:c r="A2944" s="22" t="str">
        <x:f>"0306fd9a-e753-43ba-ac9b-474c986fa36f"</x:f>
        <x:v>0306fd9a-e753-43ba-ac9b-474c986fa36f</x:v>
      </x:c>
      <x:c r="B2944" s="23" t="str">
        <x:v>OTAVIO HENRIQUE SILVA FERREIRA</x:v>
      </x:c>
      <x:c r="C2944" s="23" t="str">
        <x:v>otavio henrique silva ferreira</x:v>
      </x:c>
      <x:c r="D2944" s="22" t="str">
        <x:f>"64.192.257/0001-75"</x:f>
        <x:v>64.192.257/0001-75</x:v>
      </x:c>
      <x:c r="E2944" s="22" t="str">
        <x:f>"64192257000175"</x:f>
        <x:v>64192257000175</x:v>
      </x:c>
      <x:c r="F2944" s="22" t="str">
        <x:f>"115.906.076-27"</x:f>
        <x:v>115.906.076-27</x:v>
      </x:c>
      <x:c r="G2944" s="22" t="str">
        <x:f>"11590607627"</x:f>
        <x:v>11590607627</x:v>
      </x:c>
      <x:c r="H2944" s="23" t="str">
        <x:v>Otaviomoedagalo4@gmail.com</x:v>
      </x:c>
      <x:c r="I2944" s="22" t="str">
        <x:f>"31996012975"</x:f>
        <x:v>31996012975</x:v>
      </x:c>
      <x:c r="J2944" s="23" t="str">
        <x:v>SPOT</x:v>
      </x:c>
      <x:c r="K2944" s="23" t="str">
        <x:v>favored_only</x:v>
      </x:c>
      <x:c r="L2944" s="24" t="b">
        <x:v>1</x:v>
      </x:c>
      <x:c r="M2944" s="23" t="n">
        <x:v>1</x:v>
      </x:c>
      <x:c r="N2944" s="28" t="n">
        <x:v>46219.812988715275</x:v>
      </x:c>
      <x:c r="O2944" s="28" t="n">
        <x:v>46219.812988715275</x:v>
      </x:c>
      <x:c r="P2944" s="23" t="str">
        <x:v>NOVA LIMA</x:v>
      </x:c>
      <x:c r="Q2944" s="30" t="n">
        <x:v>35022</x:v>
      </x:c>
      <x:c r="R2944" s="22" t="str">
        <x:f>"18627238"</x:f>
        <x:v>18627238</x:v>
      </x:c>
      <x:c r="S2944" s="23" t="str">
        <x:v>masculino</x:v>
      </x:c>
      <x:c r="T2944" s="22" t="str">
        <x:f>"PVR1H25"</x:f>
        <x:v>PVR1H25</x:v>
      </x:c>
      <x:c r="U2944" s="23" t="str">
        <x:v>OTAVIO HENRIQUE SILVA FERREIRA</x:v>
      </x:c>
      <x:c r="V2944" s="22" t="str">
        <x:f>"115.906.076-27"</x:f>
        <x:v>115.906.076-27</x:v>
      </x:c>
      <x:c r="W2944" s="22" t="str">
        <x:f>"11590607627"</x:f>
        <x:v>11590607627</x:v>
      </x:c>
      <x:c r="X2944" s="23" t="str">
        <x:v>Otaviomoedagalo4@gmail.com</x:v>
      </x:c>
      <x:c r="Y2944" s="22" t="str">
        <x:f>"31996012975"</x:f>
        <x:v>31996012975</x:v>
      </x:c>
      <x:c r="Z2944" s="30" t="n">
        <x:v>46430</x:v>
      </x:c>
    </x:row>
    <x:row r="2945" ht="18" customHeight="1">
      <x:c r="A2945" s="22" t="str">
        <x:f>"19117144-c858-4c1b-b317-38fc4c5a0465"</x:f>
        <x:v>19117144-c858-4c1b-b317-38fc4c5a0465</x:v>
      </x:c>
      <x:c r="B2945" s="23" t="str">
        <x:v>OTAVIO MESSIAS DA SILVA</x:v>
      </x:c>
      <x:c r="C2945" s="23" t="str">
        <x:v>otavio messias da silva</x:v>
      </x:c>
      <x:c r="D2945" s="22" t="str">
        <x:f>"64.150.892/0001-90"</x:f>
        <x:v>64.150.892/0001-90</x:v>
      </x:c>
      <x:c r="E2945" s="22" t="str">
        <x:f>"64150892000190"</x:f>
        <x:v>64150892000190</x:v>
      </x:c>
      <x:c r="F2945" s="22" t="str">
        <x:f>"427.655.818-27"</x:f>
        <x:v>427.655.818-27</x:v>
      </x:c>
      <x:c r="G2945" s="22" t="str">
        <x:f>"42765581827"</x:f>
        <x:v>42765581827</x:v>
      </x:c>
      <x:c r="H2945" s="23" t="str">
        <x:v>otamessias3@gmail.com</x:v>
      </x:c>
      <x:c r="I2945" s="22" t="str">
        <x:f>"18996612574"</x:f>
        <x:v>18996612574</x:v>
      </x:c>
      <x:c r="J2945" s="23" t="str">
        <x:v>RENTAL</x:v>
      </x:c>
      <x:c r="K2945" s="23" t="str">
        <x:v>rental_company</x:v>
      </x:c>
      <x:c r="L2945" s="24" t="b">
        <x:v>1</x:v>
      </x:c>
      <x:c r="M2945" s="23" t="n">
        <x:v>1</x:v>
      </x:c>
      <x:c r="N2945" s="28" t="n">
        <x:v>46203.9219084375</x:v>
      </x:c>
      <x:c r="O2945" s="28" t="n">
        <x:v>46219.812988715275</x:v>
      </x:c>
      <x:c r="P2945" s="23" t="str">
        <x:v>PRESIDENTE PRUDENTE</x:v>
      </x:c>
      <x:c r="Q2945" s="30" t="n">
        <x:v>34530</x:v>
      </x:c>
      <x:c r="R2945" s="22" t="str">
        <x:f>"45.223.233-8"</x:f>
        <x:v>45.223.233-8</x:v>
      </x:c>
      <x:c r="S2945" s="23" t="str">
        <x:v>masculino</x:v>
      </x:c>
      <x:c r="T2945" s="22" t="str"/>
      <x:c r="U2945" s="23" t="str">
        <x:v>OTAVIO MESSIAS DA SILVA</x:v>
      </x:c>
      <x:c r="V2945" s="22" t="str">
        <x:f>"427.655.818-27"</x:f>
        <x:v>427.655.818-27</x:v>
      </x:c>
      <x:c r="W2945" s="22" t="str">
        <x:f>"42765581827"</x:f>
        <x:v>42765581827</x:v>
      </x:c>
      <x:c r="X2945" s="23" t="str">
        <x:v>otamessias3@gmail.com</x:v>
      </x:c>
      <x:c r="Y2945" s="22" t="str">
        <x:f>"18996612574"</x:f>
        <x:v>18996612574</x:v>
      </x:c>
      <x:c r="Z2945" s="30" t="n">
        <x:v>46380</x:v>
      </x:c>
    </x:row>
    <x:row r="2946" ht="18" customHeight="1">
      <x:c r="A2946" s="22" t="str">
        <x:f>"a033ca72-898a-40ad-a73b-b5346b7723d7"</x:f>
        <x:v>a033ca72-898a-40ad-a73b-b5346b7723d7</x:v>
      </x:c>
      <x:c r="B2946" s="23" t="str">
        <x:v>OTONIEL GOMES</x:v>
      </x:c>
      <x:c r="C2946" s="23" t="str">
        <x:v>otoniel gomes</x:v>
      </x:c>
      <x:c r="D2946" s="22" t="str">
        <x:f>"63.038.634/0001-53"</x:f>
        <x:v>63.038.634/0001-53</x:v>
      </x:c>
      <x:c r="E2946" s="22" t="str">
        <x:f>"63038634000153"</x:f>
        <x:v>63038634000153</x:v>
      </x:c>
      <x:c r="F2946" s="22" t="str">
        <x:f>"022.947.603-10"</x:f>
        <x:v>022.947.603-10</x:v>
      </x:c>
      <x:c r="G2946" s="22" t="str">
        <x:f>"02294760310"</x:f>
        <x:v>02294760310</x:v>
      </x:c>
      <x:c r="H2946" s="23" t="str">
        <x:v>Otonielgomesdeoliveira2603@gmail.com</x:v>
      </x:c>
      <x:c r="I2946" s="22" t="str">
        <x:f>"34 8849-8267"</x:f>
        <x:v>34 8849-8267</x:v>
      </x:c>
      <x:c r="J2946" s="23" t="str">
        <x:v>RENTAL</x:v>
      </x:c>
      <x:c r="K2946" s="23" t="str">
        <x:v>rental_company</x:v>
      </x:c>
      <x:c r="L2946" s="24" t="b">
        <x:v>1</x:v>
      </x:c>
      <x:c r="M2946" s="23" t="n">
        <x:v>1</x:v>
      </x:c>
      <x:c r="N2946" s="28" t="n">
        <x:v>46205.605929861114</x:v>
      </x:c>
      <x:c r="O2946" s="28" t="n">
        <x:v>46219.812988715275</x:v>
      </x:c>
      <x:c r="P2946" s="23" t="str">
        <x:v>ARAXÁ</x:v>
      </x:c>
      <x:c r="Q2946" s="30" t="n">
        <x:v>32205</x:v>
      </x:c>
      <x:c r="R2946" s="22" t="str">
        <x:f>"278424320049"</x:f>
        <x:v>278424320049</x:v>
      </x:c>
      <x:c r="S2946" s="23" t="str">
        <x:v>masculino</x:v>
      </x:c>
      <x:c r="T2946" s="22" t="str"/>
      <x:c r="U2946" s="23" t="str">
        <x:v>AMARILDO GOMES DE SOUZA JUNIOR</x:v>
      </x:c>
      <x:c r="V2946" s="22" t="str">
        <x:f>"102.754.896-20"</x:f>
        <x:v>102.754.896-20</x:v>
      </x:c>
      <x:c r="W2946" s="22" t="str">
        <x:f>"10275489620"</x:f>
        <x:v>10275489620</x:v>
      </x:c>
      <x:c r="X2946" s="23" t="str">
        <x:v>juninsouza42@gmail.com</x:v>
      </x:c>
      <x:c r="Y2946" s="22" t="str">
        <x:f>"34 8849-8267"</x:f>
        <x:v>34 8849-8267</x:v>
      </x:c>
      <x:c r="Z2946" s="30" t="n">
        <x:v>46337</x:v>
      </x:c>
    </x:row>
    <x:row r="2947" ht="18" customHeight="1">
      <x:c r="A2947" s="22" t="str">
        <x:f>"13c0e2d0-b85b-4f4b-9b3d-bdb5e4bb55a6"</x:f>
        <x:v>13c0e2d0-b85b-4f4b-9b3d-bdb5e4bb55a6</x:v>
      </x:c>
      <x:c r="B2947" s="23" t="str">
        <x:v>OZEIAS DE SOUZA COSTA</x:v>
      </x:c>
      <x:c r="C2947" s="23" t="str">
        <x:v>ozeias de souza costa</x:v>
      </x:c>
      <x:c r="D2947" s="22" t="str">
        <x:f>"65.825.021/0001-91"</x:f>
        <x:v>65.825.021/0001-91</x:v>
      </x:c>
      <x:c r="E2947" s="22" t="str">
        <x:f>"65825021000191"</x:f>
        <x:v>65825021000191</x:v>
      </x:c>
      <x:c r="F2947" s="22" t="str">
        <x:f>"076.345.466-40"</x:f>
        <x:v>076.345.466-40</x:v>
      </x:c>
      <x:c r="G2947" s="22" t="str">
        <x:f>"07634546640"</x:f>
        <x:v>07634546640</x:v>
      </x:c>
      <x:c r="H2947" s="23" t="str">
        <x:v>ozeiascosta1706@gmail.com</x:v>
      </x:c>
      <x:c r="I2947" s="22" t="str">
        <x:f>"(31)99909-7909"</x:f>
        <x:v>(31)99909-7909</x:v>
      </x:c>
      <x:c r="J2947" s="23" t="str">
        <x:v>spot</x:v>
      </x:c>
      <x:c r="K2947" s="23" t="str">
        <x:v>favored_only</x:v>
      </x:c>
      <x:c r="L2947" s="24" t="b">
        <x:v>1</x:v>
      </x:c>
      <x:c r="M2947" s="23" t="n">
        <x:v>1</x:v>
      </x:c>
      <x:c r="N2947" s="28" t="n">
        <x:v>46219.812988715275</x:v>
      </x:c>
      <x:c r="O2947" s="28" t="n">
        <x:v>46219.812988715275</x:v>
      </x:c>
      <x:c r="P2947" s="23" t="str">
        <x:v>NOVA LIMA</x:v>
      </x:c>
      <x:c r="Q2947" s="30" t="n">
        <x:v>31580</x:v>
      </x:c>
      <x:c r="R2947" s="22" t="str">
        <x:f>"13919961"</x:f>
        <x:v>13919961</x:v>
      </x:c>
      <x:c r="S2947" s="23" t="str">
        <x:v>masculino</x:v>
      </x:c>
      <x:c r="T2947" s="22" t="str">
        <x:f>"RFQ1E23"</x:f>
        <x:v>RFQ1E23</x:v>
      </x:c>
      <x:c r="U2947" s="23" t="str">
        <x:v>OZEIAS DE SOUZA COSTA</x:v>
      </x:c>
      <x:c r="V2947" s="22" t="str">
        <x:f>"076.345.466-40"</x:f>
        <x:v>076.345.466-40</x:v>
      </x:c>
      <x:c r="W2947" s="22" t="str">
        <x:f>"07634546640"</x:f>
        <x:v>07634546640</x:v>
      </x:c>
      <x:c r="X2947" s="23" t="str">
        <x:v>ozeiascosta1706@gmail.com</x:v>
      </x:c>
      <x:c r="Y2947" s="22" t="str">
        <x:f>"(31)99909-7909"</x:f>
        <x:v>(31)99909-7909</x:v>
      </x:c>
      <x:c r="Z2947" s="30" t="n">
        <x:v>46543</x:v>
      </x:c>
    </x:row>
    <x:row r="2948" ht="18" customHeight="1">
      <x:c r="A2948" s="22" t="str">
        <x:f>"804a6db6-74dc-4e23-9d2b-2abf16ed7339"</x:f>
        <x:v>804a6db6-74dc-4e23-9d2b-2abf16ed7339</x:v>
      </x:c>
      <x:c r="B2948" s="23" t="str">
        <x:v>PABLO BRUNO DE JESUS RIBEIRO</x:v>
      </x:c>
      <x:c r="C2948" s="23" t="str">
        <x:v>pablo bruno de jesus ribeiro</x:v>
      </x:c>
      <x:c r="D2948" s="22" t="str">
        <x:f>"62.594.666/0001-72"</x:f>
        <x:v>62.594.666/0001-72</x:v>
      </x:c>
      <x:c r="E2948" s="22" t="str">
        <x:f>"62594666000172"</x:f>
        <x:v>62594666000172</x:v>
      </x:c>
      <x:c r="F2948" s="22" t="str">
        <x:f>"124.207.756-19"</x:f>
        <x:v>124.207.756-19</x:v>
      </x:c>
      <x:c r="G2948" s="22" t="str">
        <x:f>"12420775619"</x:f>
        <x:v>12420775619</x:v>
      </x:c>
      <x:c r="H2948" s="23" t="str">
        <x:v>pablobrunoribeiro@gmail.com</x:v>
      </x:c>
      <x:c r="I2948" s="22" t="str">
        <x:f>"31991217724"</x:f>
        <x:v>31991217724</x:v>
      </x:c>
      <x:c r="J2948" s="23" t="str">
        <x:v>SPOT</x:v>
      </x:c>
      <x:c r="K2948" s="23" t="str">
        <x:v>favored_only</x:v>
      </x:c>
      <x:c r="L2948" s="24" t="b">
        <x:v>1</x:v>
      </x:c>
      <x:c r="M2948" s="23" t="n">
        <x:v>1</x:v>
      </x:c>
      <x:c r="N2948" s="28" t="n">
        <x:v>46203.92186888889</x:v>
      </x:c>
      <x:c r="O2948" s="28" t="n">
        <x:v>46219.812988715275</x:v>
      </x:c>
      <x:c r="P2948" s="23" t="str">
        <x:v>CONTAGEM</x:v>
      </x:c>
      <x:c r="Q2948" s="30" t="n">
        <x:v>34685</x:v>
      </x:c>
      <x:c r="R2948" s="22" t="str">
        <x:f>"17028883"</x:f>
        <x:v>17028883</x:v>
      </x:c>
      <x:c r="S2948" s="23" t="str">
        <x:v>masculino</x:v>
      </x:c>
      <x:c r="T2948" s="22" t="str">
        <x:f>"OQC7C54"</x:f>
        <x:v>OQC7C54</x:v>
      </x:c>
      <x:c r="U2948" s="23" t="str">
        <x:v>PABLO BRUNO DE JESUS RIBEIRO</x:v>
      </x:c>
      <x:c r="V2948" s="22" t="str">
        <x:f>"124.207.756-19"</x:f>
        <x:v>124.207.756-19</x:v>
      </x:c>
      <x:c r="W2948" s="22" t="str">
        <x:f>"12420775619"</x:f>
        <x:v>12420775619</x:v>
      </x:c>
      <x:c r="X2948" s="23" t="str">
        <x:v>pablobrunoribeiro@gmail.com</x:v>
      </x:c>
      <x:c r="Y2948" s="22" t="str">
        <x:f>"31991217724"</x:f>
        <x:v>31991217724</x:v>
      </x:c>
      <x:c r="Z2948" s="30" t="n">
        <x:v>46303</x:v>
      </x:c>
    </x:row>
    <x:row r="2949" ht="18" customHeight="1">
      <x:c r="A2949" s="22" t="str">
        <x:f>"1d7600e9-6749-4d6a-916d-077ee57704e0"</x:f>
        <x:v>1d7600e9-6749-4d6a-916d-077ee57704e0</x:v>
      </x:c>
      <x:c r="B2949" s="23" t="str">
        <x:v>PABLO CARVALHO DA SILVA</x:v>
      </x:c>
      <x:c r="C2949" s="23" t="str">
        <x:v>pablo carvalho da silva</x:v>
      </x:c>
      <x:c r="D2949" s="22" t="str">
        <x:f>"62308983/0001-85"</x:f>
        <x:v>62308983/0001-85</x:v>
      </x:c>
      <x:c r="E2949" s="22" t="str">
        <x:f>"62308983000185"</x:f>
        <x:v>62308983000185</x:v>
      </x:c>
      <x:c r="F2949" s="22" t="str">
        <x:f>"10846319705"</x:f>
        <x:v>10846319705</x:v>
      </x:c>
      <x:c r="G2949" s="22" t="str">
        <x:f>"10846319705"</x:f>
        <x:v>10846319705</x:v>
      </x:c>
      <x:c r="H2949" s="23" t="str">
        <x:v>pablofoxvix@gmail.com</x:v>
      </x:c>
      <x:c r="I2949" s="22" t="str">
        <x:f>"27 995211196"</x:f>
        <x:v>27 995211196</x:v>
      </x:c>
      <x:c r="J2949" s="23" t="str">
        <x:v>SPOT</x:v>
      </x:c>
      <x:c r="K2949" s="23" t="str">
        <x:v>favored_only</x:v>
      </x:c>
      <x:c r="L2949" s="24" t="b">
        <x:v>1</x:v>
      </x:c>
      <x:c r="M2949" s="23" t="n">
        <x:v>1</x:v>
      </x:c>
      <x:c r="N2949" s="28" t="n">
        <x:v>46218.62115420139</x:v>
      </x:c>
      <x:c r="O2949" s="28" t="n">
        <x:v>46218.62115420139</x:v>
      </x:c>
      <x:c r="P2949" s="23" t="str"/>
      <x:c r="Q2949" s="30" t="n">
        <x:v>31618</x:v>
      </x:c>
      <x:c r="R2949" s="22" t="str">
        <x:f>"1813511"</x:f>
        <x:v>1813511</x:v>
      </x:c>
      <x:c r="S2949" s="23" t="str">
        <x:v>Masculino</x:v>
      </x:c>
      <x:c r="T2949" s="22" t="str">
        <x:f>"LRK8C83"</x:f>
        <x:v>LRK8C83</x:v>
      </x:c>
      <x:c r="U2949" s="23" t="str">
        <x:v>PABLO CARVALHO DA SILVA</x:v>
      </x:c>
      <x:c r="V2949" s="22" t="str">
        <x:f>"10846319705"</x:f>
        <x:v>10846319705</x:v>
      </x:c>
      <x:c r="W2949" s="22" t="str">
        <x:f>"10846319705"</x:f>
        <x:v>10846319705</x:v>
      </x:c>
      <x:c r="X2949" s="23" t="str">
        <x:v>pablofoxvix@gmail.com</x:v>
      </x:c>
      <x:c r="Y2949" s="22" t="str">
        <x:f>"27 995211196"</x:f>
        <x:v>27 995211196</x:v>
      </x:c>
      <x:c r="Z2949" s="30" t="n">
        <x:v>46304</x:v>
      </x:c>
    </x:row>
    <x:row r="2950" ht="18" customHeight="1">
      <x:c r="A2950" s="22" t="str">
        <x:f>"e38d81a7-3d99-41a8-b87b-7706653b9e87"</x:f>
        <x:v>e38d81a7-3d99-41a8-b87b-7706653b9e87</x:v>
      </x:c>
      <x:c r="B2950" s="23" t="str">
        <x:v>PABLO CEZAR MEIRA</x:v>
      </x:c>
      <x:c r="C2950" s="23" t="str">
        <x:v>pablo cezar meira</x:v>
      </x:c>
      <x:c r="D2950" s="22" t="str">
        <x:f>"67.785.355/0001-04"</x:f>
        <x:v>67.785.355/0001-04</x:v>
      </x:c>
      <x:c r="E2950" s="22" t="str">
        <x:f>"67785355000104"</x:f>
        <x:v>67785355000104</x:v>
      </x:c>
      <x:c r="F2950" s="22" t="str">
        <x:f>"019.098.886-05"</x:f>
        <x:v>019.098.886-05</x:v>
      </x:c>
      <x:c r="G2950" s="22" t="str">
        <x:f>"01909888605"</x:f>
        <x:v>01909888605</x:v>
      </x:c>
      <x:c r="H2950" s="23" t="str">
        <x:v>pablocezarmeiracosal@gmail.com</x:v>
      </x:c>
      <x:c r="I2950" s="22" t="str">
        <x:f>"31973448946"</x:f>
        <x:v>31973448946</x:v>
      </x:c>
      <x:c r="J2950" s="23" t="str">
        <x:v>RENTAL</x:v>
      </x:c>
      <x:c r="K2950" s="23" t="str">
        <x:v>rental_company</x:v>
      </x:c>
      <x:c r="L2950" s="24" t="b">
        <x:v>1</x:v>
      </x:c>
      <x:c r="M2950" s="23" t="n">
        <x:v>1</x:v>
      </x:c>
      <x:c r="N2950" s="28" t="n">
        <x:v>46219.812988715275</x:v>
      </x:c>
      <x:c r="O2950" s="28" t="n">
        <x:v>46219.812988715275</x:v>
      </x:c>
      <x:c r="P2950" s="23" t="str">
        <x:v>NOVA LIMA</x:v>
      </x:c>
      <x:c r="Q2950" s="30" t="n">
        <x:v>35146</x:v>
      </x:c>
      <x:c r="R2950" s="22" t="str">
        <x:f>"12837203"</x:f>
        <x:v>12837203</x:v>
      </x:c>
      <x:c r="S2950" s="23" t="str">
        <x:v>masculino</x:v>
      </x:c>
      <x:c r="T2950" s="22" t="str"/>
      <x:c r="U2950" s="23" t="str">
        <x:v>PABLO CEZAR MEIRA</x:v>
      </x:c>
      <x:c r="V2950" s="22" t="str">
        <x:f>"019.098.886-05"</x:f>
        <x:v>019.098.886-05</x:v>
      </x:c>
      <x:c r="W2950" s="22" t="str">
        <x:f>"01909888605"</x:f>
        <x:v>01909888605</x:v>
      </x:c>
      <x:c r="X2950" s="23" t="str">
        <x:v>pablocezarmeiracosal@gmail.com</x:v>
      </x:c>
      <x:c r="Y2950" s="22" t="str">
        <x:f>"31973448946"</x:f>
        <x:v>31973448946</x:v>
      </x:c>
      <x:c r="Z2950" s="30" t="n">
        <x:v>46569</x:v>
      </x:c>
    </x:row>
    <x:row r="2951" ht="18" customHeight="1">
      <x:c r="A2951" s="22" t="str">
        <x:f>"8463167d-6958-4f8a-b073-4d11cd01919e"</x:f>
        <x:v>8463167d-6958-4f8a-b073-4d11cd01919e</x:v>
      </x:c>
      <x:c r="B2951" s="23" t="str">
        <x:v>PABLO EDUARDO SOUZA VERISSIMO</x:v>
      </x:c>
      <x:c r="C2951" s="23" t="str">
        <x:v>pablo eduardo souza verissimo</x:v>
      </x:c>
      <x:c r="D2951" s="22" t="str">
        <x:f>"26.350.961/0001-10"</x:f>
        <x:v>26.350.961/0001-10</x:v>
      </x:c>
      <x:c r="E2951" s="22" t="str">
        <x:f>"26350961000110"</x:f>
        <x:v>26350961000110</x:v>
      </x:c>
      <x:c r="F2951" s="22" t="str">
        <x:f>"009.665.811-80"</x:f>
        <x:v>009.665.811-80</x:v>
      </x:c>
      <x:c r="G2951" s="22" t="str">
        <x:f>"00966581180"</x:f>
        <x:v>00966581180</x:v>
      </x:c>
      <x:c r="H2951" s="23" t="str">
        <x:v>verissimo77@icloud.com</x:v>
      </x:c>
      <x:c r="I2951" s="22" t="str">
        <x:f>"65999086167"</x:f>
        <x:v>65999086167</x:v>
      </x:c>
      <x:c r="J2951" s="23" t="str">
        <x:v>RENTAL</x:v>
      </x:c>
      <x:c r="K2951" s="23" t="str">
        <x:v>rental_company</x:v>
      </x:c>
      <x:c r="L2951" s="24" t="b">
        <x:v>1</x:v>
      </x:c>
      <x:c r="M2951" s="23" t="n">
        <x:v>1</x:v>
      </x:c>
      <x:c r="N2951" s="28" t="n">
        <x:v>46219.812988715275</x:v>
      </x:c>
      <x:c r="O2951" s="28" t="n">
        <x:v>46219.812988715275</x:v>
      </x:c>
      <x:c r="P2951" s="23" t="str">
        <x:v>CUIABA</x:v>
      </x:c>
      <x:c r="Q2951" s="30" t="n">
        <x:v>33883</x:v>
      </x:c>
      <x:c r="R2951" s="22" t="str">
        <x:f>"19182929"</x:f>
        <x:v>19182929</x:v>
      </x:c>
      <x:c r="S2951" s="23" t="str">
        <x:v>masculino</x:v>
      </x:c>
      <x:c r="T2951" s="22" t="str"/>
      <x:c r="U2951" s="23" t="str">
        <x:v>PABLO EDUARDO SOUZA VERISSIMO</x:v>
      </x:c>
      <x:c r="V2951" s="22" t="str">
        <x:f>"009.665.811-80"</x:f>
        <x:v>009.665.811-80</x:v>
      </x:c>
      <x:c r="W2951" s="22" t="str">
        <x:f>"00966581180"</x:f>
        <x:v>00966581180</x:v>
      </x:c>
      <x:c r="X2951" s="23" t="str">
        <x:v>verissimo77@icloud.com</x:v>
      </x:c>
      <x:c r="Y2951" s="22" t="str">
        <x:f>"65999086167"</x:f>
        <x:v>65999086167</x:v>
      </x:c>
      <x:c r="Z2951" s="30" t="n">
        <x:v>46569</x:v>
      </x:c>
    </x:row>
    <x:row r="2952" ht="18" customHeight="1">
      <x:c r="A2952" s="22" t="str">
        <x:f>"a972c589-ad97-42cd-87de-caeaafddc4c7"</x:f>
        <x:v>a972c589-ad97-42cd-87de-caeaafddc4c7</x:v>
      </x:c>
      <x:c r="B2952" s="23" t="str">
        <x:v>PABLO EDUARDO SOUZA VERISSIMO</x:v>
      </x:c>
      <x:c r="C2952" s="23" t="str">
        <x:v>pablo eduardo souza verissimo</x:v>
      </x:c>
      <x:c r="D2952" s="22" t="str">
        <x:f>"53.264.533/0001-47"</x:f>
        <x:v>53.264.533/0001-47</x:v>
      </x:c>
      <x:c r="E2952" s="22" t="str">
        <x:f>"53264533000147"</x:f>
        <x:v>53264533000147</x:v>
      </x:c>
      <x:c r="F2952" s="22" t="str">
        <x:f>"009.665.811-80"</x:f>
        <x:v>009.665.811-80</x:v>
      </x:c>
      <x:c r="G2952" s="22" t="str">
        <x:f>"00966581180"</x:f>
        <x:v>00966581180</x:v>
      </x:c>
      <x:c r="H2952" s="23" t="str">
        <x:v>phablo113@gmail.com</x:v>
      </x:c>
      <x:c r="I2952" s="22" t="str">
        <x:f>"65 9908-6167"</x:f>
        <x:v>65 9908-6167</x:v>
      </x:c>
      <x:c r="J2952" s="23" t="str">
        <x:v>SPOT</x:v>
      </x:c>
      <x:c r="K2952" s="23" t="str">
        <x:v>favored_only</x:v>
      </x:c>
      <x:c r="L2952" s="24" t="b">
        <x:v>1</x:v>
      </x:c>
      <x:c r="M2952" s="23" t="n">
        <x:v>1</x:v>
      </x:c>
      <x:c r="N2952" s="28" t="n">
        <x:v>46205.605819930555</x:v>
      </x:c>
      <x:c r="O2952" s="28" t="n">
        <x:v>46219.812988715275</x:v>
      </x:c>
      <x:c r="P2952" s="23" t="str">
        <x:v>CUIABA</x:v>
      </x:c>
      <x:c r="Q2952" s="30" t="n">
        <x:v>33883</x:v>
      </x:c>
      <x:c r="R2952" s="22" t="str">
        <x:f>"19182929"</x:f>
        <x:v>19182929</x:v>
      </x:c>
      <x:c r="S2952" s="23" t="str">
        <x:v>masculino</x:v>
      </x:c>
      <x:c r="T2952" s="22" t="str">
        <x:f>"SPT4B81"</x:f>
        <x:v>SPT4B81</x:v>
      </x:c>
      <x:c r="U2952" s="23" t="str">
        <x:v>LEONIDAS DE PINHO E SILVA</x:v>
      </x:c>
      <x:c r="V2952" s="22" t="str">
        <x:f>"692.451.851-68"</x:f>
        <x:v>692.451.851-68</x:v>
      </x:c>
      <x:c r="W2952" s="22" t="str">
        <x:f>"69245185168"</x:f>
        <x:v>69245185168</x:v>
      </x:c>
      <x:c r="X2952" s="23" t="str">
        <x:v>veloxlogisticamt@gmail.com</x:v>
      </x:c>
      <x:c r="Y2952" s="22" t="str">
        <x:f>"(65) 99632-1030"</x:f>
        <x:v>(65) 99632-1030</x:v>
      </x:c>
      <x:c r="Z2952" s="30" t="n">
        <x:v>46336</x:v>
      </x:c>
    </x:row>
    <x:row r="2953" ht="18" customHeight="1">
      <x:c r="A2953" s="22" t="str">
        <x:f>"dfed91c2-3918-4000-8306-551bcdd1697b"</x:f>
        <x:v>dfed91c2-3918-4000-8306-551bcdd1697b</x:v>
      </x:c>
      <x:c r="B2953" s="23" t="str">
        <x:v>PABLO FORLAN ALIPIO</x:v>
      </x:c>
      <x:c r="C2953" s="23" t="str">
        <x:v>pablo forlan alipio</x:v>
      </x:c>
      <x:c r="D2953" s="22" t="str">
        <x:f>"62.396.934/0001-41"</x:f>
        <x:v>62.396.934/0001-41</x:v>
      </x:c>
      <x:c r="E2953" s="22" t="str">
        <x:f>"62396934000141"</x:f>
        <x:v>62396934000141</x:v>
      </x:c>
      <x:c r="F2953" s="22" t="str">
        <x:f>"036.469.691-56"</x:f>
        <x:v>036.469.691-56</x:v>
      </x:c>
      <x:c r="G2953" s="22" t="str">
        <x:f>"03646969156"</x:f>
        <x:v>03646969156</x:v>
      </x:c>
      <x:c r="H2953" s="23" t="str">
        <x:v>pabloforlanalipio@gmail.com</x:v>
      </x:c>
      <x:c r="I2953" s="22" t="str">
        <x:f>"94991640230"</x:f>
        <x:v>94991640230</x:v>
      </x:c>
      <x:c r="J2953" s="23" t="str">
        <x:v>RENTAL</x:v>
      </x:c>
      <x:c r="K2953" s="23" t="str">
        <x:v>rental_company</x:v>
      </x:c>
      <x:c r="L2953" s="24" t="b">
        <x:v>1</x:v>
      </x:c>
      <x:c r="M2953" s="23" t="n">
        <x:v>1</x:v>
      </x:c>
      <x:c r="N2953" s="28" t="n">
        <x:v>46203.92186888889</x:v>
      </x:c>
      <x:c r="O2953" s="28" t="n">
        <x:v>46219.812988715275</x:v>
      </x:c>
      <x:c r="P2953" s="23" t="str">
        <x:v>GOIANIA</x:v>
      </x:c>
      <x:c r="Q2953" s="30" t="n">
        <x:v>32611</x:v>
      </x:c>
      <x:c r="R2953" s="22" t="str">
        <x:f>"5302928"</x:f>
        <x:v>5302928</x:v>
      </x:c>
      <x:c r="S2953" s="23" t="str">
        <x:v>masculino</x:v>
      </x:c>
      <x:c r="T2953" s="22" t="str"/>
      <x:c r="U2953" s="23" t="str">
        <x:v>PABLO FORLAN ALIPIO</x:v>
      </x:c>
      <x:c r="V2953" s="22" t="str">
        <x:f>"036.469.691-56"</x:f>
        <x:v>036.469.691-56</x:v>
      </x:c>
      <x:c r="W2953" s="22" t="str">
        <x:f>"03646969156"</x:f>
        <x:v>03646969156</x:v>
      </x:c>
      <x:c r="X2953" s="23" t="str">
        <x:v>pabloforlanalipio@gmail.com</x:v>
      </x:c>
      <x:c r="Y2953" s="22" t="str">
        <x:f>"94991640230"</x:f>
        <x:v>94991640230</x:v>
      </x:c>
      <x:c r="Z2953" s="30" t="n">
        <x:v>46297</x:v>
      </x:c>
    </x:row>
    <x:row r="2954" ht="18" customHeight="1">
      <x:c r="A2954" s="22" t="str">
        <x:f>"a1f2f46c-147f-4e76-88d9-072d59a2ac22"</x:f>
        <x:v>a1f2f46c-147f-4e76-88d9-072d59a2ac22</x:v>
      </x:c>
      <x:c r="B2954" s="23" t="str">
        <x:v>PABLO GIL RODRIGUES DE SOUSA</x:v>
      </x:c>
      <x:c r="C2954" s="23" t="str">
        <x:v>pablo gil rodrigues de sousa</x:v>
      </x:c>
      <x:c r="D2954" s="22" t="str">
        <x:f>"62.229.856/0001-90"</x:f>
        <x:v>62.229.856/0001-90</x:v>
      </x:c>
      <x:c r="E2954" s="22" t="str">
        <x:f>"62229856000190"</x:f>
        <x:v>62229856000190</x:v>
      </x:c>
      <x:c r="F2954" s="22" t="str">
        <x:f>"401.679.248-77"</x:f>
        <x:v>401.679.248-77</x:v>
      </x:c>
      <x:c r="G2954" s="22" t="str">
        <x:f>"40167924877"</x:f>
        <x:v>40167924877</x:v>
      </x:c>
      <x:c r="H2954" s="23" t="str">
        <x:v>Pablo.heloisa13@gmail.com</x:v>
      </x:c>
      <x:c r="I2954" s="22" t="str">
        <x:f>"11985130147"</x:f>
        <x:v>11985130147</x:v>
      </x:c>
      <x:c r="J2954" s="23" t="str">
        <x:v>RENTAL</x:v>
      </x:c>
      <x:c r="K2954" s="23" t="str">
        <x:v>rental_company</x:v>
      </x:c>
      <x:c r="L2954" s="24" t="b">
        <x:v>1</x:v>
      </x:c>
      <x:c r="M2954" s="23" t="n">
        <x:v>1</x:v>
      </x:c>
      <x:c r="N2954" s="28" t="n">
        <x:v>46203.921852962965</x:v>
      </x:c>
      <x:c r="O2954" s="28" t="n">
        <x:v>46219.812988715275</x:v>
      </x:c>
      <x:c r="P2954" s="23" t="str">
        <x:v>BARUERI</x:v>
      </x:c>
      <x:c r="Q2954" s="30" t="n">
        <x:v>33123</x:v>
      </x:c>
      <x:c r="R2954" s="22" t="str">
        <x:f>"472255952"</x:f>
        <x:v>472255952</x:v>
      </x:c>
      <x:c r="S2954" s="23" t="str">
        <x:v>masculino</x:v>
      </x:c>
      <x:c r="T2954" s="22" t="str"/>
      <x:c r="U2954" s="23" t="str">
        <x:v>PABLO GIL RODRIGUES DE SOUSA</x:v>
      </x:c>
      <x:c r="V2954" s="22" t="str">
        <x:f>"401.679.248-77"</x:f>
        <x:v>401.679.248-77</x:v>
      </x:c>
      <x:c r="W2954" s="22" t="str">
        <x:f>"40167924877"</x:f>
        <x:v>40167924877</x:v>
      </x:c>
      <x:c r="X2954" s="23" t="str">
        <x:v>Pablo.heloisa13@gmail.com</x:v>
      </x:c>
      <x:c r="Y2954" s="22" t="str">
        <x:f>"11985130147"</x:f>
        <x:v>11985130147</x:v>
      </x:c>
      <x:c r="Z2954" s="30" t="n">
        <x:v>46249</x:v>
      </x:c>
    </x:row>
    <x:row r="2955" ht="18" customHeight="1">
      <x:c r="A2955" s="22" t="str">
        <x:f>"11d78df2-203c-4735-af71-f5ec9da3fdda"</x:f>
        <x:v>11d78df2-203c-4735-af71-f5ec9da3fdda</x:v>
      </x:c>
      <x:c r="B2955" s="23" t="str">
        <x:v>PABLO MIRANDA DA SILVA</x:v>
      </x:c>
      <x:c r="C2955" s="23" t="str">
        <x:v>pablo miranda da silva</x:v>
      </x:c>
      <x:c r="D2955" s="22" t="str">
        <x:f>"63.179.080/0001-04"</x:f>
        <x:v>63.179.080/0001-04</x:v>
      </x:c>
      <x:c r="E2955" s="22" t="str">
        <x:f>"63179080000104"</x:f>
        <x:v>63179080000104</x:v>
      </x:c>
      <x:c r="F2955" s="22" t="str">
        <x:f>"022.694.476-03"</x:f>
        <x:v>022.694.476-03</x:v>
      </x:c>
      <x:c r="G2955" s="22" t="str">
        <x:f>"02269447603"</x:f>
        <x:v>02269447603</x:v>
      </x:c>
      <x:c r="H2955" s="23" t="str">
        <x:v>pablosilva3987@gmail.com</x:v>
      </x:c>
      <x:c r="I2955" s="22" t="str">
        <x:f>"(67) 99978-6328"</x:f>
        <x:v>(67) 99978-6328</x:v>
      </x:c>
      <x:c r="J2955" s="23" t="str">
        <x:v>RENTAL</x:v>
      </x:c>
      <x:c r="K2955" s="23" t="str">
        <x:v>rental_company</x:v>
      </x:c>
      <x:c r="L2955" s="24" t="b">
        <x:v>1</x:v>
      </x:c>
      <x:c r="M2955" s="23" t="n">
        <x:v>1</x:v>
      </x:c>
      <x:c r="N2955" s="28" t="n">
        <x:v>46219.812988715275</x:v>
      </x:c>
      <x:c r="O2955" s="28" t="n">
        <x:v>46219.812988715275</x:v>
      </x:c>
      <x:c r="P2955" s="23" t="str">
        <x:v>UBERLANDIA</x:v>
      </x:c>
      <x:c r="Q2955" s="30" t="n">
        <x:v>36189</x:v>
      </x:c>
      <x:c r="R2955" s="22" t="str">
        <x:f>"MG 20375591 SSP MG"</x:f>
        <x:v>MG 20375591 SSP MG</x:v>
      </x:c>
      <x:c r="S2955" s="23" t="str">
        <x:v>masculino</x:v>
      </x:c>
      <x:c r="T2955" s="22" t="str"/>
      <x:c r="U2955" s="23" t="str">
        <x:v>PABLO MIRANDA DA SILVA</x:v>
      </x:c>
      <x:c r="V2955" s="22" t="str">
        <x:f>"022.694.476-03"</x:f>
        <x:v>022.694.476-03</x:v>
      </x:c>
      <x:c r="W2955" s="22" t="str">
        <x:f>"02269447603"</x:f>
        <x:v>02269447603</x:v>
      </x:c>
      <x:c r="X2955" s="23" t="str">
        <x:v>pablosilva3987@gmail.com</x:v>
      </x:c>
      <x:c r="Y2955" s="22" t="str">
        <x:f>"(67) 99978-6328"</x:f>
        <x:v>(67) 99978-6328</x:v>
      </x:c>
      <x:c r="Z2955" s="30" t="n">
        <x:v>46430</x:v>
      </x:c>
    </x:row>
    <x:row r="2956" ht="18" customHeight="1">
      <x:c r="A2956" s="22" t="str">
        <x:f>"e17fc16a-c9a2-42bc-bf28-bfad02a53850"</x:f>
        <x:v>e17fc16a-c9a2-42bc-bf28-bfad02a53850</x:v>
      </x:c>
      <x:c r="B2956" s="23" t="str">
        <x:v>PABLO RODRIGUES CASTELLO BRANCO</x:v>
      </x:c>
      <x:c r="C2956" s="23" t="str">
        <x:v>pablo rodrigues castello branco</x:v>
      </x:c>
      <x:c r="D2956" s="22" t="str">
        <x:f>"59.851.090/0001-77"</x:f>
        <x:v>59.851.090/0001-77</x:v>
      </x:c>
      <x:c r="E2956" s="22" t="str">
        <x:f>"59851090000177"</x:f>
        <x:v>59851090000177</x:v>
      </x:c>
      <x:c r="F2956" s="22" t="str">
        <x:f>"020.105.036-60"</x:f>
        <x:v>020.105.036-60</x:v>
      </x:c>
      <x:c r="G2956" s="22" t="str">
        <x:f>"02010503660"</x:f>
        <x:v>02010503660</x:v>
      </x:c>
      <x:c r="H2956" s="23" t="str">
        <x:v>pablocastello2014@gmail.com</x:v>
      </x:c>
      <x:c r="I2956" s="22" t="str">
        <x:f>"31994784300"</x:f>
        <x:v>31994784300</x:v>
      </x:c>
      <x:c r="J2956" s="23" t="str">
        <x:v>SPOT</x:v>
      </x:c>
      <x:c r="K2956" s="23" t="str">
        <x:v>favored_only</x:v>
      </x:c>
      <x:c r="L2956" s="24" t="b">
        <x:v>1</x:v>
      </x:c>
      <x:c r="M2956" s="23" t="n">
        <x:v>1</x:v>
      </x:c>
      <x:c r="N2956" s="28" t="n">
        <x:v>46219.812988715275</x:v>
      </x:c>
      <x:c r="O2956" s="28" t="n">
        <x:v>46219.812988715275</x:v>
      </x:c>
      <x:c r="P2956" s="23" t="str">
        <x:v>CONTAGEM</x:v>
      </x:c>
      <x:c r="Q2956" s="30" t="n">
        <x:v>35013</x:v>
      </x:c>
      <x:c r="R2956" s="22" t="str">
        <x:f>"17712030"</x:f>
        <x:v>17712030</x:v>
      </x:c>
      <x:c r="S2956" s="23" t="str">
        <x:v>masculino</x:v>
      </x:c>
      <x:c r="T2956" s="22" t="str">
        <x:f>"OZV0D07"</x:f>
        <x:v>OZV0D07</x:v>
      </x:c>
      <x:c r="U2956" s="23" t="str">
        <x:v>PABLO RODRIGUES CASTELLO BRANCO</x:v>
      </x:c>
      <x:c r="V2956" s="22" t="str">
        <x:f>"020.105.036-60"</x:f>
        <x:v>020.105.036-60</x:v>
      </x:c>
      <x:c r="W2956" s="22" t="str">
        <x:f>"02010503660"</x:f>
        <x:v>02010503660</x:v>
      </x:c>
      <x:c r="X2956" s="23" t="str">
        <x:v>pablocastello2014@gmail.com</x:v>
      </x:c>
      <x:c r="Y2956" s="22" t="str">
        <x:f>"31994784300"</x:f>
        <x:v>31994784300</x:v>
      </x:c>
      <x:c r="Z2956" s="30" t="n">
        <x:v>46463</x:v>
      </x:c>
    </x:row>
    <x:row r="2957" ht="18" customHeight="1">
      <x:c r="A2957" s="22" t="str">
        <x:f>"e737ae3c-8589-467c-a9f7-7afaa891793c"</x:f>
        <x:v>e737ae3c-8589-467c-a9f7-7afaa891793c</x:v>
      </x:c>
      <x:c r="B2957" s="23" t="str">
        <x:v>PABLO VINICIUS MARTINS GIMENES</x:v>
      </x:c>
      <x:c r="C2957" s="23" t="str">
        <x:v>pablo vinicius martins gimenes</x:v>
      </x:c>
      <x:c r="D2957" s="22" t="str">
        <x:f>"42.569.378/0001-50"</x:f>
        <x:v>42.569.378/0001-50</x:v>
      </x:c>
      <x:c r="E2957" s="22" t="str">
        <x:f>"42569378000150"</x:f>
        <x:v>42569378000150</x:v>
      </x:c>
      <x:c r="F2957" s="22" t="str">
        <x:f>"488.967.748-88"</x:f>
        <x:v>488.967.748-88</x:v>
      </x:c>
      <x:c r="G2957" s="22" t="str">
        <x:f>"48896774888"</x:f>
        <x:v>48896774888</x:v>
      </x:c>
      <x:c r="H2957" s="23" t="str">
        <x:v>pablito99143@gmail.com</x:v>
      </x:c>
      <x:c r="I2957" s="22" t="str">
        <x:f>"14997898122"</x:f>
        <x:v>14997898122</x:v>
      </x:c>
      <x:c r="J2957" s="23" t="str">
        <x:v>RENTAL</x:v>
      </x:c>
      <x:c r="K2957" s="23" t="str">
        <x:v>rental_company</x:v>
      </x:c>
      <x:c r="L2957" s="24" t="b">
        <x:v>1</x:v>
      </x:c>
      <x:c r="M2957" s="23" t="n">
        <x:v>1</x:v>
      </x:c>
      <x:c r="N2957" s="28" t="n">
        <x:v>46203.92183017361</x:v>
      </x:c>
      <x:c r="O2957" s="28" t="n">
        <x:v>46219.812988715275</x:v>
      </x:c>
      <x:c r="P2957" s="23" t="str">
        <x:v>MARILIA</x:v>
      </x:c>
      <x:c r="Q2957" s="30" t="n">
        <x:v>36536</x:v>
      </x:c>
      <x:c r="R2957" s="22" t="str">
        <x:f>"52579025"</x:f>
        <x:v>52579025</x:v>
      </x:c>
      <x:c r="S2957" s="23" t="str">
        <x:v>masculino</x:v>
      </x:c>
      <x:c r="T2957" s="22" t="str"/>
      <x:c r="U2957" s="23" t="str">
        <x:v>PABLO VINICIUS MARTINS GIMENES</x:v>
      </x:c>
      <x:c r="V2957" s="22" t="str">
        <x:f>"488.967.748-88"</x:f>
        <x:v>488.967.748-88</x:v>
      </x:c>
      <x:c r="W2957" s="22" t="str">
        <x:f>"48896774888"</x:f>
        <x:v>48896774888</x:v>
      </x:c>
      <x:c r="X2957" s="23" t="str">
        <x:v>pablito99143@gmail.com</x:v>
      </x:c>
      <x:c r="Y2957" s="22" t="str">
        <x:f>"14997898122"</x:f>
        <x:v>14997898122</x:v>
      </x:c>
      <x:c r="Z2957" s="30" t="n">
        <x:v>46375</x:v>
      </x:c>
    </x:row>
    <x:row r="2958" ht="18" customHeight="1">
      <x:c r="A2958" s="22" t="str">
        <x:f>"f7d65fde-23a7-4441-8397-fd671f42e36f"</x:f>
        <x:v>f7d65fde-23a7-4441-8397-fd671f42e36f</x:v>
      </x:c>
      <x:c r="B2958" s="23" t="str">
        <x:v>PABLO VINICIUS MARTINS GIMENES</x:v>
      </x:c>
      <x:c r="C2958" s="23" t="str">
        <x:v>pablo vinicius martins gimenes</x:v>
      </x:c>
      <x:c r="D2958" s="22" t="str">
        <x:f>"65.663.763/0001-68"</x:f>
        <x:v>65.663.763/0001-68</x:v>
      </x:c>
      <x:c r="E2958" s="22" t="str">
        <x:f>"65663763000168"</x:f>
        <x:v>65663763000168</x:v>
      </x:c>
      <x:c r="F2958" s="22" t="str">
        <x:f>"488.967.748-88"</x:f>
        <x:v>488.967.748-88</x:v>
      </x:c>
      <x:c r="G2958" s="22" t="str">
        <x:f>"48896774888"</x:f>
        <x:v>48896774888</x:v>
      </x:c>
      <x:c r="H2958" s="23" t="str">
        <x:v>pablito99143@gmail.com</x:v>
      </x:c>
      <x:c r="I2958" s="22" t="str">
        <x:f>"(14)99772-9376"</x:f>
        <x:v>(14)99772-9376</x:v>
      </x:c>
      <x:c r="J2958" s="23" t="str">
        <x:v>DESCONHECIDO</x:v>
      </x:c>
      <x:c r="K2958" s="23" t="str">
        <x:v>favored_only</x:v>
      </x:c>
      <x:c r="L2958" s="24" t="b">
        <x:v>1</x:v>
      </x:c>
      <x:c r="M2958" s="23" t="n">
        <x:v>1</x:v>
      </x:c>
      <x:c r="N2958" s="28" t="n">
        <x:v>46219.812988715275</x:v>
      </x:c>
      <x:c r="O2958" s="28" t="n">
        <x:v>46219.812988715275</x:v>
      </x:c>
      <x:c r="P2958" s="23" t="str">
        <x:v>MARILIA</x:v>
      </x:c>
      <x:c r="Q2958" s="30" t="str"/>
      <x:c r="R2958" s="22" t="str">
        <x:f>"52579025"</x:f>
        <x:v>52579025</x:v>
      </x:c>
      <x:c r="S2958" s="23" t="str">
        <x:v>masculino</x:v>
      </x:c>
      <x:c r="T2958" s="22" t="str"/>
      <x:c r="U2958" s="23" t="str">
        <x:v>PABLO VINICIUS MARTINS GIMENES</x:v>
      </x:c>
      <x:c r="V2958" s="22" t="str">
        <x:f>"488.967.748-88"</x:f>
        <x:v>488.967.748-88</x:v>
      </x:c>
      <x:c r="W2958" s="22" t="str">
        <x:f>"48896774888"</x:f>
        <x:v>48896774888</x:v>
      </x:c>
      <x:c r="X2958" s="23" t="str">
        <x:v>pablito99143@gmail.com</x:v>
      </x:c>
      <x:c r="Y2958" s="22" t="str">
        <x:f>"(14)99772-9376"</x:f>
        <x:v>(14)99772-9376</x:v>
      </x:c>
      <x:c r="Z2958" s="30" t="n">
        <x:v>46490</x:v>
      </x:c>
    </x:row>
    <x:row r="2959" ht="18" customHeight="1">
      <x:c r="A2959" s="22" t="str">
        <x:f>"2dd42903-3ba2-4ebe-9bca-11ed6ea334a4"</x:f>
        <x:v>2dd42903-3ba2-4ebe-9bca-11ed6ea334a4</x:v>
      </x:c>
      <x:c r="B2959" s="23" t="str">
        <x:v>PABLO VINICIUS SILVA SANTOS</x:v>
      </x:c>
      <x:c r="C2959" s="23" t="str">
        <x:v>pablo vinicius silva santos</x:v>
      </x:c>
      <x:c r="D2959" s="22" t="str">
        <x:f>"64.894.013/0001-34"</x:f>
        <x:v>64.894.013/0001-34</x:v>
      </x:c>
      <x:c r="E2959" s="22" t="str">
        <x:f>"64894013000134"</x:f>
        <x:v>64894013000134</x:v>
      </x:c>
      <x:c r="F2959" s="22" t="str">
        <x:f>"143.532.986-40"</x:f>
        <x:v>143.532.986-40</x:v>
      </x:c>
      <x:c r="G2959" s="22" t="str">
        <x:f>"14353298640"</x:f>
        <x:v>14353298640</x:v>
      </x:c>
      <x:c r="H2959" s="23" t="str">
        <x:v>pabloviniciusilva2@hotmail.com</x:v>
      </x:c>
      <x:c r="I2959" s="22" t="str">
        <x:f>"31994937864"</x:f>
        <x:v>31994937864</x:v>
      </x:c>
      <x:c r="J2959" s="23" t="str">
        <x:v>SPOT</x:v>
      </x:c>
      <x:c r="K2959" s="23" t="str">
        <x:v>favored_only</x:v>
      </x:c>
      <x:c r="L2959" s="24" t="b">
        <x:v>1</x:v>
      </x:c>
      <x:c r="M2959" s="23" t="n">
        <x:v>1</x:v>
      </x:c>
      <x:c r="N2959" s="28" t="n">
        <x:v>46219.812988715275</x:v>
      </x:c>
      <x:c r="O2959" s="28" t="n">
        <x:v>46219.812988715275</x:v>
      </x:c>
      <x:c r="P2959" s="23" t="str">
        <x:v>NOVA LIMA</x:v>
      </x:c>
      <x:c r="Q2959" s="30" t="n">
        <x:v>37796</x:v>
      </x:c>
      <x:c r="R2959" s="22" t="str">
        <x:f>"8138595547"</x:f>
        <x:v>8138595547</x:v>
      </x:c>
      <x:c r="S2959" s="23" t="str">
        <x:v>masculino</x:v>
      </x:c>
      <x:c r="T2959" s="22" t="str">
        <x:f>"SYP0J19"</x:f>
        <x:v>SYP0J19</x:v>
      </x:c>
      <x:c r="U2959" s="23" t="str">
        <x:v>PABLO VINICIUS SILVA SANTOS</x:v>
      </x:c>
      <x:c r="V2959" s="22" t="str">
        <x:f>"143.532.986-40"</x:f>
        <x:v>143.532.986-40</x:v>
      </x:c>
      <x:c r="W2959" s="22" t="str">
        <x:f>"14353298640"</x:f>
        <x:v>14353298640</x:v>
      </x:c>
      <x:c r="X2959" s="23" t="str">
        <x:v>pabloviniciusilva2@hotmail.com</x:v>
      </x:c>
      <x:c r="Y2959" s="22" t="str">
        <x:f>"31994937864"</x:f>
        <x:v>31994937864</x:v>
      </x:c>
      <x:c r="Z2959" s="30" t="n">
        <x:v>46488</x:v>
      </x:c>
    </x:row>
    <x:row r="2960" ht="18" customHeight="1">
      <x:c r="A2960" s="22" t="str">
        <x:f>"8ca97abf-d878-4007-a11d-ead77f54ccbc"</x:f>
        <x:v>8ca97abf-d878-4007-a11d-ead77f54ccbc</x:v>
      </x:c>
      <x:c r="B2960" s="23" t="str">
        <x:v>PABLO WENDEL DE SOUZA OLIVEIRA</x:v>
      </x:c>
      <x:c r="C2960" s="23" t="str">
        <x:v>pablo wendel de souza oliveira</x:v>
      </x:c>
      <x:c r="D2960" s="22" t="str">
        <x:f>"60.166.231/0001-00"</x:f>
        <x:v>60.166.231/0001-00</x:v>
      </x:c>
      <x:c r="E2960" s="22" t="str">
        <x:f>"60166231000100"</x:f>
        <x:v>60166231000100</x:v>
      </x:c>
      <x:c r="F2960" s="22" t="str">
        <x:f>"138.777.976-10"</x:f>
        <x:v>138.777.976-10</x:v>
      </x:c>
      <x:c r="G2960" s="22" t="str">
        <x:f>"13877797610"</x:f>
        <x:v>13877797610</x:v>
      </x:c>
      <x:c r="H2960" s="23" t="str">
        <x:v>pablowar8@gmail.com</x:v>
      </x:c>
      <x:c r="I2960" s="22" t="str">
        <x:f>"33999850449"</x:f>
        <x:v>33999850449</x:v>
      </x:c>
      <x:c r="J2960" s="23" t="str">
        <x:v>SPOT</x:v>
      </x:c>
      <x:c r="K2960" s="23" t="str">
        <x:v>favored_only</x:v>
      </x:c>
      <x:c r="L2960" s="24" t="b">
        <x:v>1</x:v>
      </x:c>
      <x:c r="M2960" s="23" t="n">
        <x:v>1</x:v>
      </x:c>
      <x:c r="N2960" s="28" t="n">
        <x:v>46205.60100108796</x:v>
      </x:c>
      <x:c r="O2960" s="28" t="n">
        <x:v>46219.812988715275</x:v>
      </x:c>
      <x:c r="P2960" s="23" t="str">
        <x:v>GUANHAES</x:v>
      </x:c>
      <x:c r="Q2960" s="30" t="n">
        <x:v>35351</x:v>
      </x:c>
      <x:c r="R2960" s="22" t="str">
        <x:f>"20269515"</x:f>
        <x:v>20269515</x:v>
      </x:c>
      <x:c r="S2960" s="23" t="str">
        <x:v>masculino</x:v>
      </x:c>
      <x:c r="T2960" s="22" t="str">
        <x:f>"HKH1G47"</x:f>
        <x:v>HKH1G47</x:v>
      </x:c>
      <x:c r="U2960" s="23" t="str">
        <x:v>JORGE LUIZ GONCALVES DE SOUZA</x:v>
      </x:c>
      <x:c r="V2960" s="22" t="str">
        <x:f>"138.778.056-55"</x:f>
        <x:v>138.778.056-55</x:v>
      </x:c>
      <x:c r="W2960" s="22" t="str">
        <x:f>"13877805655"</x:f>
        <x:v>13877805655</x:v>
      </x:c>
      <x:c r="X2960" s="23" t="str">
        <x:v>jorgeluizsz1321@gmail.com</x:v>
      </x:c>
      <x:c r="Y2960" s="22" t="str">
        <x:f>"33999850449"</x:f>
        <x:v>33999850449</x:v>
      </x:c>
      <x:c r="Z2960" s="30" t="n">
        <x:v>46570</x:v>
      </x:c>
    </x:row>
    <x:row r="2961" ht="18" customHeight="1">
      <x:c r="A2961" s="22" t="str">
        <x:f>"87f5e46e-efe3-430a-9e4f-f3c595f1e568"</x:f>
        <x:v>87f5e46e-efe3-430a-9e4f-f3c595f1e568</x:v>
      </x:c>
      <x:c r="B2961" s="23" t="str">
        <x:v>PALOMA CRISTINA PEREIRA MORAIS</x:v>
      </x:c>
      <x:c r="C2961" s="23" t="str">
        <x:v>paloma cristina pereira morais</x:v>
      </x:c>
      <x:c r="D2961" s="22" t="str">
        <x:f>"53.330.625/0001-88"</x:f>
        <x:v>53.330.625/0001-88</x:v>
      </x:c>
      <x:c r="E2961" s="22" t="str">
        <x:f>"53330625000188"</x:f>
        <x:v>53330625000188</x:v>
      </x:c>
      <x:c r="F2961" s="22" t="str">
        <x:f>"131.310.666-60"</x:f>
        <x:v>131.310.666-60</x:v>
      </x:c>
      <x:c r="G2961" s="22" t="str">
        <x:f>"13131066660"</x:f>
        <x:v>13131066660</x:v>
      </x:c>
      <x:c r="H2961" s="23" t="str">
        <x:v>palomacris7884@gmail.com</x:v>
      </x:c>
      <x:c r="I2961" s="22" t="str">
        <x:f>"31986820128"</x:f>
        <x:v>31986820128</x:v>
      </x:c>
      <x:c r="J2961" s="23" t="str">
        <x:v>SPOT</x:v>
      </x:c>
      <x:c r="K2961" s="23" t="str">
        <x:v>favored_only</x:v>
      </x:c>
      <x:c r="L2961" s="24" t="b">
        <x:v>1</x:v>
      </x:c>
      <x:c r="M2961" s="23" t="n">
        <x:v>1</x:v>
      </x:c>
      <x:c r="N2961" s="28" t="n">
        <x:v>46203.921887453704</x:v>
      </x:c>
      <x:c r="O2961" s="28" t="n">
        <x:v>46219.812988715275</x:v>
      </x:c>
      <x:c r="P2961" s="23" t="str">
        <x:v>CONTAGEM</x:v>
      </x:c>
      <x:c r="Q2961" s="30" t="n">
        <x:v>35381</x:v>
      </x:c>
      <x:c r="R2961" s="22" t="str">
        <x:f>"13545817"</x:f>
        <x:v>13545817</x:v>
      </x:c>
      <x:c r="S2961" s="23" t="str">
        <x:v>masculino</x:v>
      </x:c>
      <x:c r="T2961" s="22" t="str">
        <x:f>"HLQ8I34"</x:f>
        <x:v>HLQ8I34</x:v>
      </x:c>
      <x:c r="U2961" s="23" t="str">
        <x:v>PALOMA CRISTINA PEREIRA MORAIS</x:v>
      </x:c>
      <x:c r="V2961" s="22" t="str">
        <x:f>"131.310.666-60"</x:f>
        <x:v>131.310.666-60</x:v>
      </x:c>
      <x:c r="W2961" s="22" t="str">
        <x:f>"13131066660"</x:f>
        <x:v>13131066660</x:v>
      </x:c>
      <x:c r="X2961" s="23" t="str">
        <x:v>palomacris7884@gmail.com</x:v>
      </x:c>
      <x:c r="Y2961" s="22" t="str">
        <x:f>"31986820128"</x:f>
        <x:v>31986820128</x:v>
      </x:c>
      <x:c r="Z2961" s="30" t="n">
        <x:v>46331</x:v>
      </x:c>
    </x:row>
    <x:row r="2962" ht="18" customHeight="1">
      <x:c r="A2962" s="22" t="str">
        <x:f>"ed806218-fdab-4581-a590-b387e4e2f844"</x:f>
        <x:v>ed806218-fdab-4581-a590-b387e4e2f844</x:v>
      </x:c>
      <x:c r="B2962" s="23" t="str">
        <x:v>PAMELA CRISTINI DE SOUSA VIANA</x:v>
      </x:c>
      <x:c r="C2962" s="23" t="str">
        <x:v>pamela cristini de sousa viana</x:v>
      </x:c>
      <x:c r="D2962" s="22" t="str">
        <x:f>"63.801.163/0001-93"</x:f>
        <x:v>63.801.163/0001-93</x:v>
      </x:c>
      <x:c r="E2962" s="22" t="str">
        <x:f>"63801163000193"</x:f>
        <x:v>63801163000193</x:v>
      </x:c>
      <x:c r="F2962" s="22" t="str">
        <x:f>"144.096.897-70"</x:f>
        <x:v>144.096.897-70</x:v>
      </x:c>
      <x:c r="G2962" s="22" t="str">
        <x:f>"14409689770"</x:f>
        <x:v>14409689770</x:v>
      </x:c>
      <x:c r="H2962" s="23" t="str">
        <x:v>Pamela.criis@gmail.com</x:v>
      </x:c>
      <x:c r="I2962" s="22" t="str">
        <x:f>"21 98076-6712"</x:f>
        <x:v>21 98076-6712</x:v>
      </x:c>
      <x:c r="J2962" s="23" t="str">
        <x:v>SPOT</x:v>
      </x:c>
      <x:c r="K2962" s="23" t="str">
        <x:v>favored_only</x:v>
      </x:c>
      <x:c r="L2962" s="24" t="b">
        <x:v>1</x:v>
      </x:c>
      <x:c r="M2962" s="23" t="n">
        <x:v>1</x:v>
      </x:c>
      <x:c r="N2962" s="28" t="n">
        <x:v>46219.812988715275</x:v>
      </x:c>
      <x:c r="O2962" s="28" t="n">
        <x:v>46219.812988715275</x:v>
      </x:c>
      <x:c r="P2962" s="23" t="str">
        <x:v>CORDOVIL</x:v>
      </x:c>
      <x:c r="Q2962" s="30" t="n">
        <x:v>34013</x:v>
      </x:c>
      <x:c r="R2962" s="22" t="str">
        <x:f>"25.482.694-4"</x:f>
        <x:v>25.482.694-4</x:v>
      </x:c>
      <x:c r="S2962" s="23" t="str">
        <x:v>feminino</x:v>
      </x:c>
      <x:c r="T2962" s="22" t="str">
        <x:f>"RNP2G76"</x:f>
        <x:v>RNP2G76</x:v>
      </x:c>
      <x:c r="U2962" s="23" t="str">
        <x:v>PAMELA CRISTINI DE SOUSA VIANA</x:v>
      </x:c>
      <x:c r="V2962" s="22" t="str">
        <x:f>"144.096.897-70"</x:f>
        <x:v>144.096.897-70</x:v>
      </x:c>
      <x:c r="W2962" s="22" t="str">
        <x:f>"14409689770"</x:f>
        <x:v>14409689770</x:v>
      </x:c>
      <x:c r="X2962" s="23" t="str">
        <x:v>Pamela.criis@gmail.com</x:v>
      </x:c>
      <x:c r="Y2962" s="22" t="str">
        <x:f>"21 98076-6712"</x:f>
        <x:v>21 98076-6712</x:v>
      </x:c>
      <x:c r="Z2962" s="30" t="n">
        <x:v>46521</x:v>
      </x:c>
    </x:row>
    <x:row r="2963" ht="18" customHeight="1">
      <x:c r="A2963" s="22" t="str">
        <x:f>"783c9ede-3b80-496b-9c74-3bb31f0521af"</x:f>
        <x:v>783c9ede-3b80-496b-9c74-3bb31f0521af</x:v>
      </x:c>
      <x:c r="B2963" s="23" t="str">
        <x:v>PAMELA PRISCILA LIMA BUIATI</x:v>
      </x:c>
      <x:c r="C2963" s="23" t="str">
        <x:v>pamela priscila lima buiati</x:v>
      </x:c>
      <x:c r="D2963" s="22" t="str">
        <x:f>"63.365.755/0001-00"</x:f>
        <x:v>63.365.755/0001-00</x:v>
      </x:c>
      <x:c r="E2963" s="22" t="str">
        <x:f>"63365755000100"</x:f>
        <x:v>63365755000100</x:v>
      </x:c>
      <x:c r="F2963" s="22" t="str">
        <x:f>"109.457.326-43"</x:f>
        <x:v>109.457.326-43</x:v>
      </x:c>
      <x:c r="G2963" s="22" t="str">
        <x:f>"10945732643"</x:f>
        <x:v>10945732643</x:v>
      </x:c>
      <x:c r="H2963" s="23" t="str">
        <x:v>pepelimabuiati@gmail.com</x:v>
      </x:c>
      <x:c r="I2963" s="22" t="str">
        <x:f>"34998948497"</x:f>
        <x:v>34998948497</x:v>
      </x:c>
      <x:c r="J2963" s="23" t="str">
        <x:v>RENTAL</x:v>
      </x:c>
      <x:c r="K2963" s="23" t="str">
        <x:v>rental_company</x:v>
      </x:c>
      <x:c r="L2963" s="24" t="b">
        <x:v>1</x:v>
      </x:c>
      <x:c r="M2963" s="23" t="n">
        <x:v>1</x:v>
      </x:c>
      <x:c r="N2963" s="28" t="n">
        <x:v>46203.92188238426</x:v>
      </x:c>
      <x:c r="O2963" s="28" t="n">
        <x:v>46219.812988715275</x:v>
      </x:c>
      <x:c r="P2963" s="23" t="str">
        <x:v>UBERLANDIA</x:v>
      </x:c>
      <x:c r="Q2963" s="30" t="n">
        <x:v>33552</x:v>
      </x:c>
      <x:c r="R2963" s="22" t="str">
        <x:f>"17424077"</x:f>
        <x:v>17424077</x:v>
      </x:c>
      <x:c r="S2963" s="23" t="str">
        <x:v>feminino</x:v>
      </x:c>
      <x:c r="T2963" s="22" t="str"/>
      <x:c r="U2963" s="23" t="str">
        <x:v>PAMELA PRISCILA LIMA BUIATI</x:v>
      </x:c>
      <x:c r="V2963" s="22" t="str">
        <x:f>"109.457.326-43"</x:f>
        <x:v>109.457.326-43</x:v>
      </x:c>
      <x:c r="W2963" s="22" t="str">
        <x:f>"10945732643"</x:f>
        <x:v>10945732643</x:v>
      </x:c>
      <x:c r="X2963" s="23" t="str">
        <x:v>pepelimabuiati@gmail.com</x:v>
      </x:c>
      <x:c r="Y2963" s="22" t="str">
        <x:f>"34998948497"</x:f>
        <x:v>34998948497</x:v>
      </x:c>
      <x:c r="Z2963" s="30" t="n">
        <x:v>46323</x:v>
      </x:c>
    </x:row>
    <x:row r="2964" ht="18" customHeight="1">
      <x:c r="A2964" s="22" t="str">
        <x:f>"327647cf-762f-48d3-ad36-eb93af2ad19a"</x:f>
        <x:v>327647cf-762f-48d3-ad36-eb93af2ad19a</x:v>
      </x:c>
      <x:c r="B2964" s="23" t="str">
        <x:v>PAMELA SANTOS RATELLI</x:v>
      </x:c>
      <x:c r="C2964" s="23" t="str">
        <x:v>pamela santos ratelli</x:v>
      </x:c>
      <x:c r="D2964" s="22" t="str">
        <x:f>"64.957.693/0001-98"</x:f>
        <x:v>64.957.693/0001-98</x:v>
      </x:c>
      <x:c r="E2964" s="22" t="str">
        <x:f>"64957693000198"</x:f>
        <x:v>64957693000198</x:v>
      </x:c>
      <x:c r="F2964" s="22" t="str">
        <x:f>"105.796.476-09"</x:f>
        <x:v>105.796.476-09</x:v>
      </x:c>
      <x:c r="G2964" s="22" t="str">
        <x:f>"10579647609"</x:f>
        <x:v>10579647609</x:v>
      </x:c>
      <x:c r="H2964" s="23" t="str">
        <x:v>psratelli@gmail.com</x:v>
      </x:c>
      <x:c r="I2964" s="22" t="str">
        <x:f>"34999638484"</x:f>
        <x:v>34999638484</x:v>
      </x:c>
      <x:c r="J2964" s="23" t="str">
        <x:v>RENTAL</x:v>
      </x:c>
      <x:c r="K2964" s="23" t="str">
        <x:v>rental_company</x:v>
      </x:c>
      <x:c r="L2964" s="24" t="b">
        <x:v>1</x:v>
      </x:c>
      <x:c r="M2964" s="23" t="n">
        <x:v>1</x:v>
      </x:c>
      <x:c r="N2964" s="28" t="n">
        <x:v>46219.812988715275</x:v>
      </x:c>
      <x:c r="O2964" s="28" t="n">
        <x:v>46219.812988715275</x:v>
      </x:c>
      <x:c r="P2964" s="23" t="str">
        <x:v>TEOFILO OTONI</x:v>
      </x:c>
      <x:c r="Q2964" s="30" t="n">
        <x:v>33513</x:v>
      </x:c>
      <x:c r="R2964" s="22" t="str">
        <x:f>"16183024"</x:f>
        <x:v>16183024</x:v>
      </x:c>
      <x:c r="S2964" s="23" t="str">
        <x:v>feminino</x:v>
      </x:c>
      <x:c r="T2964" s="22" t="str"/>
      <x:c r="U2964" s="23" t="str">
        <x:v>PAMELA SANTOS RATELLI</x:v>
      </x:c>
      <x:c r="V2964" s="22" t="str">
        <x:f>"105.796.476-09"</x:f>
        <x:v>105.796.476-09</x:v>
      </x:c>
      <x:c r="W2964" s="22" t="str">
        <x:f>"10579647609"</x:f>
        <x:v>10579647609</x:v>
      </x:c>
      <x:c r="X2964" s="23" t="str">
        <x:v>psratelli@gmail.com</x:v>
      </x:c>
      <x:c r="Y2964" s="22" t="str">
        <x:f>"34999638484"</x:f>
        <x:v>34999638484</x:v>
      </x:c>
      <x:c r="Z2964" s="30" t="n">
        <x:v>46427</x:v>
      </x:c>
    </x:row>
    <x:row r="2965" ht="18" customHeight="1">
      <x:c r="A2965" s="22" t="str">
        <x:f>"e416d5bf-6a0a-4adc-b29e-bf18c5f6b872"</x:f>
        <x:v>e416d5bf-6a0a-4adc-b29e-bf18c5f6b872</x:v>
      </x:c>
      <x:c r="B2965" s="23" t="str">
        <x:v>PAMELA TALYTA DE MOURA</x:v>
      </x:c>
      <x:c r="C2965" s="23" t="str">
        <x:v>pamela talyta de moura</x:v>
      </x:c>
      <x:c r="D2965" s="22" t="str">
        <x:f>"50.880.825/0001-16"</x:f>
        <x:v>50.880.825/0001-16</x:v>
      </x:c>
      <x:c r="E2965" s="22" t="str">
        <x:f>"50880825000116"</x:f>
        <x:v>50880825000116</x:v>
      </x:c>
      <x:c r="F2965" s="22" t="str">
        <x:f>"061.434.241-44"</x:f>
        <x:v>061.434.241-44</x:v>
      </x:c>
      <x:c r="G2965" s="22" t="str">
        <x:f>"06143424144"</x:f>
        <x:v>06143424144</x:v>
      </x:c>
      <x:c r="H2965" s="23" t="str">
        <x:v>pamelamouracpa@gmail.com</x:v>
      </x:c>
      <x:c r="I2965" s="22" t="str">
        <x:f>"65999865549"</x:f>
        <x:v>65999865549</x:v>
      </x:c>
      <x:c r="J2965" s="23" t="str">
        <x:v>RENTAL</x:v>
      </x:c>
      <x:c r="K2965" s="23" t="str">
        <x:v>rental_company</x:v>
      </x:c>
      <x:c r="L2965" s="24" t="b">
        <x:v>1</x:v>
      </x:c>
      <x:c r="M2965" s="23" t="n">
        <x:v>1</x:v>
      </x:c>
      <x:c r="N2965" s="28" t="n">
        <x:v>46203.921887453704</x:v>
      </x:c>
      <x:c r="O2965" s="28" t="n">
        <x:v>46219.812988715275</x:v>
      </x:c>
      <x:c r="P2965" s="23" t="str">
        <x:v>CUIABA</x:v>
      </x:c>
      <x:c r="Q2965" s="30" t="n">
        <x:v>35504</x:v>
      </x:c>
      <x:c r="R2965" s="22" t="str">
        <x:f>"2455858-3"</x:f>
        <x:v>2455858-3</x:v>
      </x:c>
      <x:c r="S2965" s="23" t="str">
        <x:v>masculino</x:v>
      </x:c>
      <x:c r="T2965" s="22" t="str"/>
      <x:c r="U2965" s="23" t="str">
        <x:v>PAMELA TALYTA DE MOURA</x:v>
      </x:c>
      <x:c r="V2965" s="22" t="str">
        <x:f>"061.434.241-44"</x:f>
        <x:v>061.434.241-44</x:v>
      </x:c>
      <x:c r="W2965" s="22" t="str">
        <x:f>"06143424144"</x:f>
        <x:v>06143424144</x:v>
      </x:c>
      <x:c r="X2965" s="23" t="str">
        <x:v>pamelamouracpa@gmail.com</x:v>
      </x:c>
      <x:c r="Y2965" s="22" t="str">
        <x:f>"65999865549"</x:f>
        <x:v>65999865549</x:v>
      </x:c>
      <x:c r="Z2965" s="30" t="n">
        <x:v>46330</x:v>
      </x:c>
    </x:row>
    <x:row r="2966" ht="18" customHeight="1">
      <x:c r="A2966" s="22" t="str">
        <x:f>"ea8a41b3-7f5e-4218-a2a1-32f0fe045b8a"</x:f>
        <x:v>ea8a41b3-7f5e-4218-a2a1-32f0fe045b8a</x:v>
      </x:c>
      <x:c r="B2966" s="23" t="str">
        <x:v>PAMELA TALYTA DE MOURA</x:v>
      </x:c>
      <x:c r="C2966" s="23" t="str">
        <x:v>pamela talyta de moura</x:v>
      </x:c>
      <x:c r="D2966" s="22" t="str">
        <x:f>"49.923.282/0001-98"</x:f>
        <x:v>49.923.282/0001-98</x:v>
      </x:c>
      <x:c r="E2966" s="22" t="str">
        <x:f>"49923282000198"</x:f>
        <x:v>49923282000198</x:v>
      </x:c>
      <x:c r="F2966" s="22" t="str">
        <x:f>"061.434.241-44"</x:f>
        <x:v>061.434.241-44</x:v>
      </x:c>
      <x:c r="G2966" s="22" t="str">
        <x:f>"06143424144"</x:f>
        <x:v>06143424144</x:v>
      </x:c>
      <x:c r="H2966" s="23" t="str">
        <x:v>pamelamouracpa@gmail.com</x:v>
      </x:c>
      <x:c r="I2966" s="22" t="str">
        <x:f>"65999865549"</x:f>
        <x:v>65999865549</x:v>
      </x:c>
      <x:c r="J2966" s="23" t="str">
        <x:v>RENTAL</x:v>
      </x:c>
      <x:c r="K2966" s="23" t="str">
        <x:v>rental_company</x:v>
      </x:c>
      <x:c r="L2966" s="24" t="b">
        <x:v>1</x:v>
      </x:c>
      <x:c r="M2966" s="23" t="n">
        <x:v>1</x:v>
      </x:c>
      <x:c r="N2966" s="28" t="n">
        <x:v>46203.921887453704</x:v>
      </x:c>
      <x:c r="O2966" s="28" t="n">
        <x:v>46219.812988715275</x:v>
      </x:c>
      <x:c r="P2966" s="23" t="str">
        <x:v>CUIABA</x:v>
      </x:c>
      <x:c r="Q2966" s="30" t="n">
        <x:v>35504</x:v>
      </x:c>
      <x:c r="R2966" s="22" t="str">
        <x:f>"24558583"</x:f>
        <x:v>24558583</x:v>
      </x:c>
      <x:c r="S2966" s="23" t="str">
        <x:v>feminino</x:v>
      </x:c>
      <x:c r="T2966" s="22" t="str"/>
      <x:c r="U2966" s="23" t="str">
        <x:v>PAMELA TALYTA DE MOURA</x:v>
      </x:c>
      <x:c r="V2966" s="22" t="str">
        <x:f>"061.434.241-44"</x:f>
        <x:v>061.434.241-44</x:v>
      </x:c>
      <x:c r="W2966" s="22" t="str">
        <x:f>"06143424144"</x:f>
        <x:v>06143424144</x:v>
      </x:c>
      <x:c r="X2966" s="23" t="str">
        <x:v>pamelamouracpa@gmail.com</x:v>
      </x:c>
      <x:c r="Y2966" s="22" t="str">
        <x:f>"65999865549"</x:f>
        <x:v>65999865549</x:v>
      </x:c>
      <x:c r="Z2966" s="30" t="n">
        <x:v>46330</x:v>
      </x:c>
    </x:row>
    <x:row r="2967" ht="18" customHeight="1">
      <x:c r="A2967" s="22" t="str">
        <x:f>"0c33bf3d-37dc-467c-82b0-6c96edba7956"</x:f>
        <x:v>0c33bf3d-37dc-467c-82b0-6c96edba7956</x:v>
      </x:c>
      <x:c r="B2967" s="23" t="str">
        <x:v>PAOLA COIMBRA DE SOUZA</x:v>
      </x:c>
      <x:c r="C2967" s="23" t="str">
        <x:v>paola coimbra de souza</x:v>
      </x:c>
      <x:c r="D2967" s="22" t="str">
        <x:f>"59.811.114/0001-64"</x:f>
        <x:v>59.811.114/0001-64</x:v>
      </x:c>
      <x:c r="E2967" s="22" t="str">
        <x:f>"59811114000164"</x:f>
        <x:v>59811114000164</x:v>
      </x:c>
      <x:c r="F2967" s="22" t="str">
        <x:f>"160.563.696-76"</x:f>
        <x:v>160.563.696-76</x:v>
      </x:c>
      <x:c r="G2967" s="22" t="str">
        <x:f>"16056369676"</x:f>
        <x:v>16056369676</x:v>
      </x:c>
      <x:c r="H2967" s="23" t="str">
        <x:v>paolacoimbra1234@gmail.com</x:v>
      </x:c>
      <x:c r="I2967" s="22" t="str">
        <x:f>"(33) 99968-4063"</x:f>
        <x:v>(33) 99968-4063</x:v>
      </x:c>
      <x:c r="J2967" s="23" t="str">
        <x:v>SPOT</x:v>
      </x:c>
      <x:c r="K2967" s="23" t="str">
        <x:v>favored_only</x:v>
      </x:c>
      <x:c r="L2967" s="24" t="b">
        <x:v>1</x:v>
      </x:c>
      <x:c r="M2967" s="23" t="n">
        <x:v>1</x:v>
      </x:c>
      <x:c r="N2967" s="28" t="n">
        <x:v>46205.60428997685</x:v>
      </x:c>
      <x:c r="O2967" s="28" t="n">
        <x:v>46219.812988715275</x:v>
      </x:c>
      <x:c r="P2967" s="23" t="str">
        <x:v>TEOFILO OTONI</x:v>
      </x:c>
      <x:c r="Q2967" s="30" t="n">
        <x:v>38572</x:v>
      </x:c>
      <x:c r="R2967" s="22" t="str">
        <x:f>"22299710"</x:f>
        <x:v>22299710</x:v>
      </x:c>
      <x:c r="S2967" s="23" t="str">
        <x:v>feminino</x:v>
      </x:c>
      <x:c r="T2967" s="22" t="str">
        <x:f>"OWV7433"</x:f>
        <x:v>OWV7433</x:v>
      </x:c>
      <x:c r="U2967" s="23" t="str">
        <x:v>ANTONIO CARLOS COELHO RAMOS</x:v>
      </x:c>
      <x:c r="V2967" s="22" t="str">
        <x:f>"704.892.846-80"</x:f>
        <x:v>704.892.846-80</x:v>
      </x:c>
      <x:c r="W2967" s="22" t="str">
        <x:f>"70489284680"</x:f>
        <x:v>70489284680</x:v>
      </x:c>
      <x:c r="X2967" s="23" t="str">
        <x:v>accrto19@gmail.com</x:v>
      </x:c>
      <x:c r="Y2967" s="22" t="str">
        <x:f>"(33) 99943-0626"</x:f>
        <x:v>(33) 99943-0626</x:v>
      </x:c>
      <x:c r="Z2967" s="30" t="n">
        <x:v>46266</x:v>
      </x:c>
    </x:row>
    <x:row r="2968" ht="18" customHeight="1">
      <x:c r="A2968" s="22" t="str">
        <x:f>"693579a6-906a-43b2-881f-39db21e19c85"</x:f>
        <x:v>693579a6-906a-43b2-881f-39db21e19c85</x:v>
      </x:c>
      <x:c r="B2968" s="23" t="str">
        <x:v>PAOLA COIMBRA DE SOUZA</x:v>
      </x:c>
      <x:c r="C2968" s="23" t="str">
        <x:v>paola coimbra de souza</x:v>
      </x:c>
      <x:c r="D2968" s="22" t="str">
        <x:f>"62.649.483/0001-07"</x:f>
        <x:v>62.649.483/0001-07</x:v>
      </x:c>
      <x:c r="E2968" s="22" t="str">
        <x:f>"62649483000107"</x:f>
        <x:v>62649483000107</x:v>
      </x:c>
      <x:c r="F2968" s="22" t="str">
        <x:f>"160.563.696-76"</x:f>
        <x:v>160.563.696-76</x:v>
      </x:c>
      <x:c r="G2968" s="22" t="str">
        <x:f>"16056369676"</x:f>
        <x:v>16056369676</x:v>
      </x:c>
      <x:c r="H2968" s="23" t="str">
        <x:v>paolacoimbra1234@gmail.com</x:v>
      </x:c>
      <x:c r="I2968" s="22" t="str">
        <x:f>"(33) 99968-4063"</x:f>
        <x:v>(33) 99968-4063</x:v>
      </x:c>
      <x:c r="J2968" s="23" t="str">
        <x:v>SPOT</x:v>
      </x:c>
      <x:c r="K2968" s="23" t="str">
        <x:v>favored_only</x:v>
      </x:c>
      <x:c r="L2968" s="24" t="b">
        <x:v>1</x:v>
      </x:c>
      <x:c r="M2968" s="23" t="n">
        <x:v>1</x:v>
      </x:c>
      <x:c r="N2968" s="28" t="n">
        <x:v>46203.92186888889</x:v>
      </x:c>
      <x:c r="O2968" s="28" t="n">
        <x:v>46219.812988715275</x:v>
      </x:c>
      <x:c r="P2968" s="23" t="str">
        <x:v>TEOFILO OTONI</x:v>
      </x:c>
      <x:c r="Q2968" s="30" t="n">
        <x:v>38572</x:v>
      </x:c>
      <x:c r="R2968" s="22" t="str">
        <x:f>"22299710"</x:f>
        <x:v>22299710</x:v>
      </x:c>
      <x:c r="S2968" s="23" t="str">
        <x:v>feminino</x:v>
      </x:c>
      <x:c r="T2968" s="22" t="str">
        <x:f>"OWV7433"</x:f>
        <x:v>OWV7433</x:v>
      </x:c>
      <x:c r="U2968" s="23" t="str">
        <x:v>PAOLA COIMBRA DE SOUZA</x:v>
      </x:c>
      <x:c r="V2968" s="22" t="str">
        <x:f>"160.563.696-76"</x:f>
        <x:v>160.563.696-76</x:v>
      </x:c>
      <x:c r="W2968" s="22" t="str">
        <x:f>"16056369676"</x:f>
        <x:v>16056369676</x:v>
      </x:c>
      <x:c r="X2968" s="23" t="str">
        <x:v>paolacoimbra1234@gmail.com</x:v>
      </x:c>
      <x:c r="Y2968" s="22" t="str">
        <x:f>"(33) 99968-4063"</x:f>
        <x:v>(33) 99968-4063</x:v>
      </x:c>
      <x:c r="Z2968" s="30" t="n">
        <x:v>46297</x:v>
      </x:c>
    </x:row>
    <x:row r="2969" ht="18" customHeight="1">
      <x:c r="A2969" s="22" t="str">
        <x:f>"48d22c4c-bb0e-4ab4-af8b-67a9d81dd129"</x:f>
        <x:v>48d22c4c-bb0e-4ab4-af8b-67a9d81dd129</x:v>
      </x:c>
      <x:c r="B2969" s="23" t="str">
        <x:v>PATRICIA ALCANTARA DA SILVA</x:v>
      </x:c>
      <x:c r="C2969" s="23" t="str">
        <x:v>patricia alcantara da silva</x:v>
      </x:c>
      <x:c r="D2969" s="22" t="str">
        <x:f>"67.587.281/0001-00"</x:f>
        <x:v>67.587.281/0001-00</x:v>
      </x:c>
      <x:c r="E2969" s="22" t="str">
        <x:f>"67587281000100"</x:f>
        <x:v>67587281000100</x:v>
      </x:c>
      <x:c r="F2969" s="22" t="str">
        <x:f>"047.311.859-98"</x:f>
        <x:v>047.311.859-98</x:v>
      </x:c>
      <x:c r="G2969" s="22" t="str">
        <x:f>"04731185998"</x:f>
        <x:v>04731185998</x:v>
      </x:c>
      <x:c r="H2969" s="23" t="str">
        <x:v>patalcantaradasilva@gmail.com</x:v>
      </x:c>
      <x:c r="I2969" s="22" t="str">
        <x:f>"43 99602-1221"</x:f>
        <x:v>43 99602-1221</x:v>
      </x:c>
      <x:c r="J2969" s="23" t="str">
        <x:v>SPOT</x:v>
      </x:c>
      <x:c r="K2969" s="23" t="str">
        <x:v>favored_only</x:v>
      </x:c>
      <x:c r="L2969" s="24" t="b">
        <x:v>1</x:v>
      </x:c>
      <x:c r="M2969" s="23" t="n">
        <x:v>2</x:v>
      </x:c>
      <x:c r="N2969" s="28" t="n">
        <x:v>46203.92191240741</x:v>
      </x:c>
      <x:c r="O2969" s="28" t="n">
        <x:v>46219.81489466435</x:v>
      </x:c>
      <x:c r="P2969" s="23" t="str"/>
      <x:c r="Q2969" s="30" t="str"/>
      <x:c r="R2969" s="22" t="str"/>
      <x:c r="S2969" s="23" t="str"/>
      <x:c r="T2969" s="22" t="str"/>
      <x:c r="U2969" s="23" t="str">
        <x:v>67.587.281 PATRICIA ALCANTARA DA SILVA</x:v>
      </x:c>
      <x:c r="V2969" s="22" t="str">
        <x:f>"047.311.859-98"</x:f>
        <x:v>047.311.859-98</x:v>
      </x:c>
      <x:c r="W2969" s="22" t="str">
        <x:f>"04731185998"</x:f>
        <x:v>04731185998</x:v>
      </x:c>
      <x:c r="X2969" s="23" t="str">
        <x:v>patalcantaradasilva@gmail.com</x:v>
      </x:c>
      <x:c r="Y2969" s="22" t="str">
        <x:f>"43 99602-1221"</x:f>
        <x:v>43 99602-1221</x:v>
      </x:c>
      <x:c r="Z2969" s="30" t="str"/>
    </x:row>
    <x:row r="2970" ht="18" customHeight="1">
      <x:c r="A2970" s="22" t="str">
        <x:f>"1c0e5565-6bf4-4545-a5c8-066011c5d17e"</x:f>
        <x:v>1c0e5565-6bf4-4545-a5c8-066011c5d17e</x:v>
      </x:c>
      <x:c r="B2970" s="23" t="str">
        <x:v>PATRICIA ALEXANDRE FREITAS TRINDADE</x:v>
      </x:c>
      <x:c r="C2970" s="23" t="str">
        <x:v>patricia alexandre freitas trindade</x:v>
      </x:c>
      <x:c r="D2970" s="22" t="str">
        <x:f>"63.314.851/0001-29"</x:f>
        <x:v>63.314.851/0001-29</x:v>
      </x:c>
      <x:c r="E2970" s="22" t="str">
        <x:f>"63314851000129"</x:f>
        <x:v>63314851000129</x:v>
      </x:c>
      <x:c r="F2970" s="22" t="str">
        <x:f>"424.452.028-76"</x:f>
        <x:v>424.452.028-76</x:v>
      </x:c>
      <x:c r="G2970" s="22" t="str">
        <x:f>"42445202876"</x:f>
        <x:v>42445202876</x:v>
      </x:c>
      <x:c r="H2970" s="23" t="str">
        <x:v>patriciafreitastrin@gmail.com</x:v>
      </x:c>
      <x:c r="I2970" s="22" t="str">
        <x:f>"16 992197964"</x:f>
        <x:v>16 992197964</x:v>
      </x:c>
      <x:c r="J2970" s="23" t="str">
        <x:v>SPOT</x:v>
      </x:c>
      <x:c r="K2970" s="23" t="str">
        <x:v>favored_only</x:v>
      </x:c>
      <x:c r="L2970" s="24" t="b">
        <x:v>1</x:v>
      </x:c>
      <x:c r="M2970" s="23" t="n">
        <x:v>1</x:v>
      </x:c>
      <x:c r="N2970" s="28" t="n">
        <x:v>46203.921887453704</x:v>
      </x:c>
      <x:c r="O2970" s="28" t="n">
        <x:v>46205.60714155093</x:v>
      </x:c>
      <x:c r="P2970" s="23" t="str">
        <x:v>RIBEIRAO PRETO</x:v>
      </x:c>
      <x:c r="Q2970" s="30" t="n">
        <x:v>34022</x:v>
      </x:c>
      <x:c r="R2970" s="22" t="str">
        <x:f>"495463462"</x:f>
        <x:v>495463462</x:v>
      </x:c>
      <x:c r="S2970" s="23" t="str">
        <x:v>Feminino</x:v>
      </x:c>
      <x:c r="T2970" s="22" t="str">
        <x:f>"FGA2289"</x:f>
        <x:v>FGA2289</x:v>
      </x:c>
      <x:c r="U2970" s="23" t="str">
        <x:v>PATRICIA ALEXANDRE FREITAS TRINDADE</x:v>
      </x:c>
      <x:c r="V2970" s="22" t="str">
        <x:f>"42445202876"</x:f>
        <x:v>42445202876</x:v>
      </x:c>
      <x:c r="W2970" s="22" t="str">
        <x:f>"42445202876"</x:f>
        <x:v>42445202876</x:v>
      </x:c>
      <x:c r="X2970" s="23" t="str">
        <x:v>patriciafreitastrin@gmail.com</x:v>
      </x:c>
      <x:c r="Y2970" s="22" t="str">
        <x:f>"16 992197964"</x:f>
        <x:v>16 992197964</x:v>
      </x:c>
      <x:c r="Z2970" s="30" t="n">
        <x:v>46326</x:v>
      </x:c>
    </x:row>
    <x:row r="2971" ht="18" customHeight="1">
      <x:c r="A2971" s="22" t="str">
        <x:f>"d8f49aa0-9db9-4dc1-b6c8-dee2b4c23510"</x:f>
        <x:v>d8f49aa0-9db9-4dc1-b6c8-dee2b4c23510</x:v>
      </x:c>
      <x:c r="B2971" s="23" t="str">
        <x:v>PATRICIA APARECIDA DA SILVA</x:v>
      </x:c>
      <x:c r="C2971" s="23" t="str">
        <x:v>patricia aparecida da silva</x:v>
      </x:c>
      <x:c r="D2971" s="22" t="str">
        <x:f>"62.305.154/0001-49"</x:f>
        <x:v>62.305.154/0001-49</x:v>
      </x:c>
      <x:c r="E2971" s="22" t="str">
        <x:f>"62305154000149"</x:f>
        <x:v>62305154000149</x:v>
      </x:c>
      <x:c r="F2971" s="22" t="str">
        <x:f>"122.043.276-89"</x:f>
        <x:v>122.043.276-89</x:v>
      </x:c>
      <x:c r="G2971" s="22" t="str">
        <x:f>"12204327689"</x:f>
        <x:v>12204327689</x:v>
      </x:c>
      <x:c r="H2971" s="23" t="str">
        <x:v>patricia19aparecida@gmail.com</x:v>
      </x:c>
      <x:c r="I2971" s="22" t="str">
        <x:f>"3197121-2396"</x:f>
        <x:v>3197121-2396</x:v>
      </x:c>
      <x:c r="J2971" s="23" t="str">
        <x:v>SPOT</x:v>
      </x:c>
      <x:c r="K2971" s="23" t="str">
        <x:v>favored_only</x:v>
      </x:c>
      <x:c r="L2971" s="24" t="b">
        <x:v>1</x:v>
      </x:c>
      <x:c r="M2971" s="23" t="n">
        <x:v>2</x:v>
      </x:c>
      <x:c r="N2971" s="28" t="n">
        <x:v>46203.921852962965</x:v>
      </x:c>
      <x:c r="O2971" s="28" t="n">
        <x:v>46203.921852962965</x:v>
      </x:c>
      <x:c r="P2971" s="23" t="str"/>
      <x:c r="Q2971" s="30" t="str"/>
      <x:c r="R2971" s="22" t="str"/>
      <x:c r="S2971" s="23" t="str"/>
      <x:c r="T2971" s="22" t="str"/>
      <x:c r="U2971" s="23" t="str">
        <x:v>PATRICIA APARECIDA DA SILVA</x:v>
      </x:c>
      <x:c r="V2971" s="22" t="str">
        <x:f>"122.043.276-89"</x:f>
        <x:v>122.043.276-89</x:v>
      </x:c>
      <x:c r="W2971" s="22" t="str">
        <x:f>"12204327689"</x:f>
        <x:v>12204327689</x:v>
      </x:c>
      <x:c r="X2971" s="23" t="str">
        <x:v>patricia19aparecida@gmail.com</x:v>
      </x:c>
      <x:c r="Y2971" s="22" t="str">
        <x:f>"31971212396"</x:f>
        <x:v>31971212396</x:v>
      </x:c>
      <x:c r="Z2971" s="30" t="str"/>
    </x:row>
    <x:row r="2972" ht="18" customHeight="1">
      <x:c r="A2972" s="22" t="str">
        <x:f>"24e684dc-36d5-46fe-8c53-d3a225496adc"</x:f>
        <x:v>24e684dc-36d5-46fe-8c53-d3a225496adc</x:v>
      </x:c>
      <x:c r="B2972" s="23" t="str">
        <x:v>PATRICIA BERTOLDINI TROIANO NASCIMENTO</x:v>
      </x:c>
      <x:c r="C2972" s="23" t="str">
        <x:v>patricia bertoldini troiano nascimento</x:v>
      </x:c>
      <x:c r="D2972" s="22" t="str">
        <x:f>"57.869.667/0001-42"</x:f>
        <x:v>57.869.667/0001-42</x:v>
      </x:c>
      <x:c r="E2972" s="22" t="str">
        <x:f>"57869667000142"</x:f>
        <x:v>57869667000142</x:v>
      </x:c>
      <x:c r="F2972" s="22" t="str">
        <x:f>"890.721.701-72"</x:f>
        <x:v>890.721.701-72</x:v>
      </x:c>
      <x:c r="G2972" s="22" t="str">
        <x:f>"89072170172"</x:f>
        <x:v>89072170172</x:v>
      </x:c>
      <x:c r="H2972" s="23" t="str">
        <x:v>vanderleialbertobombeiro@gmail.com</x:v>
      </x:c>
      <x:c r="I2972" s="22" t="str">
        <x:f>"(65) 99607-6772"</x:f>
        <x:v>(65) 99607-6772</x:v>
      </x:c>
      <x:c r="J2972" s="23" t="str">
        <x:v>SPOT</x:v>
      </x:c>
      <x:c r="K2972" s="23" t="str">
        <x:v>favored_only</x:v>
      </x:c>
      <x:c r="L2972" s="24" t="b">
        <x:v>1</x:v>
      </x:c>
      <x:c r="M2972" s="23" t="n">
        <x:v>1</x:v>
      </x:c>
      <x:c r="N2972" s="28" t="n">
        <x:v>46219.812988715275</x:v>
      </x:c>
      <x:c r="O2972" s="28" t="n">
        <x:v>46219.812988715275</x:v>
      </x:c>
      <x:c r="P2972" s="23" t="str">
        <x:v>PONTES E LACERDA</x:v>
      </x:c>
      <x:c r="Q2972" s="30" t="n">
        <x:v>29775</x:v>
      </x:c>
      <x:c r="R2972" s="22" t="str">
        <x:f>"12726028"</x:f>
        <x:v>12726028</x:v>
      </x:c>
      <x:c r="S2972" s="23" t="str">
        <x:v>feminino</x:v>
      </x:c>
      <x:c r="T2972" s="22" t="str">
        <x:f>"OBJ7383"</x:f>
        <x:v>OBJ7383</x:v>
      </x:c>
      <x:c r="U2972" s="23" t="str">
        <x:v>LETICIA CAROLINE TROIANO NASCIMENTO</x:v>
      </x:c>
      <x:c r="V2972" s="22" t="str">
        <x:f>"028.294.981-00"</x:f>
        <x:v>028.294.981-00</x:v>
      </x:c>
      <x:c r="W2972" s="22" t="str">
        <x:f>"02829498100"</x:f>
        <x:v>02829498100</x:v>
      </x:c>
      <x:c r="X2972" s="23" t="str">
        <x:v>caroline40troiano@gmail.com</x:v>
      </x:c>
      <x:c r="Y2972" s="22" t="str">
        <x:f>"65999321540"</x:f>
        <x:v>65999321540</x:v>
      </x:c>
      <x:c r="Z2972" s="30" t="n">
        <x:v>46512</x:v>
      </x:c>
    </x:row>
    <x:row r="2973" ht="18" customHeight="1">
      <x:c r="A2973" s="22" t="str">
        <x:f>"7d422fd2-211c-49a5-b390-bad93b3d2508"</x:f>
        <x:v>7d422fd2-211c-49a5-b390-bad93b3d2508</x:v>
      </x:c>
      <x:c r="B2973" s="23" t="str">
        <x:v>PATRICIA BERTOLDINI TROIANO NASCIMENTO</x:v>
      </x:c>
      <x:c r="C2973" s="23" t="str">
        <x:v>patricia bertoldini troiano nascimento</x:v>
      </x:c>
      <x:c r="D2973" s="22" t="str">
        <x:f>"67.932.659/0001-57"</x:f>
        <x:v>67.932.659/0001-57</x:v>
      </x:c>
      <x:c r="E2973" s="22" t="str">
        <x:f>"67932659000157"</x:f>
        <x:v>67932659000157</x:v>
      </x:c>
      <x:c r="F2973" s="22" t="str">
        <x:f>"890.721.701-72"</x:f>
        <x:v>890.721.701-72</x:v>
      </x:c>
      <x:c r="G2973" s="22" t="str">
        <x:f>"89072170172"</x:f>
        <x:v>89072170172</x:v>
      </x:c>
      <x:c r="H2973" s="23" t="str">
        <x:v>vanderleialbertobombeiro@gmail.com</x:v>
      </x:c>
      <x:c r="I2973" s="22" t="str">
        <x:f>"(65) 99607-6772"</x:f>
        <x:v>(65) 99607-6772</x:v>
      </x:c>
      <x:c r="J2973" s="23" t="str">
        <x:v>SPOT</x:v>
      </x:c>
      <x:c r="K2973" s="23" t="str">
        <x:v>favored_only</x:v>
      </x:c>
      <x:c r="L2973" s="24" t="b">
        <x:v>1</x:v>
      </x:c>
      <x:c r="M2973" s="23" t="n">
        <x:v>1</x:v>
      </x:c>
      <x:c r="N2973" s="28" t="n">
        <x:v>46219.812988715275</x:v>
      </x:c>
      <x:c r="O2973" s="28" t="n">
        <x:v>46219.812988715275</x:v>
      </x:c>
      <x:c r="P2973" s="23" t="str">
        <x:v>PONTES E LACERDA</x:v>
      </x:c>
      <x:c r="Q2973" s="30" t="n">
        <x:v>29775</x:v>
      </x:c>
      <x:c r="R2973" s="22" t="str">
        <x:f>"12726028"</x:f>
        <x:v>12726028</x:v>
      </x:c>
      <x:c r="S2973" s="23" t="str">
        <x:v>feminino</x:v>
      </x:c>
      <x:c r="T2973" s="22" t="str">
        <x:f>"OBJ7383"</x:f>
        <x:v>OBJ7383</x:v>
      </x:c>
      <x:c r="U2973" s="23" t="str">
        <x:v>PATRICIA BERTOLDINI TROIANO NASCIMENTO</x:v>
      </x:c>
      <x:c r="V2973" s="22" t="str">
        <x:f>"890.721.701-72"</x:f>
        <x:v>890.721.701-72</x:v>
      </x:c>
      <x:c r="W2973" s="22" t="str">
        <x:f>"89072170172"</x:f>
        <x:v>89072170172</x:v>
      </x:c>
      <x:c r="X2973" s="23" t="str">
        <x:v>vanderleialbertobombeiro@gmail.com</x:v>
      </x:c>
      <x:c r="Y2973" s="22" t="str">
        <x:f>"(65) 99607-6772"</x:f>
        <x:v>(65) 99607-6772</x:v>
      </x:c>
      <x:c r="Z2973" s="30" t="n">
        <x:v>46581</x:v>
      </x:c>
    </x:row>
    <x:row r="2974" ht="18" customHeight="1">
      <x:c r="A2974" s="22" t="str">
        <x:f>"9916cfcd-c9c7-474e-948f-909c610c761b"</x:f>
        <x:v>9916cfcd-c9c7-474e-948f-909c610c761b</x:v>
      </x:c>
      <x:c r="B2974" s="23" t="str">
        <x:v>PATRICIA DE ARAUJO PERIOTO</x:v>
      </x:c>
      <x:c r="C2974" s="23" t="str">
        <x:v>patricia de araujo perioto</x:v>
      </x:c>
      <x:c r="D2974" s="22" t="str">
        <x:f>"63.315.880/0001-05"</x:f>
        <x:v>63.315.880/0001-05</x:v>
      </x:c>
      <x:c r="E2974" s="22" t="str">
        <x:f>"63315880000105"</x:f>
        <x:v>63315880000105</x:v>
      </x:c>
      <x:c r="F2974" s="22" t="str">
        <x:f>"737.571.521-15"</x:f>
        <x:v>737.571.521-15</x:v>
      </x:c>
      <x:c r="G2974" s="22" t="str">
        <x:f>"73757152115"</x:f>
        <x:v>73757152115</x:v>
      </x:c>
      <x:c r="H2974" s="23" t="str">
        <x:v>paty_perioto@hotmail.com</x:v>
      </x:c>
      <x:c r="I2974" s="22" t="str">
        <x:f>"66996021677"</x:f>
        <x:v>66996021677</x:v>
      </x:c>
      <x:c r="J2974" s="23" t="str">
        <x:v>SPOT</x:v>
      </x:c>
      <x:c r="K2974" s="23" t="str">
        <x:v>favored_only</x:v>
      </x:c>
      <x:c r="L2974" s="24" t="b">
        <x:v>1</x:v>
      </x:c>
      <x:c r="M2974" s="23" t="n">
        <x:v>1</x:v>
      </x:c>
      <x:c r="N2974" s="28" t="n">
        <x:v>46205.60545282407</x:v>
      </x:c>
      <x:c r="O2974" s="28" t="n">
        <x:v>46219.812988715275</x:v>
      </x:c>
      <x:c r="P2974" s="23" t="str">
        <x:v>SINOP</x:v>
      </x:c>
      <x:c r="Q2974" s="30" t="n">
        <x:v>32208</x:v>
      </x:c>
      <x:c r="R2974" s="22" t="str">
        <x:f>"10480803"</x:f>
        <x:v>10480803</x:v>
      </x:c>
      <x:c r="S2974" s="23" t="str">
        <x:v>feminino</x:v>
      </x:c>
      <x:c r="T2974" s="22" t="str">
        <x:f>"obn0i37"</x:f>
        <x:v>obn0i37</x:v>
      </x:c>
      <x:c r="U2974" s="23" t="str">
        <x:v>GELSEMAR DE ARAUJO PERIOTO</x:v>
      </x:c>
      <x:c r="V2974" s="22" t="str">
        <x:f>"395.285.291-00"</x:f>
        <x:v>395.285.291-00</x:v>
      </x:c>
      <x:c r="W2974" s="22" t="str">
        <x:f>"39528529100"</x:f>
        <x:v>39528529100</x:v>
      </x:c>
      <x:c r="X2974" s="23" t="str">
        <x:v>joce_perioto@hotmail.com</x:v>
      </x:c>
      <x:c r="Y2974" s="22" t="str">
        <x:f>"66999652759"</x:f>
        <x:v>66999652759</x:v>
      </x:c>
      <x:c r="Z2974" s="30" t="n">
        <x:v>46323</x:v>
      </x:c>
    </x:row>
    <x:row r="2975" ht="18" customHeight="1">
      <x:c r="A2975" s="22" t="str">
        <x:f>"1518e0d4-bd02-438c-a061-b29a88962745"</x:f>
        <x:v>1518e0d4-bd02-438c-a061-b29a88962745</x:v>
      </x:c>
      <x:c r="B2975" s="23" t="str">
        <x:v>PATRICIA PEREIRA DE OLIVEIRA</x:v>
      </x:c>
      <x:c r="C2975" s="23" t="str">
        <x:v>patricia pereira de oliveira</x:v>
      </x:c>
      <x:c r="D2975" s="22" t="str">
        <x:f>"59.716.912/0001-07"</x:f>
        <x:v>59.716.912/0001-07</x:v>
      </x:c>
      <x:c r="E2975" s="22" t="str">
        <x:f>"59716912000107"</x:f>
        <x:v>59716912000107</x:v>
      </x:c>
      <x:c r="F2975" s="22" t="str">
        <x:f>"095.488.036-66"</x:f>
        <x:v>095.488.036-66</x:v>
      </x:c>
      <x:c r="G2975" s="22" t="str">
        <x:f>"09548803666"</x:f>
        <x:v>09548803666</x:v>
      </x:c>
      <x:c r="H2975" s="23" t="str">
        <x:v>Patipereira1722@gmail.com</x:v>
      </x:c>
      <x:c r="I2975" s="22" t="str">
        <x:f>"31 9 8432 6251"</x:f>
        <x:v>31 9 8432 6251</x:v>
      </x:c>
      <x:c r="J2975" s="23" t="str">
        <x:v>SPOT</x:v>
      </x:c>
      <x:c r="K2975" s="23" t="str">
        <x:v>favored_only</x:v>
      </x:c>
      <x:c r="L2975" s="24" t="b">
        <x:v>1</x:v>
      </x:c>
      <x:c r="M2975" s="23" t="n">
        <x:v>1</x:v>
      </x:c>
      <x:c r="N2975" s="28" t="n">
        <x:v>46203.921887453704</x:v>
      </x:c>
      <x:c r="O2975" s="28" t="n">
        <x:v>46219.812988715275</x:v>
      </x:c>
      <x:c r="P2975" s="23" t="str">
        <x:v>VESPASIANO</x:v>
      </x:c>
      <x:c r="Q2975" s="30" t="n">
        <x:v>32250</x:v>
      </x:c>
      <x:c r="R2975" s="22" t="str">
        <x:f>"mg 16 470 332"</x:f>
        <x:v>mg 16 470 332</x:v>
      </x:c>
      <x:c r="S2975" s="23" t="str">
        <x:v>feminino</x:v>
      </x:c>
      <x:c r="T2975" s="22" t="str">
        <x:f>"HJP7999"</x:f>
        <x:v>HJP7999</x:v>
      </x:c>
      <x:c r="U2975" s="23" t="str">
        <x:v>PATRICIA PEREIRA DE OLIVEIRA</x:v>
      </x:c>
      <x:c r="V2975" s="22" t="str">
        <x:f>"095.488.036-66"</x:f>
        <x:v>095.488.036-66</x:v>
      </x:c>
      <x:c r="W2975" s="22" t="str">
        <x:f>"09548803666"</x:f>
        <x:v>09548803666</x:v>
      </x:c>
      <x:c r="X2975" s="23" t="str">
        <x:v>Patipereira1722@gmail.com</x:v>
      </x:c>
      <x:c r="Y2975" s="22" t="str">
        <x:f>"31 98432 6251"</x:f>
        <x:v>31 98432 6251</x:v>
      </x:c>
      <x:c r="Z2975" s="30" t="n">
        <x:v>46326</x:v>
      </x:c>
    </x:row>
    <x:row r="2976" ht="18" customHeight="1">
      <x:c r="A2976" s="22" t="str">
        <x:f>"e1c732fd-c128-4841-95e6-21de2fcac89e"</x:f>
        <x:v>e1c732fd-c128-4841-95e6-21de2fcac89e</x:v>
      </x:c>
      <x:c r="B2976" s="23" t="str">
        <x:v>Patrícia tardem dos Santos</x:v>
      </x:c>
      <x:c r="C2976" s="23" t="str">
        <x:v>patricia tardem dos santos</x:v>
      </x:c>
      <x:c r="D2976" s="22" t="str">
        <x:f>"51068190/0001-10"</x:f>
        <x:v>51068190/0001-10</x:v>
      </x:c>
      <x:c r="E2976" s="22" t="str">
        <x:f>"51068190000110"</x:f>
        <x:v>51068190000110</x:v>
      </x:c>
      <x:c r="F2976" s="22" t="str">
        <x:f>"096.525.857-26"</x:f>
        <x:v>096.525.857-26</x:v>
      </x:c>
      <x:c r="G2976" s="22" t="str">
        <x:f>"09652585726"</x:f>
        <x:v>09652585726</x:v>
      </x:c>
      <x:c r="H2976" s="23" t="str">
        <x:v>patriciatardem0110@gmail.com</x:v>
      </x:c>
      <x:c r="I2976" s="22" t="str">
        <x:f>"22 981211070"</x:f>
        <x:v>22 981211070</x:v>
      </x:c>
      <x:c r="J2976" s="23" t="str">
        <x:v>SPOT</x:v>
      </x:c>
      <x:c r="K2976" s="23" t="str">
        <x:v>favored_only</x:v>
      </x:c>
      <x:c r="L2976" s="24" t="b">
        <x:v>1</x:v>
      </x:c>
      <x:c r="M2976" s="23" t="n">
        <x:v>1</x:v>
      </x:c>
      <x:c r="N2976" s="28" t="n">
        <x:v>46203.92191240741</x:v>
      </x:c>
      <x:c r="O2976" s="28" t="n">
        <x:v>46203.92191240741</x:v>
      </x:c>
      <x:c r="P2976" s="23" t="str"/>
      <x:c r="Q2976" s="30" t="str"/>
      <x:c r="R2976" s="22" t="str"/>
      <x:c r="S2976" s="23" t="str"/>
      <x:c r="T2976" s="22" t="str"/>
      <x:c r="U2976" s="23" t="str">
        <x:v>Patrícia tardem dos Santos</x:v>
      </x:c>
      <x:c r="V2976" s="22" t="str">
        <x:f>"096.525.857-26"</x:f>
        <x:v>096.525.857-26</x:v>
      </x:c>
      <x:c r="W2976" s="22" t="str">
        <x:f>"09652585726"</x:f>
        <x:v>09652585726</x:v>
      </x:c>
      <x:c r="X2976" s="23" t="str">
        <x:v>patriciatardem0110@gmail.com</x:v>
      </x:c>
      <x:c r="Y2976" s="22" t="str">
        <x:f>"22 981211070"</x:f>
        <x:v>22 981211070</x:v>
      </x:c>
      <x:c r="Z2976" s="30" t="str"/>
    </x:row>
    <x:row r="2977" ht="18" customHeight="1">
      <x:c r="A2977" s="22" t="str">
        <x:f>"aa775876-45ac-4fb1-abbe-a0930522f863"</x:f>
        <x:v>aa775876-45ac-4fb1-abbe-a0930522f863</x:v>
      </x:c>
      <x:c r="B2977" s="23" t="str">
        <x:v>PATRICK DE CASTRO TAVARES</x:v>
      </x:c>
      <x:c r="C2977" s="23" t="str">
        <x:v>patrick de castro tavares</x:v>
      </x:c>
      <x:c r="D2977" s="22" t="str">
        <x:f>"64.045.921/0001-53"</x:f>
        <x:v>64.045.921/0001-53</x:v>
      </x:c>
      <x:c r="E2977" s="22" t="str">
        <x:f>"64045921000153"</x:f>
        <x:v>64045921000153</x:v>
      </x:c>
      <x:c r="F2977" s="22" t="str">
        <x:f>"165.373.877-44"</x:f>
        <x:v>165.373.877-44</x:v>
      </x:c>
      <x:c r="G2977" s="22" t="str">
        <x:f>"16537387744"</x:f>
        <x:v>16537387744</x:v>
      </x:c>
      <x:c r="H2977" s="23" t="str">
        <x:v>patrick6810@hotmail.com</x:v>
      </x:c>
      <x:c r="I2977" s="22" t="str">
        <x:f>"21974800165"</x:f>
        <x:v>21974800165</x:v>
      </x:c>
      <x:c r="J2977" s="23" t="str">
        <x:v>SPOT</x:v>
      </x:c>
      <x:c r="K2977" s="23" t="str">
        <x:v>favored_only</x:v>
      </x:c>
      <x:c r="L2977" s="24" t="b">
        <x:v>1</x:v>
      </x:c>
      <x:c r="M2977" s="23" t="n">
        <x:v>1</x:v>
      </x:c>
      <x:c r="N2977" s="28" t="n">
        <x:v>46219.812988715275</x:v>
      </x:c>
      <x:c r="O2977" s="28" t="n">
        <x:v>46219.812988715275</x:v>
      </x:c>
      <x:c r="P2977" s="23" t="str">
        <x:v>CORDOVIL</x:v>
      </x:c>
      <x:c r="Q2977" s="30" t="n">
        <x:v>37141</x:v>
      </x:c>
      <x:c r="R2977" s="22" t="str">
        <x:f>"311319776"</x:f>
        <x:v>311319776</x:v>
      </x:c>
      <x:c r="S2977" s="23" t="str">
        <x:v>masculino</x:v>
      </x:c>
      <x:c r="T2977" s="22" t="str">
        <x:f>"RKC5B80"</x:f>
        <x:v>RKC5B80</x:v>
      </x:c>
      <x:c r="U2977" s="23" t="str">
        <x:v>PATRICK DE CASTRO TAVARES</x:v>
      </x:c>
      <x:c r="V2977" s="22" t="str">
        <x:f>"165.373.877-44"</x:f>
        <x:v>165.373.877-44</x:v>
      </x:c>
      <x:c r="W2977" s="22" t="str">
        <x:f>"16537387744"</x:f>
        <x:v>16537387744</x:v>
      </x:c>
      <x:c r="X2977" s="23" t="str">
        <x:v>patrick6810@hotmail.com</x:v>
      </x:c>
      <x:c r="Y2977" s="22" t="str">
        <x:f>"21974800165"</x:f>
        <x:v>21974800165</x:v>
      </x:c>
      <x:c r="Z2977" s="30" t="n">
        <x:v>46484</x:v>
      </x:c>
    </x:row>
    <x:row r="2978" ht="18" customHeight="1">
      <x:c r="A2978" s="22" t="str">
        <x:f>"66eab87b-9d21-4130-819f-776a513a16f9"</x:f>
        <x:v>66eab87b-9d21-4130-819f-776a513a16f9</x:v>
      </x:c>
      <x:c r="B2978" s="23" t="str">
        <x:v>PATRICK FONTES GONCALVES</x:v>
      </x:c>
      <x:c r="C2978" s="23" t="str">
        <x:v>patrick fontes goncalves</x:v>
      </x:c>
      <x:c r="D2978" s="22" t="str">
        <x:f>"59.437.493/0001-74"</x:f>
        <x:v>59.437.493/0001-74</x:v>
      </x:c>
      <x:c r="E2978" s="22" t="str">
        <x:f>"59437493000174"</x:f>
        <x:v>59437493000174</x:v>
      </x:c>
      <x:c r="F2978" s="22" t="str">
        <x:f>"188.515.027-06"</x:f>
        <x:v>188.515.027-06</x:v>
      </x:c>
      <x:c r="G2978" s="22" t="str">
        <x:f>"18851502706"</x:f>
        <x:v>18851502706</x:v>
      </x:c>
      <x:c r="H2978" s="23" t="str">
        <x:v>Patrickfontes190@gmail.com</x:v>
      </x:c>
      <x:c r="I2978" s="22" t="str">
        <x:f>"21982315191"</x:f>
        <x:v>21982315191</x:v>
      </x:c>
      <x:c r="J2978" s="23" t="str">
        <x:v>spot</x:v>
      </x:c>
      <x:c r="K2978" s="23" t="str">
        <x:v>favored_only</x:v>
      </x:c>
      <x:c r="L2978" s="24" t="b">
        <x:v>1</x:v>
      </x:c>
      <x:c r="M2978" s="23" t="n">
        <x:v>1</x:v>
      </x:c>
      <x:c r="N2978" s="28" t="n">
        <x:v>46219.812988715275</x:v>
      </x:c>
      <x:c r="O2978" s="28" t="n">
        <x:v>46219.812988715275</x:v>
      </x:c>
      <x:c r="P2978" s="23" t="str">
        <x:v>QUEIMADOS</x:v>
      </x:c>
      <x:c r="Q2978" s="30" t="n">
        <x:v>36900</x:v>
      </x:c>
      <x:c r="R2978" s="22" t="str">
        <x:f>"274083450"</x:f>
        <x:v>274083450</x:v>
      </x:c>
      <x:c r="S2978" s="23" t="str">
        <x:v>masculino</x:v>
      </x:c>
      <x:c r="T2978" s="22" t="str">
        <x:f>"LRW2H93"</x:f>
        <x:v>LRW2H93</x:v>
      </x:c>
      <x:c r="U2978" s="23" t="str">
        <x:v>PATRICK FONTES GONCALVES</x:v>
      </x:c>
      <x:c r="V2978" s="22" t="str">
        <x:f>"188.515.027-06"</x:f>
        <x:v>188.515.027-06</x:v>
      </x:c>
      <x:c r="W2978" s="22" t="str">
        <x:f>"18851502706"</x:f>
        <x:v>18851502706</x:v>
      </x:c>
      <x:c r="X2978" s="23" t="str">
        <x:v>Patrickfontes190@gmail.com</x:v>
      </x:c>
      <x:c r="Y2978" s="22" t="str">
        <x:f>"21982315191"</x:f>
        <x:v>21982315191</x:v>
      </x:c>
      <x:c r="Z2978" s="30" t="n">
        <x:v>46515</x:v>
      </x:c>
    </x:row>
    <x:row r="2979" ht="18" customHeight="1">
      <x:c r="A2979" s="22" t="str">
        <x:f>"f2a3cb2c-cad0-415d-b71d-e1a92b55f3c8"</x:f>
        <x:v>f2a3cb2c-cad0-415d-b71d-e1a92b55f3c8</x:v>
      </x:c>
      <x:c r="B2979" s="23" t="str">
        <x:v>PATRICK GOMES MACHADO</x:v>
      </x:c>
      <x:c r="C2979" s="23" t="str">
        <x:v>patrick gomes machado</x:v>
      </x:c>
      <x:c r="D2979" s="22" t="str">
        <x:f>"65.800.806/0001-00"</x:f>
        <x:v>65.800.806/0001-00</x:v>
      </x:c>
      <x:c r="E2979" s="22" t="str">
        <x:f>"65800806000100"</x:f>
        <x:v>65800806000100</x:v>
      </x:c>
      <x:c r="F2979" s="22" t="str">
        <x:f>"159.718.357-18"</x:f>
        <x:v>159.718.357-18</x:v>
      </x:c>
      <x:c r="G2979" s="22" t="str">
        <x:f>"15971835718"</x:f>
        <x:v>15971835718</x:v>
      </x:c>
      <x:c r="H2979" s="23" t="str">
        <x:v>patrickgomesmachado7@gmail.com</x:v>
      </x:c>
      <x:c r="I2979" s="22" t="str">
        <x:f>"22998634203"</x:f>
        <x:v>22998634203</x:v>
      </x:c>
      <x:c r="J2979" s="23" t="str">
        <x:v>SPOT</x:v>
      </x:c>
      <x:c r="K2979" s="23" t="str">
        <x:v>favored_only</x:v>
      </x:c>
      <x:c r="L2979" s="24" t="b">
        <x:v>1</x:v>
      </x:c>
      <x:c r="M2979" s="23" t="n">
        <x:v>1</x:v>
      </x:c>
      <x:c r="N2979" s="28" t="n">
        <x:v>46219.812988715275</x:v>
      </x:c>
      <x:c r="O2979" s="28" t="n">
        <x:v>46219.812988715275</x:v>
      </x:c>
      <x:c r="P2979" s="23" t="str">
        <x:v>CAMPOS DOS GOYTACAZES</x:v>
      </x:c>
      <x:c r="Q2979" s="30" t="n">
        <x:v>35613</x:v>
      </x:c>
      <x:c r="R2979" s="22" t="str">
        <x:f>"272612797"</x:f>
        <x:v>272612797</x:v>
      </x:c>
      <x:c r="S2979" s="23" t="str">
        <x:v>masculino</x:v>
      </x:c>
      <x:c r="T2979" s="22" t="str">
        <x:f>"MSY8F22"</x:f>
        <x:v>MSY8F22</x:v>
      </x:c>
      <x:c r="U2979" s="23" t="str">
        <x:v>HERIK PONTES RANGEL BRAGA</x:v>
      </x:c>
      <x:c r="V2979" s="22" t="str">
        <x:f>"143.370.827-27"</x:f>
        <x:v>143.370.827-27</x:v>
      </x:c>
      <x:c r="W2979" s="22" t="str">
        <x:f>"14337082727"</x:f>
        <x:v>14337082727</x:v>
      </x:c>
      <x:c r="X2979" s="23" t="str">
        <x:v>Herikbraga1@gmail.com</x:v>
      </x:c>
      <x:c r="Y2979" s="22" t="str">
        <x:f>"22992619574"</x:f>
        <x:v>22992619574</x:v>
      </x:c>
      <x:c r="Z2979" s="30" t="n">
        <x:v>46501</x:v>
      </x:c>
    </x:row>
    <x:row r="2980" ht="18" customHeight="1">
      <x:c r="A2980" s="22" t="str">
        <x:f>"226f9244-dc7b-4e8a-b9f9-83f48b371817"</x:f>
        <x:v>226f9244-dc7b-4e8a-b9f9-83f48b371817</x:v>
      </x:c>
      <x:c r="B2980" s="23" t="str">
        <x:v>PATRICK GUSMAO RODRIGUES</x:v>
      </x:c>
      <x:c r="C2980" s="23" t="str">
        <x:v>patrick gusmao rodrigues</x:v>
      </x:c>
      <x:c r="D2980" s="22" t="str">
        <x:f>"24.263.792/0001-55"</x:f>
        <x:v>24.263.792/0001-55</x:v>
      </x:c>
      <x:c r="E2980" s="22" t="str">
        <x:f>"24263792000155"</x:f>
        <x:v>24263792000155</x:v>
      </x:c>
      <x:c r="F2980" s="22" t="str">
        <x:f>"251.483.298-58"</x:f>
        <x:v>251.483.298-58</x:v>
      </x:c>
      <x:c r="G2980" s="22" t="str">
        <x:f>"25148329858"</x:f>
        <x:v>25148329858</x:v>
      </x:c>
      <x:c r="H2980" s="23" t="str">
        <x:v>meroferroaco@gmail.com</x:v>
      </x:c>
      <x:c r="I2980" s="22" t="str">
        <x:f>"18981011919"</x:f>
        <x:v>18981011919</x:v>
      </x:c>
      <x:c r="J2980" s="23" t="str">
        <x:v>RENTALS</x:v>
      </x:c>
      <x:c r="K2980" s="23" t="str">
        <x:v>rental_company</x:v>
      </x:c>
      <x:c r="L2980" s="24" t="b">
        <x:v>1</x:v>
      </x:c>
      <x:c r="M2980" s="23" t="n">
        <x:v>1</x:v>
      </x:c>
      <x:c r="N2980" s="28" t="n">
        <x:v>46219.812988715275</x:v>
      </x:c>
      <x:c r="O2980" s="28" t="n">
        <x:v>46219.812988715275</x:v>
      </x:c>
      <x:c r="P2980" s="23" t="str">
        <x:v>PRESIDENTE PRUDENTE</x:v>
      </x:c>
      <x:c r="Q2980" s="30" t="n">
        <x:v>28307</x:v>
      </x:c>
      <x:c r="R2980" s="22" t="str">
        <x:f>"264144533"</x:f>
        <x:v>264144533</x:v>
      </x:c>
      <x:c r="S2980" s="23" t="str">
        <x:v>masculino</x:v>
      </x:c>
      <x:c r="T2980" s="22" t="str"/>
      <x:c r="U2980" s="23" t="str">
        <x:v>PATRICK GUSMAO RODRIGUES</x:v>
      </x:c>
      <x:c r="V2980" s="22" t="str">
        <x:f>"251.483.298-58"</x:f>
        <x:v>251.483.298-58</x:v>
      </x:c>
      <x:c r="W2980" s="22" t="str">
        <x:f>"25148329858"</x:f>
        <x:v>25148329858</x:v>
      </x:c>
      <x:c r="X2980" s="23" t="str">
        <x:v>meroferroaco@gmail.com</x:v>
      </x:c>
      <x:c r="Y2980" s="22" t="str">
        <x:f>"18981011919"</x:f>
        <x:v>18981011919</x:v>
      </x:c>
      <x:c r="Z2980" s="30" t="n">
        <x:v>46417</x:v>
      </x:c>
    </x:row>
    <x:row r="2981" ht="18" customHeight="1">
      <x:c r="A2981" s="22" t="str">
        <x:f>"960ef3ff-caf9-4eb0-8bb6-2f29fb45147d"</x:f>
        <x:v>960ef3ff-caf9-4eb0-8bb6-2f29fb45147d</x:v>
      </x:c>
      <x:c r="B2981" s="23" t="str">
        <x:v>PATRICK RODRIGUES DE SOUZA</x:v>
      </x:c>
      <x:c r="C2981" s="23" t="str">
        <x:v>patrick rodrigues de souza</x:v>
      </x:c>
      <x:c r="D2981" s="22" t="str">
        <x:f>"63.776.313/0001-56"</x:f>
        <x:v>63.776.313/0001-56</x:v>
      </x:c>
      <x:c r="E2981" s="22" t="str">
        <x:f>"63776313000156"</x:f>
        <x:v>63776313000156</x:v>
      </x:c>
      <x:c r="F2981" s="22" t="str">
        <x:f>"140.699.336-03"</x:f>
        <x:v>140.699.336-03</x:v>
      </x:c>
      <x:c r="G2981" s="22" t="str">
        <x:f>"14069933603"</x:f>
        <x:v>14069933603</x:v>
      </x:c>
      <x:c r="H2981" s="23" t="str">
        <x:v>patricksousa291017@gmail.com</x:v>
      </x:c>
      <x:c r="I2981" s="22" t="str">
        <x:f>"33999430198"</x:f>
        <x:v>33999430198</x:v>
      </x:c>
      <x:c r="J2981" s="23" t="str">
        <x:v>SPOT</x:v>
      </x:c>
      <x:c r="K2981" s="23" t="str">
        <x:v>favored_only</x:v>
      </x:c>
      <x:c r="L2981" s="24" t="b">
        <x:v>1</x:v>
      </x:c>
      <x:c r="M2981" s="23" t="n">
        <x:v>1</x:v>
      </x:c>
      <x:c r="N2981" s="28" t="n">
        <x:v>46203.92189965278</x:v>
      </x:c>
      <x:c r="O2981" s="28" t="n">
        <x:v>46219.812988715275</x:v>
      </x:c>
      <x:c r="P2981" s="23" t="str">
        <x:v>TEOFILO OTONI</x:v>
      </x:c>
      <x:c r="Q2981" s="30" t="n">
        <x:v>36238</x:v>
      </x:c>
      <x:c r="R2981" s="22" t="str">
        <x:f>"21343801"</x:f>
        <x:v>21343801</x:v>
      </x:c>
      <x:c r="S2981" s="23" t="str">
        <x:v>masculino</x:v>
      </x:c>
      <x:c r="T2981" s="22" t="str">
        <x:f>"LKZ6F687"</x:f>
        <x:v>LKZ6F687</x:v>
      </x:c>
      <x:c r="U2981" s="23" t="str">
        <x:v>PATRICK RODRIGUES DE SOUZA</x:v>
      </x:c>
      <x:c r="V2981" s="22" t="str">
        <x:f>"140.699.336-03"</x:f>
        <x:v>140.699.336-03</x:v>
      </x:c>
      <x:c r="W2981" s="22" t="str">
        <x:f>"14069933603"</x:f>
        <x:v>14069933603</x:v>
      </x:c>
      <x:c r="X2981" s="23" t="str">
        <x:v>patricksousa291017@gmail.com</x:v>
      </x:c>
      <x:c r="Y2981" s="22" t="str">
        <x:f>"33999430198"</x:f>
        <x:v>33999430198</x:v>
      </x:c>
      <x:c r="Z2981" s="30" t="n">
        <x:v>46359</x:v>
      </x:c>
    </x:row>
    <x:row r="2982" ht="18" customHeight="1">
      <x:c r="A2982" s="22" t="str">
        <x:f>"3919fb89-a611-4cca-bf8f-510c344736c4"</x:f>
        <x:v>3919fb89-a611-4cca-bf8f-510c344736c4</x:v>
      </x:c>
      <x:c r="B2982" s="23" t="str">
        <x:v>Patrick Ruan da Silva marques</x:v>
      </x:c>
      <x:c r="C2982" s="23" t="str">
        <x:v>patrick ruan da silva marques</x:v>
      </x:c>
      <x:c r="D2982" s="22" t="str">
        <x:f>"62.651.637/0001-03"</x:f>
        <x:v>62.651.637/0001-03</x:v>
      </x:c>
      <x:c r="E2982" s="22" t="str">
        <x:f>"62651637000103"</x:f>
        <x:v>62651637000103</x:v>
      </x:c>
      <x:c r="F2982" s="22" t="str">
        <x:f>"043.843.891-40"</x:f>
        <x:v>043.843.891-40</x:v>
      </x:c>
      <x:c r="G2982" s="22" t="str">
        <x:f>"04384389140"</x:f>
        <x:v>04384389140</x:v>
      </x:c>
      <x:c r="H2982" s="23" t="str">
        <x:v>ruanmarquesrv482@gmail.com</x:v>
      </x:c>
      <x:c r="I2982" s="22" t="str">
        <x:f>"64 9241-9550"</x:f>
        <x:v>64 9241-9550</x:v>
      </x:c>
      <x:c r="J2982" s="23" t="str">
        <x:v>SPOT</x:v>
      </x:c>
      <x:c r="K2982" s="23" t="str">
        <x:v>favored_only</x:v>
      </x:c>
      <x:c r="L2982" s="24" t="b">
        <x:v>1</x:v>
      </x:c>
      <x:c r="M2982" s="23" t="n">
        <x:v>2</x:v>
      </x:c>
      <x:c r="N2982" s="28" t="n">
        <x:v>46203.92186888889</x:v>
      </x:c>
      <x:c r="O2982" s="28" t="n">
        <x:v>46203.92186888889</x:v>
      </x:c>
      <x:c r="P2982" s="23" t="str"/>
      <x:c r="Q2982" s="30" t="str"/>
      <x:c r="R2982" s="22" t="str"/>
      <x:c r="S2982" s="23" t="str"/>
      <x:c r="T2982" s="22" t="str"/>
      <x:c r="U2982" s="23" t="str">
        <x:v>PATRICK RUAN DA SILVA MARQUES</x:v>
      </x:c>
      <x:c r="V2982" s="22" t="str">
        <x:f>"043.843.891-40"</x:f>
        <x:v>043.843.891-40</x:v>
      </x:c>
      <x:c r="W2982" s="22" t="str">
        <x:f>"04384389140"</x:f>
        <x:v>04384389140</x:v>
      </x:c>
      <x:c r="X2982" s="23" t="str">
        <x:v>ruanmarquesrv482@gmail.com</x:v>
      </x:c>
      <x:c r="Y2982" s="22" t="str">
        <x:f>"64 9241-9550"</x:f>
        <x:v>64 9241-9550</x:v>
      </x:c>
      <x:c r="Z2982" s="30" t="str"/>
    </x:row>
    <x:row r="2983" ht="18" customHeight="1">
      <x:c r="A2983" s="22" t="str">
        <x:f>"c0420909-2f4a-4e52-9808-27292e0501f5"</x:f>
        <x:v>c0420909-2f4a-4e52-9808-27292e0501f5</x:v>
      </x:c>
      <x:c r="B2983" s="23" t="str">
        <x:v>PAULA AMANDA SILVA</x:v>
      </x:c>
      <x:c r="C2983" s="23" t="str">
        <x:v>paula amanda silva</x:v>
      </x:c>
      <x:c r="D2983" s="22" t="str">
        <x:f>"31.095.678/0001-29"</x:f>
        <x:v>31.095.678/0001-29</x:v>
      </x:c>
      <x:c r="E2983" s="22" t="str">
        <x:f>"31095678000129"</x:f>
        <x:v>31095678000129</x:v>
      </x:c>
      <x:c r="F2983" s="22" t="str">
        <x:f>"083.926.736-38"</x:f>
        <x:v>083.926.736-38</x:v>
      </x:c>
      <x:c r="G2983" s="22" t="str">
        <x:f>"08392673638"</x:f>
        <x:v>08392673638</x:v>
      </x:c>
      <x:c r="H2983" s="23" t="str">
        <x:v>paulaamanda7@gmail.com</x:v>
      </x:c>
      <x:c r="I2983" s="22" t="str">
        <x:f>"34988602655"</x:f>
        <x:v>34988602655</x:v>
      </x:c>
      <x:c r="J2983" s="23" t="str">
        <x:v>SPOT</x:v>
      </x:c>
      <x:c r="K2983" s="23" t="str">
        <x:v>favored_only</x:v>
      </x:c>
      <x:c r="L2983" s="24" t="b">
        <x:v>1</x:v>
      </x:c>
      <x:c r="M2983" s="23" t="n">
        <x:v>1</x:v>
      </x:c>
      <x:c r="N2983" s="28" t="n">
        <x:v>46205.60574893519</x:v>
      </x:c>
      <x:c r="O2983" s="28" t="n">
        <x:v>46219.812988715275</x:v>
      </x:c>
      <x:c r="P2983" s="23" t="str">
        <x:v>ARAXÁ</x:v>
      </x:c>
      <x:c r="Q2983" s="30" t="n">
        <x:v>32296</x:v>
      </x:c>
      <x:c r="R2983" s="22" t="str">
        <x:f>"14510522"</x:f>
        <x:v>14510522</x:v>
      </x:c>
      <x:c r="S2983" s="23" t="str">
        <x:v>feminino</x:v>
      </x:c>
      <x:c r="T2983" s="22" t="str">
        <x:f>"OPF8B39"</x:f>
        <x:v>OPF8B39</x:v>
      </x:c>
      <x:c r="U2983" s="23" t="str">
        <x:v>NATHALIA CAROLINE GOMES DA SILVA</x:v>
      </x:c>
      <x:c r="V2983" s="22" t="str">
        <x:f>"103.851.366-92"</x:f>
        <x:v>103.851.366-92</x:v>
      </x:c>
      <x:c r="W2983" s="22" t="str">
        <x:f>"10385136692"</x:f>
        <x:v>10385136692</x:v>
      </x:c>
      <x:c r="X2983" s="23" t="str">
        <x:v>NATHALIASILVACLARA13@OUTLOOK.COM</x:v>
      </x:c>
      <x:c r="Y2983" s="22" t="str">
        <x:f>"34988633933"</x:f>
        <x:v>34988633933</x:v>
      </x:c>
      <x:c r="Z2983" s="30" t="n">
        <x:v>46332</x:v>
      </x:c>
    </x:row>
    <x:row r="2984" ht="18" customHeight="1">
      <x:c r="A2984" s="22" t="str">
        <x:f>"061bfbb2-ee1d-495e-8b0f-1af11b4abb6d"</x:f>
        <x:v>061bfbb2-ee1d-495e-8b0f-1af11b4abb6d</x:v>
      </x:c>
      <x:c r="B2984" s="23" t="str">
        <x:v>PAULA AVELAR DE MORAES</x:v>
      </x:c>
      <x:c r="C2984" s="23" t="str">
        <x:v>paula avelar de moraes</x:v>
      </x:c>
      <x:c r="D2984" s="22" t="str">
        <x:f>"60.664.890/0001-68"</x:f>
        <x:v>60.664.890/0001-68</x:v>
      </x:c>
      <x:c r="E2984" s="22" t="str">
        <x:f>"60664890000168"</x:f>
        <x:v>60664890000168</x:v>
      </x:c>
      <x:c r="F2984" s="22" t="str">
        <x:f>"117.782.557-01"</x:f>
        <x:v>117.782.557-01</x:v>
      </x:c>
      <x:c r="G2984" s="22" t="str">
        <x:f>"11778255701"</x:f>
        <x:v>11778255701</x:v>
      </x:c>
      <x:c r="H2984" s="23" t="str">
        <x:v>pheitor0307@gmail.com</x:v>
      </x:c>
      <x:c r="I2984" s="22" t="str">
        <x:f>"21969469392"</x:f>
        <x:v>21969469392</x:v>
      </x:c>
      <x:c r="J2984" s="23" t="str">
        <x:v>SPOT</x:v>
      </x:c>
      <x:c r="K2984" s="23" t="str">
        <x:v>favored_only</x:v>
      </x:c>
      <x:c r="L2984" s="24" t="b">
        <x:v>1</x:v>
      </x:c>
      <x:c r="M2984" s="23" t="n">
        <x:v>1</x:v>
      </x:c>
      <x:c r="N2984" s="28" t="n">
        <x:v>46203.9219084375</x:v>
      </x:c>
      <x:c r="O2984" s="28" t="n">
        <x:v>46219.812988715275</x:v>
      </x:c>
      <x:c r="P2984" s="23" t="str">
        <x:v>CORDOVIL</x:v>
      </x:c>
      <x:c r="Q2984" s="30" t="n">
        <x:v>32160</x:v>
      </x:c>
      <x:c r="R2984" s="22" t="str">
        <x:f>"98002147"</x:f>
        <x:v>98002147</x:v>
      </x:c>
      <x:c r="S2984" s="23" t="str">
        <x:v>feminino</x:v>
      </x:c>
      <x:c r="T2984" s="22" t="str">
        <x:f>"LPH8J21"</x:f>
        <x:v>LPH8J21</x:v>
      </x:c>
      <x:c r="U2984" s="23" t="str">
        <x:v>PAULA AVELAR DE MORAES</x:v>
      </x:c>
      <x:c r="V2984" s="22" t="str">
        <x:f>"117.782.557-01"</x:f>
        <x:v>117.782.557-01</x:v>
      </x:c>
      <x:c r="W2984" s="22" t="str">
        <x:f>"11778255701"</x:f>
        <x:v>11778255701</x:v>
      </x:c>
      <x:c r="X2984" s="23" t="str">
        <x:v>pheitor0307@gmail.com</x:v>
      </x:c>
      <x:c r="Y2984" s="22" t="str">
        <x:f>"21969469392"</x:f>
        <x:v>21969469392</x:v>
      </x:c>
      <x:c r="Z2984" s="30" t="n">
        <x:v>46392</x:v>
      </x:c>
    </x:row>
    <x:row r="2985" ht="18" customHeight="1">
      <x:c r="A2985" s="22" t="str">
        <x:f>"2894fa02-cc76-4469-8dad-d703b282a84a"</x:f>
        <x:v>2894fa02-cc76-4469-8dad-d703b282a84a</x:v>
      </x:c>
      <x:c r="B2985" s="23" t="str">
        <x:v>PAULO CESAR CELHO FILHO</x:v>
      </x:c>
      <x:c r="C2985" s="23" t="str">
        <x:v>paulo cesar celho filho</x:v>
      </x:c>
      <x:c r="D2985" s="22" t="str">
        <x:f>"61.191.061/0001-78"</x:f>
        <x:v>61.191.061/0001-78</x:v>
      </x:c>
      <x:c r="E2985" s="22" t="str">
        <x:f>"61191061000178"</x:f>
        <x:v>61191061000178</x:v>
      </x:c>
      <x:c r="F2985" s="22" t="str">
        <x:f>"832.208.951-15"</x:f>
        <x:v>832.208.951-15</x:v>
      </x:c>
      <x:c r="G2985" s="22" t="str">
        <x:f>"83220895115"</x:f>
        <x:v>83220895115</x:v>
      </x:c>
      <x:c r="H2985" s="23" t="str">
        <x:v>paulocoelhoservicos@hotmail.com</x:v>
      </x:c>
      <x:c r="I2985" s="22" t="str">
        <x:f>"659992014681"</x:f>
        <x:v>659992014681</x:v>
      </x:c>
      <x:c r="J2985" s="23" t="str">
        <x:v>SPOT</x:v>
      </x:c>
      <x:c r="K2985" s="23" t="str">
        <x:v>favored_only</x:v>
      </x:c>
      <x:c r="L2985" s="24" t="b">
        <x:v>1</x:v>
      </x:c>
      <x:c r="M2985" s="23" t="n">
        <x:v>1</x:v>
      </x:c>
      <x:c r="N2985" s="28" t="n">
        <x:v>46205.604727488426</x:v>
      </x:c>
      <x:c r="O2985" s="28" t="n">
        <x:v>46219.812988715275</x:v>
      </x:c>
      <x:c r="P2985" s="23" t="str">
        <x:v>ARAPUTANGA</x:v>
      </x:c>
      <x:c r="Q2985" s="30" t="n">
        <x:v>27588</x:v>
      </x:c>
      <x:c r="R2985" s="22" t="str">
        <x:f>"11285524 SSP MT"</x:f>
        <x:v>11285524 SSP MT</x:v>
      </x:c>
      <x:c r="S2985" s="23" t="str">
        <x:v>masculino</x:v>
      </x:c>
      <x:c r="T2985" s="22" t="str">
        <x:f>"FDU5J03"</x:f>
        <x:v>FDU5J03</x:v>
      </x:c>
      <x:c r="U2985" s="23" t="str">
        <x:v>RAFAEL BENTO GOMES</x:v>
      </x:c>
      <x:c r="V2985" s="22" t="str">
        <x:f>"055.886.591-71"</x:f>
        <x:v>055.886.591-71</x:v>
      </x:c>
      <x:c r="W2985" s="22" t="str">
        <x:f>"05588659171"</x:f>
        <x:v>05588659171</x:v>
      </x:c>
      <x:c r="X2985" s="23" t="str">
        <x:v>rafaelbentogomes685@gmail.com</x:v>
      </x:c>
      <x:c r="Y2985" s="22" t="str">
        <x:f>"659992014681"</x:f>
        <x:v>659992014681</x:v>
      </x:c>
      <x:c r="Z2985" s="30" t="n">
        <x:v>46291</x:v>
      </x:c>
    </x:row>
    <x:row r="2986" ht="18" customHeight="1">
      <x:c r="A2986" s="22" t="str">
        <x:f>"e8198df2-5468-46c2-b0d6-1387017ce038"</x:f>
        <x:v>e8198df2-5468-46c2-b0d6-1387017ce038</x:v>
      </x:c>
      <x:c r="B2986" s="23" t="str">
        <x:v>PAULO CESAR DA SILVA</x:v>
      </x:c>
      <x:c r="C2986" s="23" t="str">
        <x:v>paulo cesar da silva</x:v>
      </x:c>
      <x:c r="D2986" s="22" t="str">
        <x:f>"41.139.630/0001-29"</x:f>
        <x:v>41.139.630/0001-29</x:v>
      </x:c>
      <x:c r="E2986" s="22" t="str">
        <x:f>"41139630000129"</x:f>
        <x:v>41139630000129</x:v>
      </x:c>
      <x:c r="F2986" s="22" t="str">
        <x:f>"638.843.056-20"</x:f>
        <x:v>638.843.056-20</x:v>
      </x:c>
      <x:c r="G2986" s="22" t="str">
        <x:f>"63884305620"</x:f>
        <x:v>63884305620</x:v>
      </x:c>
      <x:c r="H2986" s="23" t="str">
        <x:v>paulocesar126482@gmail.com</x:v>
      </x:c>
      <x:c r="I2986" s="22" t="str">
        <x:f>"(31) 9267-8067"</x:f>
        <x:v>(31) 9267-8067</x:v>
      </x:c>
      <x:c r="J2986" s="23" t="str">
        <x:v>RENTAL</x:v>
      </x:c>
      <x:c r="K2986" s="23" t="str">
        <x:v>rental_company</x:v>
      </x:c>
      <x:c r="L2986" s="24" t="b">
        <x:v>1</x:v>
      </x:c>
      <x:c r="M2986" s="23" t="n">
        <x:v>1</x:v>
      </x:c>
      <x:c r="N2986" s="28" t="n">
        <x:v>46203.92183017361</x:v>
      </x:c>
      <x:c r="O2986" s="28" t="n">
        <x:v>46219.812988715275</x:v>
      </x:c>
      <x:c r="P2986" s="23" t="str">
        <x:v>IPATINGA</x:v>
      </x:c>
      <x:c r="Q2986" s="30" t="n">
        <x:v>24890</x:v>
      </x:c>
      <x:c r="R2986" s="22" t="str">
        <x:f>"4528573"</x:f>
        <x:v>4528573</x:v>
      </x:c>
      <x:c r="S2986" s="23" t="str">
        <x:v>masculino</x:v>
      </x:c>
      <x:c r="T2986" s="22" t="str"/>
      <x:c r="U2986" s="23" t="str">
        <x:v>PAULO CESAR DA SILVA</x:v>
      </x:c>
      <x:c r="V2986" s="22" t="str">
        <x:f>"638.843.056-20"</x:f>
        <x:v>638.843.056-20</x:v>
      </x:c>
      <x:c r="W2986" s="22" t="str">
        <x:f>"63884305620"</x:f>
        <x:v>63884305620</x:v>
      </x:c>
      <x:c r="X2986" s="23" t="str">
        <x:v>paulocesar126482@gmail.com</x:v>
      </x:c>
      <x:c r="Y2986" s="22" t="str">
        <x:f>"(31) 9267-8067"</x:f>
        <x:v>(31) 9267-8067</x:v>
      </x:c>
      <x:c r="Z2986" s="30" t="n">
        <x:v>46266</x:v>
      </x:c>
    </x:row>
    <x:row r="2987" ht="18" customHeight="1">
      <x:c r="A2987" s="22" t="str">
        <x:f>"b8875f44-acab-4ca1-a5d6-ded6c0870360"</x:f>
        <x:v>b8875f44-acab-4ca1-a5d6-ded6c0870360</x:v>
      </x:c>
      <x:c r="B2987" s="23" t="str">
        <x:v>PAULO CESAR GOMES DA ROCHA</x:v>
      </x:c>
      <x:c r="C2987" s="23" t="str">
        <x:v>paulo cesar gomes da rocha</x:v>
      </x:c>
      <x:c r="D2987" s="22" t="str">
        <x:f>"67.995.490/0001-84"</x:f>
        <x:v>67.995.490/0001-84</x:v>
      </x:c>
      <x:c r="E2987" s="22" t="str">
        <x:f>"67995490000184"</x:f>
        <x:v>67995490000184</x:v>
      </x:c>
      <x:c r="F2987" s="22" t="str">
        <x:f>"302.486.918-21"</x:f>
        <x:v>302.486.918-21</x:v>
      </x:c>
      <x:c r="G2987" s="22" t="str">
        <x:f>"30248691821"</x:f>
        <x:v>30248691821</x:v>
      </x:c>
      <x:c r="H2987" s="23" t="str">
        <x:v>pc22rocha@gmail.com</x:v>
      </x:c>
      <x:c r="I2987" s="22" t="str">
        <x:f>"18 99676-0724"</x:f>
        <x:v>18 99676-0724</x:v>
      </x:c>
      <x:c r="J2987" s="23" t="str">
        <x:v>RENTAL</x:v>
      </x:c>
      <x:c r="K2987" s="23" t="str">
        <x:v>rental_company</x:v>
      </x:c>
      <x:c r="L2987" s="24" t="b">
        <x:v>1</x:v>
      </x:c>
      <x:c r="M2987" s="23" t="n">
        <x:v>1</x:v>
      </x:c>
      <x:c r="N2987" s="28" t="n">
        <x:v>46219.812988715275</x:v>
      </x:c>
      <x:c r="O2987" s="28" t="n">
        <x:v>46219.812988715275</x:v>
      </x:c>
      <x:c r="P2987" s="23" t="str">
        <x:v>PRESIDENTE PRUDENTE</x:v>
      </x:c>
      <x:c r="Q2987" s="30" t="n">
        <x:v>29993</x:v>
      </x:c>
      <x:c r="R2987" s="22" t="str">
        <x:f>"34297107"</x:f>
        <x:v>34297107</x:v>
      </x:c>
      <x:c r="S2987" s="23" t="str">
        <x:v>masculino</x:v>
      </x:c>
      <x:c r="T2987" s="22" t="str"/>
      <x:c r="U2987" s="23" t="str">
        <x:v>PAULO CESAR GOMES DA ROCHA</x:v>
      </x:c>
      <x:c r="V2987" s="22" t="str">
        <x:f>"302.486.918-21"</x:f>
        <x:v>302.486.918-21</x:v>
      </x:c>
      <x:c r="W2987" s="22" t="str">
        <x:f>"30248691821"</x:f>
        <x:v>30248691821</x:v>
      </x:c>
      <x:c r="X2987" s="23" t="str">
        <x:v>pc22rocha@gmail.com</x:v>
      </x:c>
      <x:c r="Y2987" s="22" t="str">
        <x:f>"18 99676-0724"</x:f>
        <x:v>18 99676-0724</x:v>
      </x:c>
      <x:c r="Z2987" s="30" t="n">
        <x:v>46583</x:v>
      </x:c>
    </x:row>
    <x:row r="2988" ht="18" customHeight="1">
      <x:c r="A2988" s="22" t="str">
        <x:f>"3472cdef-b99c-4991-934d-235120ea8b6b"</x:f>
        <x:v>3472cdef-b99c-4991-934d-235120ea8b6b</x:v>
      </x:c>
      <x:c r="B2988" s="23" t="str">
        <x:v>PAULO CESAR GONCALVES FONSECA</x:v>
      </x:c>
      <x:c r="C2988" s="23" t="str">
        <x:v>paulo cesar goncalves fonseca</x:v>
      </x:c>
      <x:c r="D2988" s="22" t="str">
        <x:f>"65.769.389/0001-80"</x:f>
        <x:v>65.769.389/0001-80</x:v>
      </x:c>
      <x:c r="E2988" s="22" t="str">
        <x:f>"65769389000180"</x:f>
        <x:v>65769389000180</x:v>
      </x:c>
      <x:c r="F2988" s="22" t="str">
        <x:f>"162.872.876-08"</x:f>
        <x:v>162.872.876-08</x:v>
      </x:c>
      <x:c r="G2988" s="22" t="str">
        <x:f>"16287287608"</x:f>
        <x:v>16287287608</x:v>
      </x:c>
      <x:c r="H2988" s="23" t="str">
        <x:v>paulocf041102@gmail.com</x:v>
      </x:c>
      <x:c r="I2988" s="22" t="str">
        <x:f>"16997663889"</x:f>
        <x:v>16997663889</x:v>
      </x:c>
      <x:c r="J2988" s="23" t="str">
        <x:v>SPOT</x:v>
      </x:c>
      <x:c r="K2988" s="23" t="str">
        <x:v>favored_only</x:v>
      </x:c>
      <x:c r="L2988" s="24" t="b">
        <x:v>1</x:v>
      </x:c>
      <x:c r="M2988" s="23" t="n">
        <x:v>1</x:v>
      </x:c>
      <x:c r="N2988" s="28" t="n">
        <x:v>46219.812988715275</x:v>
      </x:c>
      <x:c r="O2988" s="28" t="n">
        <x:v>46219.812988715275</x:v>
      </x:c>
      <x:c r="P2988" s="23" t="str">
        <x:v>RIBEIRAO PRETO</x:v>
      </x:c>
      <x:c r="Q2988" s="30" t="n">
        <x:v>37565</x:v>
      </x:c>
      <x:c r="R2988" s="22" t="str">
        <x:f>"672950169"</x:f>
        <x:v>672950169</x:v>
      </x:c>
      <x:c r="S2988" s="23" t="str">
        <x:v>masculino</x:v>
      </x:c>
      <x:c r="T2988" s="22" t="str">
        <x:f>"GIF8G40"</x:f>
        <x:v>GIF8G40</x:v>
      </x:c>
      <x:c r="U2988" s="23" t="str">
        <x:v>PAULO CESAR GONCALVES FONSECA</x:v>
      </x:c>
      <x:c r="V2988" s="22" t="str">
        <x:f>"162.872.876-08"</x:f>
        <x:v>162.872.876-08</x:v>
      </x:c>
      <x:c r="W2988" s="22" t="str">
        <x:f>"16287287608"</x:f>
        <x:v>16287287608</x:v>
      </x:c>
      <x:c r="X2988" s="23" t="str">
        <x:v>paulocf041102@gmail.com</x:v>
      </x:c>
      <x:c r="Y2988" s="22" t="str">
        <x:f>"16997663889"</x:f>
        <x:v>16997663889</x:v>
      </x:c>
      <x:c r="Z2988" s="30" t="n">
        <x:v>46553</x:v>
      </x:c>
    </x:row>
    <x:row r="2989" ht="18" customHeight="1">
      <x:c r="A2989" s="22" t="str">
        <x:f>"f5895a3e-12fe-4538-9c2c-32dfa7b644df"</x:f>
        <x:v>f5895a3e-12fe-4538-9c2c-32dfa7b644df</x:v>
      </x:c>
      <x:c r="B2989" s="23" t="str">
        <x:v>PAULO CESAR MARQUES OLIMPIO</x:v>
      </x:c>
      <x:c r="C2989" s="23" t="str">
        <x:v>paulo cesar marques olimpio</x:v>
      </x:c>
      <x:c r="D2989" s="22" t="str">
        <x:f>"61.123.522/0001-75"</x:f>
        <x:v>61.123.522/0001-75</x:v>
      </x:c>
      <x:c r="E2989" s="22" t="str">
        <x:f>"61123522000175"</x:f>
        <x:v>61123522000175</x:v>
      </x:c>
      <x:c r="F2989" s="22" t="str">
        <x:f>"334.475.328-23"</x:f>
        <x:v>334.475.328-23</x:v>
      </x:c>
      <x:c r="G2989" s="22" t="str">
        <x:f>"33447532823"</x:f>
        <x:v>33447532823</x:v>
      </x:c>
      <x:c r="H2989" s="23" t="str">
        <x:v>paulocesarmolimpio@gmail.com</x:v>
      </x:c>
      <x:c r="I2989" s="22" t="str">
        <x:f>"18 99714-7848"</x:f>
        <x:v>18 99714-7848</x:v>
      </x:c>
      <x:c r="J2989" s="23" t="str">
        <x:v>RENTAL</x:v>
      </x:c>
      <x:c r="K2989" s="23" t="str">
        <x:v>rental_company</x:v>
      </x:c>
      <x:c r="L2989" s="24" t="b">
        <x:v>1</x:v>
      </x:c>
      <x:c r="M2989" s="23" t="n">
        <x:v>1</x:v>
      </x:c>
      <x:c r="N2989" s="28" t="n">
        <x:v>46219.812988715275</x:v>
      </x:c>
      <x:c r="O2989" s="28" t="n">
        <x:v>46219.812988715275</x:v>
      </x:c>
      <x:c r="P2989" s="23" t="str">
        <x:v>ARAÇATUBA</x:v>
      </x:c>
      <x:c r="Q2989" s="30" t="n">
        <x:v>31055</x:v>
      </x:c>
      <x:c r="R2989" s="22" t="str">
        <x:f>"338556370"</x:f>
        <x:v>338556370</x:v>
      </x:c>
      <x:c r="S2989" s="23" t="str">
        <x:v>masculino</x:v>
      </x:c>
      <x:c r="T2989" s="22" t="str"/>
      <x:c r="U2989" s="23" t="str">
        <x:v>PAULO CESAR MARQUES OLIMPIO</x:v>
      </x:c>
      <x:c r="V2989" s="22" t="str">
        <x:f>"334.475.328-23"</x:f>
        <x:v>334.475.328-23</x:v>
      </x:c>
      <x:c r="W2989" s="22" t="str">
        <x:f>"33447532823"</x:f>
        <x:v>33447532823</x:v>
      </x:c>
      <x:c r="X2989" s="23" t="str">
        <x:v>paulocesarmolimpio@gmail.com</x:v>
      </x:c>
      <x:c r="Y2989" s="22" t="str">
        <x:f>"18 99714-7848"</x:f>
        <x:v>18 99714-7848</x:v>
      </x:c>
      <x:c r="Z2989" s="30" t="n">
        <x:v>46582</x:v>
      </x:c>
    </x:row>
    <x:row r="2990" ht="18" customHeight="1">
      <x:c r="A2990" s="22" t="str">
        <x:f>"bd37ca72-d7c9-442c-959c-9c56cfa8b74c"</x:f>
        <x:v>bd37ca72-d7c9-442c-959c-9c56cfa8b74c</x:v>
      </x:c>
      <x:c r="B2990" s="23" t="str">
        <x:v>PAULO CESAR PEREIRA DE JESUS</x:v>
      </x:c>
      <x:c r="C2990" s="23" t="str">
        <x:v>paulo cesar pereira de jesus</x:v>
      </x:c>
      <x:c r="D2990" s="22" t="str">
        <x:f>"62.626.009/0001-60"</x:f>
        <x:v>62.626.009/0001-60</x:v>
      </x:c>
      <x:c r="E2990" s="22" t="str">
        <x:f>"62626009000160"</x:f>
        <x:v>62626009000160</x:v>
      </x:c>
      <x:c r="F2990" s="22" t="str">
        <x:f>"039.935.641-03"</x:f>
        <x:v>039.935.641-03</x:v>
      </x:c>
      <x:c r="G2990" s="22" t="str">
        <x:f>"03993564103"</x:f>
        <x:v>03993564103</x:v>
      </x:c>
      <x:c r="H2990" s="23" t="str">
        <x:v>paulocesarpereiradejesus083@gmail.com</x:v>
      </x:c>
      <x:c r="I2990" s="22" t="str">
        <x:f>"64 999955255"</x:f>
        <x:v>64 999955255</x:v>
      </x:c>
      <x:c r="J2990" s="23" t="str">
        <x:v>SPOT</x:v>
      </x:c>
      <x:c r="K2990" s="23" t="str">
        <x:v>favored_only</x:v>
      </x:c>
      <x:c r="L2990" s="24" t="b">
        <x:v>1</x:v>
      </x:c>
      <x:c r="M2990" s="23" t="n">
        <x:v>1</x:v>
      </x:c>
      <x:c r="N2990" s="28" t="n">
        <x:v>46205.604523912036</x:v>
      </x:c>
      <x:c r="O2990" s="28" t="n">
        <x:v>46219.812988715275</x:v>
      </x:c>
      <x:c r="P2990" s="23" t="str">
        <x:v>RIO VERDE</x:v>
      </x:c>
      <x:c r="Q2990" s="30" t="n">
        <x:v>30640</x:v>
      </x:c>
      <x:c r="R2990" s="22" t="str">
        <x:f>"5073015"</x:f>
        <x:v>5073015</x:v>
      </x:c>
      <x:c r="S2990" s="23" t="str">
        <x:v>masculino</x:v>
      </x:c>
      <x:c r="T2990" s="22" t="str">
        <x:f>"OBF2C69"</x:f>
        <x:v>OBF2C69</x:v>
      </x:c>
      <x:c r="U2990" s="23" t="str">
        <x:v>LUCAS BRANDAO DE OLIVEIRA</x:v>
      </x:c>
      <x:c r="V2990" s="22" t="str">
        <x:f>"055.288.211-93"</x:f>
        <x:v>055.288.211-93</x:v>
      </x:c>
      <x:c r="W2990" s="22" t="str">
        <x:f>"05528821193"</x:f>
        <x:v>05528821193</x:v>
      </x:c>
      <x:c r="X2990" s="23" t="str">
        <x:v>lucasbrandao20rv@gmail.com</x:v>
      </x:c>
      <x:c r="Y2990" s="22" t="str">
        <x:f>"64992184258"</x:f>
        <x:v>64992184258</x:v>
      </x:c>
      <x:c r="Z2990" s="30" t="n">
        <x:v>46281</x:v>
      </x:c>
    </x:row>
    <x:row r="2991" ht="18" customHeight="1">
      <x:c r="A2991" s="22" t="str">
        <x:f>"15f8e837-be34-4a4c-8ac7-3e73b085ef3c"</x:f>
        <x:v>15f8e837-be34-4a4c-8ac7-3e73b085ef3c</x:v>
      </x:c>
      <x:c r="B2991" s="23" t="str">
        <x:v>PAULO CEZAR BOCARDI DE MIRANDA</x:v>
      </x:c>
      <x:c r="C2991" s="23" t="str">
        <x:v>paulo cezar bocardi de miranda</x:v>
      </x:c>
      <x:c r="D2991" s="22" t="str">
        <x:f>"57.684.950/0001-08"</x:f>
        <x:v>57.684.950/0001-08</x:v>
      </x:c>
      <x:c r="E2991" s="22" t="str">
        <x:f>"57684950000108"</x:f>
        <x:v>57684950000108</x:v>
      </x:c>
      <x:c r="F2991" s="22" t="str">
        <x:f>"703.773.321-00"</x:f>
        <x:v>703.773.321-00</x:v>
      </x:c>
      <x:c r="G2991" s="22" t="str">
        <x:f>"70377332100"</x:f>
        <x:v>70377332100</x:v>
      </x:c>
      <x:c r="H2991" s="23" t="str">
        <x:v>paulocbm.med@hotmail.com</x:v>
      </x:c>
      <x:c r="I2991" s="22" t="str">
        <x:f>"65 99271-2717"</x:f>
        <x:v>65 99271-2717</x:v>
      </x:c>
      <x:c r="J2991" s="23" t="str">
        <x:v>SPOT</x:v>
      </x:c>
      <x:c r="K2991" s="23" t="str">
        <x:v>favored_only</x:v>
      </x:c>
      <x:c r="L2991" s="24" t="b">
        <x:v>1</x:v>
      </x:c>
      <x:c r="M2991" s="23" t="n">
        <x:v>1</x:v>
      </x:c>
      <x:c r="N2991" s="28" t="n">
        <x:v>46219.812988715275</x:v>
      </x:c>
      <x:c r="O2991" s="28" t="n">
        <x:v>46219.812988715275</x:v>
      </x:c>
      <x:c r="P2991" s="23" t="str">
        <x:v>CUIABA</x:v>
      </x:c>
      <x:c r="Q2991" s="30" t="n">
        <x:v>29776</x:v>
      </x:c>
      <x:c r="R2991" s="22" t="str">
        <x:f>"1303318-2"</x:f>
        <x:v>1303318-2</x:v>
      </x:c>
      <x:c r="S2991" s="23" t="str">
        <x:v>masculino</x:v>
      </x:c>
      <x:c r="T2991" s="22" t="str">
        <x:f>"RTU6D04"</x:f>
        <x:v>RTU6D04</x:v>
      </x:c>
      <x:c r="U2991" s="23" t="str">
        <x:v>THIAGO JUNIOR MEDEIROS RIBEIRO</x:v>
      </x:c>
      <x:c r="V2991" s="22" t="str">
        <x:f>"081.891.721-07"</x:f>
        <x:v>081.891.721-07</x:v>
      </x:c>
      <x:c r="W2991" s="22" t="str">
        <x:f>"08189172107"</x:f>
        <x:v>08189172107</x:v>
      </x:c>
      <x:c r="X2991" s="23" t="str">
        <x:v>thiagocba1000@gmail.com</x:v>
      </x:c>
      <x:c r="Y2991" s="22" t="str">
        <x:f>"65993005648"</x:f>
        <x:v>65993005648</x:v>
      </x:c>
      <x:c r="Z2991" s="30" t="n">
        <x:v>46520</x:v>
      </x:c>
    </x:row>
    <x:row r="2992" ht="18" customHeight="1">
      <x:c r="A2992" s="22" t="str">
        <x:f>"1a780d43-a4a1-4778-a6be-6c5426aab066"</x:f>
        <x:v>1a780d43-a4a1-4778-a6be-6c5426aab066</x:v>
      </x:c>
      <x:c r="B2992" s="23" t="str">
        <x:v>PAULO DE OLIVEIRA SILVA</x:v>
      </x:c>
      <x:c r="C2992" s="23" t="str">
        <x:v>paulo de oliveira silva</x:v>
      </x:c>
      <x:c r="D2992" s="22" t="str">
        <x:f>"54.568.869/0001-66"</x:f>
        <x:v>54.568.869/0001-66</x:v>
      </x:c>
      <x:c r="E2992" s="22" t="str">
        <x:f>"54568869000166"</x:f>
        <x:v>54568869000166</x:v>
      </x:c>
      <x:c r="F2992" s="22" t="str">
        <x:f>"090.916.226-36"</x:f>
        <x:v>090.916.226-36</x:v>
      </x:c>
      <x:c r="G2992" s="22" t="str">
        <x:f>"09091622636"</x:f>
        <x:v>09091622636</x:v>
      </x:c>
      <x:c r="H2992" s="23" t="str">
        <x:v>linhotim@yahoo.com.br</x:v>
      </x:c>
      <x:c r="I2992" s="22" t="str">
        <x:f>"35 98821-8593"</x:f>
        <x:v>35 98821-8593</x:v>
      </x:c>
      <x:c r="J2992" s="23" t="str">
        <x:v>SPOT</x:v>
      </x:c>
      <x:c r="K2992" s="23" t="str">
        <x:v>favored_only</x:v>
      </x:c>
      <x:c r="L2992" s="24" t="b">
        <x:v>1</x:v>
      </x:c>
      <x:c r="M2992" s="23" t="n">
        <x:v>1</x:v>
      </x:c>
      <x:c r="N2992" s="28" t="n">
        <x:v>46219.812988715275</x:v>
      </x:c>
      <x:c r="O2992" s="28" t="n">
        <x:v>46219.812988715275</x:v>
      </x:c>
      <x:c r="P2992" s="23" t="str">
        <x:v>POCOS DE CALDAS</x:v>
      </x:c>
      <x:c r="Q2992" s="30" t="n">
        <x:v>31884</x:v>
      </x:c>
      <x:c r="R2992" s="22" t="str">
        <x:f>"342671157"</x:f>
        <x:v>342671157</x:v>
      </x:c>
      <x:c r="S2992" s="23" t="str">
        <x:v>masculino</x:v>
      </x:c>
      <x:c r="T2992" s="22" t="str">
        <x:f>"PUR8D40"</x:f>
        <x:v>PUR8D40</x:v>
      </x:c>
      <x:c r="U2992" s="23" t="str">
        <x:v>PAULO DE OLIVEIRA SILVA</x:v>
      </x:c>
      <x:c r="V2992" s="22" t="str">
        <x:f>"090.916.226-36"</x:f>
        <x:v>090.916.226-36</x:v>
      </x:c>
      <x:c r="W2992" s="22" t="str">
        <x:f>"09091622636"</x:f>
        <x:v>09091622636</x:v>
      </x:c>
      <x:c r="X2992" s="23" t="str">
        <x:v>linhotim@yahoo.com.br</x:v>
      </x:c>
      <x:c r="Y2992" s="22" t="str">
        <x:f>"35 98821-8593"</x:f>
        <x:v>35 98821-8593</x:v>
      </x:c>
      <x:c r="Z2992" s="30" t="n">
        <x:v>46528</x:v>
      </x:c>
    </x:row>
    <x:row r="2993" ht="18" customHeight="1">
      <x:c r="A2993" s="22" t="str">
        <x:f>"91360b48-f8f7-486d-aadc-d20f95144c07"</x:f>
        <x:v>91360b48-f8f7-486d-aadc-d20f95144c07</x:v>
      </x:c>
      <x:c r="B2993" s="23" t="str">
        <x:v>PAULO DE TARSO OLIVEIRA</x:v>
      </x:c>
      <x:c r="C2993" s="23" t="str">
        <x:v>paulo de tarso oliveira</x:v>
      </x:c>
      <x:c r="D2993" s="22" t="str">
        <x:f>"20.875.733/0001-87"</x:f>
        <x:v>20.875.733/0001-87</x:v>
      </x:c>
      <x:c r="E2993" s="22" t="str">
        <x:f>"20875733000187"</x:f>
        <x:v>20875733000187</x:v>
      </x:c>
      <x:c r="F2993" s="22" t="str">
        <x:f>"557.882.546-04"</x:f>
        <x:v>557.882.546-04</x:v>
      </x:c>
      <x:c r="G2993" s="22" t="str">
        <x:f>"55788254604"</x:f>
        <x:v>55788254604</x:v>
      </x:c>
      <x:c r="H2993" s="23" t="str">
        <x:v>paulodetarsooliveira2022@gmail.com</x:v>
      </x:c>
      <x:c r="I2993" s="22" t="str">
        <x:f>"(31)996204902"</x:f>
        <x:v>(31)996204902</x:v>
      </x:c>
      <x:c r="J2993" s="23" t="str">
        <x:v>SPOT</x:v>
      </x:c>
      <x:c r="K2993" s="23" t="str">
        <x:v>favored_only</x:v>
      </x:c>
      <x:c r="L2993" s="24" t="b">
        <x:v>1</x:v>
      </x:c>
      <x:c r="M2993" s="23" t="n">
        <x:v>1</x:v>
      </x:c>
      <x:c r="N2993" s="28" t="n">
        <x:v>46205.60635863426</x:v>
      </x:c>
      <x:c r="O2993" s="28" t="n">
        <x:v>46219.812988715275</x:v>
      </x:c>
      <x:c r="P2993" s="23" t="str">
        <x:v>VESPASIANO</x:v>
      </x:c>
      <x:c r="Q2993" s="30" t="n">
        <x:v>24190</x:v>
      </x:c>
      <x:c r="R2993" s="22" t="str">
        <x:f>"RG: 4.800.824"</x:f>
        <x:v>RG: 4.800.824</x:v>
      </x:c>
      <x:c r="S2993" s="23" t="str">
        <x:v>masculino</x:v>
      </x:c>
      <x:c r="T2993" s="22" t="str">
        <x:f>"RTM4D12"</x:f>
        <x:v>RTM4D12</x:v>
      </x:c>
      <x:c r="U2993" s="23" t="str">
        <x:v>SELMARA APARECIDA ALVES</x:v>
      </x:c>
      <x:c r="V2993" s="22" t="str">
        <x:f>"089.612.356-13"</x:f>
        <x:v>089.612.356-13</x:v>
      </x:c>
      <x:c r="W2993" s="22" t="str">
        <x:f>"08961235613"</x:f>
        <x:v>08961235613</x:v>
      </x:c>
      <x:c r="X2993" s="23" t="str">
        <x:v>Selmaraaparecida50@gmail.com</x:v>
      </x:c>
      <x:c r="Y2993" s="22" t="str">
        <x:f>"(31)983985754"</x:f>
        <x:v>(31)983985754</x:v>
      </x:c>
      <x:c r="Z2993" s="30" t="n">
        <x:v>46355</x:v>
      </x:c>
    </x:row>
    <x:row r="2994" ht="18" customHeight="1">
      <x:c r="A2994" s="22" t="str">
        <x:f>"af6b0d41-9528-490f-908e-d98f80e4fdea"</x:f>
        <x:v>af6b0d41-9528-490f-908e-d98f80e4fdea</x:v>
      </x:c>
      <x:c r="B2994" s="23" t="str">
        <x:v>PAULO FHELIPE RODRIGUES SANTOS</x:v>
      </x:c>
      <x:c r="C2994" s="23" t="str">
        <x:v>paulo fhelipe rodrigues santos</x:v>
      </x:c>
      <x:c r="D2994" s="22" t="str">
        <x:f>"06.134.409/0001-22"</x:f>
        <x:v>06.134.409/0001-22</x:v>
      </x:c>
      <x:c r="E2994" s="22" t="str">
        <x:f>"06134409000122"</x:f>
        <x:v>06134409000122</x:v>
      </x:c>
      <x:c r="F2994" s="22" t="str">
        <x:f>"703.754.686-09"</x:f>
        <x:v>703.754.686-09</x:v>
      </x:c>
      <x:c r="G2994" s="22" t="str">
        <x:f>"70375468609"</x:f>
        <x:v>70375468609</x:v>
      </x:c>
      <x:c r="H2994" s="23" t="str">
        <x:v>FHELIPESANTOS31@GMAIL.COM</x:v>
      </x:c>
      <x:c r="I2994" s="22" t="str">
        <x:f>"34996342195"</x:f>
        <x:v>34996342195</x:v>
      </x:c>
      <x:c r="J2994" s="23" t="str">
        <x:v>RENTAL</x:v>
      </x:c>
      <x:c r="K2994" s="23" t="str">
        <x:v>rental_company</x:v>
      </x:c>
      <x:c r="L2994" s="24" t="b">
        <x:v>1</x:v>
      </x:c>
      <x:c r="M2994" s="23" t="n">
        <x:v>1</x:v>
      </x:c>
      <x:c r="N2994" s="28" t="n">
        <x:v>46219.812988715275</x:v>
      </x:c>
      <x:c r="O2994" s="28" t="n">
        <x:v>46219.812988715275</x:v>
      </x:c>
      <x:c r="P2994" s="23" t="str">
        <x:v>UBERLANDIA</x:v>
      </x:c>
      <x:c r="Q2994" s="30" t="n">
        <x:v>37987</x:v>
      </x:c>
      <x:c r="R2994" s="22" t="str">
        <x:f>"MG22280689"</x:f>
        <x:v>MG22280689</x:v>
      </x:c>
      <x:c r="S2994" s="23" t="str">
        <x:v>masculino</x:v>
      </x:c>
      <x:c r="T2994" s="22" t="str"/>
      <x:c r="U2994" s="23" t="str">
        <x:v>PAULO FHELIPE RODRIGUES SANTOS</x:v>
      </x:c>
      <x:c r="V2994" s="22" t="str">
        <x:f>"703.754.686-09"</x:f>
        <x:v>703.754.686-09</x:v>
      </x:c>
      <x:c r="W2994" s="22" t="str">
        <x:f>"70375468609"</x:f>
        <x:v>70375468609</x:v>
      </x:c>
      <x:c r="X2994" s="23" t="str">
        <x:v>FHELIPESANTOS31@GMAIL.COM</x:v>
      </x:c>
      <x:c r="Y2994" s="22" t="str">
        <x:f>"34996342195"</x:f>
        <x:v>34996342195</x:v>
      </x:c>
      <x:c r="Z2994" s="30" t="n">
        <x:v>46553</x:v>
      </x:c>
    </x:row>
    <x:row r="2995" ht="18" customHeight="1">
      <x:c r="A2995" s="22" t="str">
        <x:f>"1e698070-ac55-4ad8-a172-a85089d23aec"</x:f>
        <x:v>1e698070-ac55-4ad8-a172-a85089d23aec</x:v>
      </x:c>
      <x:c r="B2995" s="23" t="str">
        <x:v>PAULO GABRIEL SANTANA DIAS</x:v>
      </x:c>
      <x:c r="C2995" s="23" t="str">
        <x:v>paulo gabriel santana dias</x:v>
      </x:c>
      <x:c r="D2995" s="22" t="str">
        <x:f>"60.735.557/0001-00"</x:f>
        <x:v>60.735.557/0001-00</x:v>
      </x:c>
      <x:c r="E2995" s="22" t="str">
        <x:f>"60735557000100"</x:f>
        <x:v>60735557000100</x:v>
      </x:c>
      <x:c r="F2995" s="22" t="str">
        <x:f>"468.058.658-32"</x:f>
        <x:v>468.058.658-32</x:v>
      </x:c>
      <x:c r="G2995" s="22" t="str">
        <x:f>"46805865832"</x:f>
        <x:v>46805865832</x:v>
      </x:c>
      <x:c r="H2995" s="23" t="str">
        <x:v>paulinho4245@gmail.com</x:v>
      </x:c>
      <x:c r="I2995" s="22" t="str">
        <x:f>"11951566655"</x:f>
        <x:v>11951566655</x:v>
      </x:c>
      <x:c r="J2995" s="23" t="str">
        <x:v>RENTAL</x:v>
      </x:c>
      <x:c r="K2995" s="23" t="str">
        <x:v>rental_company</x:v>
      </x:c>
      <x:c r="L2995" s="24" t="b">
        <x:v>1</x:v>
      </x:c>
      <x:c r="M2995" s="23" t="n">
        <x:v>3</x:v>
      </x:c>
      <x:c r="N2995" s="28" t="n">
        <x:v>46203.921840393516</x:v>
      </x:c>
      <x:c r="O2995" s="28" t="n">
        <x:v>46205.60694795139</x:v>
      </x:c>
      <x:c r="P2995" s="23" t="str">
        <x:v>MADEIRA MADEIRA</x:v>
      </x:c>
      <x:c r="Q2995" s="30" t="n">
        <x:v>35235</x:v>
      </x:c>
      <x:c r="R2995" s="22" t="str">
        <x:f>"52925274"</x:f>
        <x:v>52925274</x:v>
      </x:c>
      <x:c r="S2995" s="23" t="str">
        <x:v>Masculino</x:v>
      </x:c>
      <x:c r="T2995" s="22" t="str"/>
      <x:c r="U2995" s="23" t="str">
        <x:v>PAULO GABRIEL SANTANA DIAS</x:v>
      </x:c>
      <x:c r="V2995" s="22" t="str">
        <x:f>"46805865833"</x:f>
        <x:v>46805865833</x:v>
      </x:c>
      <x:c r="W2995" s="22" t="str">
        <x:f>"46805865833"</x:f>
        <x:v>46805865833</x:v>
      </x:c>
      <x:c r="X2995" s="23" t="str">
        <x:v>paulinho4245@gmail.com</x:v>
      </x:c>
      <x:c r="Y2995" s="22" t="str">
        <x:f>"11951566655"</x:f>
        <x:v>11951566655</x:v>
      </x:c>
      <x:c r="Z2995" s="30" t="n">
        <x:v>46322</x:v>
      </x:c>
    </x:row>
    <x:row r="2996" ht="18" customHeight="1">
      <x:c r="A2996" s="22" t="str">
        <x:f>"ba79e034-feef-4cf2-8e7f-0aeddb74d741"</x:f>
        <x:v>ba79e034-feef-4cf2-8e7f-0aeddb74d741</x:v>
      </x:c>
      <x:c r="B2996" s="23" t="str">
        <x:v>PAULO HEBER SANTOS NETO</x:v>
      </x:c>
      <x:c r="C2996" s="23" t="str">
        <x:v>paulo heber santos neto</x:v>
      </x:c>
      <x:c r="D2996" s="22" t="str">
        <x:f>"67.720.150/0001-40"</x:f>
        <x:v>67.720.150/0001-40</x:v>
      </x:c>
      <x:c r="E2996" s="22" t="str">
        <x:f>"67720150000140"</x:f>
        <x:v>67720150000140</x:v>
      </x:c>
      <x:c r="F2996" s="22" t="str">
        <x:f>"110.373.836-48"</x:f>
        <x:v>110.373.836-48</x:v>
      </x:c>
      <x:c r="G2996" s="22" t="str">
        <x:f>"11037383648"</x:f>
        <x:v>11037383648</x:v>
      </x:c>
      <x:c r="H2996" s="23" t="str">
        <x:v>Paulohebersantosneto@hotmail.com</x:v>
      </x:c>
      <x:c r="I2996" s="22" t="str">
        <x:f>"34984171847"</x:f>
        <x:v>34984171847</x:v>
      </x:c>
      <x:c r="J2996" s="23" t="str">
        <x:v>SPOT</x:v>
      </x:c>
      <x:c r="K2996" s="23" t="str">
        <x:v>favored_only</x:v>
      </x:c>
      <x:c r="L2996" s="24" t="b">
        <x:v>1</x:v>
      </x:c>
      <x:c r="M2996" s="23" t="n">
        <x:v>1</x:v>
      </x:c>
      <x:c r="N2996" s="28" t="n">
        <x:v>46219.812988715275</x:v>
      </x:c>
      <x:c r="O2996" s="28" t="n">
        <x:v>46219.812988715275</x:v>
      </x:c>
      <x:c r="P2996" s="23" t="str">
        <x:v>ARAXÁ</x:v>
      </x:c>
      <x:c r="Q2996" s="30" t="n">
        <x:v>35250</x:v>
      </x:c>
      <x:c r="R2996" s="22" t="str">
        <x:f>"MG17544643"</x:f>
        <x:v>MG17544643</x:v>
      </x:c>
      <x:c r="S2996" s="23" t="str">
        <x:v>masculino</x:v>
      </x:c>
      <x:c r="T2996" s="22" t="str">
        <x:f>"PYT6A92"</x:f>
        <x:v>PYT6A92</x:v>
      </x:c>
      <x:c r="U2996" s="23" t="str">
        <x:v>PAULO HEBER SANTOS NETO</x:v>
      </x:c>
      <x:c r="V2996" s="22" t="str">
        <x:f>"110.373.836-48"</x:f>
        <x:v>110.373.836-48</x:v>
      </x:c>
      <x:c r="W2996" s="22" t="str">
        <x:f>"11037383648"</x:f>
        <x:v>11037383648</x:v>
      </x:c>
      <x:c r="X2996" s="23" t="str">
        <x:v>Paulohebersantosneto@hotmail.com</x:v>
      </x:c>
      <x:c r="Y2996" s="22" t="str">
        <x:f>"34984171847"</x:f>
        <x:v>34984171847</x:v>
      </x:c>
      <x:c r="Z2996" s="30" t="n">
        <x:v>46569</x:v>
      </x:c>
    </x:row>
    <x:row r="2997" ht="18" customHeight="1">
      <x:c r="A2997" s="22" t="str">
        <x:f>"e6b52c4c-f7f0-440c-a08f-9efc3f8e6e71"</x:f>
        <x:v>e6b52c4c-f7f0-440c-a08f-9efc3f8e6e71</x:v>
      </x:c>
      <x:c r="B2997" s="23" t="str">
        <x:v>PAULO HENRIQUE ALVES PIO</x:v>
      </x:c>
      <x:c r="C2997" s="23" t="str">
        <x:v>paulo henrique alves pio</x:v>
      </x:c>
      <x:c r="D2997" s="22" t="str">
        <x:f>"52.340.515/0001-34"</x:f>
        <x:v>52.340.515/0001-34</x:v>
      </x:c>
      <x:c r="E2997" s="22" t="str">
        <x:f>"52340515000134"</x:f>
        <x:v>52340515000134</x:v>
      </x:c>
      <x:c r="F2997" s="22" t="str">
        <x:f>"117.401.146-71"</x:f>
        <x:v>117.401.146-71</x:v>
      </x:c>
      <x:c r="G2997" s="22" t="str">
        <x:f>"11740114671"</x:f>
        <x:v>11740114671</x:v>
      </x:c>
      <x:c r="H2997" s="23" t="str">
        <x:v>h7926380@gmail.com</x:v>
      </x:c>
      <x:c r="I2997" s="22" t="str">
        <x:f>"3499359506"</x:f>
        <x:v>3499359506</x:v>
      </x:c>
      <x:c r="J2997" s="23" t="str">
        <x:v>RENTAL</x:v>
      </x:c>
      <x:c r="K2997" s="23" t="str">
        <x:v>rental_company</x:v>
      </x:c>
      <x:c r="L2997" s="24" t="b">
        <x:v>1</x:v>
      </x:c>
      <x:c r="M2997" s="23" t="n">
        <x:v>1</x:v>
      </x:c>
      <x:c r="N2997" s="28" t="n">
        <x:v>46219.812988715275</x:v>
      </x:c>
      <x:c r="O2997" s="28" t="n">
        <x:v>46219.812988715275</x:v>
      </x:c>
      <x:c r="P2997" s="23" t="str">
        <x:v>UBERABA</x:v>
      </x:c>
      <x:c r="Q2997" s="30" t="n">
        <x:v>34044</x:v>
      </x:c>
      <x:c r="R2997" s="22" t="str">
        <x:f>"18140050"</x:f>
        <x:v>18140050</x:v>
      </x:c>
      <x:c r="S2997" s="23" t="str">
        <x:v>masculino</x:v>
      </x:c>
      <x:c r="T2997" s="22" t="str"/>
      <x:c r="U2997" s="23" t="str">
        <x:v>PAULO HENRIQUE ALVES PIO</x:v>
      </x:c>
      <x:c r="V2997" s="22" t="str">
        <x:f>"117.401.146-71"</x:f>
        <x:v>117.401.146-71</x:v>
      </x:c>
      <x:c r="W2997" s="22" t="str">
        <x:f>"11740114671"</x:f>
        <x:v>11740114671</x:v>
      </x:c>
      <x:c r="X2997" s="23" t="str">
        <x:v>h7926380@gmail.com</x:v>
      </x:c>
      <x:c r="Y2997" s="22" t="str">
        <x:f>"3499359506"</x:f>
        <x:v>3499359506</x:v>
      </x:c>
      <x:c r="Z2997" s="30" t="n">
        <x:v>46533</x:v>
      </x:c>
    </x:row>
    <x:row r="2998" ht="18" customHeight="1">
      <x:c r="A2998" s="22" t="str">
        <x:f>"2695d0e8-12d0-419d-9037-589a65bcd334"</x:f>
        <x:v>2695d0e8-12d0-419d-9037-589a65bcd334</x:v>
      </x:c>
      <x:c r="B2998" s="23" t="str">
        <x:v>PAULO HENRIQUE AMORIM GOMES</x:v>
      </x:c>
      <x:c r="C2998" s="23" t="str">
        <x:v>paulo henrique amorim gomes</x:v>
      </x:c>
      <x:c r="D2998" s="22" t="str">
        <x:f>"62.371.243/0001-93"</x:f>
        <x:v>62.371.243/0001-93</x:v>
      </x:c>
      <x:c r="E2998" s="22" t="str">
        <x:f>"62371243000193"</x:f>
        <x:v>62371243000193</x:v>
      </x:c>
      <x:c r="F2998" s="22" t="str">
        <x:f>"430.176.528-07"</x:f>
        <x:v>430.176.528-07</x:v>
      </x:c>
      <x:c r="G2998" s="22" t="str">
        <x:f>"43017652807"</x:f>
        <x:v>43017652807</x:v>
      </x:c>
      <x:c r="H2998" s="23" t="str">
        <x:v>Prlorena0707@gmail.com</x:v>
      </x:c>
      <x:c r="I2998" s="22" t="str">
        <x:f>"11915824780"</x:f>
        <x:v>11915824780</x:v>
      </x:c>
      <x:c r="J2998" s="23" t="str">
        <x:v>RENTAL</x:v>
      </x:c>
      <x:c r="K2998" s="23" t="str">
        <x:v>rental_company</x:v>
      </x:c>
      <x:c r="L2998" s="24" t="b">
        <x:v>1</x:v>
      </x:c>
      <x:c r="M2998" s="23" t="n">
        <x:v>1</x:v>
      </x:c>
      <x:c r="N2998" s="28" t="n">
        <x:v>46203.921858726855</x:v>
      </x:c>
      <x:c r="O2998" s="28" t="n">
        <x:v>46219.812988715275</x:v>
      </x:c>
      <x:c r="P2998" s="23" t="str">
        <x:v>BARUERI</x:v>
      </x:c>
      <x:c r="Q2998" s="30" t="n">
        <x:v>34465</x:v>
      </x:c>
      <x:c r="R2998" s="22" t="str">
        <x:f>"36915865"</x:f>
        <x:v>36915865</x:v>
      </x:c>
      <x:c r="S2998" s="23" t="str">
        <x:v>masculino</x:v>
      </x:c>
      <x:c r="T2998" s="22" t="str"/>
      <x:c r="U2998" s="23" t="str">
        <x:v>PAULO HENRIQUE AMORIM GOMES</x:v>
      </x:c>
      <x:c r="V2998" s="22" t="str">
        <x:f>"430.176.528-07"</x:f>
        <x:v>430.176.528-07</x:v>
      </x:c>
      <x:c r="W2998" s="22" t="str">
        <x:f>"43017652807"</x:f>
        <x:v>43017652807</x:v>
      </x:c>
      <x:c r="X2998" s="23" t="str">
        <x:v>Prlorena0707@gmail.com</x:v>
      </x:c>
      <x:c r="Y2998" s="22" t="str">
        <x:f>"11915824780"</x:f>
        <x:v>11915824780</x:v>
      </x:c>
      <x:c r="Z2998" s="30" t="n">
        <x:v>46260</x:v>
      </x:c>
    </x:row>
    <x:row r="2999" ht="18" customHeight="1">
      <x:c r="A2999" s="22" t="str">
        <x:f>"1c82cf77-ca71-49f3-ba92-b647e38cc2ca"</x:f>
        <x:v>1c82cf77-ca71-49f3-ba92-b647e38cc2ca</x:v>
      </x:c>
      <x:c r="B2999" s="23" t="str">
        <x:v>PAULO HENRIQUE BRASILEIRO SARTORIO FERNANDES</x:v>
      </x:c>
      <x:c r="C2999" s="23" t="str">
        <x:v>paulo henrique brasileiro sartorio fernandes</x:v>
      </x:c>
      <x:c r="D2999" s="22" t="str">
        <x:f>"59.328.027/0001-50"</x:f>
        <x:v>59.328.027/0001-50</x:v>
      </x:c>
      <x:c r="E2999" s="22" t="str">
        <x:f>"59328027000150"</x:f>
        <x:v>59328027000150</x:v>
      </x:c>
      <x:c r="F2999" s="22" t="str">
        <x:f>"391.159.118-70"</x:f>
        <x:v>391.159.118-70</x:v>
      </x:c>
      <x:c r="G2999" s="22" t="str">
        <x:f>"39115911870"</x:f>
        <x:v>39115911870</x:v>
      </x:c>
      <x:c r="H2999" s="23" t="str">
        <x:v>pbrasileiro373@gmail.com</x:v>
      </x:c>
      <x:c r="I2999" s="22" t="str">
        <x:f>"17 99766-9939"</x:f>
        <x:v>17 99766-9939</x:v>
      </x:c>
      <x:c r="J2999" s="23" t="str">
        <x:v>RENTAL</x:v>
      </x:c>
      <x:c r="K2999" s="23" t="str">
        <x:v>rental_company</x:v>
      </x:c>
      <x:c r="L2999" s="24" t="b">
        <x:v>1</x:v>
      </x:c>
      <x:c r="M2999" s="23" t="n">
        <x:v>1</x:v>
      </x:c>
      <x:c r="N2999" s="28" t="n">
        <x:v>46219.812988715275</x:v>
      </x:c>
      <x:c r="O2999" s="28" t="n">
        <x:v>46219.812988715275</x:v>
      </x:c>
      <x:c r="P2999" s="23" t="str">
        <x:v>SÃO JOSE DO RIO PRETO</x:v>
      </x:c>
      <x:c r="Q2999" s="30" t="n">
        <x:v>38352</x:v>
      </x:c>
      <x:c r="R2999" s="22" t="str">
        <x:f>"535917594"</x:f>
        <x:v>535917594</x:v>
      </x:c>
      <x:c r="S2999" s="23" t="str">
        <x:v>masculino</x:v>
      </x:c>
      <x:c r="T2999" s="22" t="str"/>
      <x:c r="U2999" s="23" t="str">
        <x:v>PAULO HENRIQUE BRASILEIRO SARTORIO FERNANDES</x:v>
      </x:c>
      <x:c r="V2999" s="22" t="str">
        <x:f>"391.159.118-70"</x:f>
        <x:v>391.159.118-70</x:v>
      </x:c>
      <x:c r="W2999" s="22" t="str">
        <x:f>"39115911870"</x:f>
        <x:v>39115911870</x:v>
      </x:c>
      <x:c r="X2999" s="23" t="str">
        <x:v>pbrasileiro373@gmail.com</x:v>
      </x:c>
      <x:c r="Y2999" s="22" t="str">
        <x:f>"17 99766-9939"</x:f>
        <x:v>17 99766-9939</x:v>
      </x:c>
      <x:c r="Z2999" s="30" t="n">
        <x:v>46546</x:v>
      </x:c>
    </x:row>
    <x:row r="3000" ht="18" customHeight="1">
      <x:c r="A3000" s="22" t="str">
        <x:f>"d615d312-18c3-4096-9c7a-fb23b8672db4"</x:f>
        <x:v>d615d312-18c3-4096-9c7a-fb23b8672db4</x:v>
      </x:c>
      <x:c r="B3000" s="23" t="str">
        <x:v>PAULO HENRIQUE DA ROCHA</x:v>
      </x:c>
      <x:c r="C3000" s="23" t="str">
        <x:v>paulo henrique da rocha</x:v>
      </x:c>
      <x:c r="D3000" s="22" t="str">
        <x:f>"67.653.753/0001-77"</x:f>
        <x:v>67.653.753/0001-77</x:v>
      </x:c>
      <x:c r="E3000" s="22" t="str">
        <x:f>"67653753000177"</x:f>
        <x:v>67653753000177</x:v>
      </x:c>
      <x:c r="F3000" s="22" t="str">
        <x:f>"108.116.556-10"</x:f>
        <x:v>108.116.556-10</x:v>
      </x:c>
      <x:c r="G3000" s="22" t="str">
        <x:f>"10811655610"</x:f>
        <x:v>10811655610</x:v>
      </x:c>
      <x:c r="H3000" s="23" t="str">
        <x:v>paulinhorochaphp@gmail.com</x:v>
      </x:c>
      <x:c r="I3000" s="22" t="str">
        <x:f>"33998300653"</x:f>
        <x:v>33998300653</x:v>
      </x:c>
      <x:c r="J3000" s="23" t="str">
        <x:v>SPOT</x:v>
      </x:c>
      <x:c r="K3000" s="23" t="str">
        <x:v>favored_only</x:v>
      </x:c>
      <x:c r="L3000" s="24" t="b">
        <x:v>1</x:v>
      </x:c>
      <x:c r="M3000" s="23" t="n">
        <x:v>1</x:v>
      </x:c>
      <x:c r="N3000" s="28" t="n">
        <x:v>46219.812988715275</x:v>
      </x:c>
      <x:c r="O3000" s="28" t="n">
        <x:v>46219.812988715275</x:v>
      </x:c>
      <x:c r="P3000" s="23" t="str">
        <x:v>GUANHAES</x:v>
      </x:c>
      <x:c r="Q3000" s="30" t="n">
        <x:v>33773</x:v>
      </x:c>
      <x:c r="R3000" s="22" t="str">
        <x:f>"17349852"</x:f>
        <x:v>17349852</x:v>
      </x:c>
      <x:c r="S3000" s="23" t="str">
        <x:v>masculino</x:v>
      </x:c>
      <x:c r="T3000" s="22" t="str">
        <x:f>"PUT2375"</x:f>
        <x:v>PUT2375</x:v>
      </x:c>
      <x:c r="U3000" s="23" t="str">
        <x:v>MARCILLYANE CARVALHO DE PINHO</x:v>
      </x:c>
      <x:c r="V3000" s="22" t="str">
        <x:f>"106.238.806-28"</x:f>
        <x:v>106.238.806-28</x:v>
      </x:c>
      <x:c r="W3000" s="22" t="str">
        <x:f>"10623880628"</x:f>
        <x:v>10623880628</x:v>
      </x:c>
      <x:c r="X3000" s="23" t="str">
        <x:v>cici_paulinho@hotmail.com</x:v>
      </x:c>
      <x:c r="Y3000" s="22" t="str">
        <x:f>"(33)9 9830-0653"</x:f>
        <x:v>(33)9 9830-0653</x:v>
      </x:c>
      <x:c r="Z3000" s="30" t="n">
        <x:v>46569</x:v>
      </x:c>
    </x:row>
    <x:row r="3001" ht="18" customHeight="1">
      <x:c r="A3001" s="22" t="str">
        <x:f>"4b7c886e-43c6-43c1-8245-50dbe1ff10b1"</x:f>
        <x:v>4b7c886e-43c6-43c1-8245-50dbe1ff10b1</x:v>
      </x:c>
      <x:c r="B3001" s="23" t="str">
        <x:v>PAULO HENRIQUE DA SILVA</x:v>
      </x:c>
      <x:c r="C3001" s="23" t="str">
        <x:v>paulo henrique da silva</x:v>
      </x:c>
      <x:c r="D3001" s="22" t="str">
        <x:f>"61.186.725/0001-00"</x:f>
        <x:v>61.186.725/0001-00</x:v>
      </x:c>
      <x:c r="E3001" s="22" t="str">
        <x:f>"61186725000100"</x:f>
        <x:v>61186725000100</x:v>
      </x:c>
      <x:c r="F3001" s="22" t="str">
        <x:f>"701.226.291-59"</x:f>
        <x:v>701.226.291-59</x:v>
      </x:c>
      <x:c r="G3001" s="22" t="str">
        <x:f>"70122629159"</x:f>
        <x:v>70122629159</x:v>
      </x:c>
      <x:c r="H3001" s="23" t="str">
        <x:v>paullinhoo65@gmail.com</x:v>
      </x:c>
      <x:c r="I3001" s="22" t="str">
        <x:f>"67991279087"</x:f>
        <x:v>67991279087</x:v>
      </x:c>
      <x:c r="J3001" s="23" t="str">
        <x:v>SPOT</x:v>
      </x:c>
      <x:c r="K3001" s="23" t="str">
        <x:v>favored_only</x:v>
      </x:c>
      <x:c r="L3001" s="24" t="b">
        <x:v>1</x:v>
      </x:c>
      <x:c r="M3001" s="23" t="n">
        <x:v>1</x:v>
      </x:c>
      <x:c r="N3001" s="28" t="n">
        <x:v>46203.92186888889</x:v>
      </x:c>
      <x:c r="O3001" s="28" t="n">
        <x:v>46219.812988715275</x:v>
      </x:c>
      <x:c r="P3001" s="23" t="str">
        <x:v>GOIANIA</x:v>
      </x:c>
      <x:c r="Q3001" s="30" t="n">
        <x:v>34889</x:v>
      </x:c>
      <x:c r="R3001" s="22" t="str">
        <x:f>"682422034"</x:f>
        <x:v>682422034</x:v>
      </x:c>
      <x:c r="S3001" s="23" t="str">
        <x:v>masculino</x:v>
      </x:c>
      <x:c r="T3001" s="22" t="str">
        <x:f>"NXL7J84"</x:f>
        <x:v>NXL7J84</x:v>
      </x:c>
      <x:c r="U3001" s="23" t="str">
        <x:v>PAULO HENRIQUE DA SILVA</x:v>
      </x:c>
      <x:c r="V3001" s="22" t="str">
        <x:f>"701.226.291-59"</x:f>
        <x:v>701.226.291-59</x:v>
      </x:c>
      <x:c r="W3001" s="22" t="str">
        <x:f>"70122629159"</x:f>
        <x:v>70122629159</x:v>
      </x:c>
      <x:c r="X3001" s="23" t="str">
        <x:v>paullinhoo65@gmail.com</x:v>
      </x:c>
      <x:c r="Y3001" s="22" t="str">
        <x:f>"67991279087"</x:f>
        <x:v>67991279087</x:v>
      </x:c>
      <x:c r="Z3001" s="30" t="n">
        <x:v>46291</x:v>
      </x:c>
    </x:row>
    <x:row r="3002" ht="18" customHeight="1">
      <x:c r="A3002" s="22" t="str">
        <x:f>"2dd9e54b-59fe-46c5-b961-253e7f1d94e6"</x:f>
        <x:v>2dd9e54b-59fe-46c5-b961-253e7f1d94e6</x:v>
      </x:c>
      <x:c r="B3002" s="23" t="str">
        <x:v>PAULO HENRIQUE HONORIO</x:v>
      </x:c>
      <x:c r="C3002" s="23" t="str">
        <x:v>paulo henrique honorio</x:v>
      </x:c>
      <x:c r="D3002" s="22" t="str">
        <x:f>"59.049.076/0001-54"</x:f>
        <x:v>59.049.076/0001-54</x:v>
      </x:c>
      <x:c r="E3002" s="22" t="str">
        <x:f>"59049076000154"</x:f>
        <x:v>59049076000154</x:v>
      </x:c>
      <x:c r="F3002" s="22" t="str">
        <x:f>"331.340.598-35"</x:f>
        <x:v>331.340.598-35</x:v>
      </x:c>
      <x:c r="G3002" s="22" t="str">
        <x:f>"33134059835"</x:f>
        <x:v>33134059835</x:v>
      </x:c>
      <x:c r="H3002" s="23" t="str">
        <x:v>henriqueribeirao2020@gmail.com</x:v>
      </x:c>
      <x:c r="I3002" s="22" t="str">
        <x:f>"16988077583"</x:f>
        <x:v>16988077583</x:v>
      </x:c>
      <x:c r="J3002" s="23" t="str">
        <x:v>RENTAL</x:v>
      </x:c>
      <x:c r="K3002" s="23" t="str">
        <x:v>rental_company</x:v>
      </x:c>
      <x:c r="L3002" s="24" t="b">
        <x:v>1</x:v>
      </x:c>
      <x:c r="M3002" s="23" t="n">
        <x:v>1</x:v>
      </x:c>
      <x:c r="N3002" s="28" t="n">
        <x:v>46219.812988715275</x:v>
      </x:c>
      <x:c r="O3002" s="28" t="n">
        <x:v>46219.812988715275</x:v>
      </x:c>
      <x:c r="P3002" s="23" t="str">
        <x:v>MADEIRA MADEIRA</x:v>
      </x:c>
      <x:c r="Q3002" s="30" t="n">
        <x:v>30907</x:v>
      </x:c>
      <x:c r="R3002" s="22" t="str">
        <x:f>"414515109"</x:f>
        <x:v>414515109</x:v>
      </x:c>
      <x:c r="S3002" s="23" t="str">
        <x:v>masculino</x:v>
      </x:c>
      <x:c r="T3002" s="22" t="str"/>
      <x:c r="U3002" s="23" t="str">
        <x:v>PAULO HENRIQUE HONORIO</x:v>
      </x:c>
      <x:c r="V3002" s="22" t="str">
        <x:f>"331.340.598-35"</x:f>
        <x:v>331.340.598-35</x:v>
      </x:c>
      <x:c r="W3002" s="22" t="str">
        <x:f>"33134059835"</x:f>
        <x:v>33134059835</x:v>
      </x:c>
      <x:c r="X3002" s="23" t="str">
        <x:v>henriqueribeirao2020@gmail.com</x:v>
      </x:c>
      <x:c r="Y3002" s="22" t="str">
        <x:f>"16988077583"</x:f>
        <x:v>16988077583</x:v>
      </x:c>
      <x:c r="Z3002" s="30" t="n">
        <x:v>46497</x:v>
      </x:c>
    </x:row>
    <x:row r="3003" ht="18" customHeight="1">
      <x:c r="A3003" s="22" t="str">
        <x:f>"a23fa6e9-be18-409b-a058-2525f33dd77e"</x:f>
        <x:v>a23fa6e9-be18-409b-a058-2525f33dd77e</x:v>
      </x:c>
      <x:c r="B3003" s="23" t="str">
        <x:v>PAULO HENRIQUE HORACIO PEREIRA RODRIGUES</x:v>
      </x:c>
      <x:c r="C3003" s="23" t="str">
        <x:v>paulo henrique horacio pereira rodrigues</x:v>
      </x:c>
      <x:c r="D3003" s="22" t="str">
        <x:f>"62.896.140/0001-47"</x:f>
        <x:v>62.896.140/0001-47</x:v>
      </x:c>
      <x:c r="E3003" s="22" t="str">
        <x:f>"62896140000147"</x:f>
        <x:v>62896140000147</x:v>
      </x:c>
      <x:c r="F3003" s="22" t="str">
        <x:f>"161.725.856-30"</x:f>
        <x:v>161.725.856-30</x:v>
      </x:c>
      <x:c r="G3003" s="22" t="str">
        <x:f>"16172585630"</x:f>
        <x:v>16172585630</x:v>
      </x:c>
      <x:c r="H3003" s="23" t="str">
        <x:v>paulohenrique2003.h@gmail.com</x:v>
      </x:c>
      <x:c r="I3003" s="22" t="str">
        <x:f>"31995892445"</x:f>
        <x:v>31995892445</x:v>
      </x:c>
      <x:c r="J3003" s="23" t="str">
        <x:v>SPOT</x:v>
      </x:c>
      <x:c r="K3003" s="23" t="str">
        <x:v>favored_only</x:v>
      </x:c>
      <x:c r="L3003" s="24" t="b">
        <x:v>1</x:v>
      </x:c>
      <x:c r="M3003" s="23" t="n">
        <x:v>1</x:v>
      </x:c>
      <x:c r="N3003" s="28" t="n">
        <x:v>46203.92186888889</x:v>
      </x:c>
      <x:c r="O3003" s="28" t="n">
        <x:v>46219.812988715275</x:v>
      </x:c>
      <x:c r="P3003" s="23" t="str">
        <x:v>CONTAGEM</x:v>
      </x:c>
      <x:c r="Q3003" s="30" t="n">
        <x:v>37950</x:v>
      </x:c>
      <x:c r="R3003" s="22" t="str">
        <x:f>"22420688"</x:f>
        <x:v>22420688</x:v>
      </x:c>
      <x:c r="S3003" s="23" t="str">
        <x:v>masculino</x:v>
      </x:c>
      <x:c r="T3003" s="22" t="str">
        <x:f>"TEN5H26"</x:f>
        <x:v>TEN5H26</x:v>
      </x:c>
      <x:c r="U3003" s="23" t="str">
        <x:v>PAULO HENRIQUE HORACIO PEREIRA RODRIGUES</x:v>
      </x:c>
      <x:c r="V3003" s="22" t="str">
        <x:f>"161.725.856-30"</x:f>
        <x:v>161.725.856-30</x:v>
      </x:c>
      <x:c r="W3003" s="22" t="str">
        <x:f>"16172585630"</x:f>
        <x:v>16172585630</x:v>
      </x:c>
      <x:c r="X3003" s="23" t="str">
        <x:v>paulohenrique2003.h@gmail.com</x:v>
      </x:c>
      <x:c r="Y3003" s="22" t="str">
        <x:f>"31995892445"</x:f>
        <x:v>31995892445</x:v>
      </x:c>
      <x:c r="Z3003" s="30" t="n">
        <x:v>46291</x:v>
      </x:c>
    </x:row>
    <x:row r="3004" ht="18" customHeight="1">
      <x:c r="A3004" s="22" t="str">
        <x:f>"637d884c-2418-4d3e-9af8-490cb52b9af9"</x:f>
        <x:v>637d884c-2418-4d3e-9af8-490cb52b9af9</x:v>
      </x:c>
      <x:c r="B3004" s="23" t="str">
        <x:v>PAULO HENRIQUE MACHADO</x:v>
      </x:c>
      <x:c r="C3004" s="23" t="str">
        <x:v>paulo henrique machado</x:v>
      </x:c>
      <x:c r="D3004" s="22" t="str">
        <x:f>"31.095.678/0001-29"</x:f>
        <x:v>31.095.678/0001-29</x:v>
      </x:c>
      <x:c r="E3004" s="22" t="str">
        <x:f>"31095678000129"</x:f>
        <x:v>31095678000129</x:v>
      </x:c>
      <x:c r="F3004" s="22" t="str">
        <x:f>"153.830.016-89"</x:f>
        <x:v>153.830.016-89</x:v>
      </x:c>
      <x:c r="G3004" s="22" t="str">
        <x:f>"15383001689"</x:f>
        <x:v>15383001689</x:v>
      </x:c>
      <x:c r="H3004" s="23" t="str">
        <x:v>henriquemachadopaulo193@gmail.com</x:v>
      </x:c>
      <x:c r="I3004" s="22" t="str">
        <x:f>"34991974161"</x:f>
        <x:v>34991974161</x:v>
      </x:c>
      <x:c r="J3004" s="23" t="str">
        <x:v>SPOT</x:v>
      </x:c>
      <x:c r="K3004" s="23" t="str">
        <x:v>favored_only</x:v>
      </x:c>
      <x:c r="L3004" s="24" t="b">
        <x:v>1</x:v>
      </x:c>
      <x:c r="M3004" s="23" t="n">
        <x:v>1</x:v>
      </x:c>
      <x:c r="N3004" s="28" t="n">
        <x:v>46205.604301458334</x:v>
      </x:c>
      <x:c r="O3004" s="28" t="n">
        <x:v>46219.812988715275</x:v>
      </x:c>
      <x:c r="P3004" s="23" t="str">
        <x:v>ARAXÁ</x:v>
      </x:c>
      <x:c r="Q3004" s="30" t="n">
        <x:v>36997</x:v>
      </x:c>
      <x:c r="R3004" s="22" t="str">
        <x:f>"21725472"</x:f>
        <x:v>21725472</x:v>
      </x:c>
      <x:c r="S3004" s="23" t="str">
        <x:v>masculino</x:v>
      </x:c>
      <x:c r="T3004" s="22" t="str">
        <x:f>"DKI1F47"</x:f>
        <x:v>DKI1F47</x:v>
      </x:c>
      <x:c r="U3004" s="23" t="str">
        <x:v>NATHALIA CAROLINE GOMES DA SILVA</x:v>
      </x:c>
      <x:c r="V3004" s="22" t="str">
        <x:f>"103.851.366-92"</x:f>
        <x:v>103.851.366-92</x:v>
      </x:c>
      <x:c r="W3004" s="22" t="str">
        <x:f>"10385136692"</x:f>
        <x:v>10385136692</x:v>
      </x:c>
      <x:c r="X3004" s="23" t="str">
        <x:v>Nathaliasilvaclara13@outlook.com</x:v>
      </x:c>
      <x:c r="Y3004" s="22" t="str">
        <x:f>"34988633933"</x:f>
        <x:v>34988633933</x:v>
      </x:c>
      <x:c r="Z3004" s="30" t="n">
        <x:v>46267</x:v>
      </x:c>
    </x:row>
    <x:row r="3005" ht="18" customHeight="1">
      <x:c r="A3005" s="22" t="str">
        <x:f>"fb5b0a43-92d3-4907-bfad-a527de0d936a"</x:f>
        <x:v>fb5b0a43-92d3-4907-bfad-a527de0d936a</x:v>
      </x:c>
      <x:c r="B3005" s="23" t="str">
        <x:v>PAULO HENRIQUE MIGUEL RIBEIRO</x:v>
      </x:c>
      <x:c r="C3005" s="23" t="str">
        <x:v>paulo henrique miguel ribeiro</x:v>
      </x:c>
      <x:c r="D3005" s="22" t="str">
        <x:f>"59.768.781/0001-01"</x:f>
        <x:v>59.768.781/0001-01</x:v>
      </x:c>
      <x:c r="E3005" s="22" t="str">
        <x:f>"59768781000101"</x:f>
        <x:v>59768781000101</x:v>
      </x:c>
      <x:c r="F3005" s="22" t="str">
        <x:f>"063.843.032-32"</x:f>
        <x:v>063.843.032-32</x:v>
      </x:c>
      <x:c r="G3005" s="22" t="str">
        <x:f>"06384303232"</x:f>
        <x:v>06384303232</x:v>
      </x:c>
      <x:c r="H3005" s="23" t="str">
        <x:v>pauloribeirohgt123@gmail.com</x:v>
      </x:c>
      <x:c r="I3005" s="22" t="str">
        <x:f>"(67) 9923-2178"</x:f>
        <x:v>(67) 9923-2178</x:v>
      </x:c>
      <x:c r="J3005" s="23" t="str">
        <x:v>SPOT</x:v>
      </x:c>
      <x:c r="K3005" s="23" t="str">
        <x:v>favored_only</x:v>
      </x:c>
      <x:c r="L3005" s="24" t="b">
        <x:v>1</x:v>
      </x:c>
      <x:c r="M3005" s="23" t="n">
        <x:v>1</x:v>
      </x:c>
      <x:c r="N3005" s="28" t="n">
        <x:v>46203.92189965278</x:v>
      </x:c>
      <x:c r="O3005" s="28" t="n">
        <x:v>46219.812988715275</x:v>
      </x:c>
      <x:c r="P3005" s="23" t="str">
        <x:v>CHAPADÃO DO SUL</x:v>
      </x:c>
      <x:c r="Q3005" s="30" t="n">
        <x:v>38183</x:v>
      </x:c>
      <x:c r="R3005" s="22" t="str">
        <x:f>"2400502"</x:f>
        <x:v>2400502</x:v>
      </x:c>
      <x:c r="S3005" s="23" t="str">
        <x:v>masculino</x:v>
      </x:c>
      <x:c r="T3005" s="22" t="str">
        <x:f>"QPU9D51"</x:f>
        <x:v>QPU9D51</x:v>
      </x:c>
      <x:c r="U3005" s="23" t="str">
        <x:v>PAULO HENRIQUE MIGUEL RIBEIRO</x:v>
      </x:c>
      <x:c r="V3005" s="22" t="str">
        <x:f>"081.561.058-09"</x:f>
        <x:v>081.561.058-09</x:v>
      </x:c>
      <x:c r="W3005" s="22" t="str">
        <x:f>"08156105809"</x:f>
        <x:v>08156105809</x:v>
      </x:c>
      <x:c r="X3005" s="23" t="str">
        <x:v>pauloribeirohgt123@gmail.com</x:v>
      </x:c>
      <x:c r="Y3005" s="22" t="str">
        <x:f>"(67) 9923-2178"</x:f>
        <x:v>(67) 9923-2178</x:v>
      </x:c>
      <x:c r="Z3005" s="30" t="n">
        <x:v>46348</x:v>
      </x:c>
    </x:row>
    <x:row r="3006" ht="18" customHeight="1">
      <x:c r="A3006" s="22" t="str">
        <x:f>"a1b525f1-4286-4e4a-987a-0e2a2ddf4f63"</x:f>
        <x:v>a1b525f1-4286-4e4a-987a-0e2a2ddf4f63</x:v>
      </x:c>
      <x:c r="B3006" s="23" t="str">
        <x:v>PAULO HENRIQUE PEREIRA</x:v>
      </x:c>
      <x:c r="C3006" s="23" t="str">
        <x:v>paulo henrique pereira</x:v>
      </x:c>
      <x:c r="D3006" s="22" t="str">
        <x:f>"64.612.676/0001-19"</x:f>
        <x:v>64.612.676/0001-19</x:v>
      </x:c>
      <x:c r="E3006" s="22" t="str">
        <x:f>"64612676000119"</x:f>
        <x:v>64612676000119</x:v>
      </x:c>
      <x:c r="F3006" s="22" t="str">
        <x:f>"420.506.378-45"</x:f>
        <x:v>420.506.378-45</x:v>
      </x:c>
      <x:c r="G3006" s="22" t="str">
        <x:f>"42050637845"</x:f>
        <x:v>42050637845</x:v>
      </x:c>
      <x:c r="H3006" s="23" t="str">
        <x:v>paulohenriquepereira1994@proton.me</x:v>
      </x:c>
      <x:c r="I3006" s="22" t="str">
        <x:f>"11942563458"</x:f>
        <x:v>11942563458</x:v>
      </x:c>
      <x:c r="J3006" s="23" t="str">
        <x:v>RENTAL</x:v>
      </x:c>
      <x:c r="K3006" s="23" t="str">
        <x:v>rental_company</x:v>
      </x:c>
      <x:c r="L3006" s="24" t="b">
        <x:v>1</x:v>
      </x:c>
      <x:c r="M3006" s="23" t="n">
        <x:v>1</x:v>
      </x:c>
      <x:c r="N3006" s="28" t="n">
        <x:v>46219.812988715275</x:v>
      </x:c>
      <x:c r="O3006" s="28" t="n">
        <x:v>46219.812988715275</x:v>
      </x:c>
      <x:c r="P3006" s="23" t="str">
        <x:v>BARUERI</x:v>
      </x:c>
      <x:c r="Q3006" s="30" t="n">
        <x:v>34689</x:v>
      </x:c>
      <x:c r="R3006" s="22" t="str">
        <x:f>"43782200"</x:f>
        <x:v>43782200</x:v>
      </x:c>
      <x:c r="S3006" s="23" t="str">
        <x:v>masculino</x:v>
      </x:c>
      <x:c r="T3006" s="22" t="str"/>
      <x:c r="U3006" s="23" t="str">
        <x:v>PAULO HENRIQUE PEREIRA</x:v>
      </x:c>
      <x:c r="V3006" s="22" t="str">
        <x:f>"420.506.378-45"</x:f>
        <x:v>420.506.378-45</x:v>
      </x:c>
      <x:c r="W3006" s="22" t="str">
        <x:f>"42050637845"</x:f>
        <x:v>42050637845</x:v>
      </x:c>
      <x:c r="X3006" s="23" t="str">
        <x:v>paulohenriquepereira1994@proton.me</x:v>
      </x:c>
      <x:c r="Y3006" s="22" t="str">
        <x:f>"11942563458"</x:f>
        <x:v>11942563458</x:v>
      </x:c>
      <x:c r="Z3006" s="30" t="n">
        <x:v>46456</x:v>
      </x:c>
    </x:row>
    <x:row r="3007" ht="18" customHeight="1">
      <x:c r="A3007" s="22" t="str">
        <x:f>"106efcfd-53d1-4e29-92bc-ea68a36fa93d"</x:f>
        <x:v>106efcfd-53d1-4e29-92bc-ea68a36fa93d</x:v>
      </x:c>
      <x:c r="B3007" s="23" t="str">
        <x:v>PAULO HENRIQUE PETERS PONTES</x:v>
      </x:c>
      <x:c r="C3007" s="23" t="str">
        <x:v>paulo henrique peters pontes</x:v>
      </x:c>
      <x:c r="D3007" s="22" t="str">
        <x:f>"56.075.769/0001-23"</x:f>
        <x:v>56.075.769/0001-23</x:v>
      </x:c>
      <x:c r="E3007" s="22" t="str">
        <x:f>"56075769000123"</x:f>
        <x:v>56075769000123</x:v>
      </x:c>
      <x:c r="F3007" s="22" t="str">
        <x:f>"087.492.626-29"</x:f>
        <x:v>087.492.626-29</x:v>
      </x:c>
      <x:c r="G3007" s="22" t="str">
        <x:f>"08749262629"</x:f>
        <x:v>08749262629</x:v>
      </x:c>
      <x:c r="H3007" s="23" t="str">
        <x:v>paulohenriquepeters97@gmail.com</x:v>
      </x:c>
      <x:c r="I3007" s="22" t="str">
        <x:f>"31994049406"</x:f>
        <x:v>31994049406</x:v>
      </x:c>
      <x:c r="J3007" s="23" t="str">
        <x:v>RENTAL</x:v>
      </x:c>
      <x:c r="K3007" s="23" t="str">
        <x:v>rental_company</x:v>
      </x:c>
      <x:c r="L3007" s="24" t="b">
        <x:v>1</x:v>
      </x:c>
      <x:c r="M3007" s="23" t="n">
        <x:v>1</x:v>
      </x:c>
      <x:c r="N3007" s="28" t="n">
        <x:v>46219.812988715275</x:v>
      </x:c>
      <x:c r="O3007" s="28" t="n">
        <x:v>46219.812988715275</x:v>
      </x:c>
      <x:c r="P3007" s="23" t="str">
        <x:v>CONTAGEM</x:v>
      </x:c>
      <x:c r="Q3007" s="30" t="n">
        <x:v>35640</x:v>
      </x:c>
      <x:c r="R3007" s="22" t="str">
        <x:f>"mg19324570"</x:f>
        <x:v>mg19324570</x:v>
      </x:c>
      <x:c r="S3007" s="23" t="str">
        <x:v>masculino</x:v>
      </x:c>
      <x:c r="T3007" s="22" t="str"/>
      <x:c r="U3007" s="23" t="str">
        <x:v>PAULO HENRIQUE PETERS PONTES</x:v>
      </x:c>
      <x:c r="V3007" s="22" t="str">
        <x:f>"087.492.626-29"</x:f>
        <x:v>087.492.626-29</x:v>
      </x:c>
      <x:c r="W3007" s="22" t="str">
        <x:f>"08749262629"</x:f>
        <x:v>08749262629</x:v>
      </x:c>
      <x:c r="X3007" s="23" t="str">
        <x:v>paulohenriquepeters97@gmail.com</x:v>
      </x:c>
      <x:c r="Y3007" s="22" t="str">
        <x:f>"31994049406"</x:f>
        <x:v>31994049406</x:v>
      </x:c>
      <x:c r="Z3007" s="30" t="n">
        <x:v>46462</x:v>
      </x:c>
    </x:row>
    <x:row r="3008" ht="18" customHeight="1">
      <x:c r="A3008" s="22" t="str">
        <x:f>"0613842b-afb1-4242-bb61-e491c9cf5701"</x:f>
        <x:v>0613842b-afb1-4242-bb61-e491c9cf5701</x:v>
      </x:c>
      <x:c r="B3008" s="23" t="str">
        <x:v>PAULO HENRIQUE SALVADOR PINTO</x:v>
      </x:c>
      <x:c r="C3008" s="23" t="str">
        <x:v>paulo henrique salvador pinto</x:v>
      </x:c>
      <x:c r="D3008" s="22" t="str">
        <x:f>"63.891.798/0001-29"</x:f>
        <x:v>63.891.798/0001-29</x:v>
      </x:c>
      <x:c r="E3008" s="22" t="str">
        <x:f>"63891798000129"</x:f>
        <x:v>63891798000129</x:v>
      </x:c>
      <x:c r="F3008" s="22" t="str">
        <x:f>"435.629.518-84"</x:f>
        <x:v>435.629.518-84</x:v>
      </x:c>
      <x:c r="G3008" s="22" t="str">
        <x:f>"43562951884"</x:f>
        <x:v>43562951884</x:v>
      </x:c>
      <x:c r="H3008" s="23" t="str">
        <x:v>paulosalvadorpinto03@hotmail.com</x:v>
      </x:c>
      <x:c r="I3008" s="22" t="str">
        <x:f>"(16)99757-9024"</x:f>
        <x:v>(16)99757-9024</x:v>
      </x:c>
      <x:c r="J3008" s="23" t="str">
        <x:v>RENTAL</x:v>
      </x:c>
      <x:c r="K3008" s="23" t="str">
        <x:v>rental_company</x:v>
      </x:c>
      <x:c r="L3008" s="24" t="b">
        <x:v>1</x:v>
      </x:c>
      <x:c r="M3008" s="23" t="n">
        <x:v>1</x:v>
      </x:c>
      <x:c r="N3008" s="28" t="n">
        <x:v>46203.92189965278</x:v>
      </x:c>
      <x:c r="O3008" s="28" t="n">
        <x:v>46219.812988715275</x:v>
      </x:c>
      <x:c r="P3008" s="23" t="str">
        <x:v>SÃO CARLOS</x:v>
      </x:c>
      <x:c r="Q3008" s="30" t="n">
        <x:v>34356</x:v>
      </x:c>
      <x:c r="R3008" s="22" t="str">
        <x:f>"497052350"</x:f>
        <x:v>497052350</x:v>
      </x:c>
      <x:c r="S3008" s="23" t="str">
        <x:v>masculino</x:v>
      </x:c>
      <x:c r="T3008" s="22" t="str"/>
      <x:c r="U3008" s="23" t="str">
        <x:v>PAULO HENRIQUE SALVADOR PINTO</x:v>
      </x:c>
      <x:c r="V3008" s="22" t="str">
        <x:f>"435.629.518-84"</x:f>
        <x:v>435.629.518-84</x:v>
      </x:c>
      <x:c r="W3008" s="22" t="str">
        <x:f>"43562951884"</x:f>
        <x:v>43562951884</x:v>
      </x:c>
      <x:c r="X3008" s="23" t="str">
        <x:v>paulosalvadorpinto03@hotmail.com</x:v>
      </x:c>
      <x:c r="Y3008" s="22" t="str">
        <x:f>"(16)99757-9024"</x:f>
        <x:v>(16)99757-9024</x:v>
      </x:c>
      <x:c r="Z3008" s="30" t="n">
        <x:v>46358</x:v>
      </x:c>
    </x:row>
    <x:row r="3009" ht="18" customHeight="1">
      <x:c r="A3009" s="22" t="str">
        <x:f>"484a2493-3060-404f-b188-75ccadad7d7f"</x:f>
        <x:v>484a2493-3060-404f-b188-75ccadad7d7f</x:v>
      </x:c>
      <x:c r="B3009" s="23" t="str">
        <x:v>PAULO HENRIQUE SANTOS MENDES</x:v>
      </x:c>
      <x:c r="C3009" s="23" t="str">
        <x:v>paulo henrique santos mendes</x:v>
      </x:c>
      <x:c r="D3009" s="22" t="str">
        <x:f>"65.230.739/0001-35"</x:f>
        <x:v>65.230.739/0001-35</x:v>
      </x:c>
      <x:c r="E3009" s="22" t="str">
        <x:f>"65230739000135"</x:f>
        <x:v>65230739000135</x:v>
      </x:c>
      <x:c r="F3009" s="22" t="str">
        <x:f>"298.387.558-00"</x:f>
        <x:v>298.387.558-00</x:v>
      </x:c>
      <x:c r="G3009" s="22" t="str">
        <x:f>"29838755800"</x:f>
        <x:v>29838755800</x:v>
      </x:c>
      <x:c r="H3009" s="23" t="str">
        <x:v>paulomendesuber6@gmail.com</x:v>
      </x:c>
      <x:c r="I3009" s="22" t="str">
        <x:f>"(13)974256612"</x:f>
        <x:v>(13)974256612</x:v>
      </x:c>
      <x:c r="J3009" s="23" t="str">
        <x:v>SPOT</x:v>
      </x:c>
      <x:c r="K3009" s="23" t="str">
        <x:v>favored_only</x:v>
      </x:c>
      <x:c r="L3009" s="24" t="b">
        <x:v>1</x:v>
      </x:c>
      <x:c r="M3009" s="23" t="n">
        <x:v>1</x:v>
      </x:c>
      <x:c r="N3009" s="28" t="n">
        <x:v>46219.812988715275</x:v>
      </x:c>
      <x:c r="O3009" s="28" t="n">
        <x:v>46219.812988715275</x:v>
      </x:c>
      <x:c r="P3009" s="23" t="str">
        <x:v>BARUERI</x:v>
      </x:c>
      <x:c r="Q3009" s="30" t="n">
        <x:v>28967</x:v>
      </x:c>
      <x:c r="R3009" s="22" t="str">
        <x:f>"274967200"</x:f>
        <x:v>274967200</x:v>
      </x:c>
      <x:c r="S3009" s="23" t="str">
        <x:v>masculino</x:v>
      </x:c>
      <x:c r="T3009" s="22" t="str">
        <x:f>"SHO2J63"</x:f>
        <x:v>SHO2J63</x:v>
      </x:c>
      <x:c r="U3009" s="23" t="str">
        <x:v>PAULO HENRIQUE SANTOS MENDES</x:v>
      </x:c>
      <x:c r="V3009" s="22" t="str">
        <x:f>"298.387.558-00"</x:f>
        <x:v>298.387.558-00</x:v>
      </x:c>
      <x:c r="W3009" s="22" t="str">
        <x:f>"29838755800"</x:f>
        <x:v>29838755800</x:v>
      </x:c>
      <x:c r="X3009" s="23" t="str">
        <x:v>paulomendesuber6@gmail.com</x:v>
      </x:c>
      <x:c r="Y3009" s="22" t="str">
        <x:f>"(13)974256612"</x:f>
        <x:v>(13)974256612</x:v>
      </x:c>
      <x:c r="Z3009" s="30" t="n">
        <x:v>46581</x:v>
      </x:c>
    </x:row>
    <x:row r="3010" ht="18" customHeight="1">
      <x:c r="A3010" s="22" t="str">
        <x:f>"11aa41bd-40fe-4405-853f-04719ff9c4e5"</x:f>
        <x:v>11aa41bd-40fe-4405-853f-04719ff9c4e5</x:v>
      </x:c>
      <x:c r="B3010" s="23" t="str">
        <x:v>PAULO HENRIQUE SOARES DE JESUS</x:v>
      </x:c>
      <x:c r="C3010" s="23" t="str">
        <x:v>paulo henrique soares de jesus</x:v>
      </x:c>
      <x:c r="D3010" s="22" t="str">
        <x:f>"57.457.561/0001-31"</x:f>
        <x:v>57.457.561/0001-31</x:v>
      </x:c>
      <x:c r="E3010" s="22" t="str">
        <x:f>"57457561000131"</x:f>
        <x:v>57457561000131</x:v>
      </x:c>
      <x:c r="F3010" s="22" t="str">
        <x:f>"735.527.711-15"</x:f>
        <x:v>735.527.711-15</x:v>
      </x:c>
      <x:c r="G3010" s="22" t="str">
        <x:f>"73552771115"</x:f>
        <x:v>73552771115</x:v>
      </x:c>
      <x:c r="H3010" s="23" t="str">
        <x:v>phvlrv@gmail.com</x:v>
      </x:c>
      <x:c r="I3010" s="22" t="str">
        <x:f>"64992272398"</x:f>
        <x:v>64992272398</x:v>
      </x:c>
      <x:c r="J3010" s="23" t="str">
        <x:v>RENTAL</x:v>
      </x:c>
      <x:c r="K3010" s="23" t="str">
        <x:v>rental_company</x:v>
      </x:c>
      <x:c r="L3010" s="24" t="b">
        <x:v>1</x:v>
      </x:c>
      <x:c r="M3010" s="23" t="n">
        <x:v>1</x:v>
      </x:c>
      <x:c r="N3010" s="28" t="n">
        <x:v>46203.92183017361</x:v>
      </x:c>
      <x:c r="O3010" s="28" t="n">
        <x:v>46219.812988715275</x:v>
      </x:c>
      <x:c r="P3010" s="23" t="str">
        <x:v>RIO VERDE</x:v>
      </x:c>
      <x:c r="Q3010" s="30" t="n">
        <x:v>33049</x:v>
      </x:c>
      <x:c r="R3010" s="22" t="str">
        <x:f>"5190025"</x:f>
        <x:v>5190025</x:v>
      </x:c>
      <x:c r="S3010" s="23" t="str">
        <x:v>masculino</x:v>
      </x:c>
      <x:c r="T3010" s="22" t="str"/>
      <x:c r="U3010" s="23" t="str">
        <x:v>PAULO HENRIQUE SOARES DE JESUS</x:v>
      </x:c>
      <x:c r="V3010" s="22" t="str">
        <x:f>"735.527.711-15"</x:f>
        <x:v>735.527.711-15</x:v>
      </x:c>
      <x:c r="W3010" s="22" t="str">
        <x:f>"73552771115"</x:f>
        <x:v>73552771115</x:v>
      </x:c>
      <x:c r="X3010" s="23" t="str">
        <x:v>phvlrv@gmail.com</x:v>
      </x:c>
      <x:c r="Y3010" s="22" t="str">
        <x:f>"64992272398"</x:f>
        <x:v>64992272398</x:v>
      </x:c>
      <x:c r="Z3010" s="30" t="n">
        <x:v>46250</x:v>
      </x:c>
    </x:row>
    <x:row r="3011" ht="18" customHeight="1">
      <x:c r="A3011" s="22" t="str">
        <x:f>"f7095780-6c2a-4cc1-8203-1aceb3092487"</x:f>
        <x:v>f7095780-6c2a-4cc1-8203-1aceb3092487</x:v>
      </x:c>
      <x:c r="B3011" s="23" t="str">
        <x:v>PAULO HENRIQUE VERNECK</x:v>
      </x:c>
      <x:c r="C3011" s="23" t="str">
        <x:v>paulo henrique verneck</x:v>
      </x:c>
      <x:c r="D3011" s="22" t="str">
        <x:f>"14.111.192/0001-18"</x:f>
        <x:v>14.111.192/0001-18</x:v>
      </x:c>
      <x:c r="E3011" s="22" t="str">
        <x:f>"14111192000118"</x:f>
        <x:v>14111192000118</x:v>
      </x:c>
      <x:c r="F3011" s="22" t="str">
        <x:f>"230.337.718-82"</x:f>
        <x:v>230.337.718-82</x:v>
      </x:c>
      <x:c r="G3011" s="22" t="str">
        <x:f>"23033771882"</x:f>
        <x:v>23033771882</x:v>
      </x:c>
      <x:c r="H3011" s="23" t="str">
        <x:v>ultrafort2016@gmail.com</x:v>
      </x:c>
      <x:c r="I3011" s="22" t="str">
        <x:f>"18 99644-4157"</x:f>
        <x:v>18 99644-4157</x:v>
      </x:c>
      <x:c r="J3011" s="23" t="str">
        <x:v>SPOT</x:v>
      </x:c>
      <x:c r="K3011" s="23" t="str">
        <x:v>favored_only</x:v>
      </x:c>
      <x:c r="L3011" s="24" t="b">
        <x:v>1</x:v>
      </x:c>
      <x:c r="M3011" s="23" t="n">
        <x:v>1</x:v>
      </x:c>
      <x:c r="N3011" s="28" t="n">
        <x:v>46219.812988715275</x:v>
      </x:c>
      <x:c r="O3011" s="28" t="n">
        <x:v>46219.812988715275</x:v>
      </x:c>
      <x:c r="P3011" s="23" t="str">
        <x:v>ARAÇATUBA</x:v>
      </x:c>
      <x:c r="Q3011" s="30" t="n">
        <x:v>32020</x:v>
      </x:c>
      <x:c r="R3011" s="22" t="str">
        <x:f>"44.020.577.3"</x:f>
        <x:v>44.020.577.3</x:v>
      </x:c>
      <x:c r="S3011" s="23" t="str">
        <x:v>masculino</x:v>
      </x:c>
      <x:c r="T3011" s="22" t="str">
        <x:f>"FTQ2I69"</x:f>
        <x:v>FTQ2I69</x:v>
      </x:c>
      <x:c r="U3011" s="23" t="str">
        <x:v>ULTRAFORT SEGURANCA ELETRONICA</x:v>
      </x:c>
      <x:c r="V3011" s="22" t="str">
        <x:f>"2016"</x:f>
        <x:v>2016</x:v>
      </x:c>
      <x:c r="W3011" s="22" t="str">
        <x:f>"2016"</x:f>
        <x:v>2016</x:v>
      </x:c>
      <x:c r="X3011" s="23" t="str">
        <x:v>ultrafort2016@gmail.com</x:v>
      </x:c>
      <x:c r="Y3011" s="22" t="str">
        <x:f>"18 99644-4157"</x:f>
        <x:v>18 99644-4157</x:v>
      </x:c>
      <x:c r="Z3011" s="30" t="n">
        <x:v>46555</x:v>
      </x:c>
    </x:row>
    <x:row r="3012" ht="18" customHeight="1">
      <x:c r="A3012" s="22" t="str">
        <x:f>"66512dbb-b436-4295-850e-05eb96eb0ddc"</x:f>
        <x:v>66512dbb-b436-4295-850e-05eb96eb0ddc</x:v>
      </x:c>
      <x:c r="B3012" s="23" t="str">
        <x:v>PAULO JONATHAN ANACLETO</x:v>
      </x:c>
      <x:c r="C3012" s="23" t="str">
        <x:v>paulo jonathan anacleto</x:v>
      </x:c>
      <x:c r="D3012" s="22" t="str">
        <x:f>"54.117.468/0001-90"</x:f>
        <x:v>54.117.468/0001-90</x:v>
      </x:c>
      <x:c r="E3012" s="22" t="str">
        <x:f>"54117468000190"</x:f>
        <x:v>54117468000190</x:v>
      </x:c>
      <x:c r="F3012" s="22" t="str">
        <x:f>"159.563.657-90"</x:f>
        <x:v>159.563.657-90</x:v>
      </x:c>
      <x:c r="G3012" s="22" t="str">
        <x:f>"15956365790"</x:f>
        <x:v>15956365790</x:v>
      </x:c>
      <x:c r="H3012" s="23" t="str">
        <x:v>jonathan.aart@gmail.com</x:v>
      </x:c>
      <x:c r="I3012" s="22" t="str">
        <x:f>"21970621827"</x:f>
        <x:v>21970621827</x:v>
      </x:c>
      <x:c r="J3012" s="23" t="str">
        <x:v>SPOT</x:v>
      </x:c>
      <x:c r="K3012" s="23" t="str">
        <x:v>favored_only</x:v>
      </x:c>
      <x:c r="L3012" s="24" t="b">
        <x:v>1</x:v>
      </x:c>
      <x:c r="M3012" s="23" t="n">
        <x:v>1</x:v>
      </x:c>
      <x:c r="N3012" s="28" t="n">
        <x:v>46203.92189349537</x:v>
      </x:c>
      <x:c r="O3012" s="28" t="n">
        <x:v>46219.812988715275</x:v>
      </x:c>
      <x:c r="P3012" s="23" t="str">
        <x:v>CAMPO GRANDE</x:v>
      </x:c>
      <x:c r="Q3012" s="30" t="n">
        <x:v>34577</x:v>
      </x:c>
      <x:c r="R3012" s="22" t="str">
        <x:f>"279350565"</x:f>
        <x:v>279350565</x:v>
      </x:c>
      <x:c r="S3012" s="23" t="str">
        <x:v>masculino</x:v>
      </x:c>
      <x:c r="T3012" s="22" t="str">
        <x:f>"LKW9J08"</x:f>
        <x:v>LKW9J08</x:v>
      </x:c>
      <x:c r="U3012" s="23" t="str">
        <x:v>PAULO JONATHAN ANACLETO</x:v>
      </x:c>
      <x:c r="V3012" s="22" t="str">
        <x:f>"159.563.657-90"</x:f>
        <x:v>159.563.657-90</x:v>
      </x:c>
      <x:c r="W3012" s="22" t="str">
        <x:f>"15956365790"</x:f>
        <x:v>15956365790</x:v>
      </x:c>
      <x:c r="X3012" s="23" t="str">
        <x:v>jonathan.aart@gmail.com</x:v>
      </x:c>
      <x:c r="Y3012" s="22" t="str">
        <x:f>"21970621827"</x:f>
        <x:v>21970621827</x:v>
      </x:c>
      <x:c r="Z3012" s="30" t="n">
        <x:v>46341</x:v>
      </x:c>
    </x:row>
    <x:row r="3013" ht="18" customHeight="1">
      <x:c r="A3013" s="22" t="str">
        <x:f>"c082e158-750d-4a41-9c2f-c698f07d9494"</x:f>
        <x:v>c082e158-750d-4a41-9c2f-c698f07d9494</x:v>
      </x:c>
      <x:c r="B3013" s="23" t="str">
        <x:v>PAULO OTAVIO DE ASSIS AUGUSTO</x:v>
      </x:c>
      <x:c r="C3013" s="23" t="str">
        <x:v>paulo otavio de assis augusto</x:v>
      </x:c>
      <x:c r="D3013" s="22" t="str">
        <x:f>"35.073.393/0001-48"</x:f>
        <x:v>35.073.393/0001-48</x:v>
      </x:c>
      <x:c r="E3013" s="22" t="str">
        <x:f>"35073393000148"</x:f>
        <x:v>35073393000148</x:v>
      </x:c>
      <x:c r="F3013" s="22" t="str">
        <x:f>"701.566.376-77"</x:f>
        <x:v>701.566.376-77</x:v>
      </x:c>
      <x:c r="G3013" s="22" t="str">
        <x:f>"70156637677"</x:f>
        <x:v>70156637677</x:v>
      </x:c>
      <x:c r="H3013" s="23" t="str">
        <x:v>bloodstrike52@gmail.com</x:v>
      </x:c>
      <x:c r="I3013" s="22" t="str">
        <x:f>"35 99715-5329"</x:f>
        <x:v>35 99715-5329</x:v>
      </x:c>
      <x:c r="J3013" s="23" t="str">
        <x:v>SPOT</x:v>
      </x:c>
      <x:c r="K3013" s="23" t="str">
        <x:v>favored_only</x:v>
      </x:c>
      <x:c r="L3013" s="24" t="b">
        <x:v>1</x:v>
      </x:c>
      <x:c r="M3013" s="23" t="n">
        <x:v>1</x:v>
      </x:c>
      <x:c r="N3013" s="28" t="n">
        <x:v>46219.812988715275</x:v>
      </x:c>
      <x:c r="O3013" s="28" t="n">
        <x:v>46219.812988715275</x:v>
      </x:c>
      <x:c r="P3013" s="23" t="str">
        <x:v>GUAXUPE</x:v>
      </x:c>
      <x:c r="Q3013" s="30" t="n">
        <x:v>38137</x:v>
      </x:c>
      <x:c r="R3013" s="22" t="str">
        <x:f>"21484565"</x:f>
        <x:v>21484565</x:v>
      </x:c>
      <x:c r="S3013" s="23" t="str">
        <x:v>masculino</x:v>
      </x:c>
      <x:c r="T3013" s="22" t="str">
        <x:f>"RUG8B32"</x:f>
        <x:v>RUG8B32</x:v>
      </x:c>
      <x:c r="U3013" s="23" t="str">
        <x:v>JOSE GILMAR DE CARVALHO JUNIOR</x:v>
      </x:c>
      <x:c r="V3013" s="22" t="str">
        <x:f>"104.199.026-00"</x:f>
        <x:v>104.199.026-00</x:v>
      </x:c>
      <x:c r="W3013" s="22" t="str">
        <x:f>"10419902600"</x:f>
        <x:v>10419902600</x:v>
      </x:c>
      <x:c r="X3013" s="23" t="str">
        <x:v>Juninho_2096@hotmail.com</x:v>
      </x:c>
      <x:c r="Y3013" s="22" t="str">
        <x:f>"(35) 99832-2118"</x:f>
        <x:v>(35) 99832-2118</x:v>
      </x:c>
      <x:c r="Z3013" s="30" t="n">
        <x:v>46431</x:v>
      </x:c>
    </x:row>
    <x:row r="3014" ht="18" customHeight="1">
      <x:c r="A3014" s="22" t="str">
        <x:f>"03e274f5-dd2c-4dda-a595-b477bfeac5f1"</x:f>
        <x:v>03e274f5-dd2c-4dda-a595-b477bfeac5f1</x:v>
      </x:c>
      <x:c r="B3014" s="23" t="str">
        <x:v>PAULO RICARDO DINIZ REGO</x:v>
      </x:c>
      <x:c r="C3014" s="23" t="str">
        <x:v>paulo ricardo diniz rego</x:v>
      </x:c>
      <x:c r="D3014" s="22" t="str">
        <x:f>"59.193.447/0001-10"</x:f>
        <x:v>59.193.447/0001-10</x:v>
      </x:c>
      <x:c r="E3014" s="22" t="str">
        <x:f>"59193447000110"</x:f>
        <x:v>59193447000110</x:v>
      </x:c>
      <x:c r="F3014" s="22" t="str">
        <x:f>"094.010.486-57"</x:f>
        <x:v>094.010.486-57</x:v>
      </x:c>
      <x:c r="G3014" s="22" t="str">
        <x:f>"09401048657"</x:f>
        <x:v>09401048657</x:v>
      </x:c>
      <x:c r="H3014" s="23" t="str">
        <x:v>paulordreogo@gmail.com</x:v>
      </x:c>
      <x:c r="I3014" s="22" t="str">
        <x:f>"31986925759"</x:f>
        <x:v>31986925759</x:v>
      </x:c>
      <x:c r="J3014" s="23" t="str">
        <x:v>SPOT</x:v>
      </x:c>
      <x:c r="K3014" s="23" t="str">
        <x:v>favored_only</x:v>
      </x:c>
      <x:c r="L3014" s="24" t="b">
        <x:v>1</x:v>
      </x:c>
      <x:c r="M3014" s="23" t="n">
        <x:v>1</x:v>
      </x:c>
      <x:c r="N3014" s="28" t="n">
        <x:v>46219.812988715275</x:v>
      </x:c>
      <x:c r="O3014" s="28" t="n">
        <x:v>46219.812988715275</x:v>
      </x:c>
      <x:c r="P3014" s="23" t="str">
        <x:v>NOVA LIMA</x:v>
      </x:c>
      <x:c r="Q3014" s="30" t="n">
        <x:v>33795</x:v>
      </x:c>
      <x:c r="R3014" s="22" t="str">
        <x:f>"13690666"</x:f>
        <x:v>13690666</x:v>
      </x:c>
      <x:c r="S3014" s="23" t="str">
        <x:v>masculino</x:v>
      </x:c>
      <x:c r="T3014" s="22" t="str">
        <x:f>"TCU3D93"</x:f>
        <x:v>TCU3D93</x:v>
      </x:c>
      <x:c r="U3014" s="23" t="str">
        <x:v>PAULO RICARDO DINIZ REGO</x:v>
      </x:c>
      <x:c r="V3014" s="22" t="str">
        <x:f>"094.010.486-57"</x:f>
        <x:v>094.010.486-57</x:v>
      </x:c>
      <x:c r="W3014" s="22" t="str">
        <x:f>"09401048657"</x:f>
        <x:v>09401048657</x:v>
      </x:c>
      <x:c r="X3014" s="23" t="str">
        <x:v>paulordreogo@gmail.com</x:v>
      </x:c>
      <x:c r="Y3014" s="22" t="str">
        <x:f>"31986925759"</x:f>
        <x:v>31986925759</x:v>
      </x:c>
      <x:c r="Z3014" s="30" t="n">
        <x:v>46512</x:v>
      </x:c>
    </x:row>
    <x:row r="3015" ht="18" customHeight="1">
      <x:c r="A3015" s="22" t="str">
        <x:f>"e2774a28-e5a1-4278-986f-8d309ea2df19"</x:f>
        <x:v>e2774a28-e5a1-4278-986f-8d309ea2df19</x:v>
      </x:c>
      <x:c r="B3015" s="23" t="str">
        <x:v>PAULO RICARDO MOTA DOS SANTOS</x:v>
      </x:c>
      <x:c r="C3015" s="23" t="str">
        <x:v>paulo ricardo mota dos santos</x:v>
      </x:c>
      <x:c r="D3015" s="22" t="str">
        <x:f>"59.922.048/0001-08"</x:f>
        <x:v>59.922.048/0001-08</x:v>
      </x:c>
      <x:c r="E3015" s="22" t="str">
        <x:f>"59922048000108"</x:f>
        <x:v>59922048000108</x:v>
      </x:c>
      <x:c r="F3015" s="22" t="str">
        <x:f>"536.134.288-22"</x:f>
        <x:v>536.134.288-22</x:v>
      </x:c>
      <x:c r="G3015" s="22" t="str">
        <x:f>"53613428822"</x:f>
        <x:v>53613428822</x:v>
      </x:c>
      <x:c r="H3015" s="23" t="str">
        <x:v>paulomoota59@gmail.com</x:v>
      </x:c>
      <x:c r="I3015" s="22" t="str">
        <x:f>"16993344113"</x:f>
        <x:v>16993344113</x:v>
      </x:c>
      <x:c r="J3015" s="23" t="str">
        <x:v>RENTAL</x:v>
      </x:c>
      <x:c r="K3015" s="23" t="str">
        <x:v>rental_company</x:v>
      </x:c>
      <x:c r="L3015" s="24" t="b">
        <x:v>1</x:v>
      </x:c>
      <x:c r="M3015" s="23" t="n">
        <x:v>1</x:v>
      </x:c>
      <x:c r="N3015" s="28" t="n">
        <x:v>46203.92183017361</x:v>
      </x:c>
      <x:c r="O3015" s="28" t="n">
        <x:v>46219.812988715275</x:v>
      </x:c>
      <x:c r="P3015" s="23" t="str">
        <x:v>RIBEIRAO PRETO</x:v>
      </x:c>
      <x:c r="Q3015" s="30" t="n">
        <x:v>37671</x:v>
      </x:c>
      <x:c r="R3015" s="22" t="str">
        <x:f>"638911709"</x:f>
        <x:v>638911709</x:v>
      </x:c>
      <x:c r="S3015" s="23" t="str">
        <x:v>masculino</x:v>
      </x:c>
      <x:c r="T3015" s="22" t="str"/>
      <x:c r="U3015" s="23" t="str">
        <x:v>PAULO RICARDO MOTA DOS SANTOS</x:v>
      </x:c>
      <x:c r="V3015" s="22" t="str">
        <x:f>"536.134.288-22"</x:f>
        <x:v>536.134.288-22</x:v>
      </x:c>
      <x:c r="W3015" s="22" t="str">
        <x:f>"53613428822"</x:f>
        <x:v>53613428822</x:v>
      </x:c>
      <x:c r="X3015" s="23" t="str">
        <x:v>paulomoota59@gmail.com</x:v>
      </x:c>
      <x:c r="Y3015" s="22" t="str">
        <x:f>"16993344113"</x:f>
        <x:v>16993344113</x:v>
      </x:c>
      <x:c r="Z3015" s="30" t="n">
        <x:v>46521</x:v>
      </x:c>
    </x:row>
    <x:row r="3016" ht="18" customHeight="1">
      <x:c r="A3016" s="22" t="str">
        <x:f>"df5fed82-d661-40e2-80c6-d35bda91d7dc"</x:f>
        <x:v>df5fed82-d661-40e2-80c6-d35bda91d7dc</x:v>
      </x:c>
      <x:c r="B3016" s="23" t="str">
        <x:v>PAULO ROBERTO AGUILAR FARIAS</x:v>
      </x:c>
      <x:c r="C3016" s="23" t="str">
        <x:v>paulo roberto aguilar farias</x:v>
      </x:c>
      <x:c r="D3016" s="22" t="str">
        <x:f>"48.992.695/0001-61"</x:f>
        <x:v>48.992.695/0001-61</x:v>
      </x:c>
      <x:c r="E3016" s="22" t="str">
        <x:f>"48992695000161"</x:f>
        <x:v>48992695000161</x:v>
      </x:c>
      <x:c r="F3016" s="22" t="str">
        <x:f>"100.082.456-06"</x:f>
        <x:v>100.082.456-06</x:v>
      </x:c>
      <x:c r="G3016" s="22" t="str">
        <x:f>"10008245606"</x:f>
        <x:v>10008245606</x:v>
      </x:c>
      <x:c r="H3016" s="23" t="str">
        <x:v>paulorobertoaguilarfarias@gmail.com</x:v>
      </x:c>
      <x:c r="I3016" s="22" t="str">
        <x:f>"18 99617-0705"</x:f>
        <x:v>18 99617-0705</x:v>
      </x:c>
      <x:c r="J3016" s="23" t="str">
        <x:v>SPOT</x:v>
      </x:c>
      <x:c r="K3016" s="23" t="str">
        <x:v>favored_only</x:v>
      </x:c>
      <x:c r="L3016" s="24" t="b">
        <x:v>1</x:v>
      </x:c>
      <x:c r="M3016" s="23" t="n">
        <x:v>1</x:v>
      </x:c>
      <x:c r="N3016" s="28" t="n">
        <x:v>46203.92183332176</x:v>
      </x:c>
      <x:c r="O3016" s="28" t="n">
        <x:v>46219.812988715275</x:v>
      </x:c>
      <x:c r="P3016" s="23" t="str">
        <x:v>ARAÇATUBA</x:v>
      </x:c>
      <x:c r="Q3016" s="30" t="n">
        <x:v>34456</x:v>
      </x:c>
      <x:c r="R3016" s="22" t="str">
        <x:f>"669043023"</x:f>
        <x:v>669043023</x:v>
      </x:c>
      <x:c r="S3016" s="23" t="str">
        <x:v>masculino</x:v>
      </x:c>
      <x:c r="T3016" s="22" t="str">
        <x:f>"QPG4A70"</x:f>
        <x:v>QPG4A70</x:v>
      </x:c>
      <x:c r="U3016" s="23" t="str">
        <x:v>PAULO ROBERTO AGUILAR FARIAS</x:v>
      </x:c>
      <x:c r="V3016" s="22" t="str">
        <x:f>"100.082.456-06"</x:f>
        <x:v>100.082.456-06</x:v>
      </x:c>
      <x:c r="W3016" s="22" t="str">
        <x:f>"10008245606"</x:f>
        <x:v>10008245606</x:v>
      </x:c>
      <x:c r="X3016" s="23" t="str">
        <x:v>paulorobertoaguilarfarias@gmail.com</x:v>
      </x:c>
      <x:c r="Y3016" s="22" t="str">
        <x:f>"18 99617-0705"</x:f>
        <x:v>18 99617-0705</x:v>
      </x:c>
      <x:c r="Z3016" s="30" t="n">
        <x:v>46284</x:v>
      </x:c>
    </x:row>
    <x:row r="3017" ht="18" customHeight="1">
      <x:c r="A3017" s="22" t="str">
        <x:f>"d0bebb4c-2412-4952-9de4-23cbe7252381"</x:f>
        <x:v>d0bebb4c-2412-4952-9de4-23cbe7252381</x:v>
      </x:c>
      <x:c r="B3017" s="23" t="str">
        <x:v>PAULO ROBERTO CRUZ SILVA</x:v>
      </x:c>
      <x:c r="C3017" s="23" t="str">
        <x:v>paulo roberto cruz silva</x:v>
      </x:c>
      <x:c r="D3017" s="22" t="str">
        <x:f>"63.144.743/0001-55"</x:f>
        <x:v>63.144.743/0001-55</x:v>
      </x:c>
      <x:c r="E3017" s="22" t="str">
        <x:f>"63144743000155"</x:f>
        <x:v>63144743000155</x:v>
      </x:c>
      <x:c r="F3017" s="22" t="str">
        <x:f>"123.235.587-90"</x:f>
        <x:v>123.235.587-90</x:v>
      </x:c>
      <x:c r="G3017" s="22" t="str">
        <x:f>"12323558790"</x:f>
        <x:v>12323558790</x:v>
      </x:c>
      <x:c r="H3017" s="23" t="str">
        <x:v>paulorobertocruz27@gmail.com</x:v>
      </x:c>
      <x:c r="I3017" s="22" t="str">
        <x:f>"21983037723"</x:f>
        <x:v>21983037723</x:v>
      </x:c>
      <x:c r="J3017" s="23" t="str">
        <x:v>SPOT</x:v>
      </x:c>
      <x:c r="K3017" s="23" t="str">
        <x:v>favored_only</x:v>
      </x:c>
      <x:c r="L3017" s="24" t="b">
        <x:v>1</x:v>
      </x:c>
      <x:c r="M3017" s="23" t="n">
        <x:v>1</x:v>
      </x:c>
      <x:c r="N3017" s="28" t="n">
        <x:v>46203.92189349537</x:v>
      </x:c>
      <x:c r="O3017" s="28" t="n">
        <x:v>46219.812988715275</x:v>
      </x:c>
      <x:c r="P3017" s="23" t="str">
        <x:v>QUEIMADOS</x:v>
      </x:c>
      <x:c r="Q3017" s="30" t="n">
        <x:v>32225</x:v>
      </x:c>
      <x:c r="R3017" s="22" t="str">
        <x:f>"211986906"</x:f>
        <x:v>211986906</x:v>
      </x:c>
      <x:c r="S3017" s="23" t="str">
        <x:v>masculino</x:v>
      </x:c>
      <x:c r="T3017" s="22" t="str">
        <x:f>"LRY5E63"</x:f>
        <x:v>LRY5E63</x:v>
      </x:c>
      <x:c r="U3017" s="23" t="str">
        <x:v>PAULO ROBERTO CRUZ SILVA</x:v>
      </x:c>
      <x:c r="V3017" s="22" t="str">
        <x:f>"123.235.587-90"</x:f>
        <x:v>123.235.587-90</x:v>
      </x:c>
      <x:c r="W3017" s="22" t="str">
        <x:f>"12323558790"</x:f>
        <x:v>12323558790</x:v>
      </x:c>
      <x:c r="X3017" s="23" t="str">
        <x:v>paulorobertocruz27@gmail.com</x:v>
      </x:c>
      <x:c r="Y3017" s="22" t="str">
        <x:f>"21983037723"</x:f>
        <x:v>21983037723</x:v>
      </x:c>
      <x:c r="Z3017" s="30" t="n">
        <x:v>46336</x:v>
      </x:c>
    </x:row>
    <x:row r="3018" ht="18" customHeight="1">
      <x:c r="A3018" s="22" t="str">
        <x:f>"b597bc85-84fd-407d-b3ca-5e572efd3fe6"</x:f>
        <x:v>b597bc85-84fd-407d-b3ca-5e572efd3fe6</x:v>
      </x:c>
      <x:c r="B3018" s="23" t="str">
        <x:v>PAULO ROGERIO CANUTO SOUZA</x:v>
      </x:c>
      <x:c r="C3018" s="23" t="str">
        <x:v>paulo rogerio canuto souza</x:v>
      </x:c>
      <x:c r="D3018" s="22" t="str">
        <x:f>"58.737.732/0001-01"</x:f>
        <x:v>58.737.732/0001-01</x:v>
      </x:c>
      <x:c r="E3018" s="22" t="str">
        <x:f>"58737732000101"</x:f>
        <x:v>58737732000101</x:v>
      </x:c>
      <x:c r="F3018" s="22" t="str">
        <x:f>"371.689.728-04"</x:f>
        <x:v>371.689.728-04</x:v>
      </x:c>
      <x:c r="G3018" s="22" t="str">
        <x:f>"37168972804"</x:f>
        <x:v>37168972804</x:v>
      </x:c>
      <x:c r="H3018" s="23" t="str">
        <x:v>paulorogerioenzosouza10@gmail.com</x:v>
      </x:c>
      <x:c r="I3018" s="22" t="str">
        <x:f>"16994036896"</x:f>
        <x:v>16994036896</x:v>
      </x:c>
      <x:c r="J3018" s="23" t="str">
        <x:v>RENTAL</x:v>
      </x:c>
      <x:c r="K3018" s="23" t="str">
        <x:v>rental_company</x:v>
      </x:c>
      <x:c r="L3018" s="24" t="b">
        <x:v>1</x:v>
      </x:c>
      <x:c r="M3018" s="23" t="n">
        <x:v>1</x:v>
      </x:c>
      <x:c r="N3018" s="28" t="n">
        <x:v>46219.812988715275</x:v>
      </x:c>
      <x:c r="O3018" s="28" t="n">
        <x:v>46219.812988715275</x:v>
      </x:c>
      <x:c r="P3018" s="23" t="str">
        <x:v>SÃO CARLOS</x:v>
      </x:c>
      <x:c r="Q3018" s="30" t="n">
        <x:v>33126</x:v>
      </x:c>
      <x:c r="R3018" s="22" t="str">
        <x:f>"47588797"</x:f>
        <x:v>47588797</x:v>
      </x:c>
      <x:c r="S3018" s="23" t="str">
        <x:v>masculino</x:v>
      </x:c>
      <x:c r="T3018" s="22" t="str"/>
      <x:c r="U3018" s="23" t="str">
        <x:v>PAULO ROGERIO CANUTO SOUZA</x:v>
      </x:c>
      <x:c r="V3018" s="22" t="str">
        <x:f>"371.689.728-04"</x:f>
        <x:v>371.689.728-04</x:v>
      </x:c>
      <x:c r="W3018" s="22" t="str">
        <x:f>"37168972804"</x:f>
        <x:v>37168972804</x:v>
      </x:c>
      <x:c r="X3018" s="23" t="str">
        <x:v>paulorogerioenzosouza10@gmail.com</x:v>
      </x:c>
      <x:c r="Y3018" s="22" t="str">
        <x:f>"16994036896"</x:f>
        <x:v>16994036896</x:v>
      </x:c>
      <x:c r="Z3018" s="30" t="n">
        <x:v>46409</x:v>
      </x:c>
    </x:row>
    <x:row r="3019" ht="18" customHeight="1">
      <x:c r="A3019" s="22" t="str">
        <x:f>"11052827-0100-45e0-9c24-186ef899c5e1"</x:f>
        <x:v>11052827-0100-45e0-9c24-186ef899c5e1</x:v>
      </x:c>
      <x:c r="B3019" s="23" t="str">
        <x:v>PAULO SERGIO ADAMI</x:v>
      </x:c>
      <x:c r="C3019" s="23" t="str">
        <x:v>paulo sergio adami</x:v>
      </x:c>
      <x:c r="D3019" s="22" t="str">
        <x:f>"66.188.158/0001-45"</x:f>
        <x:v>66.188.158/0001-45</x:v>
      </x:c>
      <x:c r="E3019" s="22" t="str">
        <x:f>"66188158000145"</x:f>
        <x:v>66188158000145</x:v>
      </x:c>
      <x:c r="F3019" s="22" t="str">
        <x:f>"252.587.518-48"</x:f>
        <x:v>252.587.518-48</x:v>
      </x:c>
      <x:c r="G3019" s="22" t="str">
        <x:f>"25258751848"</x:f>
        <x:v>25258751848</x:v>
      </x:c>
      <x:c r="H3019" s="23" t="str">
        <x:v>npnwyaj@gmail.com</x:v>
      </x:c>
      <x:c r="I3019" s="22" t="str">
        <x:f>"SIM0A57"</x:f>
        <x:v>SIM0A57</x:v>
      </x:c>
      <x:c r="J3019" s="23" t="str">
        <x:v>SPOT</x:v>
      </x:c>
      <x:c r="K3019" s="23" t="str">
        <x:v>favored_only</x:v>
      </x:c>
      <x:c r="L3019" s="24" t="b">
        <x:v>1</x:v>
      </x:c>
      <x:c r="M3019" s="23" t="n">
        <x:v>1</x:v>
      </x:c>
      <x:c r="N3019" s="28" t="n">
        <x:v>46219.812988715275</x:v>
      </x:c>
      <x:c r="O3019" s="28" t="n">
        <x:v>46219.812988715275</x:v>
      </x:c>
      <x:c r="P3019" s="23" t="str">
        <x:v>POUSO ALEGRE</x:v>
      </x:c>
      <x:c r="Q3019" s="30" t="n">
        <x:v>27777</x:v>
      </x:c>
      <x:c r="R3019" s="22" t="str">
        <x:f>"MG18353487 SSP MG"</x:f>
        <x:v>MG18353487 SSP MG</x:v>
      </x:c>
      <x:c r="S3019" s="23" t="str">
        <x:v>masculino</x:v>
      </x:c>
      <x:c r="T3019" s="22" t="str">
        <x:f>"SIM0A57"</x:f>
        <x:v>SIM0A57</x:v>
      </x:c>
      <x:c r="U3019" s="23" t="str">
        <x:v>ENEUSA MARIA DA COSTA ADAMI</x:v>
      </x:c>
      <x:c r="V3019" s="22" t="str">
        <x:f>"120.600.068-64"</x:f>
        <x:v>120.600.068-64</x:v>
      </x:c>
      <x:c r="W3019" s="22" t="str">
        <x:f>"12060006864"</x:f>
        <x:v>12060006864</x:v>
      </x:c>
      <x:c r="X3019" s="23" t="str">
        <x:v>neideadaminj@gmail.com</x:v>
      </x:c>
      <x:c r="Y3019" s="22" t="str">
        <x:f>"(35)99965-1876"</x:f>
        <x:v>(35)99965-1876</x:v>
      </x:c>
      <x:c r="Z3019" s="30" t="n">
        <x:v>46555</x:v>
      </x:c>
    </x:row>
    <x:row r="3020" ht="18" customHeight="1">
      <x:c r="A3020" s="22" t="str">
        <x:f>"a7d6f437-d90a-44b9-aa2d-e8a9aa0f0668"</x:f>
        <x:v>a7d6f437-d90a-44b9-aa2d-e8a9aa0f0668</x:v>
      </x:c>
      <x:c r="B3020" s="23" t="str">
        <x:v>PAULO SERGIO DE SOUSA LEITAO</x:v>
      </x:c>
      <x:c r="C3020" s="23" t="str">
        <x:v>paulo sergio de sousa leitao</x:v>
      </x:c>
      <x:c r="D3020" s="22" t="str">
        <x:f>"26.272.965/0001-27"</x:f>
        <x:v>26.272.965/0001-27</x:v>
      </x:c>
      <x:c r="E3020" s="22" t="str">
        <x:f>"26272965000127"</x:f>
        <x:v>26272965000127</x:v>
      </x:c>
      <x:c r="F3020" s="22" t="str">
        <x:f>"602.402.593-94"</x:f>
        <x:v>602.402.593-94</x:v>
      </x:c>
      <x:c r="G3020" s="22" t="str">
        <x:f>"60240259394"</x:f>
        <x:v>60240259394</x:v>
      </x:c>
      <x:c r="H3020" s="23" t="str">
        <x:v>SERGIOTRANSPORTE1213@GMAIL.COM</x:v>
      </x:c>
      <x:c r="I3020" s="22" t="str">
        <x:f>"64996277327"</x:f>
        <x:v>64996277327</x:v>
      </x:c>
      <x:c r="J3020" s="23" t="str">
        <x:v>SPOT</x:v>
      </x:c>
      <x:c r="K3020" s="23" t="str">
        <x:v>favored_only</x:v>
      </x:c>
      <x:c r="L3020" s="24" t="b">
        <x:v>1</x:v>
      </x:c>
      <x:c r="M3020" s="23" t="n">
        <x:v>1</x:v>
      </x:c>
      <x:c r="N3020" s="28" t="n">
        <x:v>46205.60476410879</x:v>
      </x:c>
      <x:c r="O3020" s="28" t="n">
        <x:v>46219.812988715275</x:v>
      </x:c>
      <x:c r="P3020" s="23" t="str">
        <x:v>RIO VERDE</x:v>
      </x:c>
      <x:c r="Q3020" s="30" t="n">
        <x:v>32792</x:v>
      </x:c>
      <x:c r="R3020" s="22" t="str">
        <x:f>"8085980"</x:f>
        <x:v>8085980</x:v>
      </x:c>
      <x:c r="S3020" s="23" t="str">
        <x:v>masculino</x:v>
      </x:c>
      <x:c r="T3020" s="22" t="str">
        <x:f>"QAA3I88"</x:f>
        <x:v>QAA3I88</x:v>
      </x:c>
      <x:c r="U3020" s="23" t="str">
        <x:v>SERGIO DOS SANTOS SAMPAIO</x:v>
      </x:c>
      <x:c r="V3020" s="22" t="str">
        <x:f>"598.303.521-53"</x:f>
        <x:v>598.303.521-53</x:v>
      </x:c>
      <x:c r="W3020" s="22" t="str">
        <x:f>"59830352153"</x:f>
        <x:v>59830352153</x:v>
      </x:c>
      <x:c r="X3020" s="23" t="str">
        <x:v>SERGIOTRANSPORTE1213@GMAIL.COM</x:v>
      </x:c>
      <x:c r="Y3020" s="22" t="str">
        <x:f>"64996277327"</x:f>
        <x:v>64996277327</x:v>
      </x:c>
      <x:c r="Z3020" s="30" t="n">
        <x:v>46295</x:v>
      </x:c>
    </x:row>
    <x:row r="3021" ht="18" customHeight="1">
      <x:c r="A3021" s="22" t="str">
        <x:f>"cac02731-52d0-4828-85f6-f4966cc4a224"</x:f>
        <x:v>cac02731-52d0-4828-85f6-f4966cc4a224</x:v>
      </x:c>
      <x:c r="B3021" s="23" t="str">
        <x:v>PAULO SERGIO SIQUEIRA DOS SANTOS</x:v>
      </x:c>
      <x:c r="C3021" s="23" t="str">
        <x:v>paulo sergio siqueira dos santos</x:v>
      </x:c>
      <x:c r="D3021" s="22" t="str">
        <x:f>"64.761.128/0001-50"</x:f>
        <x:v>64.761.128/0001-50</x:v>
      </x:c>
      <x:c r="E3021" s="22" t="str">
        <x:f>"64761128000150"</x:f>
        <x:v>64761128000150</x:v>
      </x:c>
      <x:c r="F3021" s="22" t="str">
        <x:f>"089.728.757-67"</x:f>
        <x:v>089.728.757-67</x:v>
      </x:c>
      <x:c r="G3021" s="22" t="str">
        <x:f>"08972875767"</x:f>
        <x:v>08972875767</x:v>
      </x:c>
      <x:c r="H3021" s="23" t="str">
        <x:v>lap12891289@gmail.com</x:v>
      </x:c>
      <x:c r="I3021" s="22" t="str">
        <x:f>"21 980664460"</x:f>
        <x:v>21 980664460</x:v>
      </x:c>
      <x:c r="J3021" s="23" t="str">
        <x:v>SPOT</x:v>
      </x:c>
      <x:c r="K3021" s="23" t="str">
        <x:v>favored_only</x:v>
      </x:c>
      <x:c r="L3021" s="24" t="b">
        <x:v>1</x:v>
      </x:c>
      <x:c r="M3021" s="23" t="n">
        <x:v>1</x:v>
      </x:c>
      <x:c r="N3021" s="28" t="n">
        <x:v>46219.812988715275</x:v>
      </x:c>
      <x:c r="O3021" s="28" t="n">
        <x:v>46219.812988715275</x:v>
      </x:c>
      <x:c r="P3021" s="23" t="str">
        <x:v>QUEIMADOS</x:v>
      </x:c>
      <x:c r="Q3021" s="30" t="n">
        <x:v>28982</x:v>
      </x:c>
      <x:c r="R3021" s="22" t="str">
        <x:f>"107626434"</x:f>
        <x:v>107626434</x:v>
      </x:c>
      <x:c r="S3021" s="23" t="str">
        <x:v>masculino</x:v>
      </x:c>
      <x:c r="T3021" s="22" t="str">
        <x:f>"LST6F95"</x:f>
        <x:v>LST6F95</x:v>
      </x:c>
      <x:c r="U3021" s="23" t="str">
        <x:v>PAULO SERGIO SIQUEIRA DOS SANTOS</x:v>
      </x:c>
      <x:c r="V3021" s="22" t="str">
        <x:f>"089.728.757-67"</x:f>
        <x:v>089.728.757-67</x:v>
      </x:c>
      <x:c r="W3021" s="22" t="str">
        <x:f>"08972875767"</x:f>
        <x:v>08972875767</x:v>
      </x:c>
      <x:c r="X3021" s="23" t="str">
        <x:v>lap12891289@gmail.com</x:v>
      </x:c>
      <x:c r="Y3021" s="22" t="str">
        <x:f>"21 980664460"</x:f>
        <x:v>21 980664460</x:v>
      </x:c>
      <x:c r="Z3021" s="30" t="n">
        <x:v>46428</x:v>
      </x:c>
    </x:row>
    <x:row r="3022" ht="18" customHeight="1">
      <x:c r="A3022" s="22" t="str">
        <x:f>"cd6b232f-5f4e-4e8b-b8e5-a73d395da157"</x:f>
        <x:v>cd6b232f-5f4e-4e8b-b8e5-a73d395da157</x:v>
      </x:c>
      <x:c r="B3022" s="23" t="str">
        <x:v>PAULO THARSO DE OLIVEIRA CAMARGO</x:v>
      </x:c>
      <x:c r="C3022" s="23" t="str">
        <x:v>paulo tharso de oliveira camargo</x:v>
      </x:c>
      <x:c r="D3022" s="22" t="str">
        <x:f>"37.823.997/0001-90"</x:f>
        <x:v>37.823.997/0001-90</x:v>
      </x:c>
      <x:c r="E3022" s="22" t="str">
        <x:f>"37823997000190"</x:f>
        <x:v>37823997000190</x:v>
      </x:c>
      <x:c r="F3022" s="22" t="str">
        <x:f>"757.322.381-15"</x:f>
        <x:v>757.322.381-15</x:v>
      </x:c>
      <x:c r="G3022" s="22" t="str">
        <x:f>"75732238115"</x:f>
        <x:v>75732238115</x:v>
      </x:c>
      <x:c r="H3022" s="23" t="str">
        <x:v>paulotharso0@gmail.com</x:v>
      </x:c>
      <x:c r="I3022" s="22" t="str">
        <x:f>"62994854241"</x:f>
        <x:v>62994854241</x:v>
      </x:c>
      <x:c r="J3022" s="23" t="str">
        <x:v>SPOT</x:v>
      </x:c>
      <x:c r="K3022" s="23" t="str">
        <x:v>favored_only</x:v>
      </x:c>
      <x:c r="L3022" s="24" t="b">
        <x:v>1</x:v>
      </x:c>
      <x:c r="M3022" s="23" t="n">
        <x:v>1</x:v>
      </x:c>
      <x:c r="N3022" s="28" t="n">
        <x:v>46205.60427178241</x:v>
      </x:c>
      <x:c r="O3022" s="28" t="n">
        <x:v>46219.812988715275</x:v>
      </x:c>
      <x:c r="P3022" s="23" t="str">
        <x:v>GOIANIA</x:v>
      </x:c>
      <x:c r="Q3022" s="30" t="n">
        <x:v>34942</x:v>
      </x:c>
      <x:c r="R3022" s="22" t="str">
        <x:f>"5811579"</x:f>
        <x:v>5811579</x:v>
      </x:c>
      <x:c r="S3022" s="23" t="str">
        <x:v>masculino</x:v>
      </x:c>
      <x:c r="T3022" s="22" t="str">
        <x:f>"ONE0541"</x:f>
        <x:v>ONE0541</x:v>
      </x:c>
      <x:c r="U3022" s="23" t="str">
        <x:v>DANILLO BACCIEL ALMEIDA</x:v>
      </x:c>
      <x:c r="V3022" s="22" t="str">
        <x:f>"019.928.911-50"</x:f>
        <x:v>019.928.911-50</x:v>
      </x:c>
      <x:c r="W3022" s="22" t="str">
        <x:f>"01992891150"</x:f>
        <x:v>01992891150</x:v>
      </x:c>
      <x:c r="X3022" s="23" t="str">
        <x:v>rtp.cargas@gmail.com</x:v>
      </x:c>
      <x:c r="Y3022" s="22" t="str">
        <x:f>"62 9661-0607"</x:f>
        <x:v>62 9661-0607</x:v>
      </x:c>
      <x:c r="Z3022" s="30" t="n">
        <x:v>46266</x:v>
      </x:c>
    </x:row>
    <x:row r="3023" ht="18" customHeight="1">
      <x:c r="A3023" s="22" t="str">
        <x:f>"e8062ed3-c280-4c3b-93eb-c870412af8f0"</x:f>
        <x:v>e8062ed3-c280-4c3b-93eb-c870412af8f0</x:v>
      </x:c>
      <x:c r="B3023" s="23" t="str">
        <x:v>PAULO VICENTE DA SILVA</x:v>
      </x:c>
      <x:c r="C3023" s="23" t="str">
        <x:v>paulo vicente da silva</x:v>
      </x:c>
      <x:c r="D3023" s="22" t="str">
        <x:f>"64.779.270/0001-25"</x:f>
        <x:v>64.779.270/0001-25</x:v>
      </x:c>
      <x:c r="E3023" s="22" t="str">
        <x:f>"64779270000125"</x:f>
        <x:v>64779270000125</x:v>
      </x:c>
      <x:c r="F3023" s="22" t="str">
        <x:f>"238.156.126-91"</x:f>
        <x:v>238.156.126-91</x:v>
      </x:c>
      <x:c r="G3023" s="22" t="str">
        <x:f>"23815612691"</x:f>
        <x:v>23815612691</x:v>
      </x:c>
      <x:c r="H3023" s="23" t="str">
        <x:v>paulinhokz1007@gmail.com</x:v>
      </x:c>
      <x:c r="I3023" s="22" t="str">
        <x:f>"37991373951"</x:f>
        <x:v>37991373951</x:v>
      </x:c>
      <x:c r="J3023" s="23" t="str">
        <x:v>SPOT</x:v>
      </x:c>
      <x:c r="K3023" s="23" t="str">
        <x:v>favored_only</x:v>
      </x:c>
      <x:c r="L3023" s="24" t="b">
        <x:v>1</x:v>
      </x:c>
      <x:c r="M3023" s="23" t="n">
        <x:v>1</x:v>
      </x:c>
      <x:c r="N3023" s="28" t="n">
        <x:v>46219.812988715275</x:v>
      </x:c>
      <x:c r="O3023" s="28" t="n">
        <x:v>46219.812988715275</x:v>
      </x:c>
      <x:c r="P3023" s="23" t="str">
        <x:v>ARAXÁ</x:v>
      </x:c>
      <x:c r="Q3023" s="30" t="n">
        <x:v>18970</x:v>
      </x:c>
      <x:c r="R3023" s="22" t="str">
        <x:f>"M2578901"</x:f>
        <x:v>M2578901</x:v>
      </x:c>
      <x:c r="S3023" s="23" t="str">
        <x:v>masculino</x:v>
      </x:c>
      <x:c r="T3023" s="22" t="str">
        <x:f>"QNO3F41"</x:f>
        <x:v>QNO3F41</x:v>
      </x:c>
      <x:c r="U3023" s="23" t="str">
        <x:v>WALBERT DE PAULA DA SILVA</x:v>
      </x:c>
      <x:c r="V3023" s="22" t="str">
        <x:f>"113.720.056-17"</x:f>
        <x:v>113.720.056-17</x:v>
      </x:c>
      <x:c r="W3023" s="22" t="str">
        <x:f>"11372005617"</x:f>
        <x:v>11372005617</x:v>
      </x:c>
      <x:c r="X3023" s="23" t="str">
        <x:v>walbertsilva@hotmail.com</x:v>
      </x:c>
      <x:c r="Y3023" s="22" t="str">
        <x:f>"37991457075"</x:f>
        <x:v>37991457075</x:v>
      </x:c>
      <x:c r="Z3023" s="30" t="n">
        <x:v>46548</x:v>
      </x:c>
    </x:row>
    <x:row r="3024" ht="18" customHeight="1">
      <x:c r="A3024" s="22" t="str">
        <x:f>"e6c6ca9c-1931-4382-ad21-81dd6d4ea25c"</x:f>
        <x:v>e6c6ca9c-1931-4382-ad21-81dd6d4ea25c</x:v>
      </x:c>
      <x:c r="B3024" s="23" t="str">
        <x:v>PAULO VICTOR DA SILVA DANTAS</x:v>
      </x:c>
      <x:c r="C3024" s="23" t="str">
        <x:v>paulo victor da silva dantas</x:v>
      </x:c>
      <x:c r="D3024" s="22" t="str">
        <x:f>"64.952.557/0001-05"</x:f>
        <x:v>64.952.557/0001-05</x:v>
      </x:c>
      <x:c r="E3024" s="22" t="str">
        <x:f>"64952557000105"</x:f>
        <x:v>64952557000105</x:v>
      </x:c>
      <x:c r="F3024" s="22" t="str">
        <x:f>"467.100.838-61"</x:f>
        <x:v>467.100.838-61</x:v>
      </x:c>
      <x:c r="G3024" s="22" t="str">
        <x:f>"46710083861"</x:f>
        <x:v>46710083861</x:v>
      </x:c>
      <x:c r="H3024" s="23" t="str">
        <x:v>paulovictordasilvadantasdantas@gmail.com</x:v>
      </x:c>
      <x:c r="I3024" s="22" t="str">
        <x:f>"11949298285"</x:f>
        <x:v>11949298285</x:v>
      </x:c>
      <x:c r="J3024" s="23" t="str">
        <x:v>RENTAL</x:v>
      </x:c>
      <x:c r="K3024" s="23" t="str">
        <x:v>rental_company</x:v>
      </x:c>
      <x:c r="L3024" s="24" t="b">
        <x:v>1</x:v>
      </x:c>
      <x:c r="M3024" s="23" t="n">
        <x:v>1</x:v>
      </x:c>
      <x:c r="N3024" s="28" t="n">
        <x:v>46219.812988715275</x:v>
      </x:c>
      <x:c r="O3024" s="28" t="n">
        <x:v>46219.812988715275</x:v>
      </x:c>
      <x:c r="P3024" s="23" t="str">
        <x:v>BARUERI</x:v>
      </x:c>
      <x:c r="Q3024" s="30" t="n">
        <x:v>37226</x:v>
      </x:c>
      <x:c r="R3024" s="22" t="str">
        <x:f>"575840043"</x:f>
        <x:v>575840043</x:v>
      </x:c>
      <x:c r="S3024" s="23" t="str">
        <x:v>masculino</x:v>
      </x:c>
      <x:c r="T3024" s="22" t="str"/>
      <x:c r="U3024" s="23" t="str">
        <x:v>PAULO VICTOR DA SILVA DANTAS</x:v>
      </x:c>
      <x:c r="V3024" s="22" t="str">
        <x:f>"467.100.838-61"</x:f>
        <x:v>467.100.838-61</x:v>
      </x:c>
      <x:c r="W3024" s="22" t="str">
        <x:f>"46710083861"</x:f>
        <x:v>46710083861</x:v>
      </x:c>
      <x:c r="X3024" s="23" t="str">
        <x:v>paulovictordasilvadantasdantas@gmail.com</x:v>
      </x:c>
      <x:c r="Y3024" s="22" t="str">
        <x:f>"11949298285"</x:f>
        <x:v>11949298285</x:v>
      </x:c>
      <x:c r="Z3024" s="30" t="n">
        <x:v>46550</x:v>
      </x:c>
    </x:row>
    <x:row r="3025" ht="18" customHeight="1">
      <x:c r="A3025" s="22" t="str">
        <x:f>"aa010c71-1192-4fbb-b3e6-ebbfdc489767"</x:f>
        <x:v>aa010c71-1192-4fbb-b3e6-ebbfdc489767</x:v>
      </x:c>
      <x:c r="B3025" s="23" t="str">
        <x:v>PEDRO ALVES DA SILVA</x:v>
      </x:c>
      <x:c r="C3025" s="23" t="str">
        <x:v>pedro alves da silva</x:v>
      </x:c>
      <x:c r="D3025" s="22" t="str">
        <x:f>"67.298.591/0001-04"</x:f>
        <x:v>67.298.591/0001-04</x:v>
      </x:c>
      <x:c r="E3025" s="22" t="str">
        <x:f>"67298591000104"</x:f>
        <x:v>67298591000104</x:v>
      </x:c>
      <x:c r="F3025" s="22" t="str">
        <x:f>"174.426.518-60"</x:f>
        <x:v>174.426.518-60</x:v>
      </x:c>
      <x:c r="G3025" s="22" t="str">
        <x:f>"17442651860"</x:f>
        <x:v>17442651860</x:v>
      </x:c>
      <x:c r="H3025" s="23" t="str">
        <x:v>pedroalvessilva555@gmail.com</x:v>
      </x:c>
      <x:c r="I3025" s="22" t="str">
        <x:f>"14 99608-3996"</x:f>
        <x:v>14 99608-3996</x:v>
      </x:c>
      <x:c r="J3025" s="23" t="str">
        <x:v>SPOT</x:v>
      </x:c>
      <x:c r="K3025" s="23" t="str">
        <x:v>favored_only</x:v>
      </x:c>
      <x:c r="L3025" s="24" t="b">
        <x:v>1</x:v>
      </x:c>
      <x:c r="M3025" s="23" t="n">
        <x:v>1</x:v>
      </x:c>
      <x:c r="N3025" s="28" t="n">
        <x:v>46219.812988715275</x:v>
      </x:c>
      <x:c r="O3025" s="28" t="n">
        <x:v>46219.812988715275</x:v>
      </x:c>
      <x:c r="P3025" s="23" t="str">
        <x:v>MARILIA</x:v>
      </x:c>
      <x:c r="Q3025" s="30" t="n">
        <x:v>28005</x:v>
      </x:c>
      <x:c r="R3025" s="22" t="str">
        <x:f>"29640601"</x:f>
        <x:v>29640601</x:v>
      </x:c>
      <x:c r="S3025" s="23" t="str">
        <x:v>masculino</x:v>
      </x:c>
      <x:c r="T3025" s="22" t="str">
        <x:f>"FEA3G33"</x:f>
        <x:v>FEA3G33</x:v>
      </x:c>
      <x:c r="U3025" s="23" t="str">
        <x:v>PEDRO ALVES DA SILVA</x:v>
      </x:c>
      <x:c r="V3025" s="22" t="str">
        <x:f>"174.426.518-60"</x:f>
        <x:v>174.426.518-60</x:v>
      </x:c>
      <x:c r="W3025" s="22" t="str">
        <x:f>"17442651860"</x:f>
        <x:v>17442651860</x:v>
      </x:c>
      <x:c r="X3025" s="23" t="str">
        <x:v>pedroalvessilva555@gmail.com</x:v>
      </x:c>
      <x:c r="Y3025" s="22" t="str">
        <x:f>"14 99608-3996"</x:f>
        <x:v>14 99608-3996</x:v>
      </x:c>
      <x:c r="Z3025" s="30" t="n">
        <x:v>46578</x:v>
      </x:c>
    </x:row>
    <x:row r="3026" ht="18" customHeight="1">
      <x:c r="A3026" s="22" t="str">
        <x:f>"dea79a04-51e1-426c-9fb6-46acee02868d"</x:f>
        <x:v>dea79a04-51e1-426c-9fb6-46acee02868d</x:v>
      </x:c>
      <x:c r="B3026" s="23" t="str">
        <x:v>PEDRO ARAUJO CAMILO</x:v>
      </x:c>
      <x:c r="C3026" s="23" t="str">
        <x:v>pedro araujo camilo</x:v>
      </x:c>
      <x:c r="D3026" s="22" t="str">
        <x:f>"63.481.700/0001-65"</x:f>
        <x:v>63.481.700/0001-65</x:v>
      </x:c>
      <x:c r="E3026" s="22" t="str">
        <x:f>"63481700000165"</x:f>
        <x:v>63481700000165</x:v>
      </x:c>
      <x:c r="F3026" s="22" t="str">
        <x:f>"659.848.387-53"</x:f>
        <x:v>659.848.387-53</x:v>
      </x:c>
      <x:c r="G3026" s="22" t="str">
        <x:f>"65984838753"</x:f>
        <x:v>65984838753</x:v>
      </x:c>
      <x:c r="H3026" s="23" t="str">
        <x:v>pedroaraujocamilo@gmail.com</x:v>
      </x:c>
      <x:c r="I3026" s="22" t="str">
        <x:f>"21980116779"</x:f>
        <x:v>21980116779</x:v>
      </x:c>
      <x:c r="J3026" s="23" t="str">
        <x:v>SPOT</x:v>
      </x:c>
      <x:c r="K3026" s="23" t="str">
        <x:v>favored_only</x:v>
      </x:c>
      <x:c r="L3026" s="24" t="b">
        <x:v>1</x:v>
      </x:c>
      <x:c r="M3026" s="23" t="n">
        <x:v>1</x:v>
      </x:c>
      <x:c r="N3026" s="28" t="n">
        <x:v>46203.92189349537</x:v>
      </x:c>
      <x:c r="O3026" s="28" t="n">
        <x:v>46219.812988715275</x:v>
      </x:c>
      <x:c r="P3026" s="23" t="str">
        <x:v>CAMPO GRANDE</x:v>
      </x:c>
      <x:c r="Q3026" s="30" t="n">
        <x:v>22277</x:v>
      </x:c>
      <x:c r="R3026" s="22" t="str">
        <x:f>"55823595"</x:f>
        <x:v>55823595</x:v>
      </x:c>
      <x:c r="S3026" s="23" t="str">
        <x:v>masculino</x:v>
      </x:c>
      <x:c r="T3026" s="22" t="str">
        <x:f>"LPN8624"</x:f>
        <x:v>LPN8624</x:v>
      </x:c>
      <x:c r="U3026" s="23" t="str">
        <x:v>PEDRO ARAUJO CAMILO</x:v>
      </x:c>
      <x:c r="V3026" s="22" t="str">
        <x:f>"659.848.387-53"</x:f>
        <x:v>659.848.387-53</x:v>
      </x:c>
      <x:c r="W3026" s="22" t="str">
        <x:f>"65984838753"</x:f>
        <x:v>65984838753</x:v>
      </x:c>
      <x:c r="X3026" s="23" t="str">
        <x:v>pedroaraujocamilo@gmail.com</x:v>
      </x:c>
      <x:c r="Y3026" s="22" t="str">
        <x:f>"21980116779"</x:f>
        <x:v>21980116779</x:v>
      </x:c>
      <x:c r="Z3026" s="30" t="n">
        <x:v>46343</x:v>
      </x:c>
    </x:row>
    <x:row r="3027" ht="18" customHeight="1">
      <x:c r="A3027" s="22" t="str">
        <x:f>"0ce8164d-b009-4eb9-be81-fc9ff7ca72bc"</x:f>
        <x:v>0ce8164d-b009-4eb9-be81-fc9ff7ca72bc</x:v>
      </x:c>
      <x:c r="B3027" s="23" t="str">
        <x:v>PEDRO ARTUR FERREIRA CARVALHO LIMA</x:v>
      </x:c>
      <x:c r="C3027" s="23" t="str">
        <x:v>pedro artur ferreira carvalho lima</x:v>
      </x:c>
      <x:c r="D3027" s="22" t="str">
        <x:f>"66.185.883/0001-60"</x:f>
        <x:v>66.185.883/0001-60</x:v>
      </x:c>
      <x:c r="E3027" s="22" t="str">
        <x:f>"66185883000160"</x:f>
        <x:v>66185883000160</x:v>
      </x:c>
      <x:c r="F3027" s="22" t="str">
        <x:f>"152.310.326-46"</x:f>
        <x:v>152.310.326-46</x:v>
      </x:c>
      <x:c r="G3027" s="22" t="str">
        <x:f>"15231032646"</x:f>
        <x:v>15231032646</x:v>
      </x:c>
      <x:c r="H3027" s="23" t="str">
        <x:v>pedroarturfcl@gmail.com</x:v>
      </x:c>
      <x:c r="I3027" s="22" t="str">
        <x:f>"31 971362268"</x:f>
        <x:v>31 971362268</x:v>
      </x:c>
      <x:c r="J3027" s="23" t="str">
        <x:v>SPOT</x:v>
      </x:c>
      <x:c r="K3027" s="23" t="str">
        <x:v>favored_only</x:v>
      </x:c>
      <x:c r="L3027" s="24" t="b">
        <x:v>1</x:v>
      </x:c>
      <x:c r="M3027" s="23" t="n">
        <x:v>1</x:v>
      </x:c>
      <x:c r="N3027" s="28" t="n">
        <x:v>46219.812988715275</x:v>
      </x:c>
      <x:c r="O3027" s="28" t="n">
        <x:v>46219.812988715275</x:v>
      </x:c>
      <x:c r="P3027" s="23" t="str">
        <x:v>CONCEIÇÃO DO MATO DENTRO</x:v>
      </x:c>
      <x:c r="Q3027" s="30" t="n">
        <x:v>38753</x:v>
      </x:c>
      <x:c r="R3027" s="22" t="str">
        <x:f>"24230263"</x:f>
        <x:v>24230263</x:v>
      </x:c>
      <x:c r="S3027" s="23" t="str">
        <x:v>masculino</x:v>
      </x:c>
      <x:c r="T3027" s="22" t="str">
        <x:f>"IPS2E80"</x:f>
        <x:v>IPS2E80</x:v>
      </x:c>
      <x:c r="U3027" s="23" t="str">
        <x:v>PEDRO ARTUR FERREIRA CARVALHO LIMA</x:v>
      </x:c>
      <x:c r="V3027" s="22" t="str">
        <x:f>"152.310.326-46"</x:f>
        <x:v>152.310.326-46</x:v>
      </x:c>
      <x:c r="W3027" s="22" t="str">
        <x:f>"15231032646"</x:f>
        <x:v>15231032646</x:v>
      </x:c>
      <x:c r="X3027" s="23" t="str">
        <x:v>pedroarturfcl@gmail.com</x:v>
      </x:c>
      <x:c r="Y3027" s="22" t="str">
        <x:f>"31 971362268"</x:f>
        <x:v>31 971362268</x:v>
      </x:c>
      <x:c r="Z3027" s="30" t="n">
        <x:v>46499</x:v>
      </x:c>
    </x:row>
    <x:row r="3028" ht="18" customHeight="1">
      <x:c r="A3028" s="22" t="str">
        <x:f>"5a885d1d-8003-40b4-a37c-f9ebb0ab9a0d"</x:f>
        <x:v>5a885d1d-8003-40b4-a37c-f9ebb0ab9a0d</x:v>
      </x:c>
      <x:c r="B3028" s="23" t="str">
        <x:v>PEDRO AUGUSTO FONSECA DE ALMEIDA</x:v>
      </x:c>
      <x:c r="C3028" s="23" t="str">
        <x:v>pedro augusto fonseca de almeida</x:v>
      </x:c>
      <x:c r="D3028" s="22" t="str">
        <x:f>"48.992.544/0001-03"</x:f>
        <x:v>48.992.544/0001-03</x:v>
      </x:c>
      <x:c r="E3028" s="22" t="str">
        <x:f>"48992544000103"</x:f>
        <x:v>48992544000103</x:v>
      </x:c>
      <x:c r="F3028" s="22" t="str">
        <x:f>"147.067.076-97"</x:f>
        <x:v>147.067.076-97</x:v>
      </x:c>
      <x:c r="G3028" s="22" t="str">
        <x:f>"14706707697"</x:f>
        <x:v>14706707697</x:v>
      </x:c>
      <x:c r="H3028" s="23" t="str">
        <x:v>pfonseca379@gmail.com</x:v>
      </x:c>
      <x:c r="I3028" s="22" t="str">
        <x:f>"(35)99866-8046"</x:f>
        <x:v>(35)99866-8046</x:v>
      </x:c>
      <x:c r="J3028" s="23" t="str">
        <x:v>SPOT</x:v>
      </x:c>
      <x:c r="K3028" s="23" t="str">
        <x:v>favored_only</x:v>
      </x:c>
      <x:c r="L3028" s="24" t="b">
        <x:v>1</x:v>
      </x:c>
      <x:c r="M3028" s="23" t="n">
        <x:v>1</x:v>
      </x:c>
      <x:c r="N3028" s="28" t="n">
        <x:v>46205.60468866898</x:v>
      </x:c>
      <x:c r="O3028" s="28" t="n">
        <x:v>46219.812988715275</x:v>
      </x:c>
      <x:c r="P3028" s="23" t="str">
        <x:v>POUSO ALEGRE</x:v>
      </x:c>
      <x:c r="Q3028" s="30" t="n">
        <x:v>36584</x:v>
      </x:c>
      <x:c r="R3028" s="22" t="str">
        <x:f>"MG21129756 SSP MG"</x:f>
        <x:v>MG21129756 SSP MG</x:v>
      </x:c>
      <x:c r="S3028" s="23" t="str">
        <x:v>masculino</x:v>
      </x:c>
      <x:c r="T3028" s="22" t="str">
        <x:f>"DRU3I04"</x:f>
        <x:v>DRU3I04</x:v>
      </x:c>
      <x:c r="U3028" s="23" t="str">
        <x:v>JOHNY PALMIERI FRANCISCO</x:v>
      </x:c>
      <x:c r="V3028" s="22" t="str">
        <x:f>"122.409.006-36"</x:f>
        <x:v>122.409.006-36</x:v>
      </x:c>
      <x:c r="W3028" s="22" t="str">
        <x:f>"12240900636"</x:f>
        <x:v>12240900636</x:v>
      </x:c>
      <x:c r="X3028" s="23" t="str">
        <x:v>johnypalmieri@gmail.com</x:v>
      </x:c>
      <x:c r="Y3028" s="22" t="str">
        <x:f>"(35)99871-2011"</x:f>
        <x:v>(35)99871-2011</x:v>
      </x:c>
      <x:c r="Z3028" s="30" t="n">
        <x:v>46290</x:v>
      </x:c>
    </x:row>
    <x:row r="3029" ht="18" customHeight="1">
      <x:c r="A3029" s="22" t="str">
        <x:f>"1b9e0089-8a24-4f73-8161-f10d60a30c0f"</x:f>
        <x:v>1b9e0089-8a24-4f73-8161-f10d60a30c0f</x:v>
      </x:c>
      <x:c r="B3029" s="23" t="str">
        <x:v>PEDRO CARLOS SILVA DE ALBUQUERQUE</x:v>
      </x:c>
      <x:c r="C3029" s="23" t="str">
        <x:v>pedro carlos silva de albuquerque</x:v>
      </x:c>
      <x:c r="D3029" s="22" t="str">
        <x:f>"28.179.367/0001-33"</x:f>
        <x:v>28.179.367/0001-33</x:v>
      </x:c>
      <x:c r="E3029" s="22" t="str">
        <x:f>"28179367000133"</x:f>
        <x:v>28179367000133</x:v>
      </x:c>
      <x:c r="F3029" s="22" t="str">
        <x:f>"014.864.877-00"</x:f>
        <x:v>014.864.877-00</x:v>
      </x:c>
      <x:c r="G3029" s="22" t="str">
        <x:f>"01486487700"</x:f>
        <x:v>01486487700</x:v>
      </x:c>
      <x:c r="H3029" s="23" t="str">
        <x:v>albuquerque2021pcsa@gmail.com</x:v>
      </x:c>
      <x:c r="I3029" s="22" t="str">
        <x:f>"21975944886"</x:f>
        <x:v>21975944886</x:v>
      </x:c>
      <x:c r="J3029" s="23" t="str">
        <x:v>SPOT</x:v>
      </x:c>
      <x:c r="K3029" s="23" t="str">
        <x:v>favored_only</x:v>
      </x:c>
      <x:c r="L3029" s="24" t="b">
        <x:v>1</x:v>
      </x:c>
      <x:c r="M3029" s="23" t="n">
        <x:v>1</x:v>
      </x:c>
      <x:c r="N3029" s="28" t="n">
        <x:v>46219.812988715275</x:v>
      </x:c>
      <x:c r="O3029" s="28" t="n">
        <x:v>46219.812988715275</x:v>
      </x:c>
      <x:c r="P3029" s="23" t="str">
        <x:v>CAMPO GRANDE</x:v>
      </x:c>
      <x:c r="Q3029" s="30" t="n">
        <x:v>26198</x:v>
      </x:c>
      <x:c r="R3029" s="22" t="str">
        <x:f>"94369576"</x:f>
        <x:v>94369576</x:v>
      </x:c>
      <x:c r="S3029" s="23" t="str">
        <x:v>masculino</x:v>
      </x:c>
      <x:c r="T3029" s="22" t="str">
        <x:f>"RKF2H09"</x:f>
        <x:v>RKF2H09</x:v>
      </x:c>
      <x:c r="U3029" s="23" t="str">
        <x:v>PEDRO CARLOS SILVA DE ALBUQUERQUE</x:v>
      </x:c>
      <x:c r="V3029" s="22" t="str">
        <x:f>"014.864.877-00"</x:f>
        <x:v>014.864.877-00</x:v>
      </x:c>
      <x:c r="W3029" s="22" t="str">
        <x:f>"01486487700"</x:f>
        <x:v>01486487700</x:v>
      </x:c>
      <x:c r="X3029" s="23" t="str">
        <x:v>albuquerque2021pcsa@gmail.com</x:v>
      </x:c>
      <x:c r="Y3029" s="22" t="str">
        <x:f>"21975944886"</x:f>
        <x:v>21975944886</x:v>
      </x:c>
      <x:c r="Z3029" s="30" t="n">
        <x:v>46466</x:v>
      </x:c>
    </x:row>
    <x:row r="3030" ht="18" customHeight="1">
      <x:c r="A3030" s="22" t="str">
        <x:f>"90f4c367-7de7-4c21-a788-1b46a4c8f867"</x:f>
        <x:v>90f4c367-7de7-4c21-a788-1b46a4c8f867</x:v>
      </x:c>
      <x:c r="B3030" s="23" t="str">
        <x:v>PEDRO DA COSTA E SILVA</x:v>
      </x:c>
      <x:c r="C3030" s="23" t="str">
        <x:v>pedro da costa e silva</x:v>
      </x:c>
      <x:c r="D3030" s="22" t="str">
        <x:f>"55.154.189/0001-69"</x:f>
        <x:v>55.154.189/0001-69</x:v>
      </x:c>
      <x:c r="E3030" s="22" t="str">
        <x:f>"55154189000169"</x:f>
        <x:v>55154189000169</x:v>
      </x:c>
      <x:c r="F3030" s="22" t="str">
        <x:f>"443.996.148-70"</x:f>
        <x:v>443.996.148-70</x:v>
      </x:c>
      <x:c r="G3030" s="22" t="str">
        <x:f>"44399614870"</x:f>
        <x:v>44399614870</x:v>
      </x:c>
      <x:c r="H3030" s="23" t="str">
        <x:v>ped7o021@gmail.com</x:v>
      </x:c>
      <x:c r="I3030" s="22" t="str">
        <x:f>"(35)99744-7014"</x:f>
        <x:v>(35)99744-7014</x:v>
      </x:c>
      <x:c r="J3030" s="23" t="str">
        <x:v>RENTAL</x:v>
      </x:c>
      <x:c r="K3030" s="23" t="str">
        <x:v>rental_company</x:v>
      </x:c>
      <x:c r="L3030" s="24" t="b">
        <x:v>1</x:v>
      </x:c>
      <x:c r="M3030" s="23" t="n">
        <x:v>1</x:v>
      </x:c>
      <x:c r="N3030" s="28" t="n">
        <x:v>46219.812988715275</x:v>
      </x:c>
      <x:c r="O3030" s="28" t="n">
        <x:v>46219.812988715275</x:v>
      </x:c>
      <x:c r="P3030" s="23" t="str">
        <x:v>POUSO ALEGRE</x:v>
      </x:c>
      <x:c r="Q3030" s="30" t="n">
        <x:v>37022</x:v>
      </x:c>
      <x:c r="R3030" s="22" t="str">
        <x:f>"MG21959547 SSP MG"</x:f>
        <x:v>MG21959547 SSP MG</x:v>
      </x:c>
      <x:c r="S3030" s="23" t="str">
        <x:v>masculino</x:v>
      </x:c>
      <x:c r="T3030" s="22" t="str"/>
      <x:c r="U3030" s="23" t="str">
        <x:v>PEDRO DA COSTA E SILVA</x:v>
      </x:c>
      <x:c r="V3030" s="22" t="str">
        <x:f>"443.996.148-70"</x:f>
        <x:v>443.996.148-70</x:v>
      </x:c>
      <x:c r="W3030" s="22" t="str">
        <x:f>"44399614870"</x:f>
        <x:v>44399614870</x:v>
      </x:c>
      <x:c r="X3030" s="23" t="str">
        <x:v>ped7o021@gmail.com</x:v>
      </x:c>
      <x:c r="Y3030" s="22" t="str">
        <x:f>"(35)99744-7014"</x:f>
        <x:v>(35)99744-7014</x:v>
      </x:c>
      <x:c r="Z3030" s="30" t="n">
        <x:v>46561</x:v>
      </x:c>
    </x:row>
    <x:row r="3031" ht="18" customHeight="1">
      <x:c r="A3031" s="22" t="str">
        <x:f>"969303f4-9a9b-4816-8d64-558663d60a19"</x:f>
        <x:v>969303f4-9a9b-4816-8d64-558663d60a19</x:v>
      </x:c>
      <x:c r="B3031" s="23" t="str">
        <x:v>PEDRO DANIEL BARROS DE OLIVEIRA</x:v>
      </x:c>
      <x:c r="C3031" s="23" t="str">
        <x:v>pedro daniel barros de oliveira</x:v>
      </x:c>
      <x:c r="D3031" s="22" t="str">
        <x:f>"59.716.680/0001-97"</x:f>
        <x:v>59.716.680/0001-97</x:v>
      </x:c>
      <x:c r="E3031" s="22" t="str">
        <x:f>"59716680000197"</x:f>
        <x:v>59716680000197</x:v>
      </x:c>
      <x:c r="F3031" s="22" t="str">
        <x:f>"064.924.083-90"</x:f>
        <x:v>064.924.083-90</x:v>
      </x:c>
      <x:c r="G3031" s="22" t="str">
        <x:f>"06492408390"</x:f>
        <x:v>06492408390</x:v>
      </x:c>
      <x:c r="H3031" s="23" t="str">
        <x:v>pdanielbarros@hotmail.com</x:v>
      </x:c>
      <x:c r="I3031" s="22" t="str">
        <x:f>"62 98628-3153"</x:f>
        <x:v>62 98628-3153</x:v>
      </x:c>
      <x:c r="J3031" s="23" t="str">
        <x:v>SPOT</x:v>
      </x:c>
      <x:c r="K3031" s="23" t="str">
        <x:v>favored_only</x:v>
      </x:c>
      <x:c r="L3031" s="24" t="b">
        <x:v>1</x:v>
      </x:c>
      <x:c r="M3031" s="23" t="n">
        <x:v>1</x:v>
      </x:c>
      <x:c r="N3031" s="28" t="n">
        <x:v>46203.92183017361</x:v>
      </x:c>
      <x:c r="O3031" s="28" t="n">
        <x:v>46219.812988715275</x:v>
      </x:c>
      <x:c r="P3031" s="23" t="str">
        <x:v>MINAÇU</x:v>
      </x:c>
      <x:c r="Q3031" s="30" t="n">
        <x:v>34775</x:v>
      </x:c>
      <x:c r="R3031" s="22" t="str">
        <x:f>"3465797"</x:f>
        <x:v>3465797</x:v>
      </x:c>
      <x:c r="S3031" s="23" t="str">
        <x:v>masculino</x:v>
      </x:c>
      <x:c r="T3031" s="22" t="str"/>
      <x:c r="U3031" s="23" t="str">
        <x:v>PEDRO DANIEL BARROS DE OLIVEIRA</x:v>
      </x:c>
      <x:c r="V3031" s="22" t="str">
        <x:f>"064.924.083-90"</x:f>
        <x:v>064.924.083-90</x:v>
      </x:c>
      <x:c r="W3031" s="22" t="str">
        <x:f>"06492408390"</x:f>
        <x:v>06492408390</x:v>
      </x:c>
      <x:c r="X3031" s="23" t="str">
        <x:v>pdanielbarros@hotmail.com</x:v>
      </x:c>
      <x:c r="Y3031" s="22" t="str">
        <x:f>"62 98628-3153"</x:f>
        <x:v>62 98628-3153</x:v>
      </x:c>
      <x:c r="Z3031" s="30" t="n">
        <x:v>46522</x:v>
      </x:c>
    </x:row>
    <x:row r="3032" ht="18" customHeight="1">
      <x:c r="A3032" s="22" t="str">
        <x:f>"1e9d5339-0781-46ec-ad7f-676db732facb"</x:f>
        <x:v>1e9d5339-0781-46ec-ad7f-676db732facb</x:v>
      </x:c>
      <x:c r="B3032" s="23" t="str">
        <x:v>PEDRO EVANDRO DA SILVA</x:v>
      </x:c>
      <x:c r="C3032" s="23" t="str">
        <x:v>pedro evandro da silva</x:v>
      </x:c>
      <x:c r="D3032" s="22" t="str">
        <x:f>"66.502.896/0001-15"</x:f>
        <x:v>66.502.896/0001-15</x:v>
      </x:c>
      <x:c r="E3032" s="22" t="str">
        <x:f>"66502896000115"</x:f>
        <x:v>66502896000115</x:v>
      </x:c>
      <x:c r="F3032" s="22" t="str">
        <x:f>"164.525.328-71"</x:f>
        <x:v>164.525.328-71</x:v>
      </x:c>
      <x:c r="G3032" s="22" t="str">
        <x:f>"16452532871"</x:f>
        <x:v>16452532871</x:v>
      </x:c>
      <x:c r="H3032" s="23" t="str">
        <x:v>pevandro302@gmail.com</x:v>
      </x:c>
      <x:c r="I3032" s="22" t="str">
        <x:f>"18991265590"</x:f>
        <x:v>18991265590</x:v>
      </x:c>
      <x:c r="J3032" s="23" t="str">
        <x:v>RENTAL</x:v>
      </x:c>
      <x:c r="K3032" s="23" t="str">
        <x:v>rental_company</x:v>
      </x:c>
      <x:c r="L3032" s="24" t="b">
        <x:v>1</x:v>
      </x:c>
      <x:c r="M3032" s="23" t="n">
        <x:v>1</x:v>
      </x:c>
      <x:c r="N3032" s="28" t="n">
        <x:v>46219.812988715275</x:v>
      </x:c>
      <x:c r="O3032" s="28" t="n">
        <x:v>46219.812988715275</x:v>
      </x:c>
      <x:c r="P3032" s="23" t="str">
        <x:v>PRESIDENTE PRUDENTE</x:v>
      </x:c>
      <x:c r="Q3032" s="30" t="n">
        <x:v>27281</x:v>
      </x:c>
      <x:c r="R3032" s="22" t="str">
        <x:f>"16452532871"</x:f>
        <x:v>16452532871</x:v>
      </x:c>
      <x:c r="S3032" s="23" t="str">
        <x:v>masculino</x:v>
      </x:c>
      <x:c r="T3032" s="22" t="str"/>
      <x:c r="U3032" s="23" t="str">
        <x:v>PEDRO EVANDRO DA SILVA</x:v>
      </x:c>
      <x:c r="V3032" s="22" t="str">
        <x:f>"164.525.328-71"</x:f>
        <x:v>164.525.328-71</x:v>
      </x:c>
      <x:c r="W3032" s="22" t="str">
        <x:f>"16452532871"</x:f>
        <x:v>16452532871</x:v>
      </x:c>
      <x:c r="X3032" s="23" t="str">
        <x:v>pevandro302@gmail.com</x:v>
      </x:c>
      <x:c r="Y3032" s="22" t="str">
        <x:f>"18991265590"</x:f>
        <x:v>18991265590</x:v>
      </x:c>
      <x:c r="Z3032" s="30" t="n">
        <x:v>46540</x:v>
      </x:c>
    </x:row>
    <x:row r="3033" ht="18" customHeight="1">
      <x:c r="A3033" s="22" t="str">
        <x:f>"5ecabada-a151-4071-98c9-c17129bcc468"</x:f>
        <x:v>5ecabada-a151-4071-98c9-c17129bcc468</x:v>
      </x:c>
      <x:c r="B3033" s="23" t="str">
        <x:v>PEDRO EZEQUIAS DE JESUS TAVARES</x:v>
      </x:c>
      <x:c r="C3033" s="23" t="str">
        <x:v>pedro ezequias de jesus tavares</x:v>
      </x:c>
      <x:c r="D3033" s="22" t="str">
        <x:f>"63.626.582/0001-36"</x:f>
        <x:v>63.626.582/0001-36</x:v>
      </x:c>
      <x:c r="E3033" s="22" t="str">
        <x:f>"63626582000136"</x:f>
        <x:v>63626582000136</x:v>
      </x:c>
      <x:c r="F3033" s="22" t="str">
        <x:f>"532.914.158-33"</x:f>
        <x:v>532.914.158-33</x:v>
      </x:c>
      <x:c r="G3033" s="22" t="str">
        <x:f>"53291415833"</x:f>
        <x:v>53291415833</x:v>
      </x:c>
      <x:c r="H3033" s="23" t="str">
        <x:v>pedro17ezequias@gmail.com</x:v>
      </x:c>
      <x:c r="I3033" s="22" t="str">
        <x:f>"18998201836"</x:f>
        <x:v>18998201836</x:v>
      </x:c>
      <x:c r="J3033" s="23" t="str">
        <x:v>RENTAL</x:v>
      </x:c>
      <x:c r="K3033" s="23" t="str">
        <x:v>rental_company</x:v>
      </x:c>
      <x:c r="L3033" s="24" t="b">
        <x:v>1</x:v>
      </x:c>
      <x:c r="M3033" s="23" t="n">
        <x:v>1</x:v>
      </x:c>
      <x:c r="N3033" s="28" t="n">
        <x:v>46219.812988715275</x:v>
      </x:c>
      <x:c r="O3033" s="28" t="n">
        <x:v>46219.812988715275</x:v>
      </x:c>
      <x:c r="P3033" s="23" t="str">
        <x:v>PRESIDENTE PRUDENTE</x:v>
      </x:c>
      <x:c r="Q3033" s="30" t="n">
        <x:v>37542</x:v>
      </x:c>
      <x:c r="R3033" s="22" t="str">
        <x:f>"653076174"</x:f>
        <x:v>653076174</x:v>
      </x:c>
      <x:c r="S3033" s="23" t="str">
        <x:v>masculino</x:v>
      </x:c>
      <x:c r="T3033" s="22" t="str"/>
      <x:c r="U3033" s="23" t="str">
        <x:v>PEDRO EZEQUIAS DE JESUS TAVARES</x:v>
      </x:c>
      <x:c r="V3033" s="22" t="str">
        <x:f>"532.914.158-33"</x:f>
        <x:v>532.914.158-33</x:v>
      </x:c>
      <x:c r="W3033" s="22" t="str">
        <x:f>"53291415833"</x:f>
        <x:v>53291415833</x:v>
      </x:c>
      <x:c r="X3033" s="23" t="str">
        <x:v>pedro17ezequias@gmail.com</x:v>
      </x:c>
      <x:c r="Y3033" s="22" t="str">
        <x:f>"18998201836"</x:f>
        <x:v>18998201836</x:v>
      </x:c>
      <x:c r="Z3033" s="30" t="n">
        <x:v>46500</x:v>
      </x:c>
    </x:row>
    <x:row r="3034" ht="18" customHeight="1">
      <x:c r="A3034" s="22" t="str">
        <x:f>"fcb4e2d9-3380-4201-a6ce-2e23720ba697"</x:f>
        <x:v>fcb4e2d9-3380-4201-a6ce-2e23720ba697</x:v>
      </x:c>
      <x:c r="B3034" s="23" t="str">
        <x:v>PEDRO EZEQUIAS DE JESUS TAVARES</x:v>
      </x:c>
      <x:c r="C3034" s="23" t="str">
        <x:v>pedro ezequias de jesus tavares</x:v>
      </x:c>
      <x:c r="D3034" s="22" t="str">
        <x:f>"59.802.534/0001-84"</x:f>
        <x:v>59.802.534/0001-84</x:v>
      </x:c>
      <x:c r="E3034" s="22" t="str">
        <x:f>"59802534000184"</x:f>
        <x:v>59802534000184</x:v>
      </x:c>
      <x:c r="F3034" s="22" t="str">
        <x:f>"532.914.158-33"</x:f>
        <x:v>532.914.158-33</x:v>
      </x:c>
      <x:c r="G3034" s="22" t="str">
        <x:f>"53291415833"</x:f>
        <x:v>53291415833</x:v>
      </x:c>
      <x:c r="H3034" s="23" t="str">
        <x:v>pedro17ezequias@gmail.com</x:v>
      </x:c>
      <x:c r="I3034" s="22" t="str">
        <x:f>"18998201836"</x:f>
        <x:v>18998201836</x:v>
      </x:c>
      <x:c r="J3034" s="23" t="str">
        <x:v>RENTAL</x:v>
      </x:c>
      <x:c r="K3034" s="23" t="str">
        <x:v>rental_company</x:v>
      </x:c>
      <x:c r="L3034" s="24" t="b">
        <x:v>1</x:v>
      </x:c>
      <x:c r="M3034" s="23" t="n">
        <x:v>3</x:v>
      </x:c>
      <x:c r="N3034" s="28" t="n">
        <x:v>46203.921887453704</x:v>
      </x:c>
      <x:c r="O3034" s="28" t="n">
        <x:v>46219.812988715275</x:v>
      </x:c>
      <x:c r="P3034" s="23" t="str">
        <x:v>PRESIDENTE PRUDENTE</x:v>
      </x:c>
      <x:c r="Q3034" s="30" t="n">
        <x:v>37542</x:v>
      </x:c>
      <x:c r="R3034" s="22" t="str">
        <x:f>"65.307.617-4"</x:f>
        <x:v>65.307.617-4</x:v>
      </x:c>
      <x:c r="S3034" s="23" t="str">
        <x:v>masculino</x:v>
      </x:c>
      <x:c r="T3034" s="22" t="str"/>
      <x:c r="U3034" s="23" t="str">
        <x:v>PEDRO EZEQUIAS DE JESUS TAVARES</x:v>
      </x:c>
      <x:c r="V3034" s="22" t="str">
        <x:f>"532.914.158-33"</x:f>
        <x:v>532.914.158-33</x:v>
      </x:c>
      <x:c r="W3034" s="22" t="str">
        <x:f>"53291415833"</x:f>
        <x:v>53291415833</x:v>
      </x:c>
      <x:c r="X3034" s="23" t="str">
        <x:v>pedro17ezequias@gmail.com</x:v>
      </x:c>
      <x:c r="Y3034" s="22" t="str">
        <x:f>"18998201836"</x:f>
        <x:v>18998201836</x:v>
      </x:c>
      <x:c r="Z3034" s="30" t="n">
        <x:v>46347</x:v>
      </x:c>
    </x:row>
    <x:row r="3035" ht="18" customHeight="1">
      <x:c r="A3035" s="22" t="str">
        <x:f>"7311e84a-506e-4d69-93ae-59f788f154f2"</x:f>
        <x:v>7311e84a-506e-4d69-93ae-59f788f154f2</x:v>
      </x:c>
      <x:c r="B3035" s="23" t="str">
        <x:v>PEDRO FELIPE MARQUES DA CUNHA</x:v>
      </x:c>
      <x:c r="C3035" s="23" t="str">
        <x:v>pedro felipe marques da cunha</x:v>
      </x:c>
      <x:c r="D3035" s="22" t="str">
        <x:f>"52.849.419/0001-16"</x:f>
        <x:v>52.849.419/0001-16</x:v>
      </x:c>
      <x:c r="E3035" s="22" t="str">
        <x:f>"52849419000116"</x:f>
        <x:v>52849419000116</x:v>
      </x:c>
      <x:c r="F3035" s="22" t="str">
        <x:f>"400.479.448-03"</x:f>
        <x:v>400.479.448-03</x:v>
      </x:c>
      <x:c r="G3035" s="22" t="str">
        <x:f>"40047944803"</x:f>
        <x:v>40047944803</x:v>
      </x:c>
      <x:c r="H3035" s="23" t="str">
        <x:v>peufelipee77@gmail.com</x:v>
      </x:c>
      <x:c r="I3035" s="22" t="str">
        <x:f>"17997044820"</x:f>
        <x:v>17997044820</x:v>
      </x:c>
      <x:c r="J3035" s="23" t="str">
        <x:v>RENTAL</x:v>
      </x:c>
      <x:c r="K3035" s="23" t="str">
        <x:v>rental_company</x:v>
      </x:c>
      <x:c r="L3035" s="24" t="b">
        <x:v>1</x:v>
      </x:c>
      <x:c r="M3035" s="23" t="n">
        <x:v>1</x:v>
      </x:c>
      <x:c r="N3035" s="28" t="n">
        <x:v>46203.921840393516</x:v>
      </x:c>
      <x:c r="O3035" s="28" t="n">
        <x:v>46205.60497049768</x:v>
      </x:c>
      <x:c r="P3035" s="23" t="str">
        <x:v>SÃO JOSE DO RIO PRETO</x:v>
      </x:c>
      <x:c r="Q3035" s="30" t="n">
        <x:v>37964</x:v>
      </x:c>
      <x:c r="R3035" s="22" t="str">
        <x:f>"501242065"</x:f>
        <x:v>501242065</x:v>
      </x:c>
      <x:c r="S3035" s="23" t="str">
        <x:v>Masculino</x:v>
      </x:c>
      <x:c r="T3035" s="22" t="str"/>
      <x:c r="U3035" s="23" t="str">
        <x:v>PEDRO FELIPE MARQUES DA CUNHA</x:v>
      </x:c>
      <x:c r="V3035" s="22" t="str">
        <x:f>"40047944803"</x:f>
        <x:v>40047944803</x:v>
      </x:c>
      <x:c r="W3035" s="22" t="str">
        <x:f>"40047944803"</x:f>
        <x:v>40047944803</x:v>
      </x:c>
      <x:c r="X3035" s="23" t="str">
        <x:v>peufelipee77@gmail.com</x:v>
      </x:c>
      <x:c r="Y3035" s="22" t="str">
        <x:f>"17997044820"</x:f>
        <x:v>17997044820</x:v>
      </x:c>
      <x:c r="Z3035" s="30" t="n">
        <x:v>46219</x:v>
      </x:c>
    </x:row>
    <x:row r="3036" ht="18" customHeight="1">
      <x:c r="A3036" s="22" t="str">
        <x:f>"1e17c9d9-9ba9-495e-b202-60bd4f8e871d"</x:f>
        <x:v>1e17c9d9-9ba9-495e-b202-60bd4f8e871d</x:v>
      </x:c>
      <x:c r="B3036" s="23" t="str">
        <x:v>PEDRO FELIPE PEREIRA DE OLIVEIRA</x:v>
      </x:c>
      <x:c r="C3036" s="23" t="str">
        <x:v>pedro felipe pereira de oliveira</x:v>
      </x:c>
      <x:c r="D3036" s="22" t="str">
        <x:f>"58.295.434/0001-46"</x:f>
        <x:v>58.295.434/0001-46</x:v>
      </x:c>
      <x:c r="E3036" s="22" t="str">
        <x:f>"58295434000146"</x:f>
        <x:v>58295434000146</x:v>
      </x:c>
      <x:c r="F3036" s="22" t="str">
        <x:f>"149.351.276-51"</x:f>
        <x:v>149.351.276-51</x:v>
      </x:c>
      <x:c r="G3036" s="22" t="str">
        <x:f>"14935127651"</x:f>
        <x:v>14935127651</x:v>
      </x:c>
      <x:c r="H3036" s="23" t="str">
        <x:v>eraguiton.15@gmail.com</x:v>
      </x:c>
      <x:c r="I3036" s="22" t="str">
        <x:f>"(35)99863-5630"</x:f>
        <x:v>(35)99863-5630</x:v>
      </x:c>
      <x:c r="J3036" s="23" t="str">
        <x:v>RENTAL</x:v>
      </x:c>
      <x:c r="K3036" s="23" t="str">
        <x:v>rental_company</x:v>
      </x:c>
      <x:c r="L3036" s="24" t="b">
        <x:v>1</x:v>
      </x:c>
      <x:c r="M3036" s="23" t="n">
        <x:v>1</x:v>
      </x:c>
      <x:c r="N3036" s="28" t="n">
        <x:v>46219.812988715275</x:v>
      </x:c>
      <x:c r="O3036" s="28" t="n">
        <x:v>46219.812988715275</x:v>
      </x:c>
      <x:c r="P3036" s="23" t="str">
        <x:v>POUSO ALEGRE</x:v>
      </x:c>
      <x:c r="Q3036" s="30" t="n">
        <x:v>36442</x:v>
      </x:c>
      <x:c r="R3036" s="22" t="str">
        <x:f>"MG23085187 SSP MG"</x:f>
        <x:v>MG23085187 SSP MG</x:v>
      </x:c>
      <x:c r="S3036" s="23" t="str">
        <x:v>masculino</x:v>
      </x:c>
      <x:c r="T3036" s="22" t="str"/>
      <x:c r="U3036" s="23" t="str">
        <x:v>PEDRO FELIPE PEREIRA DE OLIVEIRA</x:v>
      </x:c>
      <x:c r="V3036" s="22" t="str">
        <x:f>"149.351.276-51"</x:f>
        <x:v>149.351.276-51</x:v>
      </x:c>
      <x:c r="W3036" s="22" t="str">
        <x:f>"14935127651"</x:f>
        <x:v>14935127651</x:v>
      </x:c>
      <x:c r="X3036" s="23" t="str">
        <x:v>eraguiton.15@gmail.com</x:v>
      </x:c>
      <x:c r="Y3036" s="22" t="str">
        <x:f>"(35)99863-5630"</x:f>
        <x:v>(35)99863-5630</x:v>
      </x:c>
      <x:c r="Z3036" s="30" t="n">
        <x:v>46547</x:v>
      </x:c>
    </x:row>
    <x:row r="3037" ht="18" customHeight="1">
      <x:c r="A3037" s="22" t="str">
        <x:f>"a4d8f95a-3106-4215-a922-29a5df2dd7ce"</x:f>
        <x:v>a4d8f95a-3106-4215-a922-29a5df2dd7ce</x:v>
      </x:c>
      <x:c r="B3037" s="23" t="str">
        <x:v>PEDRO HENRIQUE ARAUJO DE SOUSA</x:v>
      </x:c>
      <x:c r="C3037" s="23" t="str">
        <x:v>pedro henrique araujo de sousa</x:v>
      </x:c>
      <x:c r="D3037" s="22" t="str">
        <x:f>"61.795.877/0001-00"</x:f>
        <x:v>61.795.877/0001-00</x:v>
      </x:c>
      <x:c r="E3037" s="22" t="str">
        <x:f>"61795877000100"</x:f>
        <x:v>61795877000100</x:v>
      </x:c>
      <x:c r="F3037" s="22" t="str">
        <x:f>"534.436.338-97"</x:f>
        <x:v>534.436.338-97</x:v>
      </x:c>
      <x:c r="G3037" s="22" t="str">
        <x:f>"53443633897"</x:f>
        <x:v>53443633897</x:v>
      </x:c>
      <x:c r="H3037" s="23" t="str">
        <x:v>PedroHenrique.arauj10@gmail.com</x:v>
      </x:c>
      <x:c r="I3037" s="22" t="str">
        <x:f>"18 981045406"</x:f>
        <x:v>18 981045406</x:v>
      </x:c>
      <x:c r="J3037" s="23" t="str">
        <x:v>RENTAL</x:v>
      </x:c>
      <x:c r="K3037" s="23" t="str">
        <x:v>rental_company</x:v>
      </x:c>
      <x:c r="L3037" s="24" t="b">
        <x:v>1</x:v>
      </x:c>
      <x:c r="M3037" s="23" t="n">
        <x:v>1</x:v>
      </x:c>
      <x:c r="N3037" s="28" t="n">
        <x:v>46219.812988715275</x:v>
      </x:c>
      <x:c r="O3037" s="28" t="n">
        <x:v>46219.812988715275</x:v>
      </x:c>
      <x:c r="P3037" s="23" t="str">
        <x:v>PRESIDENTE PRUDENTE</x:v>
      </x:c>
      <x:c r="Q3037" s="30" t="n">
        <x:v>38559</x:v>
      </x:c>
      <x:c r="R3037" s="22" t="str">
        <x:f>"63703083"</x:f>
        <x:v>63703083</x:v>
      </x:c>
      <x:c r="S3037" s="23" t="str">
        <x:v>masculino</x:v>
      </x:c>
      <x:c r="T3037" s="22" t="str"/>
      <x:c r="U3037" s="23" t="str">
        <x:v>PEDRO HENRIQUE ARAUJO DE SOUSA</x:v>
      </x:c>
      <x:c r="V3037" s="22" t="str">
        <x:f>"534.436.338-97"</x:f>
        <x:v>534.436.338-97</x:v>
      </x:c>
      <x:c r="W3037" s="22" t="str">
        <x:f>"53443633897"</x:f>
        <x:v>53443633897</x:v>
      </x:c>
      <x:c r="X3037" s="23" t="str">
        <x:v>PedroHenrique.arauj10@gmail.com</x:v>
      </x:c>
      <x:c r="Y3037" s="22" t="str">
        <x:f>"18 981045406"</x:f>
        <x:v>18 981045406</x:v>
      </x:c>
      <x:c r="Z3037" s="30" t="n">
        <x:v>46490</x:v>
      </x:c>
    </x:row>
    <x:row r="3038" ht="18" customHeight="1">
      <x:c r="A3038" s="22" t="str">
        <x:f>"9b3e110c-0389-4fa9-9a60-869b53f78cbf"</x:f>
        <x:v>9b3e110c-0389-4fa9-9a60-869b53f78cbf</x:v>
      </x:c>
      <x:c r="B3038" s="23" t="str">
        <x:v>PEDRO HENRIQUE BARBOZA ARAUJO</x:v>
      </x:c>
      <x:c r="C3038" s="23" t="str">
        <x:v>pedro henrique barboza araujo</x:v>
      </x:c>
      <x:c r="D3038" s="22" t="str">
        <x:f>"62.624.588/0001-01"</x:f>
        <x:v>62.624.588/0001-01</x:v>
      </x:c>
      <x:c r="E3038" s="22" t="str">
        <x:f>"62624588000101"</x:f>
        <x:v>62624588000101</x:v>
      </x:c>
      <x:c r="F3038" s="22" t="str">
        <x:f>"129.616.256-70"</x:f>
        <x:v>129.616.256-70</x:v>
      </x:c>
      <x:c r="G3038" s="22" t="str">
        <x:f>"12961625670"</x:f>
        <x:v>12961625670</x:v>
      </x:c>
      <x:c r="H3038" s="23" t="str">
        <x:v>empresapedrohba@gmail.com</x:v>
      </x:c>
      <x:c r="I3038" s="22" t="str">
        <x:f>"31994231997"</x:f>
        <x:v>31994231997</x:v>
      </x:c>
      <x:c r="J3038" s="23" t="str">
        <x:v>SPOT</x:v>
      </x:c>
      <x:c r="K3038" s="23" t="str">
        <x:v>favored_only</x:v>
      </x:c>
      <x:c r="L3038" s="24" t="b">
        <x:v>1</x:v>
      </x:c>
      <x:c r="M3038" s="23" t="n">
        <x:v>1</x:v>
      </x:c>
      <x:c r="N3038" s="28" t="n">
        <x:v>46219.812988715275</x:v>
      </x:c>
      <x:c r="O3038" s="28" t="n">
        <x:v>46219.812988715275</x:v>
      </x:c>
      <x:c r="P3038" s="23" t="str">
        <x:v>CONTAGEM</x:v>
      </x:c>
      <x:c r="Q3038" s="30" t="n">
        <x:v>35558</x:v>
      </x:c>
      <x:c r="R3038" s="22" t="str">
        <x:f>"MG17991831"</x:f>
        <x:v>MG17991831</x:v>
      </x:c>
      <x:c r="S3038" s="23" t="str">
        <x:v>masculino</x:v>
      </x:c>
      <x:c r="T3038" s="22" t="str">
        <x:f>"TDK7C96"</x:f>
        <x:v>TDK7C96</x:v>
      </x:c>
      <x:c r="U3038" s="23" t="str">
        <x:v>PEDRO HENRIQUE BARBOZA ARAUJO</x:v>
      </x:c>
      <x:c r="V3038" s="22" t="str">
        <x:f>"129.616.256-70"</x:f>
        <x:v>129.616.256-70</x:v>
      </x:c>
      <x:c r="W3038" s="22" t="str">
        <x:f>"12961625670"</x:f>
        <x:v>12961625670</x:v>
      </x:c>
      <x:c r="X3038" s="23" t="str">
        <x:v>empresapedrohba@gmail.com</x:v>
      </x:c>
      <x:c r="Y3038" s="22" t="str">
        <x:f>"31994231997"</x:f>
        <x:v>31994231997</x:v>
      </x:c>
      <x:c r="Z3038" s="30" t="n">
        <x:v>46407</x:v>
      </x:c>
    </x:row>
    <x:row r="3039" ht="18" customHeight="1">
      <x:c r="A3039" s="22" t="str">
        <x:f>"2e04a771-8241-4ad2-a73e-4b0f4454b5ab"</x:f>
        <x:v>2e04a771-8241-4ad2-a73e-4b0f4454b5ab</x:v>
      </x:c>
      <x:c r="B3039" s="23" t="str">
        <x:v>PEDRO HENRIQUE BORGES DA SILVA</x:v>
      </x:c>
      <x:c r="C3039" s="23" t="str">
        <x:v>pedro henrique borges da silva</x:v>
      </x:c>
      <x:c r="D3039" s="22" t="str">
        <x:f>"49.816.567/0001-89"</x:f>
        <x:v>49.816.567/0001-89</x:v>
      </x:c>
      <x:c r="E3039" s="22" t="str">
        <x:f>"49816567000189"</x:f>
        <x:v>49816567000189</x:v>
      </x:c>
      <x:c r="F3039" s="22" t="str">
        <x:f>"119.768.793-39"</x:f>
        <x:v>119.768.793-39</x:v>
      </x:c>
      <x:c r="G3039" s="22" t="str">
        <x:f>"11976879339"</x:f>
        <x:v>11976879339</x:v>
      </x:c>
      <x:c r="H3039" s="23" t="str">
        <x:v>Pedro.hbmello7@gmail.com</x:v>
      </x:c>
      <x:c r="I3039" s="22" t="str">
        <x:f>"11976879339"</x:f>
        <x:v>11976879339</x:v>
      </x:c>
      <x:c r="J3039" s="23" t="str">
        <x:v>SPOT</x:v>
      </x:c>
      <x:c r="K3039" s="23" t="str">
        <x:v>favored_only</x:v>
      </x:c>
      <x:c r="L3039" s="24" t="b">
        <x:v>1</x:v>
      </x:c>
      <x:c r="M3039" s="23" t="n">
        <x:v>1</x:v>
      </x:c>
      <x:c r="N3039" s="28" t="n">
        <x:v>46219.812988715275</x:v>
      </x:c>
      <x:c r="O3039" s="28" t="n">
        <x:v>46219.812988715275</x:v>
      </x:c>
      <x:c r="P3039" s="23" t="str">
        <x:v>JALES</x:v>
      </x:c>
      <x:c r="Q3039" s="30" t="n">
        <x:v>35766</x:v>
      </x:c>
      <x:c r="R3039" s="22" t="str">
        <x:f>"42969929"</x:f>
        <x:v>42969929</x:v>
      </x:c>
      <x:c r="S3039" s="23" t="str">
        <x:v>masculino</x:v>
      </x:c>
      <x:c r="T3039" s="22" t="str">
        <x:f>"UFV2F07"</x:f>
        <x:v>UFV2F07</x:v>
      </x:c>
      <x:c r="U3039" s="23" t="str">
        <x:v>PEDRO HENRIQUE BORGES DA SILVA</x:v>
      </x:c>
      <x:c r="V3039" s="22" t="str">
        <x:f>"119.768.793-39"</x:f>
        <x:v>119.768.793-39</x:v>
      </x:c>
      <x:c r="W3039" s="22" t="str">
        <x:f>"11976879339"</x:f>
        <x:v>11976879339</x:v>
      </x:c>
      <x:c r="X3039" s="23" t="str">
        <x:v>Pedro.hbmello7@gmail.com</x:v>
      </x:c>
      <x:c r="Y3039" s="22" t="str">
        <x:f>"11976879339"</x:f>
        <x:v>11976879339</x:v>
      </x:c>
      <x:c r="Z3039" s="30" t="n">
        <x:v>46582</x:v>
      </x:c>
    </x:row>
    <x:row r="3040" ht="18" customHeight="1">
      <x:c r="A3040" s="22" t="str">
        <x:f>"608fffcb-f55a-4242-bc09-a2decef276a5"</x:f>
        <x:v>608fffcb-f55a-4242-bc09-a2decef276a5</x:v>
      </x:c>
      <x:c r="B3040" s="23" t="str">
        <x:v>PEDRO HENRIQUE CORREA LOBO</x:v>
      </x:c>
      <x:c r="C3040" s="23" t="str">
        <x:v>pedro henrique correa lobo</x:v>
      </x:c>
      <x:c r="D3040" s="22" t="str">
        <x:f>"55.272.737/0001-55"</x:f>
        <x:v>55.272.737/0001-55</x:v>
      </x:c>
      <x:c r="E3040" s="22" t="str">
        <x:f>"55272737000155"</x:f>
        <x:v>55272737000155</x:v>
      </x:c>
      <x:c r="F3040" s="22" t="str">
        <x:f>"174.696.897-45"</x:f>
        <x:v>174.696.897-45</x:v>
      </x:c>
      <x:c r="G3040" s="22" t="str">
        <x:f>"17469689745"</x:f>
        <x:v>17469689745</x:v>
      </x:c>
      <x:c r="H3040" s="23" t="str">
        <x:v>Pedrophcl428@gmail.com</x:v>
      </x:c>
      <x:c r="I3040" s="22" t="str">
        <x:f>"22 999635063"</x:f>
        <x:v>22 999635063</x:v>
      </x:c>
      <x:c r="J3040" s="23" t="str">
        <x:v>SPOT</x:v>
      </x:c>
      <x:c r="K3040" s="23" t="str">
        <x:v>favored_only</x:v>
      </x:c>
      <x:c r="L3040" s="24" t="b">
        <x:v>1</x:v>
      </x:c>
      <x:c r="M3040" s="23" t="n">
        <x:v>1</x:v>
      </x:c>
      <x:c r="N3040" s="28" t="n">
        <x:v>46205.60688457176</x:v>
      </x:c>
      <x:c r="O3040" s="28" t="n">
        <x:v>46219.812988715275</x:v>
      </x:c>
      <x:c r="P3040" s="23" t="str">
        <x:v>CAMPOS DOS GOYTACAZES</x:v>
      </x:c>
      <x:c r="Q3040" s="30" t="n">
        <x:v>36372</x:v>
      </x:c>
      <x:c r="R3040" s="22" t="str">
        <x:f>"304188568"</x:f>
        <x:v>304188568</x:v>
      </x:c>
      <x:c r="S3040" s="23" t="str">
        <x:v>masculino</x:v>
      </x:c>
      <x:c r="T3040" s="22" t="str">
        <x:f>"GGX9E44"</x:f>
        <x:v>GGX9E44</x:v>
      </x:c>
      <x:c r="U3040" s="23" t="str">
        <x:v>RENAN BARRETO AZEVEDO</x:v>
      </x:c>
      <x:c r="V3040" s="22" t="str">
        <x:f>"136.523.077-55"</x:f>
        <x:v>136.523.077-55</x:v>
      </x:c>
      <x:c r="W3040" s="22" t="str">
        <x:f>"13652307755"</x:f>
        <x:v>13652307755</x:v>
      </x:c>
      <x:c r="X3040" s="23" t="str">
        <x:v>renanazevedobarreto@hotmail.com</x:v>
      </x:c>
      <x:c r="Y3040" s="22" t="str">
        <x:f>"22 998400329"</x:f>
        <x:v>22 998400329</x:v>
      </x:c>
      <x:c r="Z3040" s="30" t="n">
        <x:v>46385</x:v>
      </x:c>
    </x:row>
    <x:row r="3041" ht="18" customHeight="1">
      <x:c r="A3041" s="22" t="str">
        <x:f>"0435dd88-1c39-4596-a123-7ec5d9b80589"</x:f>
        <x:v>0435dd88-1c39-4596-a123-7ec5d9b80589</x:v>
      </x:c>
      <x:c r="B3041" s="23" t="str">
        <x:v>PEDRO HENRIQUE DE ALMEIDA BERNARDI</x:v>
      </x:c>
      <x:c r="C3041" s="23" t="str">
        <x:v>pedro henrique de almeida bernardi</x:v>
      </x:c>
      <x:c r="D3041" s="22" t="str">
        <x:f>"54.310.498/0001-18"</x:f>
        <x:v>54.310.498/0001-18</x:v>
      </x:c>
      <x:c r="E3041" s="22" t="str">
        <x:f>"54310498000118"</x:f>
        <x:v>54310498000118</x:v>
      </x:c>
      <x:c r="F3041" s="22" t="str">
        <x:f>"162.479.676-16"</x:f>
        <x:v>162.479.676-16</x:v>
      </x:c>
      <x:c r="G3041" s="22" t="str">
        <x:f>"16247967616"</x:f>
        <x:v>16247967616</x:v>
      </x:c>
      <x:c r="H3041" s="23" t="str">
        <x:v>Pedrohenriquecrf90@gmail.com</x:v>
      </x:c>
      <x:c r="I3041" s="22" t="str">
        <x:f>"33999987981"</x:f>
        <x:v>33999987981</x:v>
      </x:c>
      <x:c r="J3041" s="23" t="str">
        <x:v>SPOT</x:v>
      </x:c>
      <x:c r="K3041" s="23" t="str">
        <x:v>favored_only</x:v>
      </x:c>
      <x:c r="L3041" s="24" t="b">
        <x:v>1</x:v>
      </x:c>
      <x:c r="M3041" s="23" t="n">
        <x:v>1</x:v>
      </x:c>
      <x:c r="N3041" s="28" t="n">
        <x:v>46219.812988715275</x:v>
      </x:c>
      <x:c r="O3041" s="28" t="n">
        <x:v>46219.812988715275</x:v>
      </x:c>
      <x:c r="P3041" s="23" t="str">
        <x:v>GUANHAES</x:v>
      </x:c>
      <x:c r="Q3041" s="30" t="n">
        <x:v>37290</x:v>
      </x:c>
      <x:c r="R3041" s="22" t="str">
        <x:f>"534805"</x:f>
        <x:v>534805</x:v>
      </x:c>
      <x:c r="S3041" s="23" t="str">
        <x:v>masculino</x:v>
      </x:c>
      <x:c r="T3041" s="22" t="str">
        <x:f>"FJO6E01"</x:f>
        <x:v>FJO6E01</x:v>
      </x:c>
      <x:c r="U3041" s="23" t="str">
        <x:v>PEDRO HENRIQUE DE ALMEIDA BERNARDI</x:v>
      </x:c>
      <x:c r="V3041" s="22" t="str">
        <x:f>"162.479.676-16"</x:f>
        <x:v>162.479.676-16</x:v>
      </x:c>
      <x:c r="W3041" s="22" t="str">
        <x:f>"16247967616"</x:f>
        <x:v>16247967616</x:v>
      </x:c>
      <x:c r="X3041" s="23" t="str">
        <x:v>Pedrohenriquecrf90@gmail.com</x:v>
      </x:c>
      <x:c r="Y3041" s="22" t="str">
        <x:f>"33999987981"</x:f>
        <x:v>33999987981</x:v>
      </x:c>
      <x:c r="Z3041" s="30" t="n">
        <x:v>46491</x:v>
      </x:c>
    </x:row>
    <x:row r="3042" ht="18" customHeight="1">
      <x:c r="A3042" s="22" t="str">
        <x:f>"628c0953-e73c-4908-8700-0ae55956db5d"</x:f>
        <x:v>628c0953-e73c-4908-8700-0ae55956db5d</x:v>
      </x:c>
      <x:c r="B3042" s="23" t="str">
        <x:v>PEDRO HENRIQUE DE FARIA VALERIO</x:v>
      </x:c>
      <x:c r="C3042" s="23" t="str">
        <x:v>pedro henrique de faria valerio</x:v>
      </x:c>
      <x:c r="D3042" s="22" t="str">
        <x:f>"66.745.273/0001-73"</x:f>
        <x:v>66.745.273/0001-73</x:v>
      </x:c>
      <x:c r="E3042" s="22" t="str">
        <x:f>"66745273000173"</x:f>
        <x:v>66745273000173</x:v>
      </x:c>
      <x:c r="F3042" s="22" t="str">
        <x:f>"490.304.518-82"</x:f>
        <x:v>490.304.518-82</x:v>
      </x:c>
      <x:c r="G3042" s="22" t="str">
        <x:f>"49030451882"</x:f>
        <x:v>49030451882</x:v>
      </x:c>
      <x:c r="H3042" s="23" t="str">
        <x:v>pedrohenriquedefariavalerio@gmail.com</x:v>
      </x:c>
      <x:c r="I3042" s="22" t="str">
        <x:f>"17 992793928"</x:f>
        <x:v>17 992793928</x:v>
      </x:c>
      <x:c r="J3042" s="23" t="str">
        <x:v>RENTAL</x:v>
      </x:c>
      <x:c r="K3042" s="23" t="str">
        <x:v>rental_company</x:v>
      </x:c>
      <x:c r="L3042" s="24" t="b">
        <x:v>1</x:v>
      </x:c>
      <x:c r="M3042" s="23" t="n">
        <x:v>1</x:v>
      </x:c>
      <x:c r="N3042" s="28" t="n">
        <x:v>46219.812988715275</x:v>
      </x:c>
      <x:c r="O3042" s="28" t="n">
        <x:v>46219.812988715275</x:v>
      </x:c>
      <x:c r="P3042" s="23" t="str">
        <x:v>BARRETOS</x:v>
      </x:c>
      <x:c r="Q3042" s="30" t="n">
        <x:v>38632</x:v>
      </x:c>
      <x:c r="R3042" s="22" t="str">
        <x:f>"592430947"</x:f>
        <x:v>592430947</x:v>
      </x:c>
      <x:c r="S3042" s="23" t="str">
        <x:v>feminino</x:v>
      </x:c>
      <x:c r="T3042" s="22" t="str"/>
      <x:c r="U3042" s="23" t="str">
        <x:v>PEDRO HENRIQUE DE FARIA VALERIO</x:v>
      </x:c>
      <x:c r="V3042" s="22" t="str">
        <x:f>"490.304.518-82"</x:f>
        <x:v>490.304.518-82</x:v>
      </x:c>
      <x:c r="W3042" s="22" t="str">
        <x:f>"49030451882"</x:f>
        <x:v>49030451882</x:v>
      </x:c>
      <x:c r="X3042" s="23" t="str">
        <x:v>pedrohenriquedefariavalerio@gmail.com</x:v>
      </x:c>
      <x:c r="Y3042" s="22" t="str">
        <x:f>"17 992793928"</x:f>
        <x:v>17 992793928</x:v>
      </x:c>
      <x:c r="Z3042" s="30" t="n">
        <x:v>46519</x:v>
      </x:c>
    </x:row>
    <x:row r="3043" ht="18" customHeight="1">
      <x:c r="A3043" s="22" t="str">
        <x:f>"2a716cb9-e84f-4e6d-9dc1-faaa58a1fc6c"</x:f>
        <x:v>2a716cb9-e84f-4e6d-9dc1-faaa58a1fc6c</x:v>
      </x:c>
      <x:c r="B3043" s="23" t="str">
        <x:v>PEDRO HENRIQUE DE PAULA</x:v>
      </x:c>
      <x:c r="C3043" s="23" t="str">
        <x:v>pedro henrique de paula</x:v>
      </x:c>
      <x:c r="D3043" s="22" t="str">
        <x:f>"64.727.146/0001-16"</x:f>
        <x:v>64.727.146/0001-16</x:v>
      </x:c>
      <x:c r="E3043" s="22" t="str">
        <x:f>"64727146000116"</x:f>
        <x:v>64727146000116</x:v>
      </x:c>
      <x:c r="F3043" s="22" t="str">
        <x:f>"133.027.426-14"</x:f>
        <x:v>133.027.426-14</x:v>
      </x:c>
      <x:c r="G3043" s="22" t="str">
        <x:f>"13302742614"</x:f>
        <x:v>13302742614</x:v>
      </x:c>
      <x:c r="H3043" s="23" t="str">
        <x:v>pedroohpaula@hotmail.com</x:v>
      </x:c>
      <x:c r="I3043" s="22" t="str">
        <x:f>"(35)99946-0629"</x:f>
        <x:v>(35)99946-0629</x:v>
      </x:c>
      <x:c r="J3043" s="23" t="str">
        <x:v>RENTAL</x:v>
      </x:c>
      <x:c r="K3043" s="23" t="str">
        <x:v>rental_company</x:v>
      </x:c>
      <x:c r="L3043" s="24" t="b">
        <x:v>1</x:v>
      </x:c>
      <x:c r="M3043" s="23" t="n">
        <x:v>1</x:v>
      </x:c>
      <x:c r="N3043" s="28" t="n">
        <x:v>46219.812988715275</x:v>
      </x:c>
      <x:c r="O3043" s="28" t="n">
        <x:v>46219.812988715275</x:v>
      </x:c>
      <x:c r="P3043" s="23" t="str">
        <x:v>POUSO ALEGRE</x:v>
      </x:c>
      <x:c r="Q3043" s="30" t="n">
        <x:v>35368</x:v>
      </x:c>
      <x:c r="R3043" s="22" t="str">
        <x:f>"000016627890040MT MG"</x:f>
        <x:v>000016627890040MT MG</x:v>
      </x:c>
      <x:c r="S3043" s="23" t="str">
        <x:v>masculino</x:v>
      </x:c>
      <x:c r="T3043" s="22" t="str"/>
      <x:c r="U3043" s="23" t="str">
        <x:v>PEDRO HENRIQUE DE PAULA</x:v>
      </x:c>
      <x:c r="V3043" s="22" t="str">
        <x:f>"133.027.426-14"</x:f>
        <x:v>133.027.426-14</x:v>
      </x:c>
      <x:c r="W3043" s="22" t="str">
        <x:f>"13302742614"</x:f>
        <x:v>13302742614</x:v>
      </x:c>
      <x:c r="X3043" s="23" t="str">
        <x:v>pedroohpaula@hotmail.com</x:v>
      </x:c>
      <x:c r="Y3043" s="22" t="str">
        <x:f>"(35)99946-0629"</x:f>
        <x:v>(35)99946-0629</x:v>
      </x:c>
      <x:c r="Z3043" s="30" t="n">
        <x:v>46547</x:v>
      </x:c>
    </x:row>
    <x:row r="3044" ht="18" customHeight="1">
      <x:c r="A3044" s="22" t="str">
        <x:f>"84bb7b70-f99b-485e-a6d5-adf76ef19f0b"</x:f>
        <x:v>84bb7b70-f99b-485e-a6d5-adf76ef19f0b</x:v>
      </x:c>
      <x:c r="B3044" s="23" t="str">
        <x:v>PEDRO HENRIQUE DE SOUZA</x:v>
      </x:c>
      <x:c r="C3044" s="23" t="str">
        <x:v>pedro henrique de souza</x:v>
      </x:c>
      <x:c r="D3044" s="22" t="str">
        <x:f>"43.924.401/0001-40"</x:f>
        <x:v>43.924.401/0001-40</x:v>
      </x:c>
      <x:c r="E3044" s="22" t="str">
        <x:f>"43924401000140"</x:f>
        <x:v>43924401000140</x:v>
      </x:c>
      <x:c r="F3044" s="22" t="str">
        <x:f>"473.474.408-40"</x:f>
        <x:v>473.474.408-40</x:v>
      </x:c>
      <x:c r="G3044" s="22" t="str">
        <x:f>"47347440840"</x:f>
        <x:v>47347440840</x:v>
      </x:c>
      <x:c r="H3044" s="23" t="str">
        <x:v>pedrohds2308@gmail.com</x:v>
      </x:c>
      <x:c r="I3044" s="22" t="str">
        <x:f>"16993569838"</x:f>
        <x:v>16993569838</x:v>
      </x:c>
      <x:c r="J3044" s="23" t="str">
        <x:v>RENTAL</x:v>
      </x:c>
      <x:c r="K3044" s="23" t="str">
        <x:v>rental_company</x:v>
      </x:c>
      <x:c r="L3044" s="24" t="b">
        <x:v>1</x:v>
      </x:c>
      <x:c r="M3044" s="23" t="n">
        <x:v>1</x:v>
      </x:c>
      <x:c r="N3044" s="28" t="n">
        <x:v>46219.812988715275</x:v>
      </x:c>
      <x:c r="O3044" s="28" t="n">
        <x:v>46219.812988715275</x:v>
      </x:c>
      <x:c r="P3044" s="23" t="str">
        <x:v>SÃO CARLOS</x:v>
      </x:c>
      <x:c r="Q3044" s="30" t="n">
        <x:v>37126</x:v>
      </x:c>
      <x:c r="R3044" s="22" t="str">
        <x:f>"604889987"</x:f>
        <x:v>604889987</x:v>
      </x:c>
      <x:c r="S3044" s="23" t="str">
        <x:v>masculino</x:v>
      </x:c>
      <x:c r="T3044" s="22" t="str"/>
      <x:c r="U3044" s="23" t="str">
        <x:v>PEDRO HENRIQUE DE SOUZA</x:v>
      </x:c>
      <x:c r="V3044" s="22" t="str">
        <x:f>"473.474.408-40"</x:f>
        <x:v>473.474.408-40</x:v>
      </x:c>
      <x:c r="W3044" s="22" t="str">
        <x:f>"47347440840"</x:f>
        <x:v>47347440840</x:v>
      </x:c>
      <x:c r="X3044" s="23" t="str">
        <x:v>pedrohds2308@gmail.com</x:v>
      </x:c>
      <x:c r="Y3044" s="22" t="str">
        <x:f>"16993569838"</x:f>
        <x:v>16993569838</x:v>
      </x:c>
      <x:c r="Z3044" s="30" t="n">
        <x:v>46541</x:v>
      </x:c>
    </x:row>
    <x:row r="3045" ht="18" customHeight="1">
      <x:c r="A3045" s="22" t="str">
        <x:f>"711a6141-c4f7-4889-b8a2-1ccf6219d830"</x:f>
        <x:v>711a6141-c4f7-4889-b8a2-1ccf6219d830</x:v>
      </x:c>
      <x:c r="B3045" s="23" t="str">
        <x:v>PEDRO HENRIQUE DOS SANTOS PEREIRA</x:v>
      </x:c>
      <x:c r="C3045" s="23" t="str">
        <x:v>pedro henrique dos santos pereira</x:v>
      </x:c>
      <x:c r="D3045" s="22" t="str">
        <x:f>"63.187.190/0001-18"</x:f>
        <x:v>63.187.190/0001-18</x:v>
      </x:c>
      <x:c r="E3045" s="22" t="str">
        <x:f>"63187190000118"</x:f>
        <x:v>63187190000118</x:v>
      </x:c>
      <x:c r="F3045" s="22" t="str">
        <x:f>"582.533.558-74"</x:f>
        <x:v>582.533.558-74</x:v>
      </x:c>
      <x:c r="G3045" s="22" t="str">
        <x:f>"58253355874"</x:f>
        <x:v>58253355874</x:v>
      </x:c>
      <x:c r="H3045" s="23" t="str">
        <x:v>pedrohds1802@gmail.com</x:v>
      </x:c>
      <x:c r="I3045" s="22" t="str">
        <x:f>"11987335905"</x:f>
        <x:v>11987335905</x:v>
      </x:c>
      <x:c r="J3045" s="23" t="str">
        <x:v>RENTAL</x:v>
      </x:c>
      <x:c r="K3045" s="23" t="str">
        <x:v>rental_company</x:v>
      </x:c>
      <x:c r="L3045" s="24" t="b">
        <x:v>1</x:v>
      </x:c>
      <x:c r="M3045" s="23" t="n">
        <x:v>1</x:v>
      </x:c>
      <x:c r="N3045" s="28" t="n">
        <x:v>46203.92188238426</x:v>
      </x:c>
      <x:c r="O3045" s="28" t="n">
        <x:v>46219.812988715275</x:v>
      </x:c>
      <x:c r="P3045" s="23" t="str">
        <x:v>BARRETOS</x:v>
      </x:c>
      <x:c r="Q3045" s="30" t="n">
        <x:v>38096</x:v>
      </x:c>
      <x:c r="R3045" s="22" t="str">
        <x:f>"591207011"</x:f>
        <x:v>591207011</x:v>
      </x:c>
      <x:c r="S3045" s="23" t="str">
        <x:v>masculino</x:v>
      </x:c>
      <x:c r="T3045" s="22" t="str"/>
      <x:c r="U3045" s="23" t="str">
        <x:v>PEDRO HENRIQUE DOS SANTOS PEREIRA</x:v>
      </x:c>
      <x:c r="V3045" s="22" t="str">
        <x:f>"582.533.558-74"</x:f>
        <x:v>582.533.558-74</x:v>
      </x:c>
      <x:c r="W3045" s="22" t="str">
        <x:f>"58253355874"</x:f>
        <x:v>58253355874</x:v>
      </x:c>
      <x:c r="X3045" s="23" t="str">
        <x:v>pedrohds1802@gmail.com</x:v>
      </x:c>
      <x:c r="Y3045" s="22" t="str">
        <x:f>"11987335905"</x:f>
        <x:v>11987335905</x:v>
      </x:c>
      <x:c r="Z3045" s="30" t="n">
        <x:v>46316</x:v>
      </x:c>
    </x:row>
    <x:row r="3046" ht="18" customHeight="1">
      <x:c r="A3046" s="22" t="str">
        <x:f>"1c412eea-366e-4fb8-9863-bf5d67c109e9"</x:f>
        <x:v>1c412eea-366e-4fb8-9863-bf5d67c109e9</x:v>
      </x:c>
      <x:c r="B3046" s="23" t="str">
        <x:v>PEDRO HENRIQUE GONCALVES FERREIRA</x:v>
      </x:c>
      <x:c r="C3046" s="23" t="str">
        <x:v>pedro henrique goncalves ferreira</x:v>
      </x:c>
      <x:c r="D3046" s="22" t="str">
        <x:f>"35.073.393/0001-48"</x:f>
        <x:v>35.073.393/0001-48</x:v>
      </x:c>
      <x:c r="E3046" s="22" t="str">
        <x:f>"35073393000148"</x:f>
        <x:v>35073393000148</x:v>
      </x:c>
      <x:c r="F3046" s="22" t="str">
        <x:f>"141.057.786-41"</x:f>
        <x:v>141.057.786-41</x:v>
      </x:c>
      <x:c r="G3046" s="22" t="str">
        <x:f>"14105778641"</x:f>
        <x:v>14105778641</x:v>
      </x:c>
      <x:c r="H3046" s="23" t="str">
        <x:v>pedrodragon98@gmail.com</x:v>
      </x:c>
      <x:c r="I3046" s="22" t="str">
        <x:f>"35999127381"</x:f>
        <x:v>35999127381</x:v>
      </x:c>
      <x:c r="J3046" s="23" t="str">
        <x:v>SPOT</x:v>
      </x:c>
      <x:c r="K3046" s="23" t="str">
        <x:v>favored_only</x:v>
      </x:c>
      <x:c r="L3046" s="24" t="b">
        <x:v>1</x:v>
      </x:c>
      <x:c r="M3046" s="23" t="n">
        <x:v>1</x:v>
      </x:c>
      <x:c r="N3046" s="28" t="n">
        <x:v>46205.60580164352</x:v>
      </x:c>
      <x:c r="O3046" s="28" t="n">
        <x:v>46219.812988715275</x:v>
      </x:c>
      <x:c r="P3046" s="23" t="str">
        <x:v>GUAXUPE</x:v>
      </x:c>
      <x:c r="Q3046" s="30" t="n">
        <x:v>35820</x:v>
      </x:c>
      <x:c r="R3046" s="22" t="str">
        <x:f>"20910703"</x:f>
        <x:v>20910703</x:v>
      </x:c>
      <x:c r="S3046" s="23" t="str">
        <x:v>masculino</x:v>
      </x:c>
      <x:c r="T3046" s="22" t="str">
        <x:f>"RMX3H80"</x:f>
        <x:v>RMX3H80</x:v>
      </x:c>
      <x:c r="U3046" s="23" t="str">
        <x:v>JOSE GILMAR DE CARVALHO JUNIOR</x:v>
      </x:c>
      <x:c r="V3046" s="22" t="str">
        <x:f>"104.199.026-00"</x:f>
        <x:v>104.199.026-00</x:v>
      </x:c>
      <x:c r="W3046" s="22" t="str">
        <x:f>"10419902600"</x:f>
        <x:v>10419902600</x:v>
      </x:c>
      <x:c r="X3046" s="23" t="str">
        <x:v>juninho_2096@hotmail.com</x:v>
      </x:c>
      <x:c r="Y3046" s="22" t="str">
        <x:f>"35999282516"</x:f>
        <x:v>35999282516</x:v>
      </x:c>
      <x:c r="Z3046" s="30" t="n">
        <x:v>46336</x:v>
      </x:c>
    </x:row>
    <x:row r="3047" ht="18" customHeight="1">
      <x:c r="A3047" s="22" t="str">
        <x:f>"43adc4a6-b96c-404d-b034-9e8c373fe579"</x:f>
        <x:v>43adc4a6-b96c-404d-b034-9e8c373fe579</x:v>
      </x:c>
      <x:c r="B3047" s="23" t="str">
        <x:v>PEDRO HENRIQUE LEAO DOS SANTOS</x:v>
      </x:c>
      <x:c r="C3047" s="23" t="str">
        <x:v>pedro henrique leao dos santos</x:v>
      </x:c>
      <x:c r="D3047" s="22" t="str">
        <x:f>"65.131.510/0001-43"</x:f>
        <x:v>65.131.510/0001-43</x:v>
      </x:c>
      <x:c r="E3047" s="22" t="str">
        <x:f>"65131510000143"</x:f>
        <x:v>65131510000143</x:v>
      </x:c>
      <x:c r="F3047" s="22" t="str">
        <x:f>"010.185.331-92"</x:f>
        <x:v>010.185.331-92</x:v>
      </x:c>
      <x:c r="G3047" s="22" t="str">
        <x:f>"01018533192"</x:f>
        <x:v>01018533192</x:v>
      </x:c>
      <x:c r="H3047" s="23" t="str">
        <x:v>pedrohenriqueleaodossantos@gmail.com</x:v>
      </x:c>
      <x:c r="I3047" s="22" t="str">
        <x:f>"64993218367"</x:f>
        <x:v>64993218367</x:v>
      </x:c>
      <x:c r="J3047" s="23" t="str">
        <x:v>RENTAL</x:v>
      </x:c>
      <x:c r="K3047" s="23" t="str">
        <x:v>rental_company</x:v>
      </x:c>
      <x:c r="L3047" s="24" t="b">
        <x:v>1</x:v>
      </x:c>
      <x:c r="M3047" s="23" t="n">
        <x:v>1</x:v>
      </x:c>
      <x:c r="N3047" s="28" t="n">
        <x:v>46219.812988715275</x:v>
      </x:c>
      <x:c r="O3047" s="28" t="n">
        <x:v>46219.812988715275</x:v>
      </x:c>
      <x:c r="P3047" s="23" t="str">
        <x:v>RIO VERDE</x:v>
      </x:c>
      <x:c r="Q3047" s="30" t="n">
        <x:v>35433</x:v>
      </x:c>
      <x:c r="R3047" s="22" t="str">
        <x:f>"6141643"</x:f>
        <x:v>6141643</x:v>
      </x:c>
      <x:c r="S3047" s="23" t="str">
        <x:v>masculino</x:v>
      </x:c>
      <x:c r="T3047" s="22" t="str"/>
      <x:c r="U3047" s="23" t="str">
        <x:v>PEDRO HENRIQUE LEAO DOS SANTOS</x:v>
      </x:c>
      <x:c r="V3047" s="22" t="str">
        <x:f>"010.185.331-92"</x:f>
        <x:v>010.185.331-92</x:v>
      </x:c>
      <x:c r="W3047" s="22" t="str">
        <x:f>"01018533192"</x:f>
        <x:v>01018533192</x:v>
      </x:c>
      <x:c r="X3047" s="23" t="str">
        <x:v>pedrohenriqueleaodossantos@gmail.com</x:v>
      </x:c>
      <x:c r="Y3047" s="22" t="str">
        <x:f>"64993218367"</x:f>
        <x:v>64993218367</x:v>
      </x:c>
      <x:c r="Z3047" s="30" t="n">
        <x:v>46434</x:v>
      </x:c>
    </x:row>
    <x:row r="3048" ht="18" customHeight="1">
      <x:c r="A3048" s="22" t="str">
        <x:f>"f4667652-32ea-45cf-9d92-8f895d44d808"</x:f>
        <x:v>f4667652-32ea-45cf-9d92-8f895d44d808</x:v>
      </x:c>
      <x:c r="B3048" s="23" t="str">
        <x:v>PEDRO HENRIQUE LINHARES ANANIAS</x:v>
      </x:c>
      <x:c r="C3048" s="23" t="str">
        <x:v>pedro henrique linhares ananias</x:v>
      </x:c>
      <x:c r="D3048" s="22" t="str">
        <x:f>"66.311.930/0001-74"</x:f>
        <x:v>66.311.930/0001-74</x:v>
      </x:c>
      <x:c r="E3048" s="22" t="str">
        <x:f>"66311930000174"</x:f>
        <x:v>66311930000174</x:v>
      </x:c>
      <x:c r="F3048" s="22" t="str">
        <x:f>"154.985.846-79"</x:f>
        <x:v>154.985.846-79</x:v>
      </x:c>
      <x:c r="G3048" s="22" t="str">
        <x:f>"15498584679"</x:f>
        <x:v>15498584679</x:v>
      </x:c>
      <x:c r="H3048" s="23" t="str">
        <x:v>famosoph33@gmail.com</x:v>
      </x:c>
      <x:c r="I3048" s="22" t="str">
        <x:f>"34 8861-7956"</x:f>
        <x:v>34 8861-7956</x:v>
      </x:c>
      <x:c r="J3048" s="23" t="str">
        <x:v>SPOT</x:v>
      </x:c>
      <x:c r="K3048" s="23" t="str">
        <x:v>favored_only</x:v>
      </x:c>
      <x:c r="L3048" s="24" t="b">
        <x:v>1</x:v>
      </x:c>
      <x:c r="M3048" s="23" t="n">
        <x:v>1</x:v>
      </x:c>
      <x:c r="N3048" s="28" t="n">
        <x:v>46219.812988715275</x:v>
      </x:c>
      <x:c r="O3048" s="28" t="n">
        <x:v>46219.812988715275</x:v>
      </x:c>
      <x:c r="P3048" s="23" t="str">
        <x:v>ARAXÁ</x:v>
      </x:c>
      <x:c r="Q3048" s="30" t="n">
        <x:v>36859</x:v>
      </x:c>
      <x:c r="R3048" s="22" t="str">
        <x:f>"MG22311588"</x:f>
        <x:v>MG22311588</x:v>
      </x:c>
      <x:c r="S3048" s="23" t="str">
        <x:v>masculino</x:v>
      </x:c>
      <x:c r="T3048" s="22" t="str">
        <x:f>"NYB3159"</x:f>
        <x:v>NYB3159</x:v>
      </x:c>
      <x:c r="U3048" s="23" t="str">
        <x:v>PEDRO HENRIQUE LINHARES ANANIAS</x:v>
      </x:c>
      <x:c r="V3048" s="22" t="str">
        <x:f>"154.985.846-79"</x:f>
        <x:v>154.985.846-79</x:v>
      </x:c>
      <x:c r="W3048" s="22" t="str">
        <x:f>"15498584679"</x:f>
        <x:v>15498584679</x:v>
      </x:c>
      <x:c r="X3048" s="23" t="str">
        <x:v>famosoph33@gmail.com</x:v>
      </x:c>
      <x:c r="Y3048" s="22" t="str">
        <x:f>"34 8861-7956"</x:f>
        <x:v>34 8861-7956</x:v>
      </x:c>
      <x:c r="Z3048" s="30" t="n">
        <x:v>46526</x:v>
      </x:c>
    </x:row>
    <x:row r="3049" ht="18" customHeight="1">
      <x:c r="A3049" s="22" t="str">
        <x:f>"cec9284f-4f42-423a-ac4d-accaa057e4b8"</x:f>
        <x:v>cec9284f-4f42-423a-ac4d-accaa057e4b8</x:v>
      </x:c>
      <x:c r="B3049" s="23" t="str">
        <x:v>PEDRO HENRIQUE LOPES</x:v>
      </x:c>
      <x:c r="C3049" s="23" t="str">
        <x:v>pedro henrique lopes</x:v>
      </x:c>
      <x:c r="D3049" s="22" t="str">
        <x:f>"66.184.157/0001-22"</x:f>
        <x:v>66.184.157/0001-22</x:v>
      </x:c>
      <x:c r="E3049" s="22" t="str">
        <x:f>"66184157000122"</x:f>
        <x:v>66184157000122</x:v>
      </x:c>
      <x:c r="F3049" s="22" t="str">
        <x:f>"162.966.466-90"</x:f>
        <x:v>162.966.466-90</x:v>
      </x:c>
      <x:c r="G3049" s="22" t="str">
        <x:f>"16296646690"</x:f>
        <x:v>16296646690</x:v>
      </x:c>
      <x:c r="H3049" s="23" t="str">
        <x:v>pedrohenriquelopesdaalvorada@gmail.com</x:v>
      </x:c>
      <x:c r="I3049" s="22" t="str">
        <x:f>"31982661244"</x:f>
        <x:v>31982661244</x:v>
      </x:c>
      <x:c r="J3049" s="23" t="str">
        <x:v>RENTAL</x:v>
      </x:c>
      <x:c r="K3049" s="23" t="str">
        <x:v>rental_company</x:v>
      </x:c>
      <x:c r="L3049" s="24" t="b">
        <x:v>1</x:v>
      </x:c>
      <x:c r="M3049" s="23" t="n">
        <x:v>1</x:v>
      </x:c>
      <x:c r="N3049" s="28" t="n">
        <x:v>46219.812988715275</x:v>
      </x:c>
      <x:c r="O3049" s="28" t="n">
        <x:v>46219.812988715275</x:v>
      </x:c>
      <x:c r="P3049" s="23" t="str">
        <x:v>NOVA LIMA</x:v>
      </x:c>
      <x:c r="Q3049" s="30" t="n">
        <x:v>37418</x:v>
      </x:c>
      <x:c r="R3049" s="22" t="str">
        <x:f>"22569463"</x:f>
        <x:v>22569463</x:v>
      </x:c>
      <x:c r="S3049" s="23" t="str">
        <x:v>masculino</x:v>
      </x:c>
      <x:c r="T3049" s="22" t="str"/>
      <x:c r="U3049" s="23" t="str">
        <x:v>PEDRO HENRIQUE LOPES</x:v>
      </x:c>
      <x:c r="V3049" s="22" t="str">
        <x:f>"162.966.466-90"</x:f>
        <x:v>162.966.466-90</x:v>
      </x:c>
      <x:c r="W3049" s="22" t="str">
        <x:f>"16296646690"</x:f>
        <x:v>16296646690</x:v>
      </x:c>
      <x:c r="X3049" s="23" t="str">
        <x:v>pedrohenriquelopesdaalvorada@gmail.com</x:v>
      </x:c>
      <x:c r="Y3049" s="22" t="str">
        <x:f>"31982661244"</x:f>
        <x:v>31982661244</x:v>
      </x:c>
      <x:c r="Z3049" s="30" t="n">
        <x:v>46501</x:v>
      </x:c>
    </x:row>
    <x:row r="3050" ht="18" customHeight="1">
      <x:c r="A3050" s="22" t="str">
        <x:f>"31db1d07-eb53-4eb5-a6e1-44ac93eea471"</x:f>
        <x:v>31db1d07-eb53-4eb5-a6e1-44ac93eea471</x:v>
      </x:c>
      <x:c r="B3050" s="23" t="str">
        <x:v>PEDRO HENRIQUE MACHADO DE LIMA</x:v>
      </x:c>
      <x:c r="C3050" s="23" t="str">
        <x:v>pedro henrique machado de lima</x:v>
      </x:c>
      <x:c r="D3050" s="22" t="str">
        <x:f>"37.004.495/0001-37"</x:f>
        <x:v>37.004.495/0001-37</x:v>
      </x:c>
      <x:c r="E3050" s="22" t="str">
        <x:f>"37004495000137"</x:f>
        <x:v>37004495000137</x:v>
      </x:c>
      <x:c r="F3050" s="22" t="str">
        <x:f>"006.171.731-25"</x:f>
        <x:v>006.171.731-25</x:v>
      </x:c>
      <x:c r="G3050" s="22" t="str">
        <x:f>"00617173125"</x:f>
        <x:v>00617173125</x:v>
      </x:c>
      <x:c r="H3050" s="23" t="str">
        <x:v>pedrohenriquemachadolima@hotmail.com</x:v>
      </x:c>
      <x:c r="I3050" s="22" t="str">
        <x:f>"65992780407"</x:f>
        <x:v>65992780407</x:v>
      </x:c>
      <x:c r="J3050" s="23" t="str">
        <x:v>SPOT</x:v>
      </x:c>
      <x:c r="K3050" s="23" t="str">
        <x:v>favored_only</x:v>
      </x:c>
      <x:c r="L3050" s="24" t="b">
        <x:v>1</x:v>
      </x:c>
      <x:c r="M3050" s="23" t="n">
        <x:v>1</x:v>
      </x:c>
      <x:c r="N3050" s="28" t="n">
        <x:v>46219.812988715275</x:v>
      </x:c>
      <x:c r="O3050" s="28" t="n">
        <x:v>46219.812988715275</x:v>
      </x:c>
      <x:c r="P3050" s="23" t="str">
        <x:v>CUIABA</x:v>
      </x:c>
      <x:c r="Q3050" s="30" t="n">
        <x:v>33295</x:v>
      </x:c>
      <x:c r="R3050" s="22" t="str">
        <x:f>"22380019"</x:f>
        <x:v>22380019</x:v>
      </x:c>
      <x:c r="S3050" s="23" t="str">
        <x:v>masculino</x:v>
      </x:c>
      <x:c r="T3050" s="22" t="str">
        <x:f>"SPZ4A21"</x:f>
        <x:v>SPZ4A21</x:v>
      </x:c>
      <x:c r="U3050" s="23" t="str">
        <x:v>LISLAYNE CAROLINE RAMOS DE LIMA</x:v>
      </x:c>
      <x:c r="V3050" s="22" t="str">
        <x:f>"043.642.391-00"</x:f>
        <x:v>043.642.391-00</x:v>
      </x:c>
      <x:c r="W3050" s="22" t="str">
        <x:f>"04364239100"</x:f>
        <x:v>04364239100</x:v>
      </x:c>
      <x:c r="X3050" s="23" t="str">
        <x:v>lislaynecarrie@hotmail.com</x:v>
      </x:c>
      <x:c r="Y3050" s="22" t="str">
        <x:f>"65992724434"</x:f>
        <x:v>65992724434</x:v>
      </x:c>
      <x:c r="Z3050" s="30" t="n">
        <x:v>46432</x:v>
      </x:c>
    </x:row>
    <x:row r="3051" ht="18" customHeight="1">
      <x:c r="A3051" s="22" t="str">
        <x:f>"6a3b73e9-5420-47d8-9c10-58b31d411829"</x:f>
        <x:v>6a3b73e9-5420-47d8-9c10-58b31d411829</x:v>
      </x:c>
      <x:c r="B3051" s="23" t="str">
        <x:v>PEDRO HENRIQUE MACHADO SAMPAIO</x:v>
      </x:c>
      <x:c r="C3051" s="23" t="str">
        <x:v>pedro henrique machado sampaio</x:v>
      </x:c>
      <x:c r="D3051" s="22" t="str">
        <x:f>"60.606.857/0001-81"</x:f>
        <x:v>60.606.857/0001-81</x:v>
      </x:c>
      <x:c r="E3051" s="22" t="str">
        <x:f>"60606857000181"</x:f>
        <x:v>60606857000181</x:v>
      </x:c>
      <x:c r="F3051" s="22" t="str">
        <x:f>"171.663.077-06"</x:f>
        <x:v>171.663.077-06</x:v>
      </x:c>
      <x:c r="G3051" s="22" t="str">
        <x:f>"17166307706"</x:f>
        <x:v>17166307706</x:v>
      </x:c>
      <x:c r="H3051" s="23" t="str">
        <x:v>pedroh.machado.sampaio@gmail.com</x:v>
      </x:c>
      <x:c r="I3051" s="22" t="str">
        <x:f>"21 966062440"</x:f>
        <x:v>21 966062440</x:v>
      </x:c>
      <x:c r="J3051" s="23" t="str">
        <x:v>SPOT</x:v>
      </x:c>
      <x:c r="K3051" s="23" t="str">
        <x:v>favored_only</x:v>
      </x:c>
      <x:c r="L3051" s="24" t="b">
        <x:v>1</x:v>
      </x:c>
      <x:c r="M3051" s="23" t="n">
        <x:v>1</x:v>
      </x:c>
      <x:c r="N3051" s="28" t="n">
        <x:v>46219.812988715275</x:v>
      </x:c>
      <x:c r="O3051" s="28" t="n">
        <x:v>46219.812988715275</x:v>
      </x:c>
      <x:c r="P3051" s="23" t="str">
        <x:v>QUEIMADOS</x:v>
      </x:c>
      <x:c r="Q3051" s="30" t="n">
        <x:v>38204</x:v>
      </x:c>
      <x:c r="R3051" s="22" t="str">
        <x:f>"27.568.859-6"</x:f>
        <x:v>27.568.859-6</x:v>
      </x:c>
      <x:c r="S3051" s="23" t="str">
        <x:v>masculino</x:v>
      </x:c>
      <x:c r="T3051" s="22" t="str">
        <x:f>"RGD3J60"</x:f>
        <x:v>RGD3J60</x:v>
      </x:c>
      <x:c r="U3051" s="23" t="str">
        <x:v>PEDRO HENRIQUE MACHADO SAMPAIO</x:v>
      </x:c>
      <x:c r="V3051" s="22" t="str">
        <x:f>"171.663.077-06"</x:f>
        <x:v>171.663.077-06</x:v>
      </x:c>
      <x:c r="W3051" s="22" t="str">
        <x:f>"17166307706"</x:f>
        <x:v>17166307706</x:v>
      </x:c>
      <x:c r="X3051" s="23" t="str">
        <x:v>pedroh.machado.sampaio@gmail.com</x:v>
      </x:c>
      <x:c r="Y3051" s="22" t="str">
        <x:f>"21 966062440"</x:f>
        <x:v>21 966062440</x:v>
      </x:c>
      <x:c r="Z3051" s="30" t="n">
        <x:v>46582</x:v>
      </x:c>
    </x:row>
    <x:row r="3052" ht="18" customHeight="1">
      <x:c r="A3052" s="22" t="str">
        <x:f>"d5517f29-383a-42cf-914f-472cce67a9b4"</x:f>
        <x:v>d5517f29-383a-42cf-914f-472cce67a9b4</x:v>
      </x:c>
      <x:c r="B3052" s="23" t="str">
        <x:v>PEDRO HENRIQUE MUNIZ DA SILVA</x:v>
      </x:c>
      <x:c r="C3052" s="23" t="str">
        <x:v>pedro henrique muniz da silva</x:v>
      </x:c>
      <x:c r="D3052" s="22" t="str">
        <x:f>"54.646.358/0001-15"</x:f>
        <x:v>54.646.358/0001-15</x:v>
      </x:c>
      <x:c r="E3052" s="22" t="str">
        <x:f>"54646358000115"</x:f>
        <x:v>54646358000115</x:v>
      </x:c>
      <x:c r="F3052" s="22" t="str">
        <x:f>"704.458.121-84"</x:f>
        <x:v>704.458.121-84</x:v>
      </x:c>
      <x:c r="G3052" s="22" t="str">
        <x:f>"70445812184"</x:f>
        <x:v>70445812184</x:v>
      </x:c>
      <x:c r="H3052" s="23" t="str">
        <x:v>phms182014@gmail.com</x:v>
      </x:c>
      <x:c r="I3052" s="22" t="str">
        <x:f>"62995035860"</x:f>
        <x:v>62995035860</x:v>
      </x:c>
      <x:c r="J3052" s="23" t="str">
        <x:v>RENTAL</x:v>
      </x:c>
      <x:c r="K3052" s="23" t="str">
        <x:v>rental_company</x:v>
      </x:c>
      <x:c r="L3052" s="24" t="b">
        <x:v>1</x:v>
      </x:c>
      <x:c r="M3052" s="23" t="n">
        <x:v>1</x:v>
      </x:c>
      <x:c r="N3052" s="28" t="n">
        <x:v>46219.812988715275</x:v>
      </x:c>
      <x:c r="O3052" s="28" t="n">
        <x:v>46219.812988715275</x:v>
      </x:c>
      <x:c r="P3052" s="23" t="str">
        <x:v>GOIANIA</x:v>
      </x:c>
      <x:c r="Q3052" s="30" t="n">
        <x:v>35483</x:v>
      </x:c>
      <x:c r="R3052" s="22" t="str">
        <x:f>"6037290"</x:f>
        <x:v>6037290</x:v>
      </x:c>
      <x:c r="S3052" s="23" t="str">
        <x:v>masculino</x:v>
      </x:c>
      <x:c r="T3052" s="22" t="str"/>
      <x:c r="U3052" s="23" t="str">
        <x:v>PEDRO HENRIQUE MUNIZ DA SILVA</x:v>
      </x:c>
      <x:c r="V3052" s="22" t="str">
        <x:f>"704.458.121-84"</x:f>
        <x:v>704.458.121-84</x:v>
      </x:c>
      <x:c r="W3052" s="22" t="str">
        <x:f>"70445812184"</x:f>
        <x:v>70445812184</x:v>
      </x:c>
      <x:c r="X3052" s="23" t="str">
        <x:v>phms182014@gmail.com</x:v>
      </x:c>
      <x:c r="Y3052" s="22" t="str">
        <x:f>"62995035860"</x:f>
        <x:v>62995035860</x:v>
      </x:c>
      <x:c r="Z3052" s="30" t="n">
        <x:v>46577</x:v>
      </x:c>
    </x:row>
    <x:row r="3053" ht="18" customHeight="1">
      <x:c r="A3053" s="22" t="str">
        <x:f>"69765966-d375-4844-8f65-099ba6681bf7"</x:f>
        <x:v>69765966-d375-4844-8f65-099ba6681bf7</x:v>
      </x:c>
      <x:c r="B3053" s="23" t="str">
        <x:v>PEDRO HENRIQUE NUNES DE OLIVEIRA</x:v>
      </x:c>
      <x:c r="C3053" s="23" t="str">
        <x:v>pedro henrique nunes de oliveira</x:v>
      </x:c>
      <x:c r="D3053" s="22" t="str">
        <x:f>"62.153.918/0001-28"</x:f>
        <x:v>62.153.918/0001-28</x:v>
      </x:c>
      <x:c r="E3053" s="22" t="str">
        <x:f>"62153918000128"</x:f>
        <x:v>62153918000128</x:v>
      </x:c>
      <x:c r="F3053" s="22" t="str">
        <x:f>"074.861.121-59"</x:f>
        <x:v>074.861.121-59</x:v>
      </x:c>
      <x:c r="G3053" s="22" t="str">
        <x:f>"07486112159"</x:f>
        <x:v>07486112159</x:v>
      </x:c>
      <x:c r="H3053" s="23" t="str">
        <x:v>pedrohenriqueint33@gmail.com</x:v>
      </x:c>
      <x:c r="I3053" s="22" t="str">
        <x:f>"62 994275660"</x:f>
        <x:v>62 994275660</x:v>
      </x:c>
      <x:c r="J3053" s="23" t="str">
        <x:v>SPOT</x:v>
      </x:c>
      <x:c r="K3053" s="23" t="str">
        <x:v>favored_only</x:v>
      </x:c>
      <x:c r="L3053" s="24" t="b">
        <x:v>1</x:v>
      </x:c>
      <x:c r="M3053" s="23" t="n">
        <x:v>1</x:v>
      </x:c>
      <x:c r="N3053" s="28" t="n">
        <x:v>46203.92188238426</x:v>
      </x:c>
      <x:c r="O3053" s="28" t="n">
        <x:v>46219.812988715275</x:v>
      </x:c>
      <x:c r="P3053" s="23" t="str">
        <x:v>GOIANIA</x:v>
      </x:c>
      <x:c r="Q3053" s="30" t="n">
        <x:v>37014</x:v>
      </x:c>
      <x:c r="R3053" s="22" t="str">
        <x:f>"6650947"</x:f>
        <x:v>6650947</x:v>
      </x:c>
      <x:c r="S3053" s="23" t="str">
        <x:v>masculino</x:v>
      </x:c>
      <x:c r="T3053" s="22" t="str">
        <x:f>"PRJ0D02"</x:f>
        <x:v>PRJ0D02</x:v>
      </x:c>
      <x:c r="U3053" s="23" t="str">
        <x:v>PEDRO HENRIQUE NUNES DE OLIVEIRA</x:v>
      </x:c>
      <x:c r="V3053" s="22" t="str">
        <x:f>"074.861.121-59"</x:f>
        <x:v>074.861.121-59</x:v>
      </x:c>
      <x:c r="W3053" s="22" t="str">
        <x:f>"07486112159"</x:f>
        <x:v>07486112159</x:v>
      </x:c>
      <x:c r="X3053" s="23" t="str">
        <x:v>pedrohenriqueint33@gmail.com</x:v>
      </x:c>
      <x:c r="Y3053" s="22" t="str">
        <x:f>"62 994275660"</x:f>
        <x:v>62 994275660</x:v>
      </x:c>
      <x:c r="Z3053" s="30" t="n">
        <x:v>46324</x:v>
      </x:c>
    </x:row>
    <x:row r="3054" ht="18" customHeight="1">
      <x:c r="A3054" s="22" t="str">
        <x:f>"14c7c3f5-6f6c-4ee4-aa59-4b38fe819f16"</x:f>
        <x:v>14c7c3f5-6f6c-4ee4-aa59-4b38fe819f16</x:v>
      </x:c>
      <x:c r="B3054" s="23" t="str">
        <x:v>PEDRO HENRIQUE RAMOS AMARAL</x:v>
      </x:c>
      <x:c r="C3054" s="23" t="str">
        <x:v>pedro henrique ramos amaral</x:v>
      </x:c>
      <x:c r="D3054" s="22" t="str">
        <x:f>"58.691.259/0001-06"</x:f>
        <x:v>58.691.259/0001-06</x:v>
      </x:c>
      <x:c r="E3054" s="22" t="str">
        <x:f>"58691259000106"</x:f>
        <x:v>58691259000106</x:v>
      </x:c>
      <x:c r="F3054" s="22" t="str">
        <x:f>"170.049.996-37"</x:f>
        <x:v>170.049.996-37</x:v>
      </x:c>
      <x:c r="G3054" s="22" t="str">
        <x:f>"17004999637"</x:f>
        <x:v>17004999637</x:v>
      </x:c>
      <x:c r="H3054" s="23" t="str">
        <x:v>ph341360@gmail.com</x:v>
      </x:c>
      <x:c r="I3054" s="22" t="str">
        <x:f>"33 9909-4036"</x:f>
        <x:v>33 9909-4036</x:v>
      </x:c>
      <x:c r="J3054" s="23" t="str">
        <x:v>RENTALS</x:v>
      </x:c>
      <x:c r="K3054" s="23" t="str">
        <x:v>rental_company</x:v>
      </x:c>
      <x:c r="L3054" s="24" t="b">
        <x:v>1</x:v>
      </x:c>
      <x:c r="M3054" s="23" t="n">
        <x:v>1</x:v>
      </x:c>
      <x:c r="N3054" s="28" t="n">
        <x:v>46219.812988715275</x:v>
      </x:c>
      <x:c r="O3054" s="28" t="n">
        <x:v>46219.812988715275</x:v>
      </x:c>
      <x:c r="P3054" s="23" t="str">
        <x:v>TEOFILO OTONI</x:v>
      </x:c>
      <x:c r="Q3054" s="30" t="n">
        <x:v>38390</x:v>
      </x:c>
      <x:c r="R3054" s="22" t="str">
        <x:f>"23192099"</x:f>
        <x:v>23192099</x:v>
      </x:c>
      <x:c r="S3054" s="23" t="str">
        <x:v>masculino</x:v>
      </x:c>
      <x:c r="T3054" s="22" t="str"/>
      <x:c r="U3054" s="23" t="str">
        <x:v>PEDRO HENRIQUE RAMOS AMARAL</x:v>
      </x:c>
      <x:c r="V3054" s="22" t="str">
        <x:f>"001.700.499-96"</x:f>
        <x:v>001.700.499-96</x:v>
      </x:c>
      <x:c r="W3054" s="22" t="str">
        <x:f>"00170049996"</x:f>
        <x:v>00170049996</x:v>
      </x:c>
      <x:c r="X3054" s="23" t="str">
        <x:v>ph341360@gmail.com</x:v>
      </x:c>
      <x:c r="Y3054" s="22" t="str">
        <x:f>"33 9909-4036"</x:f>
        <x:v>33 9909-4036</x:v>
      </x:c>
      <x:c r="Z3054" s="30" t="n">
        <x:v>46478</x:v>
      </x:c>
    </x:row>
    <x:row r="3055" ht="18" customHeight="1">
      <x:c r="A3055" s="22" t="str">
        <x:f>"cabda71b-f555-4452-8a67-11801c38bc78"</x:f>
        <x:v>cabda71b-f555-4452-8a67-11801c38bc78</x:v>
      </x:c>
      <x:c r="B3055" s="23" t="str">
        <x:v>PEDRO HENRIQUE ROCHA DIAS</x:v>
      </x:c>
      <x:c r="C3055" s="23" t="str">
        <x:v>pedro henrique rocha dias</x:v>
      </x:c>
      <x:c r="D3055" s="22" t="str">
        <x:f>"50.758.693/0001-54"</x:f>
        <x:v>50.758.693/0001-54</x:v>
      </x:c>
      <x:c r="E3055" s="22" t="str">
        <x:f>"50758693000154"</x:f>
        <x:v>50758693000154</x:v>
      </x:c>
      <x:c r="F3055" s="22" t="str">
        <x:f>"097.632.516-05"</x:f>
        <x:v>097.632.516-05</x:v>
      </x:c>
      <x:c r="G3055" s="22" t="str">
        <x:f>"09763251605"</x:f>
        <x:v>09763251605</x:v>
      </x:c>
      <x:c r="H3055" s="23" t="str">
        <x:v>kjph096@gmail.com</x:v>
      </x:c>
      <x:c r="I3055" s="22" t="str">
        <x:f>"33999074158"</x:f>
        <x:v>33999074158</x:v>
      </x:c>
      <x:c r="J3055" s="23" t="str">
        <x:v>SPOT</x:v>
      </x:c>
      <x:c r="K3055" s="23" t="str">
        <x:v>favored_only</x:v>
      </x:c>
      <x:c r="L3055" s="24" t="b">
        <x:v>1</x:v>
      </x:c>
      <x:c r="M3055" s="23" t="n">
        <x:v>1</x:v>
      </x:c>
      <x:c r="N3055" s="28" t="n">
        <x:v>46205.606854791666</x:v>
      </x:c>
      <x:c r="O3055" s="28" t="n">
        <x:v>46219.812988715275</x:v>
      </x:c>
      <x:c r="P3055" s="23" t="str">
        <x:v>GUANHAES</x:v>
      </x:c>
      <x:c r="Q3055" s="30" t="n">
        <x:v>38378</x:v>
      </x:c>
      <x:c r="R3055" s="22" t="str">
        <x:f>"18588384"</x:f>
        <x:v>18588384</x:v>
      </x:c>
      <x:c r="S3055" s="23" t="str">
        <x:v>masculino</x:v>
      </x:c>
      <x:c r="T3055" s="22" t="str">
        <x:f>"PUC2E92"</x:f>
        <x:v>PUC2E92</x:v>
      </x:c>
      <x:c r="U3055" s="23" t="str">
        <x:v>GILZELY APARECIDA ROCHA</x:v>
      </x:c>
      <x:c r="V3055" s="22" t="str">
        <x:f>"069.705.956-17"</x:f>
        <x:v>069.705.956-17</x:v>
      </x:c>
      <x:c r="W3055" s="22" t="str">
        <x:f>"06970595617"</x:f>
        <x:v>06970595617</x:v>
      </x:c>
      <x:c r="X3055" s="23" t="str">
        <x:v>giselebsg02@gmail.com</x:v>
      </x:c>
      <x:c r="Y3055" s="22" t="str">
        <x:f>"33 9857-1633"</x:f>
        <x:v>33 9857-1633</x:v>
      </x:c>
      <x:c r="Z3055" s="30" t="n">
        <x:v>46385</x:v>
      </x:c>
    </x:row>
    <x:row r="3056" ht="18" customHeight="1">
      <x:c r="A3056" s="22" t="str">
        <x:f>"dff26496-540b-4020-8f5a-0349e9ce6ee4"</x:f>
        <x:v>dff26496-540b-4020-8f5a-0349e9ce6ee4</x:v>
      </x:c>
      <x:c r="B3056" s="23" t="str">
        <x:v>PEDRO HENRIQUE ROCHA DIAS</x:v>
      </x:c>
      <x:c r="C3056" s="23" t="str">
        <x:v>pedro henrique rocha dias</x:v>
      </x:c>
      <x:c r="D3056" s="22" t="str">
        <x:f>"64.966.316/0001-15"</x:f>
        <x:v>64.966.316/0001-15</x:v>
      </x:c>
      <x:c r="E3056" s="22" t="str">
        <x:f>"64966316000115"</x:f>
        <x:v>64966316000115</x:v>
      </x:c>
      <x:c r="F3056" s="22" t="str">
        <x:f>"097.632.516-05"</x:f>
        <x:v>097.632.516-05</x:v>
      </x:c>
      <x:c r="G3056" s="22" t="str">
        <x:f>"09763251605"</x:f>
        <x:v>09763251605</x:v>
      </x:c>
      <x:c r="H3056" s="23" t="str">
        <x:v>kjph096@gmail.com</x:v>
      </x:c>
      <x:c r="I3056" s="22" t="str">
        <x:f>"33 999074158"</x:f>
        <x:v>33 999074158</x:v>
      </x:c>
      <x:c r="J3056" s="23" t="str">
        <x:v>SPOT</x:v>
      </x:c>
      <x:c r="K3056" s="23" t="str">
        <x:v>favored_only</x:v>
      </x:c>
      <x:c r="L3056" s="24" t="b">
        <x:v>1</x:v>
      </x:c>
      <x:c r="M3056" s="23" t="n">
        <x:v>1</x:v>
      </x:c>
      <x:c r="N3056" s="28" t="n">
        <x:v>46219.812988715275</x:v>
      </x:c>
      <x:c r="O3056" s="28" t="n">
        <x:v>46219.812988715275</x:v>
      </x:c>
      <x:c r="P3056" s="23" t="str">
        <x:v>GUANHAES</x:v>
      </x:c>
      <x:c r="Q3056" s="30" t="n">
        <x:v>38378</x:v>
      </x:c>
      <x:c r="R3056" s="22" t="str">
        <x:f>"18588384"</x:f>
        <x:v>18588384</x:v>
      </x:c>
      <x:c r="S3056" s="23" t="str">
        <x:v>masculino</x:v>
      </x:c>
      <x:c r="T3056" s="22" t="str">
        <x:f>"PYP4I18"</x:f>
        <x:v>PYP4I18</x:v>
      </x:c>
      <x:c r="U3056" s="23" t="str">
        <x:v>JOLIARDE ARAUJO ROCHA</x:v>
      </x:c>
      <x:c r="V3056" s="22" t="str">
        <x:f>"059.302.176-29"</x:f>
        <x:v>059.302.176-29</x:v>
      </x:c>
      <x:c r="W3056" s="22" t="str">
        <x:f>"05930217629"</x:f>
        <x:v>05930217629</x:v>
      </x:c>
      <x:c r="X3056" s="23" t="str">
        <x:v>Rochajuh48@gmail.com</x:v>
      </x:c>
      <x:c r="Y3056" s="22" t="str">
        <x:f>"33998727778"</x:f>
        <x:v>33998727778</x:v>
      </x:c>
      <x:c r="Z3056" s="30" t="n">
        <x:v>46451</x:v>
      </x:c>
    </x:row>
    <x:row r="3057" ht="18" customHeight="1">
      <x:c r="A3057" s="22" t="str">
        <x:f>"178c1481-3330-4445-a5c0-4dce71285f95"</x:f>
        <x:v>178c1481-3330-4445-a5c0-4dce71285f95</x:v>
      </x:c>
      <x:c r="B3057" s="23" t="str">
        <x:v>PEDRO HENRIQUE SANTOS ARAUJO</x:v>
      </x:c>
      <x:c r="C3057" s="23" t="str">
        <x:v>pedro henrique santos araujo</x:v>
      </x:c>
      <x:c r="D3057" s="22" t="str">
        <x:f>"58.402.201/0001-59"</x:f>
        <x:v>58.402.201/0001-59</x:v>
      </x:c>
      <x:c r="E3057" s="22" t="str">
        <x:f>"58402201000159"</x:f>
        <x:v>58402201000159</x:v>
      </x:c>
      <x:c r="F3057" s="22" t="str">
        <x:f>"479.203.148-60"</x:f>
        <x:v>479.203.148-60</x:v>
      </x:c>
      <x:c r="G3057" s="22" t="str">
        <x:f>"47920314860"</x:f>
        <x:v>47920314860</x:v>
      </x:c>
      <x:c r="H3057" s="23" t="str">
        <x:v>hpsa.out@gmail.com</x:v>
      </x:c>
      <x:c r="I3057" s="22" t="str">
        <x:f>"(11)922046856"</x:f>
        <x:v>(11)922046856</x:v>
      </x:c>
      <x:c r="J3057" s="23" t="str">
        <x:v>RENTAL</x:v>
      </x:c>
      <x:c r="K3057" s="23" t="str">
        <x:v>rental_company</x:v>
      </x:c>
      <x:c r="L3057" s="24" t="b">
        <x:v>1</x:v>
      </x:c>
      <x:c r="M3057" s="23" t="n">
        <x:v>1</x:v>
      </x:c>
      <x:c r="N3057" s="28" t="n">
        <x:v>46219.812988715275</x:v>
      </x:c>
      <x:c r="O3057" s="28" t="n">
        <x:v>46219.812988715275</x:v>
      </x:c>
      <x:c r="P3057" s="23" t="str">
        <x:v>MADEIRA MADEIRA</x:v>
      </x:c>
      <x:c r="Q3057" s="30" t="n">
        <x:v>35913</x:v>
      </x:c>
      <x:c r="R3057" s="22" t="str">
        <x:f>"508069129"</x:f>
        <x:v>508069129</x:v>
      </x:c>
      <x:c r="S3057" s="23" t="str">
        <x:v>masculino</x:v>
      </x:c>
      <x:c r="T3057" s="22" t="str"/>
      <x:c r="U3057" s="23" t="str">
        <x:v>PEDRO HENRIQUE SANTOS ARAUJO</x:v>
      </x:c>
      <x:c r="V3057" s="22" t="str">
        <x:f>"479.203.148-60"</x:f>
        <x:v>479.203.148-60</x:v>
      </x:c>
      <x:c r="W3057" s="22" t="str">
        <x:f>"47920314860"</x:f>
        <x:v>47920314860</x:v>
      </x:c>
      <x:c r="X3057" s="23" t="str">
        <x:v>hpsa.out@gmail.com</x:v>
      </x:c>
      <x:c r="Y3057" s="22" t="str">
        <x:f>"(11)922046856"</x:f>
        <x:v>(11)922046856</x:v>
      </x:c>
      <x:c r="Z3057" s="30" t="n">
        <x:v>46542</x:v>
      </x:c>
    </x:row>
    <x:row r="3058" ht="18" customHeight="1">
      <x:c r="A3058" s="22" t="str">
        <x:f>"118988b0-b4d8-487f-849c-4b20e942e8a4"</x:f>
        <x:v>118988b0-b4d8-487f-849c-4b20e942e8a4</x:v>
      </x:c>
      <x:c r="B3058" s="23" t="str">
        <x:v>PEDRO HENRIQUE SILVA DE MELO</x:v>
      </x:c>
      <x:c r="C3058" s="23" t="str">
        <x:v>pedro henrique silva de melo</x:v>
      </x:c>
      <x:c r="D3058" s="22" t="str">
        <x:f>"62.158.286/0001-95"</x:f>
        <x:v>62.158.286/0001-95</x:v>
      </x:c>
      <x:c r="E3058" s="22" t="str">
        <x:f>"62158286000195"</x:f>
        <x:v>62158286000195</x:v>
      </x:c>
      <x:c r="F3058" s="22" t="str">
        <x:f>"167.820.596-65"</x:f>
        <x:v>167.820.596-65</x:v>
      </x:c>
      <x:c r="G3058" s="22" t="str">
        <x:f>"16782059665"</x:f>
        <x:v>16782059665</x:v>
      </x:c>
      <x:c r="H3058" s="23" t="str">
        <x:v>pepe.melo2003@gmail.com</x:v>
      </x:c>
      <x:c r="I3058" s="22" t="str">
        <x:f>"31973555369"</x:f>
        <x:v>31973555369</x:v>
      </x:c>
      <x:c r="J3058" s="23" t="str">
        <x:v>RENTAL</x:v>
      </x:c>
      <x:c r="K3058" s="23" t="str">
        <x:v>rental_company</x:v>
      </x:c>
      <x:c r="L3058" s="24" t="b">
        <x:v>1</x:v>
      </x:c>
      <x:c r="M3058" s="23" t="n">
        <x:v>2</x:v>
      </x:c>
      <x:c r="N3058" s="28" t="n">
        <x:v>46219.812988715275</x:v>
      </x:c>
      <x:c r="O3058" s="28" t="n">
        <x:v>46219.812988715275</x:v>
      </x:c>
      <x:c r="P3058" s="23" t="str">
        <x:v>CONTAGEM</x:v>
      </x:c>
      <x:c r="Q3058" s="30" t="n">
        <x:v>38131</x:v>
      </x:c>
      <x:c r="R3058" s="22" t="str">
        <x:f>"23099137"</x:f>
        <x:v>23099137</x:v>
      </x:c>
      <x:c r="S3058" s="23" t="str">
        <x:v>masculino</x:v>
      </x:c>
      <x:c r="T3058" s="22" t="str">
        <x:f>"HBI4G24"</x:f>
        <x:v>HBI4G24</x:v>
      </x:c>
      <x:c r="U3058" s="23" t="str">
        <x:v>PEDRO HENRIQUE SILVA DE MELO</x:v>
      </x:c>
      <x:c r="V3058" s="22" t="str">
        <x:f>"167.820.596-65"</x:f>
        <x:v>167.820.596-65</x:v>
      </x:c>
      <x:c r="W3058" s="22" t="str">
        <x:f>"16782059665"</x:f>
        <x:v>16782059665</x:v>
      </x:c>
      <x:c r="X3058" s="23" t="str">
        <x:v>pepe.melo2003@gmail.com</x:v>
      </x:c>
      <x:c r="Y3058" s="22" t="str">
        <x:f>"31973555369"</x:f>
        <x:v>31973555369</x:v>
      </x:c>
      <x:c r="Z3058" s="30" t="n">
        <x:v>46539</x:v>
      </x:c>
    </x:row>
    <x:row r="3059" ht="18" customHeight="1">
      <x:c r="A3059" s="22" t="str">
        <x:f>"23450369-2eff-4027-975d-86c260e57aee"</x:f>
        <x:v>23450369-2eff-4027-975d-86c260e57aee</x:v>
      </x:c>
      <x:c r="B3059" s="23" t="str">
        <x:v>PEDRO IGOR GOMES DOURADO</x:v>
      </x:c>
      <x:c r="C3059" s="23" t="str">
        <x:v>pedro igor gomes dourado</x:v>
      </x:c>
      <x:c r="D3059" s="22" t="str">
        <x:f>"67.279.938/0001-63"</x:f>
        <x:v>67.279.938/0001-63</x:v>
      </x:c>
      <x:c r="E3059" s="22" t="str">
        <x:f>"67279938000163"</x:f>
        <x:v>67279938000163</x:v>
      </x:c>
      <x:c r="F3059" s="22" t="str">
        <x:f>"070.863.011-16"</x:f>
        <x:v>070.863.011-16</x:v>
      </x:c>
      <x:c r="G3059" s="22" t="str">
        <x:f>"07086301116"</x:f>
        <x:v>07086301116</x:v>
      </x:c>
      <x:c r="H3059" s="23" t="str">
        <x:v>PEDRODOURADO499@GMAIL.COM</x:v>
      </x:c>
      <x:c r="I3059" s="22" t="str">
        <x:f>"34996885782"</x:f>
        <x:v>34996885782</x:v>
      </x:c>
      <x:c r="J3059" s="23" t="str">
        <x:v>rental</x:v>
      </x:c>
      <x:c r="K3059" s="23" t="str">
        <x:v>rental_company</x:v>
      </x:c>
      <x:c r="L3059" s="24" t="b">
        <x:v>1</x:v>
      </x:c>
      <x:c r="M3059" s="23" t="n">
        <x:v>1</x:v>
      </x:c>
      <x:c r="N3059" s="28" t="n">
        <x:v>46219.812988715275</x:v>
      </x:c>
      <x:c r="O3059" s="28" t="n">
        <x:v>46219.812988715275</x:v>
      </x:c>
      <x:c r="P3059" s="23" t="str">
        <x:v>UBERLANDIA</x:v>
      </x:c>
      <x:c r="Q3059" s="30" t="n">
        <x:v>36957</x:v>
      </x:c>
      <x:c r="R3059" s="22" t="str">
        <x:f>"3677020"</x:f>
        <x:v>3677020</x:v>
      </x:c>
      <x:c r="S3059" s="23" t="str">
        <x:v>masculino</x:v>
      </x:c>
      <x:c r="T3059" s="22" t="str"/>
      <x:c r="U3059" s="23" t="str">
        <x:v>PEDRO IGOR GOMES DOURADO</x:v>
      </x:c>
      <x:c r="V3059" s="22" t="str">
        <x:f>"070.863.011-16"</x:f>
        <x:v>070.863.011-16</x:v>
      </x:c>
      <x:c r="W3059" s="22" t="str">
        <x:f>"07086301116"</x:f>
        <x:v>07086301116</x:v>
      </x:c>
      <x:c r="X3059" s="23" t="str">
        <x:v>PEDRODOURADO499@GMAIL.COM</x:v>
      </x:c>
      <x:c r="Y3059" s="22" t="str">
        <x:f>"34996885782"</x:f>
        <x:v>34996885782</x:v>
      </x:c>
      <x:c r="Z3059" s="30" t="n">
        <x:v>46550</x:v>
      </x:c>
    </x:row>
    <x:row r="3060" ht="18" customHeight="1">
      <x:c r="A3060" s="22" t="str">
        <x:f>"cfbdbb38-0c63-44b0-b43c-ecaf2f7432ca"</x:f>
        <x:v>cfbdbb38-0c63-44b0-b43c-ecaf2f7432ca</x:v>
      </x:c>
      <x:c r="B3060" s="23" t="str">
        <x:v>PEDRO LUCAS CALDERARO</x:v>
      </x:c>
      <x:c r="C3060" s="23" t="str">
        <x:v>pedro lucas calderaro</x:v>
      </x:c>
      <x:c r="D3060" s="22" t="str">
        <x:f>"61.117.757/0001-54"</x:f>
        <x:v>61.117.757/0001-54</x:v>
      </x:c>
      <x:c r="E3060" s="22" t="str">
        <x:f>"61117757000154"</x:f>
        <x:v>61117757000154</x:v>
      </x:c>
      <x:c r="F3060" s="22" t="str">
        <x:f>"51273389808"</x:f>
        <x:v>51273389808</x:v>
      </x:c>
      <x:c r="G3060" s="22" t="str">
        <x:f>"51273389808"</x:f>
        <x:v>51273389808</x:v>
      </x:c>
      <x:c r="H3060" s="23" t="str">
        <x:v>pedrolucascalderaro86@gmail.com</x:v>
      </x:c>
      <x:c r="I3060" s="22" t="str">
        <x:f>"17981321071"</x:f>
        <x:v>17981321071</x:v>
      </x:c>
      <x:c r="J3060" s="23" t="str">
        <x:v>SPOT</x:v>
      </x:c>
      <x:c r="K3060" s="23" t="str">
        <x:v>favored_only</x:v>
      </x:c>
      <x:c r="L3060" s="24" t="b">
        <x:v>1</x:v>
      </x:c>
      <x:c r="M3060" s="23" t="n">
        <x:v>1</x:v>
      </x:c>
      <x:c r="N3060" s="28" t="n">
        <x:v>46203.92183332176</x:v>
      </x:c>
      <x:c r="O3060" s="28" t="n">
        <x:v>46203.92183332176</x:v>
      </x:c>
      <x:c r="P3060" s="23" t="str"/>
      <x:c r="Q3060" s="30" t="str"/>
      <x:c r="R3060" s="22" t="str"/>
      <x:c r="S3060" s="23" t="str"/>
      <x:c r="T3060" s="22" t="str"/>
      <x:c r="U3060" s="23" t="str">
        <x:v>PEDRO LUCAS CALDERARO</x:v>
      </x:c>
      <x:c r="V3060" s="22" t="str">
        <x:f>"51273389808"</x:f>
        <x:v>51273389808</x:v>
      </x:c>
      <x:c r="W3060" s="22" t="str">
        <x:f>"51273389808"</x:f>
        <x:v>51273389808</x:v>
      </x:c>
      <x:c r="X3060" s="23" t="str">
        <x:v>pedrolucascalderaro86@gmail.com</x:v>
      </x:c>
      <x:c r="Y3060" s="22" t="str">
        <x:f>"17981321071"</x:f>
        <x:v>17981321071</x:v>
      </x:c>
      <x:c r="Z3060" s="30" t="str"/>
    </x:row>
    <x:row r="3061" ht="18" customHeight="1">
      <x:c r="A3061" s="22" t="str">
        <x:f>"8ccc567f-4286-41b0-b4cd-4dc68300c3d0"</x:f>
        <x:v>8ccc567f-4286-41b0-b4cd-4dc68300c3d0</x:v>
      </x:c>
      <x:c r="B3061" s="23" t="str">
        <x:v>PEDRO LUCAS DOS SANTOS SILVA</x:v>
      </x:c>
      <x:c r="C3061" s="23" t="str">
        <x:v>pedro lucas dos santos silva</x:v>
      </x:c>
      <x:c r="D3061" s="22" t="str">
        <x:f>"33.753.448/0001-35"</x:f>
        <x:v>33.753.448/0001-35</x:v>
      </x:c>
      <x:c r="E3061" s="22" t="str">
        <x:f>"33753448000135"</x:f>
        <x:v>33753448000135</x:v>
      </x:c>
      <x:c r="F3061" s="22" t="str">
        <x:f>"167.426.767-36"</x:f>
        <x:v>167.426.767-36</x:v>
      </x:c>
      <x:c r="G3061" s="22" t="str">
        <x:f>"16742676736"</x:f>
        <x:v>16742676736</x:v>
      </x:c>
      <x:c r="H3061" s="23" t="str">
        <x:v>pedrosantos1741@outlook.com</x:v>
      </x:c>
      <x:c r="I3061" s="22" t="str">
        <x:f>"21959017881"</x:f>
        <x:v>21959017881</x:v>
      </x:c>
      <x:c r="J3061" s="23" t="str">
        <x:v>SPOT</x:v>
      </x:c>
      <x:c r="K3061" s="23" t="str">
        <x:v>favored_only</x:v>
      </x:c>
      <x:c r="L3061" s="24" t="b">
        <x:v>1</x:v>
      </x:c>
      <x:c r="M3061" s="23" t="n">
        <x:v>1</x:v>
      </x:c>
      <x:c r="N3061" s="28" t="n">
        <x:v>46203.92189965278</x:v>
      </x:c>
      <x:c r="O3061" s="28" t="n">
        <x:v>46219.812988715275</x:v>
      </x:c>
      <x:c r="P3061" s="23" t="str">
        <x:v>QUEIMADOS</x:v>
      </x:c>
      <x:c r="Q3061" s="30" t="n">
        <x:v>36738</x:v>
      </x:c>
      <x:c r="R3061" s="22" t="str">
        <x:f>"315971028"</x:f>
        <x:v>315971028</x:v>
      </x:c>
      <x:c r="S3061" s="23" t="str">
        <x:v>masculino</x:v>
      </x:c>
      <x:c r="T3061" s="22" t="str">
        <x:f>"LPW7H59"</x:f>
        <x:v>LPW7H59</x:v>
      </x:c>
      <x:c r="U3061" s="23" t="str">
        <x:v>PEDRO LUCAS DOS SANTOS SILVA</x:v>
      </x:c>
      <x:c r="V3061" s="22" t="str">
        <x:f>"167.426.767-36"</x:f>
        <x:v>167.426.767-36</x:v>
      </x:c>
      <x:c r="W3061" s="22" t="str">
        <x:f>"16742676736"</x:f>
        <x:v>16742676736</x:v>
      </x:c>
      <x:c r="X3061" s="23" t="str">
        <x:v>pedrosantos1741@outlook.com</x:v>
      </x:c>
      <x:c r="Y3061" s="22" t="str">
        <x:f>"21959017881"</x:f>
        <x:v>21959017881</x:v>
      </x:c>
      <x:c r="Z3061" s="30" t="n">
        <x:v>46351</x:v>
      </x:c>
    </x:row>
    <x:row r="3062" ht="18" customHeight="1">
      <x:c r="A3062" s="22" t="str">
        <x:f>"3b362573-cbb9-4cf1-97a7-42e1311f4a74"</x:f>
        <x:v>3b362573-cbb9-4cf1-97a7-42e1311f4a74</x:v>
      </x:c>
      <x:c r="B3062" s="23" t="str">
        <x:v>PEDRO MESSIAS JUNIOR</x:v>
      </x:c>
      <x:c r="C3062" s="23" t="str">
        <x:v>pedro messias junior</x:v>
      </x:c>
      <x:c r="D3062" s="22" t="str">
        <x:f>"57.342.569/0001-52"</x:f>
        <x:v>57.342.569/0001-52</x:v>
      </x:c>
      <x:c r="E3062" s="22" t="str">
        <x:f>"57342569000152"</x:f>
        <x:v>57342569000152</x:v>
      </x:c>
      <x:c r="F3062" s="22" t="str">
        <x:f>"348.450.358-04"</x:f>
        <x:v>348.450.358-04</x:v>
      </x:c>
      <x:c r="G3062" s="22" t="str">
        <x:f>"34845035804"</x:f>
        <x:v>34845035804</x:v>
      </x:c>
      <x:c r="H3062" s="23" t="str">
        <x:v>mjrmessias@gmail.com</x:v>
      </x:c>
      <x:c r="I3062" s="22" t="str">
        <x:f>"17991660183"</x:f>
        <x:v>17991660183</x:v>
      </x:c>
      <x:c r="J3062" s="23" t="str">
        <x:v>SPOT</x:v>
      </x:c>
      <x:c r="K3062" s="23" t="str">
        <x:v>favored_only</x:v>
      </x:c>
      <x:c r="L3062" s="24" t="b">
        <x:v>1</x:v>
      </x:c>
      <x:c r="M3062" s="23" t="n">
        <x:v>1</x:v>
      </x:c>
      <x:c r="N3062" s="28" t="n">
        <x:v>46205.60372731482</x:v>
      </x:c>
      <x:c r="O3062" s="28" t="n">
        <x:v>46219.812988715275</x:v>
      </x:c>
      <x:c r="P3062" s="23" t="str">
        <x:v>SÃO JOSE DO RIO PRETO</x:v>
      </x:c>
      <x:c r="Q3062" s="30" t="n">
        <x:v>31922</x:v>
      </x:c>
      <x:c r="R3062" s="22" t="str">
        <x:f>"43719341"</x:f>
        <x:v>43719341</x:v>
      </x:c>
      <x:c r="S3062" s="23" t="str">
        <x:v>feminino</x:v>
      </x:c>
      <x:c r="T3062" s="22" t="str">
        <x:f>"EAU9064"</x:f>
        <x:v>EAU9064</x:v>
      </x:c>
      <x:c r="U3062" s="23" t="str">
        <x:v>NATHALIA FERREIRA DOS SANTOS</x:v>
      </x:c>
      <x:c r="V3062" s="22" t="str">
        <x:f>"443.087.988-50"</x:f>
        <x:v>443.087.988-50</x:v>
      </x:c>
      <x:c r="W3062" s="22" t="str">
        <x:f>"44308798850"</x:f>
        <x:v>44308798850</x:v>
      </x:c>
      <x:c r="X3062" s="23" t="str">
        <x:v>nathaliaferreirasantos2@gmail.com</x:v>
      </x:c>
      <x:c r="Y3062" s="22" t="str">
        <x:f>"17 99272-1820"</x:f>
        <x:v>17 99272-1820</x:v>
      </x:c>
      <x:c r="Z3062" s="30" t="n">
        <x:v>46236</x:v>
      </x:c>
    </x:row>
    <x:row r="3063" ht="18" customHeight="1">
      <x:c r="A3063" s="22" t="str">
        <x:f>"735678d4-e9da-4c57-a88a-b549ca6e0ce8"</x:f>
        <x:v>735678d4-e9da-4c57-a88a-b549ca6e0ce8</x:v>
      </x:c>
      <x:c r="B3063" s="23" t="str">
        <x:v>PEDRO PAULO DA SILVA</x:v>
      </x:c>
      <x:c r="C3063" s="23" t="str">
        <x:v>pedro paulo da silva</x:v>
      </x:c>
      <x:c r="D3063" s="22" t="str">
        <x:f>"67.151.110/0001-25"</x:f>
        <x:v>67.151.110/0001-25</x:v>
      </x:c>
      <x:c r="E3063" s="22" t="str">
        <x:f>"67151110000125"</x:f>
        <x:v>67151110000125</x:v>
      </x:c>
      <x:c r="F3063" s="22" t="str">
        <x:f>"700.470.476-90"</x:f>
        <x:v>700.470.476-90</x:v>
      </x:c>
      <x:c r="G3063" s="22" t="str">
        <x:f>"70047047690"</x:f>
        <x:v>70047047690</x:v>
      </x:c>
      <x:c r="H3063" s="23" t="str">
        <x:v>pedro.silva.pp0609@gmail.com</x:v>
      </x:c>
      <x:c r="I3063" s="22" t="str">
        <x:f>"(35)99916-2806"</x:f>
        <x:v>(35)99916-2806</x:v>
      </x:c>
      <x:c r="J3063" s="23" t="str">
        <x:v>RENTAL</x:v>
      </x:c>
      <x:c r="K3063" s="23" t="str">
        <x:v>rental_company</x:v>
      </x:c>
      <x:c r="L3063" s="24" t="b">
        <x:v>1</x:v>
      </x:c>
      <x:c r="M3063" s="23" t="n">
        <x:v>1</x:v>
      </x:c>
      <x:c r="N3063" s="28" t="n">
        <x:v>46219.812988715275</x:v>
      </x:c>
      <x:c r="O3063" s="28" t="n">
        <x:v>46219.812988715275</x:v>
      </x:c>
      <x:c r="P3063" s="23" t="str">
        <x:v>POUSO ALEGRE</x:v>
      </x:c>
      <x:c r="Q3063" s="30" t="n">
        <x:v>36775</x:v>
      </x:c>
      <x:c r="R3063" s="22" t="str">
        <x:f>"MG21155860 SSP MG"</x:f>
        <x:v>MG21155860 SSP MG</x:v>
      </x:c>
      <x:c r="S3063" s="23" t="str">
        <x:v>masculino</x:v>
      </x:c>
      <x:c r="T3063" s="22" t="str"/>
      <x:c r="U3063" s="23" t="str">
        <x:v>PEDRO PAULO DA SILVA</x:v>
      </x:c>
      <x:c r="V3063" s="22" t="str">
        <x:f>"700.470.476-90"</x:f>
        <x:v>700.470.476-90</x:v>
      </x:c>
      <x:c r="W3063" s="22" t="str">
        <x:f>"70047047690"</x:f>
        <x:v>70047047690</x:v>
      </x:c>
      <x:c r="X3063" s="23" t="str">
        <x:v>pedro.silva.pp0609@gmail.com</x:v>
      </x:c>
      <x:c r="Y3063" s="22" t="str">
        <x:f>"(35)99916-2806"</x:f>
        <x:v>(35)99916-2806</x:v>
      </x:c>
      <x:c r="Z3063" s="30" t="n">
        <x:v>46541</x:v>
      </x:c>
    </x:row>
    <x:row r="3064" ht="18" customHeight="1">
      <x:c r="A3064" s="22" t="str">
        <x:f>"0e0c9adc-811b-4a31-b08b-bc3fe4c3f8cf"</x:f>
        <x:v>0e0c9adc-811b-4a31-b08b-bc3fe4c3f8cf</x:v>
      </x:c>
      <x:c r="B3064" s="23" t="str">
        <x:v>PEDRO PAULO MOTTA MELLO JUNIOR</x:v>
      </x:c>
      <x:c r="C3064" s="23" t="str">
        <x:v>pedro paulo motta mello junior</x:v>
      </x:c>
      <x:c r="D3064" s="22" t="str">
        <x:f>"67.630.526/0001-26"</x:f>
        <x:v>67.630.526/0001-26</x:v>
      </x:c>
      <x:c r="E3064" s="22" t="str">
        <x:f>"67630526000126"</x:f>
        <x:v>67630526000126</x:v>
      </x:c>
      <x:c r="F3064" s="22" t="str">
        <x:f>"929.195.611-20"</x:f>
        <x:v>929.195.611-20</x:v>
      </x:c>
      <x:c r="G3064" s="22" t="str">
        <x:f>"92919561120"</x:f>
        <x:v>92919561120</x:v>
      </x:c>
      <x:c r="H3064" s="23" t="str">
        <x:v>mellovistorias@gmail.com</x:v>
      </x:c>
      <x:c r="I3064" s="22" t="str">
        <x:f>"65 99660-9239"</x:f>
        <x:v>65 99660-9239</x:v>
      </x:c>
      <x:c r="J3064" s="23" t="str">
        <x:v>RENTAL</x:v>
      </x:c>
      <x:c r="K3064" s="23" t="str">
        <x:v>rental_company</x:v>
      </x:c>
      <x:c r="L3064" s="24" t="b">
        <x:v>1</x:v>
      </x:c>
      <x:c r="M3064" s="23" t="n">
        <x:v>1</x:v>
      </x:c>
      <x:c r="N3064" s="28" t="n">
        <x:v>46219.812988715275</x:v>
      </x:c>
      <x:c r="O3064" s="28" t="n">
        <x:v>46219.812988715275</x:v>
      </x:c>
      <x:c r="P3064" s="23" t="str">
        <x:v>CUIABA</x:v>
      </x:c>
      <x:c r="Q3064" s="30" t="n">
        <x:v>29805</x:v>
      </x:c>
      <x:c r="R3064" s="22" t="str">
        <x:f>"1105443-3"</x:f>
        <x:v>1105443-3</x:v>
      </x:c>
      <x:c r="S3064" s="23" t="str">
        <x:v>masculino</x:v>
      </x:c>
      <x:c r="T3064" s="22" t="str"/>
      <x:c r="U3064" s="23" t="str">
        <x:v>PEDRO PAULO MOTTA MELLO JUNIOR</x:v>
      </x:c>
      <x:c r="V3064" s="22" t="str">
        <x:f>"929.195.611-20"</x:f>
        <x:v>929.195.611-20</x:v>
      </x:c>
      <x:c r="W3064" s="22" t="str">
        <x:f>"92919561120"</x:f>
        <x:v>92919561120</x:v>
      </x:c>
      <x:c r="X3064" s="23" t="str">
        <x:v>mellovistorias@gmail.com</x:v>
      </x:c>
      <x:c r="Y3064" s="22" t="str">
        <x:f>"65 99660-9239"</x:f>
        <x:v>65 99660-9239</x:v>
      </x:c>
      <x:c r="Z3064" s="30" t="n">
        <x:v>46560</x:v>
      </x:c>
    </x:row>
    <x:row r="3065" ht="18" customHeight="1">
      <x:c r="A3065" s="22" t="str">
        <x:f>"0911a932-7fec-4152-bb35-890579883343"</x:f>
        <x:v>0911a932-7fec-4152-bb35-890579883343</x:v>
      </x:c>
      <x:c r="B3065" s="23" t="str">
        <x:v>PEDRO PAULO PIRES DA SILVA FERREIRA</x:v>
      </x:c>
      <x:c r="C3065" s="23" t="str">
        <x:v>pedro paulo pires da silva ferreira</x:v>
      </x:c>
      <x:c r="D3065" s="22" t="str">
        <x:f>"37.823.997/0001-90"</x:f>
        <x:v>37.823.997/0001-90</x:v>
      </x:c>
      <x:c r="E3065" s="22" t="str">
        <x:f>"37823997000190"</x:f>
        <x:v>37823997000190</x:v>
      </x:c>
      <x:c r="F3065" s="22" t="str">
        <x:f>"003.439.361-78"</x:f>
        <x:v>003.439.361-78</x:v>
      </x:c>
      <x:c r="G3065" s="22" t="str">
        <x:f>"00343936178"</x:f>
        <x:v>00343936178</x:v>
      </x:c>
      <x:c r="H3065" s="23" t="str">
        <x:v>agradeceradeustododia@gmail.com</x:v>
      </x:c>
      <x:c r="I3065" s="22" t="str">
        <x:f>"+55 65 9346-7832"</x:f>
        <x:v>+55 65 9346-7832</x:v>
      </x:c>
      <x:c r="J3065" s="23" t="str">
        <x:v>SPOT</x:v>
      </x:c>
      <x:c r="K3065" s="23" t="str">
        <x:v>favored_only</x:v>
      </x:c>
      <x:c r="L3065" s="24" t="b">
        <x:v>1</x:v>
      </x:c>
      <x:c r="M3065" s="23" t="n">
        <x:v>1</x:v>
      </x:c>
      <x:c r="N3065" s="28" t="n">
        <x:v>46219.812988715275</x:v>
      </x:c>
      <x:c r="O3065" s="28" t="n">
        <x:v>46219.812988715275</x:v>
      </x:c>
      <x:c r="P3065" s="23" t="str">
        <x:v>PONTES E LACERDA</x:v>
      </x:c>
      <x:c r="Q3065" s="30" t="n">
        <x:v>30496</x:v>
      </x:c>
      <x:c r="R3065" s="22" t="str">
        <x:f>"2023937110"</x:f>
        <x:v>2023937110</x:v>
      </x:c>
      <x:c r="S3065" s="23" t="str">
        <x:v>masculino</x:v>
      </x:c>
      <x:c r="T3065" s="22" t="str">
        <x:f>"nty7c67"</x:f>
        <x:v>nty7c67</x:v>
      </x:c>
      <x:c r="U3065" s="23" t="str">
        <x:v>RODOPRIME TRANSPORTES E CARGAS LTDA</x:v>
      </x:c>
      <x:c r="V3065" s="22" t="str">
        <x:f>"038.768.901-01"</x:f>
        <x:v>038.768.901-01</x:v>
      </x:c>
      <x:c r="W3065" s="22" t="str">
        <x:f>"03876890101"</x:f>
        <x:v>03876890101</x:v>
      </x:c>
      <x:c r="X3065" s="23" t="str">
        <x:v>rtp.cargas@gmail.com</x:v>
      </x:c>
      <x:c r="Y3065" s="22" t="str">
        <x:f>"62991277279"</x:f>
        <x:v>62991277279</x:v>
      </x:c>
      <x:c r="Z3065" s="30" t="n">
        <x:v>46561</x:v>
      </x:c>
    </x:row>
    <x:row r="3066" ht="18" customHeight="1">
      <x:c r="A3066" s="22" t="str">
        <x:f>"a9f3c52e-f982-47d0-8de0-222e288bf76b"</x:f>
        <x:v>a9f3c52e-f982-47d0-8de0-222e288bf76b</x:v>
      </x:c>
      <x:c r="B3066" s="23" t="str">
        <x:v>PEDRO RAIMUNDO DE SOUZA FILHO</x:v>
      </x:c>
      <x:c r="C3066" s="23" t="str">
        <x:v>pedro raimundo de souza filho</x:v>
      </x:c>
      <x:c r="D3066" s="22" t="str">
        <x:f>"66.574.384/0001-64"</x:f>
        <x:v>66.574.384/0001-64</x:v>
      </x:c>
      <x:c r="E3066" s="22" t="str">
        <x:f>"66574384000164"</x:f>
        <x:v>66574384000164</x:v>
      </x:c>
      <x:c r="F3066" s="22" t="str">
        <x:f>"224.444.178-44"</x:f>
        <x:v>224.444.178-44</x:v>
      </x:c>
      <x:c r="G3066" s="22" t="str">
        <x:f>"22444417844"</x:f>
        <x:v>22444417844</x:v>
      </x:c>
      <x:c r="H3066" s="23" t="str">
        <x:v>Pedroraimundo842@gmail.com</x:v>
      </x:c>
      <x:c r="I3066" s="22" t="str">
        <x:f>"(18)997820126"</x:f>
        <x:v>(18)997820126</x:v>
      </x:c>
      <x:c r="J3066" s="23" t="str">
        <x:v>SPOT</x:v>
      </x:c>
      <x:c r="K3066" s="23" t="str">
        <x:v>favored_only</x:v>
      </x:c>
      <x:c r="L3066" s="24" t="b">
        <x:v>1</x:v>
      </x:c>
      <x:c r="M3066" s="23" t="n">
        <x:v>1</x:v>
      </x:c>
      <x:c r="N3066" s="28" t="n">
        <x:v>46219.812988715275</x:v>
      </x:c>
      <x:c r="O3066" s="28" t="n">
        <x:v>46219.812988715275</x:v>
      </x:c>
      <x:c r="P3066" s="23" t="str">
        <x:v>PRESIDENTE PRUDENTE</x:v>
      </x:c>
      <x:c r="Q3066" s="30" t="n">
        <x:v>29774</x:v>
      </x:c>
      <x:c r="R3066" s="22" t="str">
        <x:f>"45432402-9"</x:f>
        <x:v>45432402-9</x:v>
      </x:c>
      <x:c r="S3066" s="23" t="str">
        <x:v>masculino</x:v>
      </x:c>
      <x:c r="T3066" s="22" t="str">
        <x:f>"DFY5A44"</x:f>
        <x:v>DFY5A44</x:v>
      </x:c>
      <x:c r="U3066" s="23" t="str">
        <x:v>PEDRO RAIMUNDO DE SOUZA FILHO</x:v>
      </x:c>
      <x:c r="V3066" s="22" t="str">
        <x:f>"224.444.178-44"</x:f>
        <x:v>224.444.178-44</x:v>
      </x:c>
      <x:c r="W3066" s="22" t="str">
        <x:f>"22444417844"</x:f>
        <x:v>22444417844</x:v>
      </x:c>
      <x:c r="X3066" s="23" t="str">
        <x:v>Pedroraimundo842@gmail.com</x:v>
      </x:c>
      <x:c r="Y3066" s="22" t="str">
        <x:f>"(18)997820126"</x:f>
        <x:v>(18)997820126</x:v>
      </x:c>
      <x:c r="Z3066" s="30" t="n">
        <x:v>46540</x:v>
      </x:c>
    </x:row>
    <x:row r="3067" ht="18" customHeight="1">
      <x:c r="A3067" s="22" t="str">
        <x:f>"3ed75394-8c9d-42a0-8613-263757f66723"</x:f>
        <x:v>3ed75394-8c9d-42a0-8613-263757f66723</x:v>
      </x:c>
      <x:c r="B3067" s="23" t="str">
        <x:v>PEDRO VICTOR DOS SANTOS</x:v>
      </x:c>
      <x:c r="C3067" s="23" t="str">
        <x:v>pedro victor dos santos</x:v>
      </x:c>
      <x:c r="D3067" s="22" t="str">
        <x:f>"67.520.599/0001-65"</x:f>
        <x:v>67.520.599/0001-65</x:v>
      </x:c>
      <x:c r="E3067" s="22" t="str">
        <x:f>"67520599000165"</x:f>
        <x:v>67520599000165</x:v>
      </x:c>
      <x:c r="F3067" s="22" t="str">
        <x:f>"145.930.776-30"</x:f>
        <x:v>145.930.776-30</x:v>
      </x:c>
      <x:c r="G3067" s="22" t="str">
        <x:f>"14593077630"</x:f>
        <x:v>14593077630</x:v>
      </x:c>
      <x:c r="H3067" s="23" t="str">
        <x:v>vitorpedro606@gmail.com</x:v>
      </x:c>
      <x:c r="I3067" s="22" t="str">
        <x:f>"(33) 9 8839 5084"</x:f>
        <x:v>(33) 9 8839 5084</x:v>
      </x:c>
      <x:c r="J3067" s="23" t="str">
        <x:v>SPOT</x:v>
      </x:c>
      <x:c r="K3067" s="23" t="str">
        <x:v>favored_only</x:v>
      </x:c>
      <x:c r="L3067" s="24" t="b">
        <x:v>1</x:v>
      </x:c>
      <x:c r="M3067" s="23" t="n">
        <x:v>1</x:v>
      </x:c>
      <x:c r="N3067" s="28" t="n">
        <x:v>46219.812988715275</x:v>
      </x:c>
      <x:c r="O3067" s="28" t="n">
        <x:v>46219.812988715275</x:v>
      </x:c>
      <x:c r="P3067" s="23" t="str">
        <x:v>GUANHAES</x:v>
      </x:c>
      <x:c r="Q3067" s="30" t="n">
        <x:v>36468</x:v>
      </x:c>
      <x:c r="R3067" s="22" t="str">
        <x:f>"21010258"</x:f>
        <x:v>21010258</x:v>
      </x:c>
      <x:c r="S3067" s="23" t="str">
        <x:v>masculino</x:v>
      </x:c>
      <x:c r="T3067" s="22" t="str">
        <x:f>"HJU2E41"</x:f>
        <x:v>HJU2E41</x:v>
      </x:c>
      <x:c r="U3067" s="23" t="str">
        <x:v>PEDRO VICTOR DOS SANTOS</x:v>
      </x:c>
      <x:c r="V3067" s="22" t="str">
        <x:f>"145.930.776-30"</x:f>
        <x:v>145.930.776-30</x:v>
      </x:c>
      <x:c r="W3067" s="22" t="str">
        <x:f>"14593077630"</x:f>
        <x:v>14593077630</x:v>
      </x:c>
      <x:c r="X3067" s="23" t="str">
        <x:v>vitorpedro606@gmail.com</x:v>
      </x:c>
      <x:c r="Y3067" s="22" t="str">
        <x:f>"(33) 9 8839 5084"</x:f>
        <x:v>(33) 9 8839 5084</x:v>
      </x:c>
      <x:c r="Z3067" s="30" t="n">
        <x:v>46556</x:v>
      </x:c>
    </x:row>
    <x:row r="3068" ht="18" customHeight="1">
      <x:c r="A3068" s="22" t="str">
        <x:f>"169fa41b-acae-4478-9900-919727a41950"</x:f>
        <x:v>169fa41b-acae-4478-9900-919727a41950</x:v>
      </x:c>
      <x:c r="B3068" s="23" t="str">
        <x:v>Pericles Ferreira Correia</x:v>
      </x:c>
      <x:c r="C3068" s="23" t="str">
        <x:v>pericles ferreira correia</x:v>
      </x:c>
      <x:c r="D3068" s="22" t="str">
        <x:f>"5892156000169"</x:f>
        <x:v>5892156000169</x:v>
      </x:c>
      <x:c r="E3068" s="22" t="str">
        <x:f>"5892156000169"</x:f>
        <x:v>5892156000169</x:v>
      </x:c>
      <x:c r="F3068" s="22" t="str">
        <x:f>"045.534.796-48"</x:f>
        <x:v>045.534.796-48</x:v>
      </x:c>
      <x:c r="G3068" s="22" t="str">
        <x:f>"04553479648"</x:f>
        <x:v>04553479648</x:v>
      </x:c>
      <x:c r="H3068" s="23" t="str">
        <x:v>mniriam29@yahoo.com</x:v>
      </x:c>
      <x:c r="I3068" s="22" t="str">
        <x:f>"31983115089"</x:f>
        <x:v>31983115089</x:v>
      </x:c>
      <x:c r="J3068" s="23" t="str">
        <x:v>SPOT</x:v>
      </x:c>
      <x:c r="K3068" s="23" t="str">
        <x:v>favored_only</x:v>
      </x:c>
      <x:c r="L3068" s="24" t="b">
        <x:v>1</x:v>
      </x:c>
      <x:c r="M3068" s="23" t="n">
        <x:v>1</x:v>
      </x:c>
      <x:c r="N3068" s="28" t="n">
        <x:v>46203.921840393516</x:v>
      </x:c>
      <x:c r="O3068" s="28" t="n">
        <x:v>46205.60504163194</x:v>
      </x:c>
      <x:c r="P3068" s="23" t="str">
        <x:v>CONTAGEM</x:v>
      </x:c>
      <x:c r="Q3068" s="30" t="n">
        <x:v>29353</x:v>
      </x:c>
      <x:c r="R3068" s="22" t="str">
        <x:f>"10296939"</x:f>
        <x:v>10296939</x:v>
      </x:c>
      <x:c r="S3068" s="23" t="str">
        <x:v>Masculino</x:v>
      </x:c>
      <x:c r="T3068" s="22" t="str">
        <x:f>"HBZ5342"</x:f>
        <x:v>HBZ5342</x:v>
      </x:c>
      <x:c r="U3068" s="23" t="str">
        <x:v>Pericles Ferreira Correia</x:v>
      </x:c>
      <x:c r="V3068" s="22" t="str">
        <x:f>"045.534.796-48"</x:f>
        <x:v>045.534.796-48</x:v>
      </x:c>
      <x:c r="W3068" s="22" t="str">
        <x:f>"04553479648"</x:f>
        <x:v>04553479648</x:v>
      </x:c>
      <x:c r="X3068" s="23" t="str">
        <x:v>mniriam29@yahoo.com</x:v>
      </x:c>
      <x:c r="Y3068" s="22" t="str">
        <x:f>"31983115089"</x:f>
        <x:v>31983115089</x:v>
      </x:c>
      <x:c r="Z3068" s="30" t="n">
        <x:v>46224</x:v>
      </x:c>
    </x:row>
    <x:row r="3069" ht="18" customHeight="1">
      <x:c r="A3069" s="22" t="str">
        <x:f>"21852137-3a5f-4880-a3e1-73826ad95625"</x:f>
        <x:v>21852137-3a5f-4880-a3e1-73826ad95625</x:v>
      </x:c>
      <x:c r="B3069" s="23" t="str">
        <x:v>Pérsida  Régis taveira Rodrigues dos santos</x:v>
      </x:c>
      <x:c r="C3069" s="23" t="str">
        <x:v>persida regis taveira rodrigues dos santos</x:v>
      </x:c>
      <x:c r="D3069" s="22" t="str">
        <x:f>"64.150.299/0001-43"</x:f>
        <x:v>64.150.299/0001-43</x:v>
      </x:c>
      <x:c r="E3069" s="22" t="str">
        <x:f>"64150299000143"</x:f>
        <x:v>64150299000143</x:v>
      </x:c>
      <x:c r="F3069" s="22" t="str">
        <x:f>"037.036.091-50"</x:f>
        <x:v>037.036.091-50</x:v>
      </x:c>
      <x:c r="G3069" s="22" t="str">
        <x:f>"03703609150"</x:f>
        <x:v>03703609150</x:v>
      </x:c>
      <x:c r="H3069" s="23" t="str">
        <x:v>cantorapersida@gmail.com</x:v>
      </x:c>
      <x:c r="I3069" s="22" t="str">
        <x:f>"63992353296"</x:f>
        <x:v>63992353296</x:v>
      </x:c>
      <x:c r="J3069" s="23" t="str">
        <x:v>SPOT</x:v>
      </x:c>
      <x:c r="K3069" s="23" t="str">
        <x:v>favored_only</x:v>
      </x:c>
      <x:c r="L3069" s="24" t="b">
        <x:v>1</x:v>
      </x:c>
      <x:c r="M3069" s="23" t="n">
        <x:v>1</x:v>
      </x:c>
      <x:c r="N3069" s="28" t="n">
        <x:v>46203.9219084375</x:v>
      </x:c>
      <x:c r="O3069" s="28" t="n">
        <x:v>46203.9219084375</x:v>
      </x:c>
      <x:c r="P3069" s="23" t="str"/>
      <x:c r="Q3069" s="30" t="str"/>
      <x:c r="R3069" s="22" t="str"/>
      <x:c r="S3069" s="23" t="str"/>
      <x:c r="T3069" s="22" t="str"/>
      <x:c r="U3069" s="23" t="str">
        <x:v>Pérsida  Régis taveira Rodrigues dos santos</x:v>
      </x:c>
      <x:c r="V3069" s="22" t="str">
        <x:f>"037.036.091-50"</x:f>
        <x:v>037.036.091-50</x:v>
      </x:c>
      <x:c r="W3069" s="22" t="str">
        <x:f>"03703609150"</x:f>
        <x:v>03703609150</x:v>
      </x:c>
      <x:c r="X3069" s="23" t="str">
        <x:v>cantorapersida@gmail.com</x:v>
      </x:c>
      <x:c r="Y3069" s="22" t="str">
        <x:f>"63992353296"</x:f>
        <x:v>63992353296</x:v>
      </x:c>
      <x:c r="Z3069" s="30" t="str"/>
    </x:row>
    <x:row r="3070" ht="18" customHeight="1">
      <x:c r="A3070" s="22" t="str">
        <x:f>"aa2c12f8-ce32-4069-95c5-bc6156d77b04"</x:f>
        <x:v>aa2c12f8-ce32-4069-95c5-bc6156d77b04</x:v>
      </x:c>
      <x:c r="B3070" s="23" t="str">
        <x:v>PETER ANTUNES DOS SATOS</x:v>
      </x:c>
      <x:c r="C3070" s="23" t="str">
        <x:v>peter antunes dos satos</x:v>
      </x:c>
      <x:c r="D3070" s="22" t="str">
        <x:f>"28.531.593/0001-31"</x:f>
        <x:v>28.531.593/0001-31</x:v>
      </x:c>
      <x:c r="E3070" s="22" t="str">
        <x:f>"28531593000131"</x:f>
        <x:v>28531593000131</x:v>
      </x:c>
      <x:c r="F3070" s="22" t="str">
        <x:f>"064.184.217-10"</x:f>
        <x:v>064.184.217-10</x:v>
      </x:c>
      <x:c r="G3070" s="22" t="str">
        <x:f>"06418421710"</x:f>
        <x:v>06418421710</x:v>
      </x:c>
      <x:c r="H3070" s="23" t="str">
        <x:v>peterantunes9@gmail.com</x:v>
      </x:c>
      <x:c r="I3070" s="22" t="str">
        <x:f>"21 99584-3179"</x:f>
        <x:v>21 99584-3179</x:v>
      </x:c>
      <x:c r="J3070" s="23" t="str">
        <x:v>SPOT</x:v>
      </x:c>
      <x:c r="K3070" s="23" t="str">
        <x:v>favored_only</x:v>
      </x:c>
      <x:c r="L3070" s="24" t="b">
        <x:v>1</x:v>
      </x:c>
      <x:c r="M3070" s="23" t="n">
        <x:v>1</x:v>
      </x:c>
      <x:c r="N3070" s="28" t="n">
        <x:v>46219.812988715275</x:v>
      </x:c>
      <x:c r="O3070" s="28" t="n">
        <x:v>46219.812988715275</x:v>
      </x:c>
      <x:c r="P3070" s="23" t="str">
        <x:v>ITABORAI</x:v>
      </x:c>
      <x:c r="Q3070" s="30" t="n">
        <x:v>36689</x:v>
      </x:c>
      <x:c r="R3070" s="22" t="str">
        <x:f>"237293188"</x:f>
        <x:v>237293188</x:v>
      </x:c>
      <x:c r="S3070" s="23" t="str">
        <x:v>masculino</x:v>
      </x:c>
      <x:c r="T3070" s="22" t="str">
        <x:f>"KVX9I93"</x:f>
        <x:v>KVX9I93</x:v>
      </x:c>
      <x:c r="U3070" s="23" t="str">
        <x:v>MILENA AGUIAR DE AZEVEDO</x:v>
      </x:c>
      <x:c r="V3070" s="22" t="str">
        <x:f>"142.498.187-56"</x:f>
        <x:v>142.498.187-56</x:v>
      </x:c>
      <x:c r="W3070" s="22" t="str">
        <x:f>"14249818756"</x:f>
        <x:v>14249818756</x:v>
      </x:c>
      <x:c r="X3070" s="23" t="str">
        <x:v>Jean.egger@hotmail.com</x:v>
      </x:c>
      <x:c r="Y3070" s="22" t="str">
        <x:f>"21 99584-3179"</x:f>
        <x:v>21 99584-3179</x:v>
      </x:c>
      <x:c r="Z3070" s="30" t="n">
        <x:v>46514</x:v>
      </x:c>
    </x:row>
    <x:row r="3071" ht="18" customHeight="1">
      <x:c r="A3071" s="22" t="str">
        <x:f>"91e99604-52b9-42d6-be30-25568158800d"</x:f>
        <x:v>91e99604-52b9-42d6-be30-25568158800d</x:v>
      </x:c>
      <x:c r="B3071" s="23" t="str">
        <x:v>PETERSON PETRICK COSTA DA SILVA</x:v>
      </x:c>
      <x:c r="C3071" s="23" t="str">
        <x:v>peterson petrick costa da silva</x:v>
      </x:c>
      <x:c r="D3071" s="22" t="str">
        <x:f>"43.621.104/0001-26"</x:f>
        <x:v>43.621.104/0001-26</x:v>
      </x:c>
      <x:c r="E3071" s="22" t="str">
        <x:f>"43621104000126"</x:f>
        <x:v>43621104000126</x:v>
      </x:c>
      <x:c r="F3071" s="22" t="str">
        <x:f>"151.327.476-71"</x:f>
        <x:v>151.327.476-71</x:v>
      </x:c>
      <x:c r="G3071" s="22" t="str">
        <x:f>"15132747671"</x:f>
        <x:v>15132747671</x:v>
      </x:c>
      <x:c r="H3071" s="23" t="str">
        <x:v>plives880@gmail.com</x:v>
      </x:c>
      <x:c r="I3071" s="22" t="str">
        <x:f>"31 97100‑2841"</x:f>
        <x:v>31 97100‑2841</x:v>
      </x:c>
      <x:c r="J3071" s="23" t="str">
        <x:v>SPOT</x:v>
      </x:c>
      <x:c r="K3071" s="23" t="str">
        <x:v>favored_only</x:v>
      </x:c>
      <x:c r="L3071" s="24" t="b">
        <x:v>1</x:v>
      </x:c>
      <x:c r="M3071" s="23" t="n">
        <x:v>1</x:v>
      </x:c>
      <x:c r="N3071" s="28" t="n">
        <x:v>46205.60485106482</x:v>
      </x:c>
      <x:c r="O3071" s="28" t="n">
        <x:v>46219.812988715275</x:v>
      </x:c>
      <x:c r="P3071" s="23" t="str">
        <x:v>CONTAGEM</x:v>
      </x:c>
      <x:c r="Q3071" s="30" t="n">
        <x:v>36925</x:v>
      </x:c>
      <x:c r="R3071" s="22" t="str">
        <x:f>"21896251"</x:f>
        <x:v>21896251</x:v>
      </x:c>
      <x:c r="S3071" s="23" t="str">
        <x:v>masculino</x:v>
      </x:c>
      <x:c r="T3071" s="22" t="str">
        <x:f>"HJC5536"</x:f>
        <x:v>HJC5536</x:v>
      </x:c>
      <x:c r="U3071" s="23" t="str">
        <x:v>MATHEUS AGUIAR PILER</x:v>
      </x:c>
      <x:c r="V3071" s="22" t="str">
        <x:f>"126.633.896-92"</x:f>
        <x:v>126.633.896-92</x:v>
      </x:c>
      <x:c r="W3071" s="22" t="str">
        <x:f>"12663389692"</x:f>
        <x:v>12663389692</x:v>
      </x:c>
      <x:c r="X3071" s="23" t="str">
        <x:v>matheus_aguiar01@hotmail.com</x:v>
      </x:c>
      <x:c r="Y3071" s="22" t="str">
        <x:f>"31983109201"</x:f>
        <x:v>31983109201</x:v>
      </x:c>
      <x:c r="Z3071" s="30" t="n">
        <x:v>46299</x:v>
      </x:c>
    </x:row>
    <x:row r="3072" ht="18" customHeight="1">
      <x:c r="A3072" s="22" t="str">
        <x:f>"03b5fab3-f10c-45a5-8a3d-1753f2b48266"</x:f>
        <x:v>03b5fab3-f10c-45a5-8a3d-1753f2b48266</x:v>
      </x:c>
      <x:c r="B3072" s="23" t="str">
        <x:v>PETERSON RAYMUNDO DE ABREU</x:v>
      </x:c>
      <x:c r="C3072" s="23" t="str">
        <x:v>peterson raymundo de abreu</x:v>
      </x:c>
      <x:c r="D3072" s="22" t="str">
        <x:f>"59.983.256/0001-09"</x:f>
        <x:v>59.983.256/0001-09</x:v>
      </x:c>
      <x:c r="E3072" s="22" t="str">
        <x:f>"59983256000109"</x:f>
        <x:v>59983256000109</x:v>
      </x:c>
      <x:c r="F3072" s="22" t="str">
        <x:f>"067.004.296-09"</x:f>
        <x:v>067.004.296-09</x:v>
      </x:c>
      <x:c r="G3072" s="22" t="str">
        <x:f>"06700429609"</x:f>
        <x:v>06700429609</x:v>
      </x:c>
      <x:c r="H3072" s="23" t="str">
        <x:v>petersonabreu7@gmail.com</x:v>
      </x:c>
      <x:c r="I3072" s="22" t="str">
        <x:f>"(34) 9 5447 7360"</x:f>
        <x:v>(34) 9 5447 7360</x:v>
      </x:c>
      <x:c r="J3072" s="23" t="str">
        <x:v>RENTAL</x:v>
      </x:c>
      <x:c r="K3072" s="23" t="str">
        <x:v>rental_company</x:v>
      </x:c>
      <x:c r="L3072" s="24" t="b">
        <x:v>1</x:v>
      </x:c>
      <x:c r="M3072" s="23" t="n">
        <x:v>1</x:v>
      </x:c>
      <x:c r="N3072" s="28" t="n">
        <x:v>46219.79396105324</x:v>
      </x:c>
      <x:c r="O3072" s="28" t="n">
        <x:v>46219.812988715275</x:v>
      </x:c>
      <x:c r="P3072" s="23" t="str">
        <x:v>UBERABA</x:v>
      </x:c>
      <x:c r="Q3072" s="30" t="n">
        <x:v>30670</x:v>
      </x:c>
      <x:c r="R3072" s="22" t="str">
        <x:f>"12630442"</x:f>
        <x:v>12630442</x:v>
      </x:c>
      <x:c r="S3072" s="23" t="str">
        <x:v>masculino</x:v>
      </x:c>
      <x:c r="T3072" s="22" t="str"/>
      <x:c r="U3072" s="23" t="str">
        <x:v>PETERSON RAYMUNDO DE ABREU</x:v>
      </x:c>
      <x:c r="V3072" s="22" t="str">
        <x:f>"067.004.296-09"</x:f>
        <x:v>067.004.296-09</x:v>
      </x:c>
      <x:c r="W3072" s="22" t="str">
        <x:f>"06700429609"</x:f>
        <x:v>06700429609</x:v>
      </x:c>
      <x:c r="X3072" s="23" t="str">
        <x:v>petersonabreu7@gmail.com</x:v>
      </x:c>
      <x:c r="Y3072" s="22" t="str">
        <x:f>"(34) 9 5447 7360"</x:f>
        <x:v>(34) 9 5447 7360</x:v>
      </x:c>
      <x:c r="Z3072" s="30" t="n">
        <x:v>46268</x:v>
      </x:c>
    </x:row>
    <x:row r="3073" ht="18" customHeight="1">
      <x:c r="A3073" s="22" t="str">
        <x:f>"85a9f40d-7270-4fd1-b216-f2df33fa0f8f"</x:f>
        <x:v>85a9f40d-7270-4fd1-b216-f2df33fa0f8f</x:v>
      </x:c>
      <x:c r="B3073" s="23" t="str">
        <x:v>PHAOLLA DE LIMA TURIANO</x:v>
      </x:c>
      <x:c r="C3073" s="23" t="str">
        <x:v>phaolla de lima turiano</x:v>
      </x:c>
      <x:c r="D3073" s="22" t="str">
        <x:f>"52.863.467/0001-59"</x:f>
        <x:v>52.863.467/0001-59</x:v>
      </x:c>
      <x:c r="E3073" s="22" t="str">
        <x:f>"52863467000159"</x:f>
        <x:v>52863467000159</x:v>
      </x:c>
      <x:c r="F3073" s="22" t="str">
        <x:f>"416.970.748-63"</x:f>
        <x:v>416.970.748-63</x:v>
      </x:c>
      <x:c r="G3073" s="22" t="str">
        <x:f>"41697074863"</x:f>
        <x:v>41697074863</x:v>
      </x:c>
      <x:c r="H3073" s="23" t="str">
        <x:v>phaollalturiano@outlook.com</x:v>
      </x:c>
      <x:c r="I3073" s="22" t="str">
        <x:f>"(14) 98818-0607"</x:f>
        <x:v>(14) 98818-0607</x:v>
      </x:c>
      <x:c r="J3073" s="23" t="str">
        <x:v>RENTAL</x:v>
      </x:c>
      <x:c r="K3073" s="23" t="str">
        <x:v>rental_company</x:v>
      </x:c>
      <x:c r="L3073" s="24" t="b">
        <x:v>1</x:v>
      </x:c>
      <x:c r="M3073" s="23" t="n">
        <x:v>1</x:v>
      </x:c>
      <x:c r="N3073" s="28" t="n">
        <x:v>46203.92191240741</x:v>
      </x:c>
      <x:c r="O3073" s="28" t="n">
        <x:v>46219.812988715275</x:v>
      </x:c>
      <x:c r="P3073" s="23" t="str">
        <x:v>BAURU</x:v>
      </x:c>
      <x:c r="Q3073" s="30" t="n">
        <x:v>35558</x:v>
      </x:c>
      <x:c r="R3073" s="22" t="str">
        <x:f>"53.471.474-2"</x:f>
        <x:v>53.471.474-2</x:v>
      </x:c>
      <x:c r="S3073" s="23" t="str">
        <x:v>feminino</x:v>
      </x:c>
      <x:c r="T3073" s="22" t="str"/>
      <x:c r="U3073" s="23" t="str">
        <x:v>PHAOLLA DE LIMA TURIANO</x:v>
      </x:c>
      <x:c r="V3073" s="22" t="str">
        <x:f>"416.970.748-63"</x:f>
        <x:v>416.970.748-63</x:v>
      </x:c>
      <x:c r="W3073" s="22" t="str">
        <x:f>"41697074863"</x:f>
        <x:v>41697074863</x:v>
      </x:c>
      <x:c r="X3073" s="23" t="str">
        <x:v>phaollalturiano@outlook.com</x:v>
      </x:c>
      <x:c r="Y3073" s="22" t="str">
        <x:f>"(14) 98818-0607"</x:f>
        <x:v>(14) 98818-0607</x:v>
      </x:c>
      <x:c r="Z3073" s="30" t="n">
        <x:v>46330</x:v>
      </x:c>
    </x:row>
    <x:row r="3074" ht="18" customHeight="1">
      <x:c r="A3074" s="22" t="str">
        <x:f>"9a216524-c25d-466b-bcc2-384777d08ef7"</x:f>
        <x:v>9a216524-c25d-466b-bcc2-384777d08ef7</x:v>
      </x:c>
      <x:c r="B3074" s="23" t="str">
        <x:v>PHILIPPE NELSON SANTOS FONSECA</x:v>
      </x:c>
      <x:c r="C3074" s="23" t="str">
        <x:v>philippe nelson santos fonseca</x:v>
      </x:c>
      <x:c r="D3074" s="22" t="str">
        <x:f>"49.693.761/0001-65"</x:f>
        <x:v>49.693.761/0001-65</x:v>
      </x:c>
      <x:c r="E3074" s="22" t="str">
        <x:f>"49693761000165"</x:f>
        <x:v>49693761000165</x:v>
      </x:c>
      <x:c r="F3074" s="22" t="str">
        <x:f>"141.594.987-52"</x:f>
        <x:v>141.594.987-52</x:v>
      </x:c>
      <x:c r="G3074" s="22" t="str">
        <x:f>"14159498752"</x:f>
        <x:v>14159498752</x:v>
      </x:c>
      <x:c r="H3074" s="23" t="str">
        <x:v>philippe08@live.com</x:v>
      </x:c>
      <x:c r="I3074" s="22" t="str">
        <x:f>"21997770313"</x:f>
        <x:v>21997770313</x:v>
      </x:c>
      <x:c r="J3074" s="23" t="str">
        <x:v>SPOT</x:v>
      </x:c>
      <x:c r="K3074" s="23" t="str">
        <x:v>favored_only</x:v>
      </x:c>
      <x:c r="L3074" s="24" t="b">
        <x:v>1</x:v>
      </x:c>
      <x:c r="M3074" s="23" t="n">
        <x:v>1</x:v>
      </x:c>
      <x:c r="N3074" s="28" t="n">
        <x:v>46219.812988715275</x:v>
      </x:c>
      <x:c r="O3074" s="28" t="n">
        <x:v>46219.812988715275</x:v>
      </x:c>
      <x:c r="P3074" s="23" t="str">
        <x:v>ITABORAI</x:v>
      </x:c>
      <x:c r="Q3074" s="30" t="n">
        <x:v>32996</x:v>
      </x:c>
      <x:c r="R3074" s="22" t="str">
        <x:f>"257761429"</x:f>
        <x:v>257761429</x:v>
      </x:c>
      <x:c r="S3074" s="23" t="str">
        <x:v>masculino</x:v>
      </x:c>
      <x:c r="T3074" s="22" t="str">
        <x:f>"LSP169"</x:f>
        <x:v>LSP169</x:v>
      </x:c>
      <x:c r="U3074" s="23" t="str">
        <x:v>PHILIPPE NELSON SANTOS FONSECA</x:v>
      </x:c>
      <x:c r="V3074" s="22" t="str">
        <x:f>"141.594.987-52"</x:f>
        <x:v>141.594.987-52</x:v>
      </x:c>
      <x:c r="W3074" s="22" t="str">
        <x:f>"14159498752"</x:f>
        <x:v>14159498752</x:v>
      </x:c>
      <x:c r="X3074" s="23" t="str">
        <x:v>philippe08@live.com</x:v>
      </x:c>
      <x:c r="Y3074" s="22" t="str">
        <x:f>"21997770313"</x:f>
        <x:v>21997770313</x:v>
      </x:c>
      <x:c r="Z3074" s="30" t="n">
        <x:v>46457</x:v>
      </x:c>
    </x:row>
    <x:row r="3075" ht="18" customHeight="1">
      <x:c r="A3075" s="22" t="str">
        <x:f>"9b1ad5c3-bd28-4aa0-9f7c-22218a91088f"</x:f>
        <x:v>9b1ad5c3-bd28-4aa0-9f7c-22218a91088f</x:v>
      </x:c>
      <x:c r="B3075" s="23" t="str">
        <x:v>PLINIO FLAUZINO CUNHA</x:v>
      </x:c>
      <x:c r="C3075" s="23" t="str">
        <x:v>plinio flauzino cunha</x:v>
      </x:c>
      <x:c r="D3075" s="22" t="str">
        <x:f>"58.277.662/0001-93"</x:f>
        <x:v>58.277.662/0001-93</x:v>
      </x:c>
      <x:c r="E3075" s="22" t="str">
        <x:f>"58277662000193"</x:f>
        <x:v>58277662000193</x:v>
      </x:c>
      <x:c r="F3075" s="22" t="str">
        <x:f>"127.948.676-79"</x:f>
        <x:v>127.948.676-79</x:v>
      </x:c>
      <x:c r="G3075" s="22" t="str">
        <x:f>"12794867679"</x:f>
        <x:v>12794867679</x:v>
      </x:c>
      <x:c r="H3075" s="23" t="str">
        <x:v>MICHAELCARVALHOCC@GMAIL.COM</x:v>
      </x:c>
      <x:c r="I3075" s="22" t="str">
        <x:f>"35 991326106"</x:f>
        <x:v>35 991326106</x:v>
      </x:c>
      <x:c r="J3075" s="23" t="str">
        <x:v>SPOT</x:v>
      </x:c>
      <x:c r="K3075" s="23" t="str">
        <x:v>favored_only</x:v>
      </x:c>
      <x:c r="L3075" s="24" t="b">
        <x:v>1</x:v>
      </x:c>
      <x:c r="M3075" s="23" t="n">
        <x:v>1</x:v>
      </x:c>
      <x:c r="N3075" s="28" t="n">
        <x:v>46203.921824756944</x:v>
      </x:c>
      <x:c r="O3075" s="28" t="n">
        <x:v>46220.504005856485</x:v>
      </x:c>
      <x:c r="P3075" s="23" t="str">
        <x:v>GUAXUPE</x:v>
      </x:c>
      <x:c r="Q3075" s="30" t="str"/>
      <x:c r="R3075" s="22" t="str"/>
      <x:c r="S3075" s="23" t="str"/>
      <x:c r="T3075" s="22" t="str"/>
      <x:c r="U3075" s="23" t="str">
        <x:v>PLINIO FLAUZINO CUNHA</x:v>
      </x:c>
      <x:c r="V3075" s="22" t="str">
        <x:f>"127.948.676-79"</x:f>
        <x:v>127.948.676-79</x:v>
      </x:c>
      <x:c r="W3075" s="22" t="str">
        <x:f>"12794867679"</x:f>
        <x:v>12794867679</x:v>
      </x:c>
      <x:c r="X3075" s="23" t="str">
        <x:v>MICHAELCARVALHOCC@GMAIL.COM</x:v>
      </x:c>
      <x:c r="Y3075" s="22" t="str">
        <x:f>"35 991326106"</x:f>
        <x:v>35 991326106</x:v>
      </x:c>
      <x:c r="Z3075" s="30" t="str"/>
    </x:row>
    <x:row r="3076" ht="18" customHeight="1">
      <x:c r="A3076" s="22" t="str">
        <x:f>"ed4096f0-f9ec-444f-b2b0-2f59643cccdf"</x:f>
        <x:v>ed4096f0-f9ec-444f-b2b0-2f59643cccdf</x:v>
      </x:c>
      <x:c r="B3076" s="23" t="str">
        <x:v>PLINIO FLAUZINO CUNHA</x:v>
      </x:c>
      <x:c r="C3076" s="23" t="str">
        <x:v>plinio flauzino cunha</x:v>
      </x:c>
      <x:c r="D3076" s="22" t="str">
        <x:f>"60.407.075/0001-13"</x:f>
        <x:v>60.407.075/0001-13</x:v>
      </x:c>
      <x:c r="E3076" s="22" t="str">
        <x:f>"60407075000113"</x:f>
        <x:v>60407075000113</x:v>
      </x:c>
      <x:c r="F3076" s="22" t="str">
        <x:f>"127.948.676-79"</x:f>
        <x:v>127.948.676-79</x:v>
      </x:c>
      <x:c r="G3076" s="22" t="str">
        <x:f>"12794867679"</x:f>
        <x:v>12794867679</x:v>
      </x:c>
      <x:c r="H3076" s="23" t="str">
        <x:v>Pliniocorre@gmail.com</x:v>
      </x:c>
      <x:c r="I3076" s="22" t="str">
        <x:f>"35 991160477"</x:f>
        <x:v>35 991160477</x:v>
      </x:c>
      <x:c r="J3076" s="23" t="str">
        <x:v>SPOT</x:v>
      </x:c>
      <x:c r="K3076" s="23" t="str">
        <x:v>favored_only</x:v>
      </x:c>
      <x:c r="L3076" s="24" t="b">
        <x:v>1</x:v>
      </x:c>
      <x:c r="M3076" s="23" t="n">
        <x:v>1</x:v>
      </x:c>
      <x:c r="N3076" s="28" t="n">
        <x:v>46205.60343434028</x:v>
      </x:c>
      <x:c r="O3076" s="28" t="n">
        <x:v>46219.812988715275</x:v>
      </x:c>
      <x:c r="P3076" s="23" t="str">
        <x:v>GUAXUPE</x:v>
      </x:c>
      <x:c r="Q3076" s="30" t="n">
        <x:v>38426</x:v>
      </x:c>
      <x:c r="R3076" s="22" t="str">
        <x:f>"17675888"</x:f>
        <x:v>17675888</x:v>
      </x:c>
      <x:c r="S3076" s="23" t="str">
        <x:v>masculino</x:v>
      </x:c>
      <x:c r="T3076" s="22" t="str">
        <x:f>"FPQ5I77"</x:f>
        <x:v>FPQ5I77</x:v>
      </x:c>
      <x:c r="U3076" s="23" t="str">
        <x:v>MICHAEL CARVALHO CUNHA</x:v>
      </x:c>
      <x:c r="V3076" s="22" t="str">
        <x:f>"127.444.106-40"</x:f>
        <x:v>127.444.106-40</x:v>
      </x:c>
      <x:c r="W3076" s="22" t="str">
        <x:f>"12744410640"</x:f>
        <x:v>12744410640</x:v>
      </x:c>
      <x:c r="X3076" s="23" t="str">
        <x:v>michaelmercadolivre21@GMAIL.COM</x:v>
      </x:c>
      <x:c r="Y3076" s="22" t="str">
        <x:f>"35998729076"</x:f>
        <x:v>35998729076</x:v>
      </x:c>
      <x:c r="Z3076" s="30" t="n">
        <x:v>46220</x:v>
      </x:c>
    </x:row>
    <x:row r="3077" ht="18" customHeight="1">
      <x:c r="A3077" s="22" t="str">
        <x:f>"8c171a65-56d6-4bbd-afdd-e291d7c49441"</x:f>
        <x:v>8c171a65-56d6-4bbd-afdd-e291d7c49441</x:v>
      </x:c>
      <x:c r="B3077" s="23" t="str">
        <x:v>PLINIO JORGE GODINHO</x:v>
      </x:c>
      <x:c r="C3077" s="23" t="str">
        <x:v>plinio jorge godinho</x:v>
      </x:c>
      <x:c r="D3077" s="22" t="str">
        <x:f>"60.199.190/0001-40"</x:f>
        <x:v>60.199.190/0001-40</x:v>
      </x:c>
      <x:c r="E3077" s="22" t="str">
        <x:f>"60199190000140"</x:f>
        <x:v>60199190000140</x:v>
      </x:c>
      <x:c r="F3077" s="22" t="str">
        <x:f>"052.011.276-81"</x:f>
        <x:v>052.011.276-81</x:v>
      </x:c>
      <x:c r="G3077" s="22" t="str">
        <x:f>"05201127681"</x:f>
        <x:v>05201127681</x:v>
      </x:c>
      <x:c r="H3077" s="23" t="str">
        <x:v>plinio.jorge0102@gmail.com</x:v>
      </x:c>
      <x:c r="I3077" s="22" t="str">
        <x:f>"(33)988103557"</x:f>
        <x:v>(33)988103557</x:v>
      </x:c>
      <x:c r="J3077" s="23" t="str">
        <x:v>SPOT</x:v>
      </x:c>
      <x:c r="K3077" s="23" t="str">
        <x:v>favored_only</x:v>
      </x:c>
      <x:c r="L3077" s="24" t="b">
        <x:v>1</x:v>
      </x:c>
      <x:c r="M3077" s="23" t="n">
        <x:v>1</x:v>
      </x:c>
      <x:c r="N3077" s="28" t="n">
        <x:v>46203.92189965278</x:v>
      </x:c>
      <x:c r="O3077" s="28" t="n">
        <x:v>46219.812988715275</x:v>
      </x:c>
      <x:c r="P3077" s="23" t="str">
        <x:v>GUANHAES</x:v>
      </x:c>
      <x:c r="Q3077" s="30" t="n">
        <x:v>29739</x:v>
      </x:c>
      <x:c r="R3077" s="22" t="str">
        <x:f>"11605840"</x:f>
        <x:v>11605840</x:v>
      </x:c>
      <x:c r="S3077" s="23" t="str">
        <x:v>masculino</x:v>
      </x:c>
      <x:c r="T3077" s="22" t="str">
        <x:f>"HLE9G32"</x:f>
        <x:v>HLE9G32</x:v>
      </x:c>
      <x:c r="U3077" s="23" t="str">
        <x:v>PLINIO JORGE GODINHO</x:v>
      </x:c>
      <x:c r="V3077" s="22" t="str">
        <x:f>"052.011.276-81"</x:f>
        <x:v>052.011.276-81</x:v>
      </x:c>
      <x:c r="W3077" s="22" t="str">
        <x:f>"05201127681"</x:f>
        <x:v>05201127681</x:v>
      </x:c>
      <x:c r="X3077" s="23" t="str">
        <x:v>plinio.jorge0102@gmail.com</x:v>
      </x:c>
      <x:c r="Y3077" s="22" t="str">
        <x:f>"(33)988103557"</x:f>
        <x:v>(33)988103557</x:v>
      </x:c>
      <x:c r="Z3077" s="30" t="n">
        <x:v>46346</x:v>
      </x:c>
    </x:row>
    <x:row r="3078" ht="18" customHeight="1">
      <x:c r="A3078" s="22" t="str">
        <x:f>"4fdf9964-74ad-409b-84e0-b3016dbf2852"</x:f>
        <x:v>4fdf9964-74ad-409b-84e0-b3016dbf2852</x:v>
      </x:c>
      <x:c r="B3078" s="23" t="str">
        <x:v>POLIANA CORREIA OLIVEIRA</x:v>
      </x:c>
      <x:c r="C3078" s="23" t="str">
        <x:v>poliana correia oliveira</x:v>
      </x:c>
      <x:c r="D3078" s="22" t="str">
        <x:f>"63.102.873/0001-25"</x:f>
        <x:v>63.102.873/0001-25</x:v>
      </x:c>
      <x:c r="E3078" s="22" t="str">
        <x:f>"63102873000125"</x:f>
        <x:v>63102873000125</x:v>
      </x:c>
      <x:c r="F3078" s="22" t="str">
        <x:f>"029.602.102-47"</x:f>
        <x:v>029.602.102-47</x:v>
      </x:c>
      <x:c r="G3078" s="22" t="str">
        <x:f>"02960210247"</x:f>
        <x:v>02960210247</x:v>
      </x:c>
      <x:c r="H3078" s="23" t="str">
        <x:v>polianagalter@gmail.com</x:v>
      </x:c>
      <x:c r="I3078" s="22" t="str">
        <x:f>"+55 69 9386-1172"</x:f>
        <x:v>+55 69 9386-1172</x:v>
      </x:c>
      <x:c r="J3078" s="23" t="str">
        <x:v>SPOT</x:v>
      </x:c>
      <x:c r="K3078" s="23" t="str">
        <x:v>favored_only</x:v>
      </x:c>
      <x:c r="L3078" s="24" t="b">
        <x:v>1</x:v>
      </x:c>
      <x:c r="M3078" s="23" t="n">
        <x:v>1</x:v>
      </x:c>
      <x:c r="N3078" s="28" t="n">
        <x:v>46205.60552349537</x:v>
      </x:c>
      <x:c r="O3078" s="28" t="n">
        <x:v>46219.812988715275</x:v>
      </x:c>
      <x:c r="P3078" s="23" t="str">
        <x:v>SINOP</x:v>
      </x:c>
      <x:c r="Q3078" s="30" t="n">
        <x:v>34196</x:v>
      </x:c>
      <x:c r="R3078" s="22" t="str">
        <x:f>"1300759"</x:f>
        <x:v>1300759</x:v>
      </x:c>
      <x:c r="S3078" s="23" t="str">
        <x:v>feminino</x:v>
      </x:c>
      <x:c r="T3078" s="22" t="str">
        <x:f>"syz6e92"</x:f>
        <x:v>syz6e92</x:v>
      </x:c>
      <x:c r="U3078" s="23" t="str">
        <x:v>POLIANA CORREIA OLIVEIRA GALTER</x:v>
      </x:c>
      <x:c r="V3078" s="22" t="str">
        <x:f>"029.602.102-47"</x:f>
        <x:v>029.602.102-47</x:v>
      </x:c>
      <x:c r="W3078" s="22" t="str">
        <x:f>"02960210247"</x:f>
        <x:v>02960210247</x:v>
      </x:c>
      <x:c r="X3078" s="23" t="str">
        <x:v>polianagalter@gmail.com</x:v>
      </x:c>
      <x:c r="Y3078" s="22" t="str">
        <x:f>"+55 69 9386-1172"</x:f>
        <x:v>+55 69 9386-1172</x:v>
      </x:c>
      <x:c r="Z3078" s="30" t="n">
        <x:v>46325</x:v>
      </x:c>
    </x:row>
    <x:row r="3079" ht="18" customHeight="1">
      <x:c r="A3079" s="22" t="str">
        <x:f>"d4432cc2-fc3e-40a4-97ef-e65844a12a06"</x:f>
        <x:v>d4432cc2-fc3e-40a4-97ef-e65844a12a06</x:v>
      </x:c>
      <x:c r="B3079" s="23" t="str">
        <x:v>POLIANA DE ARAUJO ALVES</x:v>
      </x:c>
      <x:c r="C3079" s="23" t="str">
        <x:v>poliana de araujo alves</x:v>
      </x:c>
      <x:c r="D3079" s="22" t="str">
        <x:f>"65.938.823/0001-08"</x:f>
        <x:v>65.938.823/0001-08</x:v>
      </x:c>
      <x:c r="E3079" s="22" t="str">
        <x:f>"65938823000108"</x:f>
        <x:v>65938823000108</x:v>
      </x:c>
      <x:c r="F3079" s="22" t="str">
        <x:f>"079.541.576-10"</x:f>
        <x:v>079.541.576-10</x:v>
      </x:c>
      <x:c r="G3079" s="22" t="str">
        <x:f>"07954157610"</x:f>
        <x:v>07954157610</x:v>
      </x:c>
      <x:c r="H3079" s="23" t="str">
        <x:v>polianaaraujo26@hotmail.com</x:v>
      </x:c>
      <x:c r="I3079" s="22" t="str">
        <x:f>"31 99381-5817"</x:f>
        <x:v>31 99381-5817</x:v>
      </x:c>
      <x:c r="J3079" s="23" t="str">
        <x:v>SPOT</x:v>
      </x:c>
      <x:c r="K3079" s="23" t="str">
        <x:v>favored_only</x:v>
      </x:c>
      <x:c r="L3079" s="24" t="b">
        <x:v>1</x:v>
      </x:c>
      <x:c r="M3079" s="23" t="n">
        <x:v>2</x:v>
      </x:c>
      <x:c r="N3079" s="28" t="n">
        <x:v>46219.812988715275</x:v>
      </x:c>
      <x:c r="O3079" s="28" t="n">
        <x:v>46219.812988715275</x:v>
      </x:c>
      <x:c r="P3079" s="23" t="str">
        <x:v>NOVA LIMA</x:v>
      </x:c>
      <x:c r="Q3079" s="30" t="n">
        <x:v>32169</x:v>
      </x:c>
      <x:c r="R3079" s="22" t="str">
        <x:f>"9034329"</x:f>
        <x:v>9034329</x:v>
      </x:c>
      <x:c r="S3079" s="23" t="str">
        <x:v>feminino</x:v>
      </x:c>
      <x:c r="T3079" s="22" t="str">
        <x:f>"SIM8F34"</x:f>
        <x:v>SIM8F34</x:v>
      </x:c>
      <x:c r="U3079" s="23" t="str">
        <x:v>POLIANA DE ARAUJO ALVES</x:v>
      </x:c>
      <x:c r="V3079" s="22" t="str">
        <x:f>"079.541.576-10"</x:f>
        <x:v>079.541.576-10</x:v>
      </x:c>
      <x:c r="W3079" s="22" t="str">
        <x:f>"07954157610"</x:f>
        <x:v>07954157610</x:v>
      </x:c>
      <x:c r="X3079" s="23" t="str">
        <x:v>polianaaraujo26@hotmail.com</x:v>
      </x:c>
      <x:c r="Y3079" s="22" t="str">
        <x:f>"31 99381-5817"</x:f>
        <x:v>31 99381-5817</x:v>
      </x:c>
      <x:c r="Z3079" s="30" t="n">
        <x:v>46554</x:v>
      </x:c>
    </x:row>
    <x:row r="3080" ht="18" customHeight="1">
      <x:c r="A3080" s="22" t="str">
        <x:f>"bb64e777-22dc-4746-8537-1e80ce7644e7"</x:f>
        <x:v>bb64e777-22dc-4746-8537-1e80ce7644e7</x:v>
      </x:c>
      <x:c r="B3080" s="23" t="str">
        <x:v>POLIANA VIDAL MARTINS</x:v>
      </x:c>
      <x:c r="C3080" s="23" t="str">
        <x:v>poliana vidal martins</x:v>
      </x:c>
      <x:c r="D3080" s="22" t="str">
        <x:f>"58.171.126/0001-09"</x:f>
        <x:v>58.171.126/0001-09</x:v>
      </x:c>
      <x:c r="E3080" s="22" t="str">
        <x:f>"58171126000109"</x:f>
        <x:v>58171126000109</x:v>
      </x:c>
      <x:c r="F3080" s="22" t="str">
        <x:f>"066.135.596-95"</x:f>
        <x:v>066.135.596-95</x:v>
      </x:c>
      <x:c r="G3080" s="22" t="str">
        <x:f>"06613559695"</x:f>
        <x:v>06613559695</x:v>
      </x:c>
      <x:c r="H3080" s="23" t="str">
        <x:v>poliana_vidal@yahoo.com.br</x:v>
      </x:c>
      <x:c r="I3080" s="22" t="str">
        <x:f>"31 993435423"</x:f>
        <x:v>31 993435423</x:v>
      </x:c>
      <x:c r="J3080" s="23" t="str">
        <x:v>RENTAL</x:v>
      </x:c>
      <x:c r="K3080" s="23" t="str">
        <x:v>rental_company</x:v>
      </x:c>
      <x:c r="L3080" s="24" t="b">
        <x:v>1</x:v>
      </x:c>
      <x:c r="M3080" s="23" t="n">
        <x:v>1</x:v>
      </x:c>
      <x:c r="N3080" s="28" t="n">
        <x:v>46219.812988715275</x:v>
      </x:c>
      <x:c r="O3080" s="28" t="n">
        <x:v>46219.812988715275</x:v>
      </x:c>
      <x:c r="P3080" s="23" t="str">
        <x:v>NOVA LIMA</x:v>
      </x:c>
      <x:c r="Q3080" s="30" t="n">
        <x:v>29663</x:v>
      </x:c>
      <x:c r="R3080" s="22" t="str">
        <x:f>"12411121"</x:f>
        <x:v>12411121</x:v>
      </x:c>
      <x:c r="S3080" s="23" t="str">
        <x:v>feminino</x:v>
      </x:c>
      <x:c r="T3080" s="22" t="str"/>
      <x:c r="U3080" s="23" t="str">
        <x:v>POLIANA VIDAL MARTINS</x:v>
      </x:c>
      <x:c r="V3080" s="22" t="str">
        <x:f>"066.135.596-95"</x:f>
        <x:v>066.135.596-95</x:v>
      </x:c>
      <x:c r="W3080" s="22" t="str">
        <x:f>"06613559695"</x:f>
        <x:v>06613559695</x:v>
      </x:c>
      <x:c r="X3080" s="23" t="str">
        <x:v>poliana_vidal@yahoo.com.br</x:v>
      </x:c>
      <x:c r="Y3080" s="22" t="str">
        <x:f>"31 993435423"</x:f>
        <x:v>31 993435423</x:v>
      </x:c>
      <x:c r="Z3080" s="30" t="n">
        <x:v>46574</x:v>
      </x:c>
    </x:row>
    <x:row r="3081" ht="18" customHeight="1">
      <x:c r="A3081" s="22" t="str">
        <x:f>"5304aaaa-0704-4619-acf5-cc2b41627cf4"</x:f>
        <x:v>5304aaaa-0704-4619-acf5-cc2b41627cf4</x:v>
      </x:c>
      <x:c r="B3081" s="23" t="str">
        <x:v>POLLYANNA PEREIRA DE NOVAIS</x:v>
      </x:c>
      <x:c r="C3081" s="23" t="str">
        <x:v>pollyanna pereira de novais</x:v>
      </x:c>
      <x:c r="D3081" s="22" t="str">
        <x:f>"66.379.465/0001-03"</x:f>
        <x:v>66.379.465/0001-03</x:v>
      </x:c>
      <x:c r="E3081" s="22" t="str">
        <x:f>"66379465000103"</x:f>
        <x:v>66379465000103</x:v>
      </x:c>
      <x:c r="F3081" s="22" t="str">
        <x:f>"014.630.416-08"</x:f>
        <x:v>014.630.416-08</x:v>
      </x:c>
      <x:c r="G3081" s="22" t="str">
        <x:f>"01463041608"</x:f>
        <x:v>01463041608</x:v>
      </x:c>
      <x:c r="H3081" s="23" t="str">
        <x:v>pollyanna31cmd@hotmail.com</x:v>
      </x:c>
      <x:c r="I3081" s="22" t="str">
        <x:f>"‪31 984782432"</x:f>
        <x:v>‪31 984782432</x:v>
      </x:c>
      <x:c r="J3081" s="23" t="str">
        <x:v>SPOT</x:v>
      </x:c>
      <x:c r="K3081" s="23" t="str">
        <x:v>favored_only</x:v>
      </x:c>
      <x:c r="L3081" s="24" t="b">
        <x:v>1</x:v>
      </x:c>
      <x:c r="M3081" s="23" t="n">
        <x:v>1</x:v>
      </x:c>
      <x:c r="N3081" s="28" t="n">
        <x:v>46219.812988715275</x:v>
      </x:c>
      <x:c r="O3081" s="28" t="n">
        <x:v>46219.812988715275</x:v>
      </x:c>
      <x:c r="P3081" s="23" t="str">
        <x:v>CONCEIÇÃO DO MATO DENTRO</x:v>
      </x:c>
      <x:c r="Q3081" s="30" t="n">
        <x:v>30074</x:v>
      </x:c>
      <x:c r="R3081" s="22" t="str">
        <x:f>"12563047"</x:f>
        <x:v>12563047</x:v>
      </x:c>
      <x:c r="S3081" s="23" t="str">
        <x:v>masculino</x:v>
      </x:c>
      <x:c r="T3081" s="22" t="str">
        <x:f>"OPA0649"</x:f>
        <x:v>OPA0649</x:v>
      </x:c>
      <x:c r="U3081" s="23" t="str">
        <x:v>POLLYANNA PEREIRA DE NOVAIS</x:v>
      </x:c>
      <x:c r="V3081" s="22" t="str">
        <x:f>"014.630.416-08"</x:f>
        <x:v>014.630.416-08</x:v>
      </x:c>
      <x:c r="W3081" s="22" t="str">
        <x:f>"01463041608"</x:f>
        <x:v>01463041608</x:v>
      </x:c>
      <x:c r="X3081" s="23" t="str">
        <x:v>pollyanna31cmd@hotmail.com</x:v>
      </x:c>
      <x:c r="Y3081" s="22" t="str">
        <x:f>"‪31 984782432"</x:f>
        <x:v>‪31 984782432</x:v>
      </x:c>
      <x:c r="Z3081" s="30" t="n">
        <x:v>46500</x:v>
      </x:c>
    </x:row>
    <x:row r="3082" ht="18" customHeight="1">
      <x:c r="A3082" s="22" t="str">
        <x:f>"bcf9c45c-93c0-4ccd-9671-8513adf63c7b"</x:f>
        <x:v>bcf9c45c-93c0-4ccd-9671-8513adf63c7b</x:v>
      </x:c>
      <x:c r="B3082" s="23" t="str">
        <x:v>PRICILIA MARQUES DE MOURA</x:v>
      </x:c>
      <x:c r="C3082" s="23" t="str">
        <x:v>pricilia marques de moura</x:v>
      </x:c>
      <x:c r="D3082" s="22" t="str">
        <x:f>"52.085.109/0001-72"</x:f>
        <x:v>52.085.109/0001-72</x:v>
      </x:c>
      <x:c r="E3082" s="22" t="str">
        <x:f>"52085109000172"</x:f>
        <x:v>52085109000172</x:v>
      </x:c>
      <x:c r="F3082" s="22" t="str">
        <x:f>"079.291.606-96"</x:f>
        <x:v>079.291.606-96</x:v>
      </x:c>
      <x:c r="G3082" s="22" t="str">
        <x:f>"07929160696"</x:f>
        <x:v>07929160696</x:v>
      </x:c>
      <x:c r="H3082" s="23" t="str">
        <x:v>PRICILIAMARQUES@HOTMAIL.COM</x:v>
      </x:c>
      <x:c r="I3082" s="22" t="str">
        <x:f>"(31) 98528-0872"</x:f>
        <x:v>(31) 98528-0872</x:v>
      </x:c>
      <x:c r="J3082" s="23" t="str">
        <x:v>RENTAL</x:v>
      </x:c>
      <x:c r="K3082" s="23" t="str">
        <x:v>rental_company</x:v>
      </x:c>
      <x:c r="L3082" s="24" t="b">
        <x:v>1</x:v>
      </x:c>
      <x:c r="M3082" s="23" t="n">
        <x:v>1</x:v>
      </x:c>
      <x:c r="N3082" s="28" t="n">
        <x:v>46203.92183017361</x:v>
      </x:c>
      <x:c r="O3082" s="28" t="n">
        <x:v>46219.812988715275</x:v>
      </x:c>
      <x:c r="P3082" s="23" t="str">
        <x:v>IPATINGA</x:v>
      </x:c>
      <x:c r="Q3082" s="30" t="n">
        <x:v>31578</x:v>
      </x:c>
      <x:c r="R3082" s="22" t="str">
        <x:f>"14766817"</x:f>
        <x:v>14766817</x:v>
      </x:c>
      <x:c r="S3082" s="23" t="str">
        <x:v>feminino</x:v>
      </x:c>
      <x:c r="T3082" s="22" t="str"/>
      <x:c r="U3082" s="23" t="str">
        <x:v>PRICILIA MARQUES DE MOURA</x:v>
      </x:c>
      <x:c r="V3082" s="22" t="str">
        <x:f>"079.291.606-96"</x:f>
        <x:v>079.291.606-96</x:v>
      </x:c>
      <x:c r="W3082" s="22" t="str">
        <x:f>"07929160696"</x:f>
        <x:v>07929160696</x:v>
      </x:c>
      <x:c r="X3082" s="23" t="str">
        <x:v>PRICILIAMARQUES@HOTMAIL.COM</x:v>
      </x:c>
      <x:c r="Y3082" s="22" t="str">
        <x:f>"(31) 98528-0872"</x:f>
        <x:v>(31) 98528-0872</x:v>
      </x:c>
      <x:c r="Z3082" s="30" t="n">
        <x:v>46294</x:v>
      </x:c>
    </x:row>
    <x:row r="3083" ht="18" customHeight="1">
      <x:c r="A3083" s="22" t="str">
        <x:f>"cf37b9ff-309c-4d00-841f-f2be0a4e3c02"</x:f>
        <x:v>cf37b9ff-309c-4d00-841f-f2be0a4e3c02</x:v>
      </x:c>
      <x:c r="B3083" s="23" t="str">
        <x:v>PRISCILA CARDOSO ALCANTARA</x:v>
      </x:c>
      <x:c r="C3083" s="23" t="str">
        <x:v>priscila cardoso alcantara</x:v>
      </x:c>
      <x:c r="D3083" s="22" t="str">
        <x:f>"64.042.754/0001-97"</x:f>
        <x:v>64.042.754/0001-97</x:v>
      </x:c>
      <x:c r="E3083" s="22" t="str">
        <x:f>"64042754000197"</x:f>
        <x:v>64042754000197</x:v>
      </x:c>
      <x:c r="F3083" s="22" t="str">
        <x:f>"757.159.531-20"</x:f>
        <x:v>757.159.531-20</x:v>
      </x:c>
      <x:c r="G3083" s="22" t="str">
        <x:f>"75715953120"</x:f>
        <x:v>75715953120</x:v>
      </x:c>
      <x:c r="H3083" s="23" t="str">
        <x:v>priscilalcantaracardoso@gmail.com</x:v>
      </x:c>
      <x:c r="I3083" s="22" t="str">
        <x:f>"62994309703"</x:f>
        <x:v>62994309703</x:v>
      </x:c>
      <x:c r="J3083" s="23" t="str">
        <x:v>SPOT</x:v>
      </x:c>
      <x:c r="K3083" s="23" t="str">
        <x:v>favored_only</x:v>
      </x:c>
      <x:c r="L3083" s="24" t="b">
        <x:v>1</x:v>
      </x:c>
      <x:c r="M3083" s="23" t="n">
        <x:v>1</x:v>
      </x:c>
      <x:c r="N3083" s="28" t="n">
        <x:v>46219.812988715275</x:v>
      </x:c>
      <x:c r="O3083" s="28" t="n">
        <x:v>46219.812988715275</x:v>
      </x:c>
      <x:c r="P3083" s="23" t="str">
        <x:v>GOIANIA</x:v>
      </x:c>
      <x:c r="Q3083" s="30" t="n">
        <x:v>34338</x:v>
      </x:c>
      <x:c r="R3083" s="22" t="str">
        <x:f>"5815911"</x:f>
        <x:v>5815911</x:v>
      </x:c>
      <x:c r="S3083" s="23" t="str">
        <x:v>feminino</x:v>
      </x:c>
      <x:c r="T3083" s="22" t="str">
        <x:f>"OMS6B83"</x:f>
        <x:v>OMS6B83</x:v>
      </x:c>
      <x:c r="U3083" s="23" t="str">
        <x:v>WILLY VIEIRA</x:v>
      </x:c>
      <x:c r="V3083" s="22" t="str">
        <x:f>"038.035.121-82"</x:f>
        <x:v>038.035.121-82</x:v>
      </x:c>
      <x:c r="W3083" s="22" t="str">
        <x:f>"03803512182"</x:f>
        <x:v>03803512182</x:v>
      </x:c>
      <x:c r="X3083" s="23" t="str">
        <x:v>willyyvieira@gmail.com</x:v>
      </x:c>
      <x:c r="Y3083" s="22" t="str">
        <x:f>"62 8579-2117"</x:f>
        <x:v>62 8579-2117</x:v>
      </x:c>
      <x:c r="Z3083" s="30" t="n">
        <x:v>46416</x:v>
      </x:c>
    </x:row>
    <x:row r="3084" ht="18" customHeight="1">
      <x:c r="A3084" s="22" t="str">
        <x:f>"537ae649-b619-4a03-b6e7-519421f22885"</x:f>
        <x:v>537ae649-b619-4a03-b6e7-519421f22885</x:v>
      </x:c>
      <x:c r="B3084" s="23" t="str">
        <x:v>PRISCILA DA SILVA OLIVEIRA</x:v>
      </x:c>
      <x:c r="C3084" s="23" t="str">
        <x:v>priscila da silva oliveira</x:v>
      </x:c>
      <x:c r="D3084" s="22" t="str">
        <x:f>"67.812.451/0001-02"</x:f>
        <x:v>67.812.451/0001-02</x:v>
      </x:c>
      <x:c r="E3084" s="22" t="str">
        <x:f>"67812451000102"</x:f>
        <x:v>67812451000102</x:v>
      </x:c>
      <x:c r="F3084" s="22" t="str">
        <x:f>"026.205.781-00"</x:f>
        <x:v>026.205.781-00</x:v>
      </x:c>
      <x:c r="G3084" s="22" t="str">
        <x:f>"02620578100"</x:f>
        <x:v>02620578100</x:v>
      </x:c>
      <x:c r="H3084" s="23" t="str">
        <x:v>priscila_evil@hotmail.com</x:v>
      </x:c>
      <x:c r="I3084" s="22" t="str">
        <x:f>"62981893302"</x:f>
        <x:v>62981893302</x:v>
      </x:c>
      <x:c r="J3084" s="23" t="str">
        <x:v>RENTAL</x:v>
      </x:c>
      <x:c r="K3084" s="23" t="str">
        <x:v>rental_company</x:v>
      </x:c>
      <x:c r="L3084" s="24" t="b">
        <x:v>1</x:v>
      </x:c>
      <x:c r="M3084" s="23" t="n">
        <x:v>1</x:v>
      </x:c>
      <x:c r="N3084" s="28" t="n">
        <x:v>46219.812988715275</x:v>
      </x:c>
      <x:c r="O3084" s="28" t="n">
        <x:v>46219.812988715275</x:v>
      </x:c>
      <x:c r="P3084" s="23" t="str">
        <x:v>GOIANIA</x:v>
      </x:c>
      <x:c r="Q3084" s="30" t="n">
        <x:v>32529</x:v>
      </x:c>
      <x:c r="R3084" s="22" t="str">
        <x:f>"4909468"</x:f>
        <x:v>4909468</x:v>
      </x:c>
      <x:c r="S3084" s="23" t="str">
        <x:v>feminino</x:v>
      </x:c>
      <x:c r="T3084" s="22" t="str"/>
      <x:c r="U3084" s="23" t="str">
        <x:v>PRISCILA DA SILVA OLIVEIRA</x:v>
      </x:c>
      <x:c r="V3084" s="22" t="str">
        <x:f>"026.205.781-00"</x:f>
        <x:v>026.205.781-00</x:v>
      </x:c>
      <x:c r="W3084" s="22" t="str">
        <x:f>"02620578100"</x:f>
        <x:v>02620578100</x:v>
      </x:c>
      <x:c r="X3084" s="23" t="str">
        <x:v>priscila_evil@hotmail.com</x:v>
      </x:c>
      <x:c r="Y3084" s="22" t="str">
        <x:f>"62981893302"</x:f>
        <x:v>62981893302</x:v>
      </x:c>
      <x:c r="Z3084" s="30" t="n">
        <x:v>46571</x:v>
      </x:c>
    </x:row>
    <x:row r="3085" ht="18" customHeight="1">
      <x:c r="A3085" s="22" t="str">
        <x:f>"2463c73c-53e6-4749-9d16-44088fc052a7"</x:f>
        <x:v>2463c73c-53e6-4749-9d16-44088fc052a7</x:v>
      </x:c>
      <x:c r="B3085" s="23" t="str">
        <x:v>PRISCILLA RIBEIRO BATISTA DOS SANTOS</x:v>
      </x:c>
      <x:c r="C3085" s="23" t="str">
        <x:v>priscilla ribeiro batista dos santos</x:v>
      </x:c>
      <x:c r="D3085" s="22" t="str">
        <x:f>"66.951.152/0001-88"</x:f>
        <x:v>66.951.152/0001-88</x:v>
      </x:c>
      <x:c r="E3085" s="22" t="str">
        <x:f>"66951152000188"</x:f>
        <x:v>66951152000188</x:v>
      </x:c>
      <x:c r="F3085" s="22" t="str">
        <x:f>"140.382.617-00"</x:f>
        <x:v>140.382.617-00</x:v>
      </x:c>
      <x:c r="G3085" s="22" t="str">
        <x:f>"14038261700"</x:f>
        <x:v>14038261700</x:v>
      </x:c>
      <x:c r="H3085" s="23" t="str">
        <x:v>priscilla.r.batista30@gmail.com</x:v>
      </x:c>
      <x:c r="I3085" s="22" t="str">
        <x:f>"21990329826"</x:f>
        <x:v>21990329826</x:v>
      </x:c>
      <x:c r="J3085" s="23" t="str">
        <x:v>SPOT</x:v>
      </x:c>
      <x:c r="K3085" s="23" t="str">
        <x:v>favored_only</x:v>
      </x:c>
      <x:c r="L3085" s="24" t="b">
        <x:v>1</x:v>
      </x:c>
      <x:c r="M3085" s="23" t="n">
        <x:v>1</x:v>
      </x:c>
      <x:c r="N3085" s="28" t="n">
        <x:v>46219.812988715275</x:v>
      </x:c>
      <x:c r="O3085" s="28" t="n">
        <x:v>46219.812988715275</x:v>
      </x:c>
      <x:c r="P3085" s="23" t="str">
        <x:v>CORDOVIL</x:v>
      </x:c>
      <x:c r="Q3085" s="30" t="n">
        <x:v>33243</x:v>
      </x:c>
      <x:c r="R3085" s="22" t="str">
        <x:f>"24.619.396-5"</x:f>
        <x:v>24.619.396-5</x:v>
      </x:c>
      <x:c r="S3085" s="23" t="str">
        <x:v>feminino</x:v>
      </x:c>
      <x:c r="T3085" s="22" t="str">
        <x:f>"KNJ6033"</x:f>
        <x:v>KNJ6033</x:v>
      </x:c>
      <x:c r="U3085" s="23" t="str">
        <x:v>PRISCILLA RIBEIRO BATISTA DOS SANTOS</x:v>
      </x:c>
      <x:c r="V3085" s="22" t="str">
        <x:f>"140.382.617-00"</x:f>
        <x:v>140.382.617-00</x:v>
      </x:c>
      <x:c r="W3085" s="22" t="str">
        <x:f>"14038261700"</x:f>
        <x:v>14038261700</x:v>
      </x:c>
      <x:c r="X3085" s="23" t="str">
        <x:v>priscilla.r.batista30@gmail.com</x:v>
      </x:c>
      <x:c r="Y3085" s="22" t="str">
        <x:f>"21990329826"</x:f>
        <x:v>21990329826</x:v>
      </x:c>
      <x:c r="Z3085" s="30" t="n">
        <x:v>46564</x:v>
      </x:c>
    </x:row>
    <x:row r="3086" ht="18" customHeight="1">
      <x:c r="A3086" s="22" t="str">
        <x:f>"161679a4-945e-4eb3-9ca1-b06419ad0846"</x:f>
        <x:v>161679a4-945e-4eb3-9ca1-b06419ad0846</x:v>
      </x:c>
      <x:c r="B3086" s="23" t="str">
        <x:v>QUEZIA BENEVENUTO LOUREIRO</x:v>
      </x:c>
      <x:c r="C3086" s="23" t="str">
        <x:v>quezia benevenuto loureiro</x:v>
      </x:c>
      <x:c r="D3086" s="22" t="str">
        <x:f>"21.492.321/0001-20"</x:f>
        <x:v>21.492.321/0001-20</x:v>
      </x:c>
      <x:c r="E3086" s="22" t="str">
        <x:f>"21492321000120"</x:f>
        <x:v>21492321000120</x:v>
      </x:c>
      <x:c r="F3086" s="22" t="str">
        <x:f>"130.048.057-23"</x:f>
        <x:v>130.048.057-23</x:v>
      </x:c>
      <x:c r="G3086" s="22" t="str">
        <x:f>"13004805723"</x:f>
        <x:v>13004805723</x:v>
      </x:c>
      <x:c r="H3086" s="23" t="str">
        <x:v>queziabloureiro@gmail.com</x:v>
      </x:c>
      <x:c r="I3086" s="22" t="str">
        <x:f>"21992568853"</x:f>
        <x:v>21992568853</x:v>
      </x:c>
      <x:c r="J3086" s="23" t="str">
        <x:v>SPOT</x:v>
      </x:c>
      <x:c r="K3086" s="23" t="str">
        <x:v>favored_only</x:v>
      </x:c>
      <x:c r="L3086" s="24" t="b">
        <x:v>1</x:v>
      </x:c>
      <x:c r="M3086" s="23" t="n">
        <x:v>1</x:v>
      </x:c>
      <x:c r="N3086" s="28" t="n">
        <x:v>46219.812988715275</x:v>
      </x:c>
      <x:c r="O3086" s="28" t="n">
        <x:v>46219.812988715275</x:v>
      </x:c>
      <x:c r="P3086" s="23" t="str">
        <x:v>CAMPO GRANDE</x:v>
      </x:c>
      <x:c r="Q3086" s="30" t="n">
        <x:v>33642</x:v>
      </x:c>
      <x:c r="R3086" s="22" t="str">
        <x:f>"213695885"</x:f>
        <x:v>213695885</x:v>
      </x:c>
      <x:c r="S3086" s="23" t="str">
        <x:v>feminino</x:v>
      </x:c>
      <x:c r="T3086" s="22" t="str">
        <x:f>"SHJ0C49"</x:f>
        <x:v>SHJ0C49</x:v>
      </x:c>
      <x:c r="U3086" s="23" t="str">
        <x:v>DAVI ALMEIDA SANTOS</x:v>
      </x:c>
      <x:c r="V3086" s="22" t="str">
        <x:f>"148.855.757-88"</x:f>
        <x:v>148.855.757-88</x:v>
      </x:c>
      <x:c r="W3086" s="22" t="str">
        <x:f>"14885575788"</x:f>
        <x:v>14885575788</x:v>
      </x:c>
      <x:c r="X3086" s="23" t="str">
        <x:v>davi-almeida@hotmail.com</x:v>
      </x:c>
      <x:c r="Y3086" s="22" t="str">
        <x:f>"21994830404"</x:f>
        <x:v>21994830404</x:v>
      </x:c>
      <x:c r="Z3086" s="30" t="n">
        <x:v>46478</x:v>
      </x:c>
    </x:row>
    <x:row r="3087" ht="18" customHeight="1">
      <x:c r="A3087" s="22" t="str">
        <x:f>"df69d22d-2c1c-48ac-8197-8a849eeb2311"</x:f>
        <x:v>df69d22d-2c1c-48ac-8197-8a849eeb2311</x:v>
      </x:c>
      <x:c r="B3087" s="23" t="str">
        <x:v>Rafaela dos Santos Costa</x:v>
      </x:c>
      <x:c r="C3087" s="23" t="str">
        <x:v>rafaela dos santos costa</x:v>
      </x:c>
      <x:c r="D3087" s="22" t="str">
        <x:f>"63.121.589/0001-04"</x:f>
        <x:v>63.121.589/0001-04</x:v>
      </x:c>
      <x:c r="E3087" s="22" t="str">
        <x:f>"63121589000104"</x:f>
        <x:v>63121589000104</x:v>
      </x:c>
      <x:c r="F3087" s="22" t="str">
        <x:f>"06645904541"</x:f>
        <x:v>06645904541</x:v>
      </x:c>
      <x:c r="G3087" s="22" t="str">
        <x:f>"06645904541"</x:f>
        <x:v>06645904541</x:v>
      </x:c>
      <x:c r="H3087" s="23" t="str">
        <x:v>wesleysouza0206@gmail.com</x:v>
      </x:c>
      <x:c r="I3087" s="22" t="str">
        <x:f>"74 9997-3046"</x:f>
        <x:v>74 9997-3046</x:v>
      </x:c>
      <x:c r="J3087" s="23" t="str">
        <x:v>SPOT</x:v>
      </x:c>
      <x:c r="K3087" s="23" t="str">
        <x:v>favored_only</x:v>
      </x:c>
      <x:c r="L3087" s="24" t="b">
        <x:v>1</x:v>
      </x:c>
      <x:c r="M3087" s="23" t="n">
        <x:v>1</x:v>
      </x:c>
      <x:c r="N3087" s="28" t="n">
        <x:v>46203.9218771875</x:v>
      </x:c>
      <x:c r="O3087" s="28" t="n">
        <x:v>46203.9218771875</x:v>
      </x:c>
      <x:c r="P3087" s="23" t="str"/>
      <x:c r="Q3087" s="30" t="str"/>
      <x:c r="R3087" s="22" t="str"/>
      <x:c r="S3087" s="23" t="str"/>
      <x:c r="T3087" s="22" t="str"/>
      <x:c r="U3087" s="23" t="str">
        <x:v>Rafaela dos Santos Costa</x:v>
      </x:c>
      <x:c r="V3087" s="22" t="str">
        <x:f>"06645904541"</x:f>
        <x:v>06645904541</x:v>
      </x:c>
      <x:c r="W3087" s="22" t="str">
        <x:f>"06645904541"</x:f>
        <x:v>06645904541</x:v>
      </x:c>
      <x:c r="X3087" s="23" t="str">
        <x:v>wesleysouza0206@gmail.com</x:v>
      </x:c>
      <x:c r="Y3087" s="22" t="str">
        <x:f>"74 9997-3046"</x:f>
        <x:v>74 9997-3046</x:v>
      </x:c>
      <x:c r="Z3087" s="30" t="str"/>
    </x:row>
    <x:row r="3088" ht="18" customHeight="1">
      <x:c r="A3088" s="22" t="str">
        <x:f>"4d14ef38-4135-4f41-b1f9-92f8eb422ea8"</x:f>
        <x:v>4d14ef38-4135-4f41-b1f9-92f8eb422ea8</x:v>
      </x:c>
      <x:c r="B3088" s="23" t="str">
        <x:v>RAFAELA FERREIRA DE SOUZA</x:v>
      </x:c>
      <x:c r="C3088" s="23" t="str">
        <x:v>rafaela ferreira de souza</x:v>
      </x:c>
      <x:c r="D3088" s="22" t="str">
        <x:f>"62.967.030/0001-29"</x:f>
        <x:v>62.967.030/0001-29</x:v>
      </x:c>
      <x:c r="E3088" s="22" t="str">
        <x:f>"62967030000129"</x:f>
        <x:v>62967030000129</x:v>
      </x:c>
      <x:c r="F3088" s="22" t="str">
        <x:f>"75425815115"</x:f>
        <x:v>75425815115</x:v>
      </x:c>
      <x:c r="G3088" s="22" t="str">
        <x:f>"75425815115"</x:f>
        <x:v>75425815115</x:v>
      </x:c>
      <x:c r="H3088" s="23" t="str">
        <x:v>eduardomelo986@gmail.com</x:v>
      </x:c>
      <x:c r="I3088" s="22" t="str">
        <x:f>"62984570640"</x:f>
        <x:v>62984570640</x:v>
      </x:c>
      <x:c r="J3088" s="23" t="str">
        <x:v>SPOT</x:v>
      </x:c>
      <x:c r="K3088" s="23" t="str">
        <x:v>favored_only</x:v>
      </x:c>
      <x:c r="L3088" s="24" t="b">
        <x:v>1</x:v>
      </x:c>
      <x:c r="M3088" s="23" t="n">
        <x:v>1</x:v>
      </x:c>
      <x:c r="N3088" s="28" t="n">
        <x:v>46203.92189965278</x:v>
      </x:c>
      <x:c r="O3088" s="28" t="n">
        <x:v>46203.92189965278</x:v>
      </x:c>
      <x:c r="P3088" s="23" t="str"/>
      <x:c r="Q3088" s="30" t="str"/>
      <x:c r="R3088" s="22" t="str"/>
      <x:c r="S3088" s="23" t="str"/>
      <x:c r="T3088" s="22" t="str"/>
      <x:c r="U3088" s="23" t="str">
        <x:v>RAFAELA FERREIRA DE SOUZA</x:v>
      </x:c>
      <x:c r="V3088" s="22" t="str">
        <x:f>"75425815115"</x:f>
        <x:v>75425815115</x:v>
      </x:c>
      <x:c r="W3088" s="22" t="str">
        <x:f>"75425815115"</x:f>
        <x:v>75425815115</x:v>
      </x:c>
      <x:c r="X3088" s="23" t="str">
        <x:v>eduardomelo986@gmail.com</x:v>
      </x:c>
      <x:c r="Y3088" s="22" t="str">
        <x:f>"62984570640"</x:f>
        <x:v>62984570640</x:v>
      </x:c>
      <x:c r="Z3088" s="30" t="str"/>
    </x:row>
    <x:row r="3089" ht="18" customHeight="1">
      <x:c r="A3089" s="22" t="str">
        <x:f>"62fb8271-a951-4388-aff2-97fed3ea84c2"</x:f>
        <x:v>62fb8271-a951-4388-aff2-97fed3ea84c2</x:v>
      </x:c>
      <x:c r="B3089" s="23" t="str">
        <x:v>RAFAEL ALVES DE OLIVEIRA</x:v>
      </x:c>
      <x:c r="C3089" s="23" t="str">
        <x:v>rafael alves de oliveira</x:v>
      </x:c>
      <x:c r="D3089" s="22" t="str">
        <x:f>"37.823.997/0001-90"</x:f>
        <x:v>37.823.997/0001-90</x:v>
      </x:c>
      <x:c r="E3089" s="22" t="str">
        <x:f>"37823997000190"</x:f>
        <x:v>37823997000190</x:v>
      </x:c>
      <x:c r="F3089" s="22" t="str">
        <x:f>"004.289.081-01"</x:f>
        <x:v>004.289.081-01</x:v>
      </x:c>
      <x:c r="G3089" s="22" t="str">
        <x:f>"00428908101"</x:f>
        <x:v>00428908101</x:v>
      </x:c>
      <x:c r="H3089" s="23" t="str">
        <x:v>rafaelalvesoliveira2303@gmail.com</x:v>
      </x:c>
      <x:c r="I3089" s="22" t="str">
        <x:f>"64992695957"</x:f>
        <x:v>64992695957</x:v>
      </x:c>
      <x:c r="J3089" s="23" t="str">
        <x:v>spot</x:v>
      </x:c>
      <x:c r="K3089" s="23" t="str">
        <x:v>favored_only</x:v>
      </x:c>
      <x:c r="L3089" s="24" t="b">
        <x:v>1</x:v>
      </x:c>
      <x:c r="M3089" s="23" t="n">
        <x:v>1</x:v>
      </x:c>
      <x:c r="N3089" s="28" t="n">
        <x:v>46219.812988715275</x:v>
      </x:c>
      <x:c r="O3089" s="28" t="n">
        <x:v>46219.812988715275</x:v>
      </x:c>
      <x:c r="P3089" s="23" t="str">
        <x:v>MOZARLANDIA</x:v>
      </x:c>
      <x:c r="Q3089" s="30" t="n">
        <x:v>30398</x:v>
      </x:c>
      <x:c r="R3089" s="22" t="str">
        <x:f>"428908101"</x:f>
        <x:v>428908101</x:v>
      </x:c>
      <x:c r="S3089" s="23" t="str">
        <x:v>masculino</x:v>
      </x:c>
      <x:c r="T3089" s="22" t="str">
        <x:f>"NLM1G50"</x:f>
        <x:v>NLM1G50</x:v>
      </x:c>
      <x:c r="U3089" s="23" t="str">
        <x:v>RODOPRIMETRANSPORTES E CARGAS LTDA</x:v>
      </x:c>
      <x:c r="V3089" s="22" t="str">
        <x:f>"038.768.901-01"</x:f>
        <x:v>038.768.901-01</x:v>
      </x:c>
      <x:c r="W3089" s="22" t="str">
        <x:f>"03876890101"</x:f>
        <x:v>03876890101</x:v>
      </x:c>
      <x:c r="X3089" s="23" t="str">
        <x:v>rtp.cargas@gmail.com</x:v>
      </x:c>
      <x:c r="Y3089" s="22" t="str">
        <x:f>"62991277279"</x:f>
        <x:v>62991277279</x:v>
      </x:c>
      <x:c r="Z3089" s="30" t="n">
        <x:v>46582</x:v>
      </x:c>
    </x:row>
    <x:row r="3090" ht="18" customHeight="1">
      <x:c r="A3090" s="22" t="str">
        <x:f>"86fae221-7c18-46a0-8825-dadc1f3e5e6a"</x:f>
        <x:v>86fae221-7c18-46a0-8825-dadc1f3e5e6a</x:v>
      </x:c>
      <x:c r="B3090" s="23" t="str">
        <x:v>RAFAEL ANTONIO MOTA DE CAMPOS</x:v>
      </x:c>
      <x:c r="C3090" s="23" t="str">
        <x:v>rafael antonio mota de campos</x:v>
      </x:c>
      <x:c r="D3090" s="22" t="str">
        <x:f>"65.335.477/0001-73"</x:f>
        <x:v>65.335.477/0001-73</x:v>
      </x:c>
      <x:c r="E3090" s="22" t="str">
        <x:f>"65335477000173"</x:f>
        <x:v>65335477000173</x:v>
      </x:c>
      <x:c r="F3090" s="22" t="str">
        <x:f>"178.213.837-40"</x:f>
        <x:v>178.213.837-40</x:v>
      </x:c>
      <x:c r="G3090" s="22" t="str">
        <x:f>"17821383740"</x:f>
        <x:v>17821383740</x:v>
      </x:c>
      <x:c r="H3090" s="23" t="str">
        <x:v>rafaeldecampos066@gmail.com</x:v>
      </x:c>
      <x:c r="I3090" s="22" t="str">
        <x:f>"21974814328"</x:f>
        <x:v>21974814328</x:v>
      </x:c>
      <x:c r="J3090" s="23" t="str">
        <x:v>SPOT</x:v>
      </x:c>
      <x:c r="K3090" s="23" t="str">
        <x:v>favored_only</x:v>
      </x:c>
      <x:c r="L3090" s="24" t="b">
        <x:v>1</x:v>
      </x:c>
      <x:c r="M3090" s="23" t="n">
        <x:v>2</x:v>
      </x:c>
      <x:c r="N3090" s="28" t="n">
        <x:v>46219.812988715275</x:v>
      </x:c>
      <x:c r="O3090" s="28" t="n">
        <x:v>46219.812988715275</x:v>
      </x:c>
      <x:c r="P3090" s="23" t="str">
        <x:v>SÃO JOAO DE MERITI</x:v>
      </x:c>
      <x:c r="Q3090" s="30" t="n">
        <x:v>36742</x:v>
      </x:c>
      <x:c r="R3090" s="22" t="str">
        <x:f>"306538513"</x:f>
        <x:v>306538513</x:v>
      </x:c>
      <x:c r="S3090" s="23" t="str">
        <x:v>masculino</x:v>
      </x:c>
      <x:c r="T3090" s="22" t="str">
        <x:f>"KRL5F39"</x:f>
        <x:v>KRL5F39</x:v>
      </x:c>
      <x:c r="U3090" s="23" t="str">
        <x:v>RAFAEL ANTONIO MOTA DE CAMPOS</x:v>
      </x:c>
      <x:c r="V3090" s="22" t="str">
        <x:f>"178.213.837-40"</x:f>
        <x:v>178.213.837-40</x:v>
      </x:c>
      <x:c r="W3090" s="22" t="str">
        <x:f>"17821383740"</x:f>
        <x:v>17821383740</x:v>
      </x:c>
      <x:c r="X3090" s="23" t="str">
        <x:v>rafaeldecampos066@gmail.com</x:v>
      </x:c>
      <x:c r="Y3090" s="22" t="str">
        <x:f>"21974814328"</x:f>
        <x:v>21974814328</x:v>
      </x:c>
      <x:c r="Z3090" s="30" t="n">
        <x:v>46485</x:v>
      </x:c>
    </x:row>
    <x:row r="3091" ht="18" customHeight="1">
      <x:c r="A3091" s="22" t="str">
        <x:f>"6010af52-9cb4-435a-ba34-f26fc9d0ec40"</x:f>
        <x:v>6010af52-9cb4-435a-ba34-f26fc9d0ec40</x:v>
      </x:c>
      <x:c r="B3091" s="23" t="str">
        <x:v>RAFAEL ANTUNES DE CASTRO</x:v>
      </x:c>
      <x:c r="C3091" s="23" t="str">
        <x:v>rafael antunes de castro</x:v>
      </x:c>
      <x:c r="D3091" s="22" t="str">
        <x:f>"35.543.960/0001-82"</x:f>
        <x:v>35.543.960/0001-82</x:v>
      </x:c>
      <x:c r="E3091" s="22" t="str">
        <x:f>"35543960000182"</x:f>
        <x:v>35543960000182</x:v>
      </x:c>
      <x:c r="F3091" s="22" t="str">
        <x:f>"091.421.436-59"</x:f>
        <x:v>091.421.436-59</x:v>
      </x:c>
      <x:c r="G3091" s="22" t="str">
        <x:f>"09142143659"</x:f>
        <x:v>09142143659</x:v>
      </x:c>
      <x:c r="H3091" s="23" t="str">
        <x:v>faelcastroantunes@gmail.com</x:v>
      </x:c>
      <x:c r="I3091" s="22" t="str">
        <x:f>"(35)99871-2095"</x:f>
        <x:v>(35)99871-2095</x:v>
      </x:c>
      <x:c r="J3091" s="23" t="str">
        <x:v>RENTAL</x:v>
      </x:c>
      <x:c r="K3091" s="23" t="str">
        <x:v>rental_company</x:v>
      </x:c>
      <x:c r="L3091" s="24" t="b">
        <x:v>1</x:v>
      </x:c>
      <x:c r="M3091" s="23" t="n">
        <x:v>1</x:v>
      </x:c>
      <x:c r="N3091" s="28" t="n">
        <x:v>46219.812988715275</x:v>
      </x:c>
      <x:c r="O3091" s="28" t="n">
        <x:v>46219.812988715275</x:v>
      </x:c>
      <x:c r="P3091" s="23" t="str">
        <x:v>POUSO ALEGRE</x:v>
      </x:c>
      <x:c r="Q3091" s="30" t="n">
        <x:v>33186</x:v>
      </x:c>
      <x:c r="R3091" s="22" t="str">
        <x:f>"MG15178480 SSP MG"</x:f>
        <x:v>MG15178480 SSP MG</x:v>
      </x:c>
      <x:c r="S3091" s="23" t="str">
        <x:v>masculino</x:v>
      </x:c>
      <x:c r="T3091" s="22" t="str"/>
      <x:c r="U3091" s="23" t="str">
        <x:v>RAFAEL ANTUNES DE CASTRO</x:v>
      </x:c>
      <x:c r="V3091" s="22" t="str">
        <x:f>"091.421.436-59"</x:f>
        <x:v>091.421.436-59</x:v>
      </x:c>
      <x:c r="W3091" s="22" t="str">
        <x:f>"09142143659"</x:f>
        <x:v>09142143659</x:v>
      </x:c>
      <x:c r="X3091" s="23" t="str">
        <x:v>faelcastroantunes@gmail.com</x:v>
      </x:c>
      <x:c r="Y3091" s="22" t="str">
        <x:f>"(35)99871-2095"</x:f>
        <x:v>(35)99871-2095</x:v>
      </x:c>
      <x:c r="Z3091" s="30" t="n">
        <x:v>46575</x:v>
      </x:c>
    </x:row>
    <x:row r="3092" ht="18" customHeight="1">
      <x:c r="A3092" s="22" t="str">
        <x:f>"48315d3d-f741-484b-9de1-840adf020b8d"</x:f>
        <x:v>48315d3d-f741-484b-9de1-840adf020b8d</x:v>
      </x:c>
      <x:c r="B3092" s="23" t="str">
        <x:v>RAFAEL ARAUJO MAGALHAES DE FREITAS</x:v>
      </x:c>
      <x:c r="C3092" s="23" t="str">
        <x:v>rafael araujo magalhaes de freitas</x:v>
      </x:c>
      <x:c r="D3092" s="22" t="str">
        <x:f>"64.003.683/0001-13"</x:f>
        <x:v>64.003.683/0001-13</x:v>
      </x:c>
      <x:c r="E3092" s="22" t="str">
        <x:f>"64003683000113"</x:f>
        <x:v>64003683000113</x:v>
      </x:c>
      <x:c r="F3092" s="22" t="str">
        <x:f>"078.184.537-84"</x:f>
        <x:v>078.184.537-84</x:v>
      </x:c>
      <x:c r="G3092" s="22" t="str">
        <x:f>"07818453784"</x:f>
        <x:v>07818453784</x:v>
      </x:c>
      <x:c r="H3092" s="23" t="str">
        <x:v>russao1616@gmail.com</x:v>
      </x:c>
      <x:c r="I3092" s="22" t="str">
        <x:f>"21964329110"</x:f>
        <x:v>21964329110</x:v>
      </x:c>
      <x:c r="J3092" s="23" t="str">
        <x:v>SPOT</x:v>
      </x:c>
      <x:c r="K3092" s="23" t="str">
        <x:v>favored_only</x:v>
      </x:c>
      <x:c r="L3092" s="24" t="b">
        <x:v>1</x:v>
      </x:c>
      <x:c r="M3092" s="23" t="n">
        <x:v>1</x:v>
      </x:c>
      <x:c r="N3092" s="28" t="n">
        <x:v>46219.812988715275</x:v>
      </x:c>
      <x:c r="O3092" s="28" t="n">
        <x:v>46219.812988715275</x:v>
      </x:c>
      <x:c r="P3092" s="23" t="str">
        <x:v>ITABORAI</x:v>
      </x:c>
      <x:c r="Q3092" s="30" t="n">
        <x:v>28552</x:v>
      </x:c>
      <x:c r="R3092" s="22" t="str">
        <x:f>"119146215"</x:f>
        <x:v>119146215</x:v>
      </x:c>
      <x:c r="S3092" s="23" t="str">
        <x:v>masculino</x:v>
      </x:c>
      <x:c r="T3092" s="22" t="str">
        <x:f>"LMK1I55"</x:f>
        <x:v>LMK1I55</x:v>
      </x:c>
      <x:c r="U3092" s="23" t="str">
        <x:v>RAFAEL ARAUJO MAGALHAES DE FREITAS</x:v>
      </x:c>
      <x:c r="V3092" s="22" t="str">
        <x:f>"078.184.537-84"</x:f>
        <x:v>078.184.537-84</x:v>
      </x:c>
      <x:c r="W3092" s="22" t="str">
        <x:f>"07818453784"</x:f>
        <x:v>07818453784</x:v>
      </x:c>
      <x:c r="X3092" s="23" t="str">
        <x:v>russao1616@gmail.com</x:v>
      </x:c>
      <x:c r="Y3092" s="22" t="str">
        <x:f>"21964329110"</x:f>
        <x:v>21964329110</x:v>
      </x:c>
      <x:c r="Z3092" s="30" t="n">
        <x:v>46548</x:v>
      </x:c>
    </x:row>
    <x:row r="3093" ht="18" customHeight="1">
      <x:c r="A3093" s="22" t="str">
        <x:f>"9a595c64-4f57-4e6f-9030-42a7a487f7bb"</x:f>
        <x:v>9a595c64-4f57-4e6f-9030-42a7a487f7bb</x:v>
      </x:c>
      <x:c r="B3093" s="23" t="str">
        <x:v>Rafael Bartolomeu  Cardoso Ribeiro</x:v>
      </x:c>
      <x:c r="C3093" s="23" t="str">
        <x:v>rafael bartolomeu  cardoso ribeiro</x:v>
      </x:c>
      <x:c r="D3093" s="22" t="str">
        <x:f>"61.617.408/0001-00"</x:f>
        <x:v>61.617.408/0001-00</x:v>
      </x:c>
      <x:c r="E3093" s="22" t="str">
        <x:f>"61617408000100"</x:f>
        <x:v>61617408000100</x:v>
      </x:c>
      <x:c r="F3093" s="22" t="str">
        <x:f>"387.243.688-06"</x:f>
        <x:v>387.243.688-06</x:v>
      </x:c>
      <x:c r="G3093" s="22" t="str">
        <x:f>"38724368806"</x:f>
        <x:v>38724368806</x:v>
      </x:c>
      <x:c r="H3093" s="23" t="str">
        <x:v>bartolomeurafael80@gmail.com</x:v>
      </x:c>
      <x:c r="I3093" s="22" t="str">
        <x:f>"17996493279"</x:f>
        <x:v>17996493279</x:v>
      </x:c>
      <x:c r="J3093" s="23" t="str">
        <x:v>RENTAL</x:v>
      </x:c>
      <x:c r="K3093" s="23" t="str">
        <x:v>rental_company</x:v>
      </x:c>
      <x:c r="L3093" s="24" t="b">
        <x:v>1</x:v>
      </x:c>
      <x:c r="M3093" s="23" t="n">
        <x:v>1</x:v>
      </x:c>
      <x:c r="N3093" s="28" t="n">
        <x:v>46205.60324425926</x:v>
      </x:c>
      <x:c r="O3093" s="28" t="n">
        <x:v>46205.60479125</x:v>
      </x:c>
      <x:c r="P3093" s="23" t="str">
        <x:v>JALES</x:v>
      </x:c>
      <x:c r="Q3093" s="30" t="n">
        <x:v>37139</x:v>
      </x:c>
      <x:c r="R3093" s="22" t="str">
        <x:f>"509512434"</x:f>
        <x:v>509512434</x:v>
      </x:c>
      <x:c r="S3093" s="23" t="str">
        <x:v>Masculino</x:v>
      </x:c>
      <x:c r="T3093" s="22" t="str"/>
      <x:c r="U3093" s="23" t="str">
        <x:v>Rafael Bartolomeu  Cardoso Ribeiro</x:v>
      </x:c>
      <x:c r="V3093" s="22" t="str">
        <x:f>"38724368806"</x:f>
        <x:v>38724368806</x:v>
      </x:c>
      <x:c r="W3093" s="22" t="str">
        <x:f>"38724368806"</x:f>
        <x:v>38724368806</x:v>
      </x:c>
      <x:c r="X3093" s="23" t="str">
        <x:v>bartolomeurafael80@gmail.com</x:v>
      </x:c>
      <x:c r="Y3093" s="22" t="str">
        <x:f>"17996493279"</x:f>
        <x:v>17996493279</x:v>
      </x:c>
      <x:c r="Z3093" s="30" t="n">
        <x:v>46212</x:v>
      </x:c>
    </x:row>
    <x:row r="3094" ht="18" customHeight="1">
      <x:c r="A3094" s="22" t="str">
        <x:f>"457684ff-e587-464f-8933-a82cdf27b9a1"</x:f>
        <x:v>457684ff-e587-464f-8933-a82cdf27b9a1</x:v>
      </x:c>
      <x:c r="B3094" s="23" t="str">
        <x:v>RAFAEL BENTO GOMES</x:v>
      </x:c>
      <x:c r="C3094" s="23" t="str">
        <x:v>rafael bento gomes</x:v>
      </x:c>
      <x:c r="D3094" s="22" t="str">
        <x:f>"61.191.061/000178"</x:f>
        <x:v>61.191.061/000178</x:v>
      </x:c>
      <x:c r="E3094" s="22" t="str">
        <x:f>"61191061000178"</x:f>
        <x:v>61191061000178</x:v>
      </x:c>
      <x:c r="F3094" s="22" t="str">
        <x:f>"055.886.591-71"</x:f>
        <x:v>055.886.591-71</x:v>
      </x:c>
      <x:c r="G3094" s="22" t="str">
        <x:f>"05588659171"</x:f>
        <x:v>05588659171</x:v>
      </x:c>
      <x:c r="H3094" s="23" t="str">
        <x:v>rafaelbentogomes685@gmail.com</x:v>
      </x:c>
      <x:c r="I3094" s="22" t="str">
        <x:f>"659992014681"</x:f>
        <x:v>659992014681</x:v>
      </x:c>
      <x:c r="J3094" s="23" t="str">
        <x:v>SPOT</x:v>
      </x:c>
      <x:c r="K3094" s="23" t="str">
        <x:v>favored_only</x:v>
      </x:c>
      <x:c r="L3094" s="24" t="b">
        <x:v>1</x:v>
      </x:c>
      <x:c r="M3094" s="23" t="n">
        <x:v>3</x:v>
      </x:c>
      <x:c r="N3094" s="28" t="n">
        <x:v>46203.92186888889</x:v>
      </x:c>
      <x:c r="O3094" s="28" t="n">
        <x:v>46203.92186888889</x:v>
      </x:c>
      <x:c r="P3094" s="23" t="str"/>
      <x:c r="Q3094" s="30" t="str"/>
      <x:c r="R3094" s="22" t="str"/>
      <x:c r="S3094" s="23" t="str"/>
      <x:c r="T3094" s="22" t="str"/>
      <x:c r="U3094" s="23" t="str">
        <x:v>RAFAEL BENTO GOMES</x:v>
      </x:c>
      <x:c r="V3094" s="22" t="str">
        <x:f>"055886591-71"</x:f>
        <x:v>055886591-71</x:v>
      </x:c>
      <x:c r="W3094" s="22" t="str">
        <x:f>"05588659171"</x:f>
        <x:v>05588659171</x:v>
      </x:c>
      <x:c r="X3094" s="23" t="str">
        <x:v>rafaelbentogomes685@gmail.com</x:v>
      </x:c>
      <x:c r="Y3094" s="22" t="str">
        <x:f>"659920114681"</x:f>
        <x:v>659920114681</x:v>
      </x:c>
      <x:c r="Z3094" s="30" t="str"/>
    </x:row>
    <x:row r="3095" ht="18" customHeight="1">
      <x:c r="A3095" s="22" t="str">
        <x:f>"33318f0c-e700-47b7-9b81-950efd0db44b"</x:f>
        <x:v>33318f0c-e700-47b7-9b81-950efd0db44b</x:v>
      </x:c>
      <x:c r="B3095" s="23" t="str">
        <x:v>RAFAEL CAETANO RANGEL</x:v>
      </x:c>
      <x:c r="C3095" s="23" t="str">
        <x:v>rafael caetano rangel</x:v>
      </x:c>
      <x:c r="D3095" s="22" t="str">
        <x:f>"54.380.939/0001-58"</x:f>
        <x:v>54.380.939/0001-58</x:v>
      </x:c>
      <x:c r="E3095" s="22" t="str">
        <x:f>"54380939000158"</x:f>
        <x:v>54380939000158</x:v>
      </x:c>
      <x:c r="F3095" s="22" t="str">
        <x:f>"180.970.177-50"</x:f>
        <x:v>180.970.177-50</x:v>
      </x:c>
      <x:c r="G3095" s="22" t="str">
        <x:f>"18097017750"</x:f>
        <x:v>18097017750</x:v>
      </x:c>
      <x:c r="H3095" s="23" t="str">
        <x:v>Rafaelcaetano1917@hotmail.com</x:v>
      </x:c>
      <x:c r="I3095" s="22" t="str">
        <x:f>"22 996015102"</x:f>
        <x:v>22 996015102</x:v>
      </x:c>
      <x:c r="J3095" s="23" t="str">
        <x:v>SPOT</x:v>
      </x:c>
      <x:c r="K3095" s="23" t="str">
        <x:v>favored_only</x:v>
      </x:c>
      <x:c r="L3095" s="24" t="b">
        <x:v>1</x:v>
      </x:c>
      <x:c r="M3095" s="23" t="n">
        <x:v>1</x:v>
      </x:c>
      <x:c r="N3095" s="28" t="n">
        <x:v>46205.60594134259</x:v>
      </x:c>
      <x:c r="O3095" s="28" t="n">
        <x:v>46219.812988715275</x:v>
      </x:c>
      <x:c r="P3095" s="23" t="str">
        <x:v>CAMPOS DOS GOYTACAZES</x:v>
      </x:c>
      <x:c r="Q3095" s="30" t="n">
        <x:v>36198</x:v>
      </x:c>
      <x:c r="R3095" s="22" t="str">
        <x:f>"305192114"</x:f>
        <x:v>305192114</x:v>
      </x:c>
      <x:c r="S3095" s="23" t="str">
        <x:v>masculino</x:v>
      </x:c>
      <x:c r="T3095" s="22" t="str">
        <x:f>"KRM9I72"</x:f>
        <x:v>KRM9I72</x:v>
      </x:c>
      <x:c r="U3095" s="23" t="str">
        <x:v>LEANDRO RAMOS PESSANHA SALIM</x:v>
      </x:c>
      <x:c r="V3095" s="22" t="str">
        <x:f>"092.160.007-08"</x:f>
        <x:v>092.160.007-08</x:v>
      </x:c>
      <x:c r="W3095" s="22" t="str">
        <x:f>"09216000708"</x:f>
        <x:v>09216000708</x:v>
      </x:c>
      <x:c r="X3095" s="23" t="str">
        <x:v>lrpsalim@gmail.com</x:v>
      </x:c>
      <x:c r="Y3095" s="22" t="str">
        <x:f>"22 99706-7573"</x:f>
        <x:v>22 99706-7573</x:v>
      </x:c>
      <x:c r="Z3095" s="30" t="n">
        <x:v>46338</x:v>
      </x:c>
    </x:row>
    <x:row r="3096" ht="18" customHeight="1">
      <x:c r="A3096" s="22" t="str">
        <x:f>"0bd6ec99-ba72-4d0d-8ffa-a8d3af22fd10"</x:f>
        <x:v>0bd6ec99-ba72-4d0d-8ffa-a8d3af22fd10</x:v>
      </x:c>
      <x:c r="B3096" s="23" t="str">
        <x:v>RAFAEL CARVALHO DOS SANTOS</x:v>
      </x:c>
      <x:c r="C3096" s="23" t="str">
        <x:v>rafael carvalho dos santos</x:v>
      </x:c>
      <x:c r="D3096" s="22" t="str">
        <x:f>"53.843.045/0001-94"</x:f>
        <x:v>53.843.045/0001-94</x:v>
      </x:c>
      <x:c r="E3096" s="22" t="str">
        <x:f>"53843045000194"</x:f>
        <x:v>53843045000194</x:v>
      </x:c>
      <x:c r="F3096" s="22" t="str">
        <x:f>"024.662.055-21"</x:f>
        <x:v>024.662.055-21</x:v>
      </x:c>
      <x:c r="G3096" s="22" t="str">
        <x:f>"02466205521"</x:f>
        <x:v>02466205521</x:v>
      </x:c>
      <x:c r="H3096" s="23" t="str">
        <x:v>Rafaelkaua2335@gmail.com</x:v>
      </x:c>
      <x:c r="I3096" s="22" t="str">
        <x:f>"71 992746544"</x:f>
        <x:v>71 992746544</x:v>
      </x:c>
      <x:c r="J3096" s="23" t="str">
        <x:v>RENTAL</x:v>
      </x:c>
      <x:c r="K3096" s="23" t="str">
        <x:v>rental_company</x:v>
      </x:c>
      <x:c r="L3096" s="24" t="b">
        <x:v>1</x:v>
      </x:c>
      <x:c r="M3096" s="23" t="n">
        <x:v>1</x:v>
      </x:c>
      <x:c r="N3096" s="28" t="n">
        <x:v>46219.812988715275</x:v>
      </x:c>
      <x:c r="O3096" s="28" t="n">
        <x:v>46219.812988715275</x:v>
      </x:c>
      <x:c r="P3096" s="23" t="str">
        <x:v>POUSO ALEGRE</x:v>
      </x:c>
      <x:c r="Q3096" s="30" t="n">
        <x:v>31690</x:v>
      </x:c>
      <x:c r="R3096" s="22" t="str">
        <x:f>"56686024"</x:f>
        <x:v>56686024</x:v>
      </x:c>
      <x:c r="S3096" s="23" t="str">
        <x:v>masculino</x:v>
      </x:c>
      <x:c r="T3096" s="22" t="str"/>
      <x:c r="U3096" s="23" t="str">
        <x:v>RAFAEL CARVALHO DOS SANTOS</x:v>
      </x:c>
      <x:c r="V3096" s="22" t="str">
        <x:f>"024.662.055-21"</x:f>
        <x:v>024.662.055-21</x:v>
      </x:c>
      <x:c r="W3096" s="22" t="str">
        <x:f>"02466205521"</x:f>
        <x:v>02466205521</x:v>
      </x:c>
      <x:c r="X3096" s="23" t="str">
        <x:v>Rafaelkaua2335@gmail.com</x:v>
      </x:c>
      <x:c r="Y3096" s="22" t="str">
        <x:f>"71 992746544"</x:f>
        <x:v>71 992746544</x:v>
      </x:c>
      <x:c r="Z3096" s="30" t="n">
        <x:v>46519</x:v>
      </x:c>
    </x:row>
    <x:row r="3097" ht="18" customHeight="1">
      <x:c r="A3097" s="22" t="str">
        <x:f>"946bb0dc-55b0-4e1b-b051-6d88e8179fbe"</x:f>
        <x:v>946bb0dc-55b0-4e1b-b051-6d88e8179fbe</x:v>
      </x:c>
      <x:c r="B3097" s="23" t="str">
        <x:v>RAFAEL CHAGA DE CARVALHO</x:v>
      </x:c>
      <x:c r="C3097" s="23" t="str">
        <x:v>rafael chaga de carvalho</x:v>
      </x:c>
      <x:c r="D3097" s="22" t="str">
        <x:f>"65.279.261/0001-38"</x:f>
        <x:v>65.279.261/0001-38</x:v>
      </x:c>
      <x:c r="E3097" s="22" t="str">
        <x:f>"65279261000138"</x:f>
        <x:v>65279261000138</x:v>
      </x:c>
      <x:c r="F3097" s="22" t="str">
        <x:f>"422.963.278-93"</x:f>
        <x:v>422.963.278-93</x:v>
      </x:c>
      <x:c r="G3097" s="22" t="str">
        <x:f>"42296327893"</x:f>
        <x:v>42296327893</x:v>
      </x:c>
      <x:c r="H3097" s="23" t="str">
        <x:v>Rafael.ch.carvalho@hotmail.com</x:v>
      </x:c>
      <x:c r="I3097" s="22" t="str">
        <x:f>"+55 11 96443-6577"</x:f>
        <x:v>+55 11 96443-6577</x:v>
      </x:c>
      <x:c r="J3097" s="23" t="str">
        <x:v>SPOT</x:v>
      </x:c>
      <x:c r="K3097" s="23" t="str">
        <x:v>favored_only</x:v>
      </x:c>
      <x:c r="L3097" s="24" t="b">
        <x:v>1</x:v>
      </x:c>
      <x:c r="M3097" s="23" t="n">
        <x:v>1</x:v>
      </x:c>
      <x:c r="N3097" s="28" t="n">
        <x:v>46219.812988715275</x:v>
      </x:c>
      <x:c r="O3097" s="28" t="n">
        <x:v>46219.812988715275</x:v>
      </x:c>
      <x:c r="P3097" s="23" t="str">
        <x:v>MARILIA</x:v>
      </x:c>
      <x:c r="Q3097" s="30" t="n">
        <x:v>34612</x:v>
      </x:c>
      <x:c r="R3097" s="22" t="str">
        <x:f>"44262383"</x:f>
        <x:v>44262383</x:v>
      </x:c>
      <x:c r="S3097" s="23" t="str">
        <x:v>masculino</x:v>
      </x:c>
      <x:c r="T3097" s="22" t="str">
        <x:f>"FVP9B90"</x:f>
        <x:v>FVP9B90</x:v>
      </x:c>
      <x:c r="U3097" s="23" t="str">
        <x:v>RAFAEL CHAGA DE CARVALHO</x:v>
      </x:c>
      <x:c r="V3097" s="22" t="str">
        <x:f>"422.963.278-93"</x:f>
        <x:v>422.963.278-93</x:v>
      </x:c>
      <x:c r="W3097" s="22" t="str">
        <x:f>"42296327893"</x:f>
        <x:v>42296327893</x:v>
      </x:c>
      <x:c r="X3097" s="23" t="str">
        <x:v>Rafael.ch.carvalho@hotmail.com</x:v>
      </x:c>
      <x:c r="Y3097" s="22" t="str">
        <x:f>"+55 11 96443-6577"</x:f>
        <x:v>+55 11 96443-6577</x:v>
      </x:c>
      <x:c r="Z3097" s="30" t="n">
        <x:v>46533</x:v>
      </x:c>
    </x:row>
    <x:row r="3098" ht="18" customHeight="1">
      <x:c r="A3098" s="22" t="str">
        <x:f>"44d61487-2fd9-4878-a606-797781625f6f"</x:f>
        <x:v>44d61487-2fd9-4878-a606-797781625f6f</x:v>
      </x:c>
      <x:c r="B3098" s="23" t="str">
        <x:v>RAFAEL CLAUDINO DA SILVA</x:v>
      </x:c>
      <x:c r="C3098" s="23" t="str">
        <x:v>rafael claudino da silva</x:v>
      </x:c>
      <x:c r="D3098" s="22" t="str">
        <x:f>"27.833.088/0001-89"</x:f>
        <x:v>27.833.088/0001-89</x:v>
      </x:c>
      <x:c r="E3098" s="22" t="str">
        <x:f>"27833088000189"</x:f>
        <x:v>27833088000189</x:v>
      </x:c>
      <x:c r="F3098" s="22" t="str">
        <x:f>"121.506.836-01"</x:f>
        <x:v>121.506.836-01</x:v>
      </x:c>
      <x:c r="G3098" s="22" t="str">
        <x:f>"12150683601"</x:f>
        <x:v>12150683601</x:v>
      </x:c>
      <x:c r="H3098" s="23" t="str">
        <x:v>Adguaranesiaoficial@gmail.com</x:v>
      </x:c>
      <x:c r="I3098" s="22" t="str">
        <x:f>"35 99930-2102"</x:f>
        <x:v>35 99930-2102</x:v>
      </x:c>
      <x:c r="J3098" s="23" t="str">
        <x:v>SPOT</x:v>
      </x:c>
      <x:c r="K3098" s="23" t="str">
        <x:v>favored_only</x:v>
      </x:c>
      <x:c r="L3098" s="24" t="b">
        <x:v>1</x:v>
      </x:c>
      <x:c r="M3098" s="23" t="n">
        <x:v>1</x:v>
      </x:c>
      <x:c r="N3098" s="28" t="n">
        <x:v>46203.921840393516</x:v>
      </x:c>
      <x:c r="O3098" s="28" t="n">
        <x:v>46219.812988715275</x:v>
      </x:c>
      <x:c r="P3098" s="23" t="str">
        <x:v>GUAXUPE</x:v>
      </x:c>
      <x:c r="Q3098" s="30" t="n">
        <x:v>35710</x:v>
      </x:c>
      <x:c r="R3098" s="22" t="str">
        <x:f>"59.204.186-4"</x:f>
        <x:v>59.204.186-4</x:v>
      </x:c>
      <x:c r="S3098" s="23" t="str">
        <x:v>masculino</x:v>
      </x:c>
      <x:c r="T3098" s="22" t="str">
        <x:f>"OBT4F44"</x:f>
        <x:v>OBT4F44</x:v>
      </x:c>
      <x:c r="U3098" s="23" t="str">
        <x:v>RAFAEL CLAUDINO DA SILVA</x:v>
      </x:c>
      <x:c r="V3098" s="22" t="str">
        <x:f>"121.506.836-01"</x:f>
        <x:v>121.506.836-01</x:v>
      </x:c>
      <x:c r="W3098" s="22" t="str">
        <x:f>"12150683601"</x:f>
        <x:v>12150683601</x:v>
      </x:c>
      <x:c r="X3098" s="23" t="str">
        <x:v>Adguaranesiaoficial@gmail.com</x:v>
      </x:c>
      <x:c r="Y3098" s="22" t="str">
        <x:f>"35 99930-2102"</x:f>
        <x:v>35 99930-2102</x:v>
      </x:c>
      <x:c r="Z3098" s="30" t="n">
        <x:v>46578</x:v>
      </x:c>
    </x:row>
    <x:row r="3099" ht="18" customHeight="1">
      <x:c r="A3099" s="22" t="str">
        <x:f>"3cf8abf2-c10c-49db-851d-f0aaaae1fe05"</x:f>
        <x:v>3cf8abf2-c10c-49db-851d-f0aaaae1fe05</x:v>
      </x:c>
      <x:c r="B3099" s="23" t="str">
        <x:v>RAFAEL COSTA DOS SANTOS</x:v>
      </x:c>
      <x:c r="C3099" s="23" t="str">
        <x:v>rafael costa dos santos</x:v>
      </x:c>
      <x:c r="D3099" s="22" t="str">
        <x:f>"64.384.687/0001-99"</x:f>
        <x:v>64.384.687/0001-99</x:v>
      </x:c>
      <x:c r="E3099" s="22" t="str">
        <x:f>"64384687000199"</x:f>
        <x:v>64384687000199</x:v>
      </x:c>
      <x:c r="F3099" s="22" t="str">
        <x:f>"113.517.086-00"</x:f>
        <x:v>113.517.086-00</x:v>
      </x:c>
      <x:c r="G3099" s="22" t="str">
        <x:f>"11351708600"</x:f>
        <x:v>11351708600</x:v>
      </x:c>
      <x:c r="H3099" s="23" t="str">
        <x:v>rafael.gestao1@outlook.com.br</x:v>
      </x:c>
      <x:c r="I3099" s="22" t="str">
        <x:f>"33 8885-9708"</x:f>
        <x:v>33 8885-9708</x:v>
      </x:c>
      <x:c r="J3099" s="23" t="str">
        <x:v>SPOT</x:v>
      </x:c>
      <x:c r="K3099" s="23" t="str">
        <x:v>favored_only</x:v>
      </x:c>
      <x:c r="L3099" s="24" t="b">
        <x:v>1</x:v>
      </x:c>
      <x:c r="M3099" s="23" t="n">
        <x:v>1</x:v>
      </x:c>
      <x:c r="N3099" s="28" t="n">
        <x:v>46219.812988715275</x:v>
      </x:c>
      <x:c r="O3099" s="28" t="n">
        <x:v>46219.812988715275</x:v>
      </x:c>
      <x:c r="P3099" s="23" t="str">
        <x:v>TEOFILO OTONI</x:v>
      </x:c>
      <x:c r="Q3099" s="30" t="n">
        <x:v>33462</x:v>
      </x:c>
      <x:c r="R3099" s="22" t="str">
        <x:f>"17650301"</x:f>
        <x:v>17650301</x:v>
      </x:c>
      <x:c r="S3099" s="23" t="str">
        <x:v>masculino</x:v>
      </x:c>
      <x:c r="T3099" s="22" t="str">
        <x:f>"HLX2A95"</x:f>
        <x:v>HLX2A95</x:v>
      </x:c>
      <x:c r="U3099" s="23" t="str">
        <x:v>RICARDO FERNANDES DOS SANTOS</x:v>
      </x:c>
      <x:c r="V3099" s="22" t="str">
        <x:f>"705.996.166-60"</x:f>
        <x:v>705.996.166-60</x:v>
      </x:c>
      <x:c r="W3099" s="22" t="str">
        <x:f>"70599616660"</x:f>
        <x:v>70599616660</x:v>
      </x:c>
      <x:c r="X3099" s="23" t="str">
        <x:v>ricardofnd11@gmail.com</x:v>
      </x:c>
      <x:c r="Y3099" s="22" t="str">
        <x:f>"33991447823"</x:f>
        <x:v>33991447823</x:v>
      </x:c>
      <x:c r="Z3099" s="30" t="n">
        <x:v>46491</x:v>
      </x:c>
    </x:row>
    <x:row r="3100" ht="18" customHeight="1">
      <x:c r="A3100" s="22" t="str">
        <x:f>"d96b8b96-8f6c-4e51-8f69-a71e75b3d690"</x:f>
        <x:v>d96b8b96-8f6c-4e51-8f69-a71e75b3d690</x:v>
      </x:c>
      <x:c r="B3100" s="23" t="str">
        <x:v>RAFAEL COUTO DOS SANTOS</x:v>
      </x:c>
      <x:c r="C3100" s="23" t="str">
        <x:v>rafael couto dos santos</x:v>
      </x:c>
      <x:c r="D3100" s="22" t="str">
        <x:f>"52.202.408/0001-40"</x:f>
        <x:v>52.202.408/0001-40</x:v>
      </x:c>
      <x:c r="E3100" s="22" t="str">
        <x:f>"52202408000140"</x:f>
        <x:v>52202408000140</x:v>
      </x:c>
      <x:c r="F3100" s="22" t="str">
        <x:f>"132.820.206-27"</x:f>
        <x:v>132.820.206-27</x:v>
      </x:c>
      <x:c r="G3100" s="22" t="str">
        <x:f>"13282020627"</x:f>
        <x:v>13282020627</x:v>
      </x:c>
      <x:c r="H3100" s="23" t="str">
        <x:v>03777rcouto@gmail.com</x:v>
      </x:c>
      <x:c r="I3100" s="22" t="str">
        <x:f>"3199194-4764"</x:f>
        <x:v>3199194-4764</x:v>
      </x:c>
      <x:c r="J3100" s="23" t="str">
        <x:v>SPOT</x:v>
      </x:c>
      <x:c r="K3100" s="23" t="str">
        <x:v>favored_only</x:v>
      </x:c>
      <x:c r="L3100" s="24" t="b">
        <x:v>1</x:v>
      </x:c>
      <x:c r="M3100" s="23" t="n">
        <x:v>1</x:v>
      </x:c>
      <x:c r="N3100" s="28" t="n">
        <x:v>46219.812988715275</x:v>
      </x:c>
      <x:c r="O3100" s="28" t="n">
        <x:v>46219.812988715275</x:v>
      </x:c>
      <x:c r="P3100" s="23" t="str">
        <x:v>VESPASIANO</x:v>
      </x:c>
      <x:c r="Q3100" s="30" t="n">
        <x:v>35311</x:v>
      </x:c>
      <x:c r="R3100" s="22" t="str">
        <x:f>"MG 15.485.146"</x:f>
        <x:v>MG 15.485.146</x:v>
      </x:c>
      <x:c r="S3100" s="23" t="str">
        <x:v>masculino</x:v>
      </x:c>
      <x:c r="T3100" s="22" t="str">
        <x:f>"PZL1H55"</x:f>
        <x:v>PZL1H55</x:v>
      </x:c>
      <x:c r="U3100" s="23" t="str">
        <x:v>RAFAEL COUTO DOS SANTOS</x:v>
      </x:c>
      <x:c r="V3100" s="22" t="str">
        <x:f>"132.820.206-27"</x:f>
        <x:v>132.820.206-27</x:v>
      </x:c>
      <x:c r="W3100" s="22" t="str">
        <x:f>"13282020627"</x:f>
        <x:v>13282020627</x:v>
      </x:c>
      <x:c r="X3100" s="23" t="str">
        <x:v>03777rcouto@gmail.com</x:v>
      </x:c>
      <x:c r="Y3100" s="22" t="str">
        <x:f>"3199194-4764"</x:f>
        <x:v>3199194-4764</x:v>
      </x:c>
      <x:c r="Z3100" s="30" t="n">
        <x:v>46541</x:v>
      </x:c>
    </x:row>
    <x:row r="3101" ht="18" customHeight="1">
      <x:c r="A3101" s="22" t="str">
        <x:f>"2cc31464-1351-4e45-8b90-bc139dc37dd1"</x:f>
        <x:v>2cc31464-1351-4e45-8b90-bc139dc37dd1</x:v>
      </x:c>
      <x:c r="B3101" s="23" t="str">
        <x:v>RAFAEL DA SILVA CARDOSO</x:v>
      </x:c>
      <x:c r="C3101" s="23" t="str">
        <x:v>rafael da silva cardoso</x:v>
      </x:c>
      <x:c r="D3101" s="22" t="str">
        <x:f>"32.838.741/0001-32"</x:f>
        <x:v>32.838.741/0001-32</x:v>
      </x:c>
      <x:c r="E3101" s="22" t="str">
        <x:f>"32838741000132"</x:f>
        <x:v>32838741000132</x:v>
      </x:c>
      <x:c r="F3101" s="22" t="str">
        <x:f>"135.024.997-13"</x:f>
        <x:v>135.024.997-13</x:v>
      </x:c>
      <x:c r="G3101" s="22" t="str">
        <x:f>"13502499713"</x:f>
        <x:v>13502499713</x:v>
      </x:c>
      <x:c r="H3101" s="23" t="str">
        <x:v>rafaelcardosomanu@gmail.com</x:v>
      </x:c>
      <x:c r="I3101" s="22" t="str">
        <x:f>"21987231635"</x:f>
        <x:v>21987231635</x:v>
      </x:c>
      <x:c r="J3101" s="23" t="str">
        <x:v>SPOT</x:v>
      </x:c>
      <x:c r="K3101" s="23" t="str">
        <x:v>favored_only</x:v>
      </x:c>
      <x:c r="L3101" s="24" t="b">
        <x:v>1</x:v>
      </x:c>
      <x:c r="M3101" s="23" t="n">
        <x:v>1</x:v>
      </x:c>
      <x:c r="N3101" s="28" t="n">
        <x:v>46219.812988715275</x:v>
      </x:c>
      <x:c r="O3101" s="28" t="n">
        <x:v>46219.812988715275</x:v>
      </x:c>
      <x:c r="P3101" s="23" t="str">
        <x:v>ITABORAI</x:v>
      </x:c>
      <x:c r="Q3101" s="30" t="n">
        <x:v>32374</x:v>
      </x:c>
      <x:c r="R3101" s="22" t="str">
        <x:f>"201343126"</x:f>
        <x:v>201343126</x:v>
      </x:c>
      <x:c r="S3101" s="23" t="str">
        <x:v>masculino</x:v>
      </x:c>
      <x:c r="T3101" s="22" t="str">
        <x:f>"TJE2G17"</x:f>
        <x:v>TJE2G17</x:v>
      </x:c>
      <x:c r="U3101" s="23" t="str">
        <x:v>RAFAEL DA SILVA CARDOSO</x:v>
      </x:c>
      <x:c r="V3101" s="22" t="str">
        <x:f>"135.024.997-13"</x:f>
        <x:v>135.024.997-13</x:v>
      </x:c>
      <x:c r="W3101" s="22" t="str">
        <x:f>"13502499713"</x:f>
        <x:v>13502499713</x:v>
      </x:c>
      <x:c r="X3101" s="23" t="str">
        <x:v>rafaelcardosomanu@gmail.com</x:v>
      </x:c>
      <x:c r="Y3101" s="22" t="str">
        <x:f>"21987231635"</x:f>
        <x:v>21987231635</x:v>
      </x:c>
      <x:c r="Z3101" s="30" t="n">
        <x:v>46490</x:v>
      </x:c>
    </x:row>
    <x:row r="3102" ht="18" customHeight="1">
      <x:c r="A3102" s="22" t="str">
        <x:f>"6e90d59c-641c-4ab4-b763-8e9c6be3d3a7"</x:f>
        <x:v>6e90d59c-641c-4ab4-b763-8e9c6be3d3a7</x:v>
      </x:c>
      <x:c r="B3102" s="23" t="str">
        <x:v>RAFAEL DA SILVA C E CARVALHO CALDEIRA</x:v>
      </x:c>
      <x:c r="C3102" s="23" t="str">
        <x:v>rafael da silva c e carvalho caldeira</x:v>
      </x:c>
      <x:c r="D3102" s="22" t="str">
        <x:f>"59.500.308/0001-49"</x:f>
        <x:v>59.500.308/0001-49</x:v>
      </x:c>
      <x:c r="E3102" s="22" t="str">
        <x:f>"59500308000149"</x:f>
        <x:v>59500308000149</x:v>
      </x:c>
      <x:c r="F3102" s="22" t="str">
        <x:f>"352.925.098-84"</x:f>
        <x:v>352.925.098-84</x:v>
      </x:c>
      <x:c r="G3102" s="22" t="str">
        <x:f>"35292509884"</x:f>
        <x:v>35292509884</x:v>
      </x:c>
      <x:c r="H3102" s="23" t="str">
        <x:v>rafaamzeua@gmail.com</x:v>
      </x:c>
      <x:c r="I3102" s="22" t="str">
        <x:f>"16 99338-7529"</x:f>
        <x:v>16 99338-7529</x:v>
      </x:c>
      <x:c r="J3102" s="23" t="str">
        <x:v>SPOT</x:v>
      </x:c>
      <x:c r="K3102" s="23" t="str">
        <x:v>favored_only</x:v>
      </x:c>
      <x:c r="L3102" s="24" t="b">
        <x:v>1</x:v>
      </x:c>
      <x:c r="M3102" s="23" t="n">
        <x:v>1</x:v>
      </x:c>
      <x:c r="N3102" s="28" t="n">
        <x:v>46205.60390556713</x:v>
      </x:c>
      <x:c r="O3102" s="28" t="n">
        <x:v>46219.812988715275</x:v>
      </x:c>
      <x:c r="P3102" s="23" t="str">
        <x:v>BARRETOS</x:v>
      </x:c>
      <x:c r="Q3102" s="30" t="n">
        <x:v>32365</x:v>
      </x:c>
      <x:c r="R3102" s="22" t="str">
        <x:f>"42774076"</x:f>
        <x:v>42774076</x:v>
      </x:c>
      <x:c r="S3102" s="23" t="str">
        <x:v>masculino</x:v>
      </x:c>
      <x:c r="T3102" s="22" t="str">
        <x:f>"RFI5F27"</x:f>
        <x:v>RFI5F27</x:v>
      </x:c>
      <x:c r="U3102" s="23" t="str">
        <x:v>LIVIA JULIANA CALDEIRA DE CARVALHO</x:v>
      </x:c>
      <x:c r="V3102" s="22" t="str">
        <x:f>"092.111.036-73"</x:f>
        <x:v>092.111.036-73</x:v>
      </x:c>
      <x:c r="W3102" s="22" t="str">
        <x:f>"09211103673"</x:f>
        <x:v>09211103673</x:v>
      </x:c>
      <x:c r="X3102" s="23" t="str">
        <x:v>julianacalcar@gmail.com</x:v>
      </x:c>
      <x:c r="Y3102" s="22" t="str">
        <x:f>"(16) 99459-9544"</x:f>
        <x:v>(16) 99459-9544</x:v>
      </x:c>
      <x:c r="Z3102" s="30" t="n">
        <x:v>46248</x:v>
      </x:c>
    </x:row>
    <x:row r="3103" ht="18" customHeight="1">
      <x:c r="A3103" s="22" t="str">
        <x:f>"4c688487-7757-4685-9393-b4669ddde6a4"</x:f>
        <x:v>4c688487-7757-4685-9393-b4669ddde6a4</x:v>
      </x:c>
      <x:c r="B3103" s="23" t="str">
        <x:v>RAFAEL DE LEON DUMONT GOMES</x:v>
      </x:c>
      <x:c r="C3103" s="23" t="str">
        <x:v>rafael de leon dumont gomes</x:v>
      </x:c>
      <x:c r="D3103" s="22" t="str">
        <x:f>"55.057.998/0001-52"</x:f>
        <x:v>55.057.998/0001-52</x:v>
      </x:c>
      <x:c r="E3103" s="22" t="str">
        <x:f>"55057998000152"</x:f>
        <x:v>55057998000152</x:v>
      </x:c>
      <x:c r="F3103" s="22" t="str">
        <x:f>"083.309.206-58"</x:f>
        <x:v>083.309.206-58</x:v>
      </x:c>
      <x:c r="G3103" s="22" t="str">
        <x:f>"08330920658"</x:f>
        <x:v>08330920658</x:v>
      </x:c>
      <x:c r="H3103" s="23" t="str">
        <x:v>deleonbc1988@gmail.com</x:v>
      </x:c>
      <x:c r="I3103" s="22" t="str">
        <x:f>"(31)99379-6791"</x:f>
        <x:v>(31)99379-6791</x:v>
      </x:c>
      <x:c r="J3103" s="23" t="str">
        <x:v>RENTAL</x:v>
      </x:c>
      <x:c r="K3103" s="23" t="str">
        <x:v>rental_company</x:v>
      </x:c>
      <x:c r="L3103" s="24" t="b">
        <x:v>1</x:v>
      </x:c>
      <x:c r="M3103" s="23" t="n">
        <x:v>1</x:v>
      </x:c>
      <x:c r="N3103" s="28" t="n">
        <x:v>46219.812988715275</x:v>
      </x:c>
      <x:c r="O3103" s="28" t="n">
        <x:v>46219.812988715275</x:v>
      </x:c>
      <x:c r="P3103" s="23" t="str">
        <x:v>POUSO ALEGRE</x:v>
      </x:c>
      <x:c r="Q3103" s="30" t="n">
        <x:v>32195</x:v>
      </x:c>
      <x:c r="R3103" s="22" t="str">
        <x:f>"MG14995377 SSP MG"</x:f>
        <x:v>MG14995377 SSP MG</x:v>
      </x:c>
      <x:c r="S3103" s="23" t="str">
        <x:v>masculino</x:v>
      </x:c>
      <x:c r="T3103" s="22" t="str"/>
      <x:c r="U3103" s="23" t="str">
        <x:v>RAFAEL DE LEON DUMONT GOMES</x:v>
      </x:c>
      <x:c r="V3103" s="22" t="str">
        <x:f>"083.309.206-58"</x:f>
        <x:v>083.309.206-58</x:v>
      </x:c>
      <x:c r="W3103" s="22" t="str">
        <x:f>"08330920658"</x:f>
        <x:v>08330920658</x:v>
      </x:c>
      <x:c r="X3103" s="23" t="str">
        <x:v>deleonbc1988@gmail.com</x:v>
      </x:c>
      <x:c r="Y3103" s="22" t="str">
        <x:f>"(31)99379-6791"</x:f>
        <x:v>(31)99379-6791</x:v>
      </x:c>
      <x:c r="Z3103" s="30" t="n">
        <x:v>46575</x:v>
      </x:c>
    </x:row>
    <x:row r="3104" ht="18" customHeight="1">
      <x:c r="A3104" s="22" t="str">
        <x:f>"f347590d-8eb3-4853-aee8-614ed7cde940"</x:f>
        <x:v>f347590d-8eb3-4853-aee8-614ed7cde940</x:v>
      </x:c>
      <x:c r="B3104" s="23" t="str">
        <x:v>RAFAEL DE LIMA</x:v>
      </x:c>
      <x:c r="C3104" s="23" t="str">
        <x:v>rafael de lima</x:v>
      </x:c>
      <x:c r="D3104" s="22" t="str">
        <x:f>"62.468.948/0001-23"</x:f>
        <x:v>62.468.948/0001-23</x:v>
      </x:c>
      <x:c r="E3104" s="22" t="str">
        <x:f>"62468948000123"</x:f>
        <x:v>62468948000123</x:v>
      </x:c>
      <x:c r="F3104" s="22" t="str">
        <x:f>"395.554.978-00"</x:f>
        <x:v>395.554.978-00</x:v>
      </x:c>
      <x:c r="G3104" s="22" t="str">
        <x:f>"39555497800"</x:f>
        <x:v>39555497800</x:v>
      </x:c>
      <x:c r="H3104" s="23" t="str">
        <x:v>rafaellima2603@gmail.com</x:v>
      </x:c>
      <x:c r="I3104" s="22" t="str">
        <x:f>"(14) 997658753"</x:f>
        <x:v>(14) 997658753</x:v>
      </x:c>
      <x:c r="J3104" s="23" t="str">
        <x:v>SPOT</x:v>
      </x:c>
      <x:c r="K3104" s="23" t="str">
        <x:v>favored_only</x:v>
      </x:c>
      <x:c r="L3104" s="24" t="b">
        <x:v>1</x:v>
      </x:c>
      <x:c r="M3104" s="23" t="n">
        <x:v>1</x:v>
      </x:c>
      <x:c r="N3104" s="28" t="n">
        <x:v>46203.921858726855</x:v>
      </x:c>
      <x:c r="O3104" s="28" t="n">
        <x:v>46219.812988715275</x:v>
      </x:c>
      <x:c r="P3104" s="23" t="str">
        <x:v>JALES</x:v>
      </x:c>
      <x:c r="Q3104" s="30" t="n">
        <x:v>32958</x:v>
      </x:c>
      <x:c r="R3104" s="22" t="str">
        <x:f>"46260314"</x:f>
        <x:v>46260314</x:v>
      </x:c>
      <x:c r="S3104" s="23" t="str">
        <x:v>masculino</x:v>
      </x:c>
      <x:c r="T3104" s="22" t="str">
        <x:f>"PZE9G65"</x:f>
        <x:v>PZE9G65</x:v>
      </x:c>
      <x:c r="U3104" s="23" t="str">
        <x:v>RAFAEL DE LIMA</x:v>
      </x:c>
      <x:c r="V3104" s="22" t="str">
        <x:f>"395.554.978-00"</x:f>
        <x:v>395.554.978-00</x:v>
      </x:c>
      <x:c r="W3104" s="22" t="str">
        <x:f>"39555497800"</x:f>
        <x:v>39555497800</x:v>
      </x:c>
      <x:c r="X3104" s="23" t="str">
        <x:v>rafaellima2603@gmail.com</x:v>
      </x:c>
      <x:c r="Y3104" s="22" t="str">
        <x:f>"(14) 997658753"</x:f>
        <x:v>(14) 997658753</x:v>
      </x:c>
      <x:c r="Z3104" s="30" t="n">
        <x:v>46266</x:v>
      </x:c>
    </x:row>
    <x:row r="3105" ht="18" customHeight="1">
      <x:c r="A3105" s="22" t="str">
        <x:f>"f0e19f1b-e60f-45d2-8613-f397f541d84c"</x:f>
        <x:v>f0e19f1b-e60f-45d2-8613-f397f541d84c</x:v>
      </x:c>
      <x:c r="B3105" s="23" t="str">
        <x:v>RAFAEL DE OLIVEIRA AGUIAR NASCIMENTO</x:v>
      </x:c>
      <x:c r="C3105" s="23" t="str">
        <x:v>rafael de oliveira aguiar nascimento</x:v>
      </x:c>
      <x:c r="D3105" s="22" t="str">
        <x:f>"34.624.464/0001-90"</x:f>
        <x:v>34.624.464/0001-90</x:v>
      </x:c>
      <x:c r="E3105" s="22" t="str">
        <x:f>"34624464000190"</x:f>
        <x:v>34624464000190</x:v>
      </x:c>
      <x:c r="F3105" s="22" t="str">
        <x:f>"131.108.237-99"</x:f>
        <x:v>131.108.237-99</x:v>
      </x:c>
      <x:c r="G3105" s="22" t="str">
        <x:f>"13110823799"</x:f>
        <x:v>13110823799</x:v>
      </x:c>
      <x:c r="H3105" s="23" t="str">
        <x:v>rafaelaguiar993@gmail.com</x:v>
      </x:c>
      <x:c r="I3105" s="22" t="str">
        <x:f>"(21) 964618994"</x:f>
        <x:v>(21) 964618994</x:v>
      </x:c>
      <x:c r="J3105" s="23" t="str">
        <x:v>spot</x:v>
      </x:c>
      <x:c r="K3105" s="23" t="str">
        <x:v>favored_only</x:v>
      </x:c>
      <x:c r="L3105" s="24" t="b">
        <x:v>1</x:v>
      </x:c>
      <x:c r="M3105" s="23" t="n">
        <x:v>1</x:v>
      </x:c>
      <x:c r="N3105" s="28" t="n">
        <x:v>46203.9219084375</x:v>
      </x:c>
      <x:c r="O3105" s="28" t="n">
        <x:v>46219.812988715275</x:v>
      </x:c>
      <x:c r="P3105" s="23" t="str">
        <x:v>CORDOVIL</x:v>
      </x:c>
      <x:c r="Q3105" s="30" t="n">
        <x:v>32240</x:v>
      </x:c>
      <x:c r="R3105" s="22" t="str">
        <x:f>"217891928"</x:f>
        <x:v>217891928</x:v>
      </x:c>
      <x:c r="S3105" s="23" t="str">
        <x:v>masculino</x:v>
      </x:c>
      <x:c r="T3105" s="22" t="str">
        <x:f>"Mtn4b74"</x:f>
        <x:v>Mtn4b74</x:v>
      </x:c>
      <x:c r="U3105" s="23" t="str">
        <x:v>RAFAEL DE OLIVEIRA AGUIAR NASCIMENTO</x:v>
      </x:c>
      <x:c r="V3105" s="22" t="str">
        <x:f>"131.108.237-99"</x:f>
        <x:v>131.108.237-99</x:v>
      </x:c>
      <x:c r="W3105" s="22" t="str">
        <x:f>"13110823799"</x:f>
        <x:v>13110823799</x:v>
      </x:c>
      <x:c r="X3105" s="23" t="str">
        <x:v>rafaelaguiar993@gmail.com</x:v>
      </x:c>
      <x:c r="Y3105" s="22" t="str">
        <x:f>"(21) 964618994"</x:f>
        <x:v>(21) 964618994</x:v>
      </x:c>
      <x:c r="Z3105" s="30" t="n">
        <x:v>46522</x:v>
      </x:c>
    </x:row>
    <x:row r="3106" ht="18" customHeight="1">
      <x:c r="A3106" s="22" t="str">
        <x:f>"da7c1950-bd90-46b1-89a4-a9d06e98f603"</x:f>
        <x:v>da7c1950-bd90-46b1-89a4-a9d06e98f603</x:v>
      </x:c>
      <x:c r="B3106" s="23" t="str">
        <x:v>RAFAEL DE OLIVEIRA SOUTO</x:v>
      </x:c>
      <x:c r="C3106" s="23" t="str">
        <x:v>rafael de oliveira souto</x:v>
      </x:c>
      <x:c r="D3106" s="22" t="str">
        <x:f>"67.151.553/0001-16"</x:f>
        <x:v>67.151.553/0001-16</x:v>
      </x:c>
      <x:c r="E3106" s="22" t="str">
        <x:f>"67151553000116"</x:f>
        <x:v>67151553000116</x:v>
      </x:c>
      <x:c r="F3106" s="22" t="str">
        <x:f>"335.787.648-50"</x:f>
        <x:v>335.787.648-50</x:v>
      </x:c>
      <x:c r="G3106" s="22" t="str">
        <x:f>"33578764850"</x:f>
        <x:v>33578764850</x:v>
      </x:c>
      <x:c r="H3106" s="23" t="str">
        <x:v>rafaelsouto396@gmail.com</x:v>
      </x:c>
      <x:c r="I3106" s="22" t="str">
        <x:f>"(18)99612-4945"</x:f>
        <x:v>(18)99612-4945</x:v>
      </x:c>
      <x:c r="J3106" s="23" t="str">
        <x:v>RENTAL</x:v>
      </x:c>
      <x:c r="K3106" s="23" t="str">
        <x:v>rental_company</x:v>
      </x:c>
      <x:c r="L3106" s="24" t="b">
        <x:v>1</x:v>
      </x:c>
      <x:c r="M3106" s="23" t="n">
        <x:v>1</x:v>
      </x:c>
      <x:c r="N3106" s="28" t="n">
        <x:v>46219.812988715275</x:v>
      </x:c>
      <x:c r="O3106" s="28" t="n">
        <x:v>46219.812988715275</x:v>
      </x:c>
      <x:c r="P3106" s="23" t="str">
        <x:v>PRESIDENTE PRUDENTE</x:v>
      </x:c>
      <x:c r="Q3106" s="30" t="n">
        <x:v>30385</x:v>
      </x:c>
      <x:c r="R3106" s="22" t="str">
        <x:f>"42.187.634-7"</x:f>
        <x:v>42.187.634-7</x:v>
      </x:c>
      <x:c r="S3106" s="23" t="str">
        <x:v>masculino</x:v>
      </x:c>
      <x:c r="T3106" s="22" t="str"/>
      <x:c r="U3106" s="23" t="str">
        <x:v>RAFAEL DE OLIVEIRA SOUTO</x:v>
      </x:c>
      <x:c r="V3106" s="22" t="str">
        <x:f>"335.787.648-50"</x:f>
        <x:v>335.787.648-50</x:v>
      </x:c>
      <x:c r="W3106" s="22" t="str">
        <x:f>"33578764850"</x:f>
        <x:v>33578764850</x:v>
      </x:c>
      <x:c r="X3106" s="23" t="str">
        <x:v>rafaelsouto396@gmail.com</x:v>
      </x:c>
      <x:c r="Y3106" s="22" t="str">
        <x:f>"(18)99612-4945"</x:f>
        <x:v>(18)99612-4945</x:v>
      </x:c>
      <x:c r="Z3106" s="30" t="n">
        <x:v>46561</x:v>
      </x:c>
    </x:row>
    <x:row r="3107" ht="18" customHeight="1">
      <x:c r="A3107" s="22" t="str">
        <x:f>"7d83a404-ce56-42d3-ba9a-7c2ae6db564a"</x:f>
        <x:v>7d83a404-ce56-42d3-ba9a-7c2ae6db564a</x:v>
      </x:c>
      <x:c r="B3107" s="23" t="str">
        <x:v>RAFAEL DIAS DE SOUZA</x:v>
      </x:c>
      <x:c r="C3107" s="23" t="str">
        <x:v>rafael dias de souza</x:v>
      </x:c>
      <x:c r="D3107" s="22" t="str">
        <x:f>"41.119.394/0001-89"</x:f>
        <x:v>41.119.394/0001-89</x:v>
      </x:c>
      <x:c r="E3107" s="22" t="str">
        <x:f>"41119394000189"</x:f>
        <x:v>41119394000189</x:v>
      </x:c>
      <x:c r="F3107" s="22" t="str">
        <x:f>"121.168.047-95"</x:f>
        <x:v>121.168.047-95</x:v>
      </x:c>
      <x:c r="G3107" s="22" t="str">
        <x:f>"12116804795"</x:f>
        <x:v>12116804795</x:v>
      </x:c>
      <x:c r="H3107" s="23" t="str">
        <x:v>rafaeldiasdesouza318@gmail.com</x:v>
      </x:c>
      <x:c r="I3107" s="22" t="str">
        <x:f>"22 99807-6514"</x:f>
        <x:v>22 99807-6514</x:v>
      </x:c>
      <x:c r="J3107" s="23" t="str">
        <x:v>SPOT</x:v>
      </x:c>
      <x:c r="K3107" s="23" t="str">
        <x:v>favored_only</x:v>
      </x:c>
      <x:c r="L3107" s="24" t="b">
        <x:v>1</x:v>
      </x:c>
      <x:c r="M3107" s="23" t="n">
        <x:v>1</x:v>
      </x:c>
      <x:c r="N3107" s="28" t="n">
        <x:v>46219.812988715275</x:v>
      </x:c>
      <x:c r="O3107" s="28" t="n">
        <x:v>46219.812988715275</x:v>
      </x:c>
      <x:c r="P3107" s="23" t="str">
        <x:v>CAMPOS DOS GOYTACAZES</x:v>
      </x:c>
      <x:c r="Q3107" s="30" t="n">
        <x:v>32791</x:v>
      </x:c>
      <x:c r="R3107" s="22" t="str">
        <x:f>"222583072"</x:f>
        <x:v>222583072</x:v>
      </x:c>
      <x:c r="S3107" s="23" t="str">
        <x:v>masculino</x:v>
      </x:c>
      <x:c r="T3107" s="22" t="str">
        <x:f>"LQL7A92"</x:f>
        <x:v>LQL7A92</x:v>
      </x:c>
      <x:c r="U3107" s="23" t="str">
        <x:v>RAMON FERREIRA DE LIMA</x:v>
      </x:c>
      <x:c r="V3107" s="22" t="str">
        <x:f>"186.967.507-05"</x:f>
        <x:v>186.967.507-05</x:v>
      </x:c>
      <x:c r="W3107" s="22" t="str">
        <x:f>"18696750705"</x:f>
        <x:v>18696750705</x:v>
      </x:c>
      <x:c r="X3107" s="23" t="str">
        <x:v>RFDLIMABR@GMAIL.COM</x:v>
      </x:c>
      <x:c r="Y3107" s="22" t="str">
        <x:f>"22 997748291"</x:f>
        <x:v>22 997748291</x:v>
      </x:c>
      <x:c r="Z3107" s="30" t="n">
        <x:v>46548</x:v>
      </x:c>
    </x:row>
    <x:row r="3108" ht="18" customHeight="1">
      <x:c r="A3108" s="22" t="str">
        <x:f>"810ab428-c84f-47b2-b528-5704ef7c6847"</x:f>
        <x:v>810ab428-c84f-47b2-b528-5704ef7c6847</x:v>
      </x:c>
      <x:c r="B3108" s="23" t="str">
        <x:v>RAFAEL DOS SANTOS</x:v>
      </x:c>
      <x:c r="C3108" s="23" t="str">
        <x:v>rafael dos santos</x:v>
      </x:c>
      <x:c r="D3108" s="22" t="str">
        <x:f>"64.582.298/0001-78"</x:f>
        <x:v>64.582.298/0001-78</x:v>
      </x:c>
      <x:c r="E3108" s="22" t="str">
        <x:f>"64582298000178"</x:f>
        <x:v>64582298000178</x:v>
      </x:c>
      <x:c r="F3108" s="22" t="str">
        <x:f>"128.232.596-51"</x:f>
        <x:v>128.232.596-51</x:v>
      </x:c>
      <x:c r="G3108" s="22" t="str">
        <x:f>"12823259651"</x:f>
        <x:v>12823259651</x:v>
      </x:c>
      <x:c r="H3108" s="23" t="str">
        <x:v>Rfael517@gmaill.com</x:v>
      </x:c>
      <x:c r="I3108" s="22" t="str">
        <x:f>"34988585002"</x:f>
        <x:v>34988585002</x:v>
      </x:c>
      <x:c r="J3108" s="23" t="str">
        <x:v>SPOT</x:v>
      </x:c>
      <x:c r="K3108" s="23" t="str">
        <x:v>favored_only</x:v>
      </x:c>
      <x:c r="L3108" s="24" t="b">
        <x:v>1</x:v>
      </x:c>
      <x:c r="M3108" s="23" t="n">
        <x:v>1</x:v>
      </x:c>
      <x:c r="N3108" s="28" t="n">
        <x:v>46219.812988715275</x:v>
      </x:c>
      <x:c r="O3108" s="28" t="n">
        <x:v>46219.812988715275</x:v>
      </x:c>
      <x:c r="P3108" s="23" t="str">
        <x:v>ARAXÁ</x:v>
      </x:c>
      <x:c r="Q3108" s="30" t="n">
        <x:v>34946</x:v>
      </x:c>
      <x:c r="R3108" s="22" t="str">
        <x:f>"MG17429831"</x:f>
        <x:v>MG17429831</x:v>
      </x:c>
      <x:c r="S3108" s="23" t="str">
        <x:v>masculino</x:v>
      </x:c>
      <x:c r="T3108" s="22" t="str">
        <x:f>"HIJ1A57"</x:f>
        <x:v>HIJ1A57</x:v>
      </x:c>
      <x:c r="U3108" s="23" t="str">
        <x:v>LUANA BEATRIZ DE MELO MENDES</x:v>
      </x:c>
      <x:c r="V3108" s="22" t="str">
        <x:f>"140.013.166-92"</x:f>
        <x:v>140.013.166-92</x:v>
      </x:c>
      <x:c r="W3108" s="22" t="str">
        <x:f>"14001316692"</x:f>
        <x:v>14001316692</x:v>
      </x:c>
      <x:c r="X3108" s="23" t="str">
        <x:v>luanabeatrizdemelo@gmail.com</x:v>
      </x:c>
      <x:c r="Y3108" s="22" t="str">
        <x:f>"+55 31 98958-6051"</x:f>
        <x:v>+55 31 98958-6051</x:v>
      </x:c>
      <x:c r="Z3108" s="30" t="n">
        <x:v>46563</x:v>
      </x:c>
    </x:row>
    <x:row r="3109" ht="18" customHeight="1">
      <x:c r="A3109" s="22" t="str">
        <x:f>"e3fb1a56-c7d4-4f55-9eb0-7db2938f0b1a"</x:f>
        <x:v>e3fb1a56-c7d4-4f55-9eb0-7db2938f0b1a</x:v>
      </x:c>
      <x:c r="B3109" s="23" t="str">
        <x:v>RAFAEL DOS SANTOS BARRETO</x:v>
      </x:c>
      <x:c r="C3109" s="23" t="str">
        <x:v>rafael dos santos barreto</x:v>
      </x:c>
      <x:c r="D3109" s="22" t="str">
        <x:f>"67.559.439/0001-20"</x:f>
        <x:v>67.559.439/0001-20</x:v>
      </x:c>
      <x:c r="E3109" s="22" t="str">
        <x:f>"67559439000120"</x:f>
        <x:v>67559439000120</x:v>
      </x:c>
      <x:c r="F3109" s="22" t="str">
        <x:f>"229.141.448-02"</x:f>
        <x:v>229.141.448-02</x:v>
      </x:c>
      <x:c r="G3109" s="22" t="str">
        <x:f>"22914144802"</x:f>
        <x:v>22914144802</x:v>
      </x:c>
      <x:c r="H3109" s="23" t="str">
        <x:v>rafaelsantosbarreto40@gmail.com</x:v>
      </x:c>
      <x:c r="I3109" s="22" t="str">
        <x:f>"18 99611-5672"</x:f>
        <x:v>18 99611-5672</x:v>
      </x:c>
      <x:c r="J3109" s="23" t="str">
        <x:v>rental</x:v>
      </x:c>
      <x:c r="K3109" s="23" t="str">
        <x:v>rental_company</x:v>
      </x:c>
      <x:c r="L3109" s="24" t="b">
        <x:v>1</x:v>
      </x:c>
      <x:c r="M3109" s="23" t="n">
        <x:v>1</x:v>
      </x:c>
      <x:c r="N3109" s="28" t="n">
        <x:v>46219.812988715275</x:v>
      </x:c>
      <x:c r="O3109" s="28" t="n">
        <x:v>46219.812988715275</x:v>
      </x:c>
      <x:c r="P3109" s="23" t="str">
        <x:v>PRESIDENTE PRUDENTE</x:v>
      </x:c>
      <x:c r="Q3109" s="30" t="n">
        <x:v>29639</x:v>
      </x:c>
      <x:c r="R3109" s="22" t="str">
        <x:f>"34300147"</x:f>
        <x:v>34300147</x:v>
      </x:c>
      <x:c r="S3109" s="23" t="str">
        <x:v>masculino</x:v>
      </x:c>
      <x:c r="T3109" s="22" t="str"/>
      <x:c r="U3109" s="23" t="str">
        <x:v>RAFAEL DOS SANTOS BARRETO</x:v>
      </x:c>
      <x:c r="V3109" s="22" t="str">
        <x:f>"229.141.448-02"</x:f>
        <x:v>229.141.448-02</x:v>
      </x:c>
      <x:c r="W3109" s="22" t="str">
        <x:f>"22914144802"</x:f>
        <x:v>22914144802</x:v>
      </x:c>
      <x:c r="X3109" s="23" t="str">
        <x:v>rafaelsantosbarreto40@gmail.com</x:v>
      </x:c>
      <x:c r="Y3109" s="22" t="str">
        <x:f>"18 99611-5672"</x:f>
        <x:v>18 99611-5672</x:v>
      </x:c>
      <x:c r="Z3109" s="30" t="n">
        <x:v>46582</x:v>
      </x:c>
    </x:row>
    <x:row r="3110" ht="18" customHeight="1">
      <x:c r="A3110" s="22" t="str">
        <x:f>"00d58b9a-fc91-4c0e-a286-e971a713b0a9"</x:f>
        <x:v>00d58b9a-fc91-4c0e-a286-e971a713b0a9</x:v>
      </x:c>
      <x:c r="B3110" s="23" t="str">
        <x:v>RAFAEL DOS SANTOS BICUDO</x:v>
      </x:c>
      <x:c r="C3110" s="23" t="str">
        <x:v>rafael dos santos bicudo</x:v>
      </x:c>
      <x:c r="D3110" s="22" t="str">
        <x:f>"49.156.513/0001-85"</x:f>
        <x:v>49.156.513/0001-85</x:v>
      </x:c>
      <x:c r="E3110" s="22" t="str">
        <x:f>"49156513000185"</x:f>
        <x:v>49156513000185</x:v>
      </x:c>
      <x:c r="F3110" s="22" t="str">
        <x:f>"701.585.636-03"</x:f>
        <x:v>701.585.636-03</x:v>
      </x:c>
      <x:c r="G3110" s="22" t="str">
        <x:f>"70158563603"</x:f>
        <x:v>70158563603</x:v>
      </x:c>
      <x:c r="H3110" s="23" t="str">
        <x:v>rafaelbicudo63@gmail.com</x:v>
      </x:c>
      <x:c r="I3110" s="22" t="str">
        <x:f>"34998376863"</x:f>
        <x:v>34998376863</x:v>
      </x:c>
      <x:c r="J3110" s="23" t="str">
        <x:v>SPOT</x:v>
      </x:c>
      <x:c r="K3110" s="23" t="str">
        <x:v>favored_only</x:v>
      </x:c>
      <x:c r="L3110" s="24" t="b">
        <x:v>1</x:v>
      </x:c>
      <x:c r="M3110" s="23" t="n">
        <x:v>1</x:v>
      </x:c>
      <x:c r="N3110" s="28" t="n">
        <x:v>46219.812988715275</x:v>
      </x:c>
      <x:c r="O3110" s="28" t="n">
        <x:v>46219.812988715275</x:v>
      </x:c>
      <x:c r="P3110" s="23" t="str">
        <x:v>PATOS DE MINAS</x:v>
      </x:c>
      <x:c r="Q3110" s="30" t="n">
        <x:v>38295</x:v>
      </x:c>
      <x:c r="R3110" s="22" t="str">
        <x:f>"MG21490988"</x:f>
        <x:v>MG21490988</x:v>
      </x:c>
      <x:c r="S3110" s="23" t="str">
        <x:v>masculino</x:v>
      </x:c>
      <x:c r="T3110" s="22" t="str">
        <x:f>"OQU3F22"</x:f>
        <x:v>OQU3F22</x:v>
      </x:c>
      <x:c r="U3110" s="23" t="str">
        <x:v>RAFAEL DOS SANTOS BICUDO</x:v>
      </x:c>
      <x:c r="V3110" s="22" t="str">
        <x:f>"701.585.636-03"</x:f>
        <x:v>701.585.636-03</x:v>
      </x:c>
      <x:c r="W3110" s="22" t="str">
        <x:f>"70158563603"</x:f>
        <x:v>70158563603</x:v>
      </x:c>
      <x:c r="X3110" s="23" t="str">
        <x:v>rafaelbicudo63@gmail.com</x:v>
      </x:c>
      <x:c r="Y3110" s="22" t="str">
        <x:f>"34998376863"</x:f>
        <x:v>34998376863</x:v>
      </x:c>
      <x:c r="Z3110" s="30" t="n">
        <x:v>46533</x:v>
      </x:c>
    </x:row>
    <x:row r="3111" ht="18" customHeight="1">
      <x:c r="A3111" s="22" t="str">
        <x:f>"c5907ce7-050e-4f96-a27c-0d1e656b0439"</x:f>
        <x:v>c5907ce7-050e-4f96-a27c-0d1e656b0439</x:v>
      </x:c>
      <x:c r="B3111" s="23" t="str">
        <x:v>RAFAEL FAGUNDES DOS SANTOS</x:v>
      </x:c>
      <x:c r="C3111" s="23" t="str">
        <x:v>rafael fagundes dos santos</x:v>
      </x:c>
      <x:c r="D3111" s="22" t="str">
        <x:f>"55.604.999/0001-70"</x:f>
        <x:v>55.604.999/0001-70</x:v>
      </x:c>
      <x:c r="E3111" s="22" t="str">
        <x:f>"55604999000170"</x:f>
        <x:v>55604999000170</x:v>
      </x:c>
      <x:c r="F3111" s="22" t="str">
        <x:f>"402.148.128-12"</x:f>
        <x:v>402.148.128-12</x:v>
      </x:c>
      <x:c r="G3111" s="22" t="str">
        <x:f>"40214812812"</x:f>
        <x:v>40214812812</x:v>
      </x:c>
      <x:c r="H3111" s="23" t="str">
        <x:v>rafaelfagstos@gmail.com</x:v>
      </x:c>
      <x:c r="I3111" s="22" t="str">
        <x:f>"65 9954-8044"</x:f>
        <x:v>65 9954-8044</x:v>
      </x:c>
      <x:c r="J3111" s="23" t="str">
        <x:v>SPOT</x:v>
      </x:c>
      <x:c r="K3111" s="23" t="str">
        <x:v>favored_only</x:v>
      </x:c>
      <x:c r="L3111" s="24" t="b">
        <x:v>1</x:v>
      </x:c>
      <x:c r="M3111" s="23" t="n">
        <x:v>1</x:v>
      </x:c>
      <x:c r="N3111" s="28" t="n">
        <x:v>46219.812988715275</x:v>
      </x:c>
      <x:c r="O3111" s="28" t="n">
        <x:v>46219.812988715275</x:v>
      </x:c>
      <x:c r="P3111" s="23" t="str">
        <x:v>CÁCERES</x:v>
      </x:c>
      <x:c r="Q3111" s="30" t="n">
        <x:v>33284</x:v>
      </x:c>
      <x:c r="R3111" s="22" t="str">
        <x:f>"26999"</x:f>
        <x:v>26999</x:v>
      </x:c>
      <x:c r="S3111" s="23" t="str">
        <x:v>masculino</x:v>
      </x:c>
      <x:c r="T3111" s="22" t="str">
        <x:f>"NZE7104"</x:f>
        <x:v>NZE7104</x:v>
      </x:c>
      <x:c r="U3111" s="23" t="str">
        <x:v>RAFAEL FAGUNDES DOS SANTOS</x:v>
      </x:c>
      <x:c r="V3111" s="22" t="str">
        <x:f>"402.148.128-12"</x:f>
        <x:v>402.148.128-12</x:v>
      </x:c>
      <x:c r="W3111" s="22" t="str">
        <x:f>"40214812812"</x:f>
        <x:v>40214812812</x:v>
      </x:c>
      <x:c r="X3111" s="23" t="str">
        <x:v>rafaelfagstos@gmail.com</x:v>
      </x:c>
      <x:c r="Y3111" s="22" t="str">
        <x:f>"65 9954-8044"</x:f>
        <x:v>65 9954-8044</x:v>
      </x:c>
      <x:c r="Z3111" s="30" t="n">
        <x:v>46430</x:v>
      </x:c>
    </x:row>
    <x:row r="3112" ht="18" customHeight="1">
      <x:c r="A3112" s="22" t="str">
        <x:f>"569aaea4-397c-4bd0-9152-f786ef8d03d7"</x:f>
        <x:v>569aaea4-397c-4bd0-9152-f786ef8d03d7</x:v>
      </x:c>
      <x:c r="B3112" s="23" t="str">
        <x:v>RAFAEL FONSECA SILVA</x:v>
      </x:c>
      <x:c r="C3112" s="23" t="str">
        <x:v>rafael fonseca silva</x:v>
      </x:c>
      <x:c r="D3112" s="22" t="str">
        <x:f>"58.373.204/0001-58"</x:f>
        <x:v>58.373.204/0001-58</x:v>
      </x:c>
      <x:c r="E3112" s="22" t="str">
        <x:f>"58373204000158"</x:f>
        <x:v>58373204000158</x:v>
      </x:c>
      <x:c r="F3112" s="22" t="str">
        <x:f>"134.649.126-71"</x:f>
        <x:v>134.649.126-71</x:v>
      </x:c>
      <x:c r="G3112" s="22" t="str">
        <x:f>"13464912671"</x:f>
        <x:v>13464912671</x:v>
      </x:c>
      <x:c r="H3112" s="23" t="str">
        <x:v>rafaelfsk22@gmail.com</x:v>
      </x:c>
      <x:c r="I3112" s="22" t="str">
        <x:f>"31999563522"</x:f>
        <x:v>31999563522</x:v>
      </x:c>
      <x:c r="J3112" s="23" t="str">
        <x:v>RENTAL</x:v>
      </x:c>
      <x:c r="K3112" s="23" t="str">
        <x:v>rental_company</x:v>
      </x:c>
      <x:c r="L3112" s="24" t="b">
        <x:v>1</x:v>
      </x:c>
      <x:c r="M3112" s="23" t="n">
        <x:v>2</x:v>
      </x:c>
      <x:c r="N3112" s="28" t="n">
        <x:v>46219.812988715275</x:v>
      </x:c>
      <x:c r="O3112" s="28" t="n">
        <x:v>46219.812988715275</x:v>
      </x:c>
      <x:c r="P3112" s="23" t="str">
        <x:v>NOVA LIMA</x:v>
      </x:c>
      <x:c r="Q3112" s="30" t="n">
        <x:v>35383</x:v>
      </x:c>
      <x:c r="R3112" s="22" t="str">
        <x:f>"19748267"</x:f>
        <x:v>19748267</x:v>
      </x:c>
      <x:c r="S3112" s="23" t="str">
        <x:v>masculino</x:v>
      </x:c>
      <x:c r="T3112" s="22" t="str"/>
      <x:c r="U3112" s="23" t="str">
        <x:v>RAFAEL FONSECA SILVA</x:v>
      </x:c>
      <x:c r="V3112" s="22" t="str">
        <x:f>"134.649.126-71"</x:f>
        <x:v>134.649.126-71</x:v>
      </x:c>
      <x:c r="W3112" s="22" t="str">
        <x:f>"13464912671"</x:f>
        <x:v>13464912671</x:v>
      </x:c>
      <x:c r="X3112" s="23" t="str">
        <x:v>rafaelfsk22@gmail.com</x:v>
      </x:c>
      <x:c r="Y3112" s="22" t="str">
        <x:f>"31999563522"</x:f>
        <x:v>31999563522</x:v>
      </x:c>
      <x:c r="Z3112" s="30" t="n">
        <x:v>46571</x:v>
      </x:c>
    </x:row>
    <x:row r="3113" ht="18" customHeight="1">
      <x:c r="A3113" s="22" t="str">
        <x:f>"524c4d04-5a50-4672-997c-03bdddeb809a"</x:f>
        <x:v>524c4d04-5a50-4672-997c-03bdddeb809a</x:v>
      </x:c>
      <x:c r="B3113" s="23" t="str">
        <x:v>RAFAEL GOMES DA SILVA</x:v>
      </x:c>
      <x:c r="C3113" s="23" t="str">
        <x:v>rafael gomes da silva</x:v>
      </x:c>
      <x:c r="D3113" s="22" t="str">
        <x:f>"52.287.790/0001-31"</x:f>
        <x:v>52.287.790/0001-31</x:v>
      </x:c>
      <x:c r="E3113" s="22" t="str">
        <x:f>"52287790000131"</x:f>
        <x:v>52287790000131</x:v>
      </x:c>
      <x:c r="F3113" s="22" t="str">
        <x:f>"399.670.558-12"</x:f>
        <x:v>399.670.558-12</x:v>
      </x:c>
      <x:c r="G3113" s="22" t="str">
        <x:f>"39967055812"</x:f>
        <x:v>39967055812</x:v>
      </x:c>
      <x:c r="H3113" s="23" t="str">
        <x:v>rafaelvrjl@gmail.com</x:v>
      </x:c>
      <x:c r="I3113" s="22" t="str">
        <x:f>"11986319336"</x:f>
        <x:v>11986319336</x:v>
      </x:c>
      <x:c r="J3113" s="23" t="str">
        <x:v>SPOT</x:v>
      </x:c>
      <x:c r="K3113" s="23" t="str">
        <x:v>favored_only</x:v>
      </x:c>
      <x:c r="L3113" s="24" t="b">
        <x:v>1</x:v>
      </x:c>
      <x:c r="M3113" s="23" t="n">
        <x:v>1</x:v>
      </x:c>
      <x:c r="N3113" s="28" t="n">
        <x:v>46219.812988715275</x:v>
      </x:c>
      <x:c r="O3113" s="28" t="n">
        <x:v>46219.812988715275</x:v>
      </x:c>
      <x:c r="P3113" s="23" t="str">
        <x:v>BARUERI</x:v>
      </x:c>
      <x:c r="Q3113" s="30" t="n">
        <x:v>33083</x:v>
      </x:c>
      <x:c r="R3113" s="22" t="str">
        <x:f>"33192408"</x:f>
        <x:v>33192408</x:v>
      </x:c>
      <x:c r="S3113" s="23" t="str">
        <x:v>masculino</x:v>
      </x:c>
      <x:c r="T3113" s="22" t="str">
        <x:f>"GHS2B61"</x:f>
        <x:v>GHS2B61</x:v>
      </x:c>
      <x:c r="U3113" s="23" t="str">
        <x:v>RAFAEL GOMES DA SILVA</x:v>
      </x:c>
      <x:c r="V3113" s="22" t="str">
        <x:f>"399.670.558-12"</x:f>
        <x:v>399.670.558-12</x:v>
      </x:c>
      <x:c r="W3113" s="22" t="str">
        <x:f>"39967055812"</x:f>
        <x:v>39967055812</x:v>
      </x:c>
      <x:c r="X3113" s="23" t="str">
        <x:v>rafaelvrjl@gmail.com</x:v>
      </x:c>
      <x:c r="Y3113" s="22" t="str">
        <x:f>"11986319336"</x:f>
        <x:v>11986319336</x:v>
      </x:c>
      <x:c r="Z3113" s="30" t="n">
        <x:v>46551</x:v>
      </x:c>
    </x:row>
    <x:row r="3114" ht="18" customHeight="1">
      <x:c r="A3114" s="22" t="str">
        <x:f>"2867f557-67cd-4853-9895-f87d67d35cd7"</x:f>
        <x:v>2867f557-67cd-4853-9895-f87d67d35cd7</x:v>
      </x:c>
      <x:c r="B3114" s="23" t="str">
        <x:v>RAFAEL GONCALVES PINHEIRO</x:v>
      </x:c>
      <x:c r="C3114" s="23" t="str">
        <x:v>rafael goncalves pinheiro</x:v>
      </x:c>
      <x:c r="D3114" s="22" t="str">
        <x:f>"55.484.094/0001-03"</x:f>
        <x:v>55.484.094/0001-03</x:v>
      </x:c>
      <x:c r="E3114" s="22" t="str">
        <x:f>"55484094000103"</x:f>
        <x:v>55484094000103</x:v>
      </x:c>
      <x:c r="F3114" s="22" t="str">
        <x:f>"330.699.458-80"</x:f>
        <x:v>330.699.458-80</x:v>
      </x:c>
      <x:c r="G3114" s="22" t="str">
        <x:f>"33069945880"</x:f>
        <x:v>33069945880</x:v>
      </x:c>
      <x:c r="H3114" s="23" t="str">
        <x:v>rafanariz87@gmail.com</x:v>
      </x:c>
      <x:c r="I3114" s="22" t="str">
        <x:f>"31971970709"</x:f>
        <x:v>31971970709</x:v>
      </x:c>
      <x:c r="J3114" s="23" t="str">
        <x:v>rental</x:v>
      </x:c>
      <x:c r="K3114" s="23" t="str">
        <x:v>rental_company</x:v>
      </x:c>
      <x:c r="L3114" s="24" t="b">
        <x:v>1</x:v>
      </x:c>
      <x:c r="M3114" s="23" t="n">
        <x:v>1</x:v>
      </x:c>
      <x:c r="N3114" s="28" t="n">
        <x:v>46219.812988715275</x:v>
      </x:c>
      <x:c r="O3114" s="28" t="n">
        <x:v>46219.812988715275</x:v>
      </x:c>
      <x:c r="P3114" s="23" t="str">
        <x:v>NOVA LIMA</x:v>
      </x:c>
      <x:c r="Q3114" s="30" t="n">
        <x:v>31268</x:v>
      </x:c>
      <x:c r="R3114" s="22" t="str">
        <x:f>"44267444"</x:f>
        <x:v>44267444</x:v>
      </x:c>
      <x:c r="S3114" s="23" t="str">
        <x:v>feminino</x:v>
      </x:c>
      <x:c r="T3114" s="22" t="str"/>
      <x:c r="U3114" s="23" t="str">
        <x:v>RAFAEL GONCALVES PINHEIRO</x:v>
      </x:c>
      <x:c r="V3114" s="22" t="str">
        <x:f>"330.699.458-80"</x:f>
        <x:v>330.699.458-80</x:v>
      </x:c>
      <x:c r="W3114" s="22" t="str">
        <x:f>"33069945880"</x:f>
        <x:v>33069945880</x:v>
      </x:c>
      <x:c r="X3114" s="23" t="str">
        <x:v>rafanariz87@gmail.com</x:v>
      </x:c>
      <x:c r="Y3114" s="22" t="str">
        <x:f>"31971970709"</x:f>
        <x:v>31971970709</x:v>
      </x:c>
      <x:c r="Z3114" s="30" t="n">
        <x:v>46542</x:v>
      </x:c>
    </x:row>
    <x:row r="3115" ht="18" customHeight="1">
      <x:c r="A3115" s="22" t="str">
        <x:f>"b8bbfad2-01a3-4b85-a915-69f6bfbfb203"</x:f>
        <x:v>b8bbfad2-01a3-4b85-a915-69f6bfbfb203</x:v>
      </x:c>
      <x:c r="B3115" s="23" t="str">
        <x:v>RAFAEL HENRIQUE CRIGOR DA SILVA</x:v>
      </x:c>
      <x:c r="C3115" s="23" t="str">
        <x:v>rafael henrique crigor da silva</x:v>
      </x:c>
      <x:c r="D3115" s="22" t="str">
        <x:f>"66.844.592/0001-36"</x:f>
        <x:v>66.844.592/0001-36</x:v>
      </x:c>
      <x:c r="E3115" s="22" t="str">
        <x:f>"66844592000136"</x:f>
        <x:v>66844592000136</x:v>
      </x:c>
      <x:c r="F3115" s="22" t="str">
        <x:f>"145.530.386-09"</x:f>
        <x:v>145.530.386-09</x:v>
      </x:c>
      <x:c r="G3115" s="22" t="str">
        <x:f>"14553038609"</x:f>
        <x:v>14553038609</x:v>
      </x:c>
      <x:c r="H3115" s="23" t="str">
        <x:v>rafaelhenriquecrigor@gmail.com</x:v>
      </x:c>
      <x:c r="I3115" s="22" t="str">
        <x:f>"(35)988247457"</x:f>
        <x:v>(35)988247457</x:v>
      </x:c>
      <x:c r="J3115" s="23" t="str">
        <x:v>RENTAL</x:v>
      </x:c>
      <x:c r="K3115" s="23" t="str">
        <x:v>rental_company</x:v>
      </x:c>
      <x:c r="L3115" s="24" t="b">
        <x:v>1</x:v>
      </x:c>
      <x:c r="M3115" s="23" t="n">
        <x:v>1</x:v>
      </x:c>
      <x:c r="N3115" s="28" t="n">
        <x:v>46219.812988715275</x:v>
      </x:c>
      <x:c r="O3115" s="28" t="n">
        <x:v>46219.812988715275</x:v>
      </x:c>
      <x:c r="P3115" s="23" t="str">
        <x:v>POUSO ALEGRE</x:v>
      </x:c>
      <x:c r="Q3115" s="30" t="n">
        <x:v>36705</x:v>
      </x:c>
      <x:c r="R3115" s="22" t="str">
        <x:f>"20969625"</x:f>
        <x:v>20969625</x:v>
      </x:c>
      <x:c r="S3115" s="23" t="str">
        <x:v>masculino</x:v>
      </x:c>
      <x:c r="T3115" s="22" t="str"/>
      <x:c r="U3115" s="23" t="str">
        <x:v>RAFAEL HENRIQUE CRIGOR DA SILVA</x:v>
      </x:c>
      <x:c r="V3115" s="22" t="str">
        <x:f>"145.530.386-09"</x:f>
        <x:v>145.530.386-09</x:v>
      </x:c>
      <x:c r="W3115" s="22" t="str">
        <x:f>"14553038609"</x:f>
        <x:v>14553038609</x:v>
      </x:c>
      <x:c r="X3115" s="23" t="str">
        <x:v>rafaelhenriquecrigor@gmail.com</x:v>
      </x:c>
      <x:c r="Y3115" s="22" t="str">
        <x:f>"(35)988247457"</x:f>
        <x:v>(35)988247457</x:v>
      </x:c>
      <x:c r="Z3115" s="30" t="n">
        <x:v>46527</x:v>
      </x:c>
    </x:row>
    <x:row r="3116" ht="18" customHeight="1">
      <x:c r="A3116" s="22" t="str">
        <x:f>"43ba53f4-79f6-44b4-b826-7f8b7c1cedad"</x:f>
        <x:v>43ba53f4-79f6-44b4-b826-7f8b7c1cedad</x:v>
      </x:c>
      <x:c r="B3116" s="23" t="str">
        <x:v>RAFAEL HENRIQUE DE ALMEIDA MELO</x:v>
      </x:c>
      <x:c r="C3116" s="23" t="str">
        <x:v>rafael henrique de almeida melo</x:v>
      </x:c>
      <x:c r="D3116" s="22" t="str">
        <x:f>"65.192.378/0001-80"</x:f>
        <x:v>65.192.378/0001-80</x:v>
      </x:c>
      <x:c r="E3116" s="22" t="str">
        <x:f>"65192378000180"</x:f>
        <x:v>65192378000180</x:v>
      </x:c>
      <x:c r="F3116" s="22" t="str">
        <x:f>"134.282.237-48"</x:f>
        <x:v>134.282.237-48</x:v>
      </x:c>
      <x:c r="G3116" s="22" t="str">
        <x:f>"13428223748"</x:f>
        <x:v>13428223748</x:v>
      </x:c>
      <x:c r="H3116" s="23" t="str">
        <x:v>rafaelmelo92@hotmail.com</x:v>
      </x:c>
      <x:c r="I3116" s="22" t="str">
        <x:f>"21975516652"</x:f>
        <x:v>21975516652</x:v>
      </x:c>
      <x:c r="J3116" s="23" t="str">
        <x:v>SPOT</x:v>
      </x:c>
      <x:c r="K3116" s="23" t="str">
        <x:v>favored_only</x:v>
      </x:c>
      <x:c r="L3116" s="24" t="b">
        <x:v>1</x:v>
      </x:c>
      <x:c r="M3116" s="23" t="n">
        <x:v>1</x:v>
      </x:c>
      <x:c r="N3116" s="28" t="n">
        <x:v>46219.812988715275</x:v>
      </x:c>
      <x:c r="O3116" s="28" t="n">
        <x:v>46219.812988715275</x:v>
      </x:c>
      <x:c r="P3116" s="23" t="str">
        <x:v>SÃO JOAO DE MERITI</x:v>
      </x:c>
      <x:c r="Q3116" s="30" t="n">
        <x:v>33869</x:v>
      </x:c>
      <x:c r="R3116" s="22" t="str">
        <x:f>"258229418"</x:f>
        <x:v>258229418</x:v>
      </x:c>
      <x:c r="S3116" s="23" t="str">
        <x:v>masculino</x:v>
      </x:c>
      <x:c r="T3116" s="22" t="str">
        <x:f>"QUU0J54"</x:f>
        <x:v>QUU0J54</x:v>
      </x:c>
      <x:c r="U3116" s="23" t="str">
        <x:v>RAFAEL HENRIQUE DE ALMEIDA MELO</x:v>
      </x:c>
      <x:c r="V3116" s="22" t="str">
        <x:f>"134.282.237-48"</x:f>
        <x:v>134.282.237-48</x:v>
      </x:c>
      <x:c r="W3116" s="22" t="str">
        <x:f>"13428223748"</x:f>
        <x:v>13428223748</x:v>
      </x:c>
      <x:c r="X3116" s="23" t="str">
        <x:v>rafaelmelo92@hotmail.com</x:v>
      </x:c>
      <x:c r="Y3116" s="22" t="str">
        <x:f>"21975516652"</x:f>
        <x:v>21975516652</x:v>
      </x:c>
      <x:c r="Z3116" s="30" t="n">
        <x:v>46437</x:v>
      </x:c>
    </x:row>
    <x:row r="3117" ht="18" customHeight="1">
      <x:c r="A3117" s="22" t="str">
        <x:f>"a43620e3-1930-4649-b26d-1f24cd943420"</x:f>
        <x:v>a43620e3-1930-4649-b26d-1f24cd943420</x:v>
      </x:c>
      <x:c r="B3117" s="23" t="str">
        <x:v>RAFAEL HENRIQUE FERNANDES</x:v>
      </x:c>
      <x:c r="C3117" s="23" t="str">
        <x:v>rafael henrique fernandes</x:v>
      </x:c>
      <x:c r="D3117" s="22" t="str">
        <x:f>"52.945.495/0001-25"</x:f>
        <x:v>52.945.495/0001-25</x:v>
      </x:c>
      <x:c r="E3117" s="22" t="str">
        <x:f>"52945495000125"</x:f>
        <x:v>52945495000125</x:v>
      </x:c>
      <x:c r="F3117" s="22" t="str">
        <x:f>"048.371.766-58"</x:f>
        <x:v>048.371.766-58</x:v>
      </x:c>
      <x:c r="G3117" s="22" t="str">
        <x:f>"04837176658"</x:f>
        <x:v>04837176658</x:v>
      </x:c>
      <x:c r="H3117" s="23" t="str">
        <x:v>rafael.fernandes@live.com</x:v>
      </x:c>
      <x:c r="I3117" s="22" t="str">
        <x:f>"33 8836-6604"</x:f>
        <x:v>33 8836-6604</x:v>
      </x:c>
      <x:c r="J3117" s="23" t="str">
        <x:v>SPOT</x:v>
      </x:c>
      <x:c r="K3117" s="23" t="str">
        <x:v>favored_only</x:v>
      </x:c>
      <x:c r="L3117" s="24" t="b">
        <x:v>1</x:v>
      </x:c>
      <x:c r="M3117" s="23" t="n">
        <x:v>1</x:v>
      </x:c>
      <x:c r="N3117" s="28" t="n">
        <x:v>46203.921824756944</x:v>
      </x:c>
      <x:c r="O3117" s="28" t="n">
        <x:v>46219.812988715275</x:v>
      </x:c>
      <x:c r="P3117" s="23" t="str">
        <x:v>GUANHAES</x:v>
      </x:c>
      <x:c r="Q3117" s="30" t="n">
        <x:v>30259</x:v>
      </x:c>
      <x:c r="R3117" s="22" t="str">
        <x:f>"11800953"</x:f>
        <x:v>11800953</x:v>
      </x:c>
      <x:c r="S3117" s="23" t="str">
        <x:v>masculino</x:v>
      </x:c>
      <x:c r="T3117" s="22" t="str">
        <x:f>"QQS8F43"</x:f>
        <x:v>QQS8F43</x:v>
      </x:c>
      <x:c r="U3117" s="23" t="str">
        <x:v>RAFAEL HENRIQUE FERNANDES</x:v>
      </x:c>
      <x:c r="V3117" s="22" t="str">
        <x:f>"048.371.766-58"</x:f>
        <x:v>048.371.766-58</x:v>
      </x:c>
      <x:c r="W3117" s="22" t="str">
        <x:f>"04837176658"</x:f>
        <x:v>04837176658</x:v>
      </x:c>
      <x:c r="X3117" s="23" t="str">
        <x:v>rafael.fernandes@live.com</x:v>
      </x:c>
      <x:c r="Y3117" s="22" t="str">
        <x:f>"33 8836-6604"</x:f>
        <x:v>33 8836-6604</x:v>
      </x:c>
      <x:c r="Z3117" s="30" t="n">
        <x:v>46268</x:v>
      </x:c>
    </x:row>
    <x:row r="3118" ht="18" customHeight="1">
      <x:c r="A3118" s="22" t="str">
        <x:f>"108587e6-05a1-428a-9c3d-c9cc13dfac23"</x:f>
        <x:v>108587e6-05a1-428a-9c3d-c9cc13dfac23</x:v>
      </x:c>
      <x:c r="B3118" s="23" t="str">
        <x:v>RAFAEL HENRIQUE LUIZ PEREIRA ROQUE</x:v>
      </x:c>
      <x:c r="C3118" s="23" t="str">
        <x:v>rafael henrique luiz pereira roque</x:v>
      </x:c>
      <x:c r="D3118" s="22" t="str">
        <x:f>"55.606.630/0001-04"</x:f>
        <x:v>55.606.630/0001-04</x:v>
      </x:c>
      <x:c r="E3118" s="22" t="str">
        <x:f>"55606630000104"</x:f>
        <x:v>55606630000104</x:v>
      </x:c>
      <x:c r="F3118" s="22" t="str">
        <x:f>"036.800.171-70"</x:f>
        <x:v>036.800.171-70</x:v>
      </x:c>
      <x:c r="G3118" s="22" t="str">
        <x:f>"03680017170"</x:f>
        <x:v>03680017170</x:v>
      </x:c>
      <x:c r="H3118" s="23" t="str">
        <x:v>rafael.henrique.2008@homtail.com</x:v>
      </x:c>
      <x:c r="I3118" s="22" t="str">
        <x:f>"62 9 9400-7344"</x:f>
        <x:v>62 9 9400-7344</x:v>
      </x:c>
      <x:c r="J3118" s="23" t="str">
        <x:v>SPOT</x:v>
      </x:c>
      <x:c r="K3118" s="23" t="str">
        <x:v>favored_only</x:v>
      </x:c>
      <x:c r="L3118" s="24" t="b">
        <x:v>1</x:v>
      </x:c>
      <x:c r="M3118" s="23" t="n">
        <x:v>1</x:v>
      </x:c>
      <x:c r="N3118" s="28" t="n">
        <x:v>46203.92183017361</x:v>
      </x:c>
      <x:c r="O3118" s="28" t="n">
        <x:v>46219.812988715275</x:v>
      </x:c>
      <x:c r="P3118" s="23" t="str">
        <x:v>MOZARLANDIA</x:v>
      </x:c>
      <x:c r="Q3118" s="30" t="n">
        <x:v>34528</x:v>
      </x:c>
      <x:c r="R3118" s="22" t="str">
        <x:f>"5819377"</x:f>
        <x:v>5819377</x:v>
      </x:c>
      <x:c r="S3118" s="23" t="str">
        <x:v>masculino</x:v>
      </x:c>
      <x:c r="T3118" s="22" t="str">
        <x:f>"JHF2E42"</x:f>
        <x:v>JHF2E42</x:v>
      </x:c>
      <x:c r="U3118" s="23" t="str">
        <x:v>RAFAEL HENRIQUE LUIZ PEREIRA ROQUE</x:v>
      </x:c>
      <x:c r="V3118" s="22" t="str">
        <x:f>"036.800.171-70"</x:f>
        <x:v>036.800.171-70</x:v>
      </x:c>
      <x:c r="W3118" s="22" t="str">
        <x:f>"03680017170"</x:f>
        <x:v>03680017170</x:v>
      </x:c>
      <x:c r="X3118" s="23" t="str">
        <x:v>rafael.henrique.2008@homtail.com</x:v>
      </x:c>
      <x:c r="Y3118" s="22" t="str">
        <x:f>"62 9 9400-7344"</x:f>
        <x:v>62 9 9400-7344</x:v>
      </x:c>
      <x:c r="Z3118" s="30" t="n">
        <x:v>46527</x:v>
      </x:c>
    </x:row>
    <x:row r="3119" ht="18" customHeight="1">
      <x:c r="A3119" s="22" t="str">
        <x:f>"16196384-3812-420d-97ed-95a9190c3021"</x:f>
        <x:v>16196384-3812-420d-97ed-95a9190c3021</x:v>
      </x:c>
      <x:c r="B3119" s="23" t="str">
        <x:v>RAFAELI VARGAS EMIDIO DE LIMA</x:v>
      </x:c>
      <x:c r="C3119" s="23" t="str">
        <x:v>rafaeli vargas emidio de lima</x:v>
      </x:c>
      <x:c r="D3119" s="22" t="str">
        <x:f>"61.594.744/0001-76"</x:f>
        <x:v>61.594.744/0001-76</x:v>
      </x:c>
      <x:c r="E3119" s="22" t="str">
        <x:f>"61594744000176"</x:f>
        <x:v>61594744000176</x:v>
      </x:c>
      <x:c r="F3119" s="22" t="str">
        <x:f>"061.971.707-60"</x:f>
        <x:v>061.971.707-60</x:v>
      </x:c>
      <x:c r="G3119" s="22" t="str">
        <x:f>"06197170760"</x:f>
        <x:v>06197170760</x:v>
      </x:c>
      <x:c r="H3119" s="23" t="str">
        <x:v>RAFAELI.VARGAS94@GMAIL.COM</x:v>
      </x:c>
      <x:c r="I3119" s="22" t="str">
        <x:f>"21 993879551"</x:f>
        <x:v>21 993879551</x:v>
      </x:c>
      <x:c r="J3119" s="23" t="str">
        <x:v>SPOT</x:v>
      </x:c>
      <x:c r="K3119" s="23" t="str">
        <x:v>favored_only</x:v>
      </x:c>
      <x:c r="L3119" s="24" t="b">
        <x:v>1</x:v>
      </x:c>
      <x:c r="M3119" s="23" t="n">
        <x:v>1</x:v>
      </x:c>
      <x:c r="N3119" s="28" t="n">
        <x:v>46219.812988715275</x:v>
      </x:c>
      <x:c r="O3119" s="28" t="n">
        <x:v>46219.812988715275</x:v>
      </x:c>
      <x:c r="P3119" s="23" t="str">
        <x:v>QUEIMADOS</x:v>
      </x:c>
      <x:c r="Q3119" s="30" t="n">
        <x:v>34500</x:v>
      </x:c>
      <x:c r="R3119" s="22" t="str">
        <x:f>"233163054"</x:f>
        <x:v>233163054</x:v>
      </x:c>
      <x:c r="S3119" s="23" t="str">
        <x:v>feminino</x:v>
      </x:c>
      <x:c r="T3119" s="22" t="str">
        <x:f>"LRL6B56"</x:f>
        <x:v>LRL6B56</x:v>
      </x:c>
      <x:c r="U3119" s="23" t="str">
        <x:v>RAFAELI VARGAS EMIDIO DE LIMA</x:v>
      </x:c>
      <x:c r="V3119" s="22" t="str">
        <x:f>"061.971.707-60"</x:f>
        <x:v>061.971.707-60</x:v>
      </x:c>
      <x:c r="W3119" s="22" t="str">
        <x:f>"06197170760"</x:f>
        <x:v>06197170760</x:v>
      </x:c>
      <x:c r="X3119" s="23" t="str">
        <x:v>RAFAELI.VARGAS94@GMAIL.COM</x:v>
      </x:c>
      <x:c r="Y3119" s="22" t="str">
        <x:f>"21 993879551"</x:f>
        <x:v>21 993879551</x:v>
      </x:c>
      <x:c r="Z3119" s="30" t="n">
        <x:v>46459</x:v>
      </x:c>
    </x:row>
    <x:row r="3120" ht="18" customHeight="1">
      <x:c r="A3120" s="22" t="str">
        <x:f>"5207d7df-5259-4fab-b96e-36f2635c7cce"</x:f>
        <x:v>5207d7df-5259-4fab-b96e-36f2635c7cce</x:v>
      </x:c>
      <x:c r="B3120" s="23" t="str">
        <x:v>RAFAEL JESUS GABRIEL</x:v>
      </x:c>
      <x:c r="C3120" s="23" t="str">
        <x:v>rafael jesus gabriel</x:v>
      </x:c>
      <x:c r="D3120" s="22" t="str">
        <x:f>"46.594.824/0001-38"</x:f>
        <x:v>46.594.824/0001-38</x:v>
      </x:c>
      <x:c r="E3120" s="22" t="str">
        <x:f>"46594824000138"</x:f>
        <x:v>46594824000138</x:v>
      </x:c>
      <x:c r="F3120" s="22" t="str">
        <x:f>"052.461.061-44"</x:f>
        <x:v>052.461.061-44</x:v>
      </x:c>
      <x:c r="G3120" s="22" t="str">
        <x:f>"05246106144"</x:f>
        <x:v>05246106144</x:v>
      </x:c>
      <x:c r="H3120" s="23" t="str">
        <x:v>Rafaellgabriel1993@icloud.com</x:v>
      </x:c>
      <x:c r="I3120" s="22" t="str">
        <x:f>"065981695366"</x:f>
        <x:v>065981695366</x:v>
      </x:c>
      <x:c r="J3120" s="23" t="str">
        <x:v>SPOT</x:v>
      </x:c>
      <x:c r="K3120" s="23" t="str">
        <x:v>favored_only</x:v>
      </x:c>
      <x:c r="L3120" s="24" t="b">
        <x:v>1</x:v>
      </x:c>
      <x:c r="M3120" s="23" t="n">
        <x:v>1</x:v>
      </x:c>
      <x:c r="N3120" s="28" t="n">
        <x:v>46219.812988715275</x:v>
      </x:c>
      <x:c r="O3120" s="28" t="n">
        <x:v>46219.812988715275</x:v>
      </x:c>
      <x:c r="P3120" s="23" t="str">
        <x:v>CÁCERES</x:v>
      </x:c>
      <x:c r="Q3120" s="30" t="n">
        <x:v>34068</x:v>
      </x:c>
      <x:c r="R3120" s="22" t="str">
        <x:f>"23122870"</x:f>
        <x:v>23122870</x:v>
      </x:c>
      <x:c r="S3120" s="23" t="str">
        <x:v>masculino</x:v>
      </x:c>
      <x:c r="T3120" s="22" t="str">
        <x:f>"OBE6h74"</x:f>
        <x:v>OBE6h74</x:v>
      </x:c>
      <x:c r="U3120" s="23" t="str">
        <x:v>LEONEL RAGATIERI NETO</x:v>
      </x:c>
      <x:c r="V3120" s="22" t="str">
        <x:f>"076.207.311-05"</x:f>
        <x:v>076.207.311-05</x:v>
      </x:c>
      <x:c r="W3120" s="22" t="str">
        <x:f>"07620731105"</x:f>
        <x:v>07620731105</x:v>
      </x:c>
      <x:c r="X3120" s="23" t="str">
        <x:v>netoregatieri24@hotmail.com</x:v>
      </x:c>
      <x:c r="Y3120" s="22" t="str">
        <x:f>"‪+55 65 99644‑1193‬"</x:f>
        <x:v>‪+55 65 99644‑1193‬</x:v>
      </x:c>
      <x:c r="Z3120" s="30" t="n">
        <x:v>46453</x:v>
      </x:c>
    </x:row>
    <x:row r="3121" ht="18" customHeight="1">
      <x:c r="A3121" s="22" t="str">
        <x:f>"4b2b9981-5c60-4a37-b378-1d0008817ba7"</x:f>
        <x:v>4b2b9981-5c60-4a37-b378-1d0008817ba7</x:v>
      </x:c>
      <x:c r="B3121" s="23" t="str">
        <x:v>RAFAEL KAIQUE SOUZA SOARES</x:v>
      </x:c>
      <x:c r="C3121" s="23" t="str">
        <x:v>rafael kaique souza soares</x:v>
      </x:c>
      <x:c r="D3121" s="22" t="str">
        <x:f>"66.386.782/0001-57"</x:f>
        <x:v>66.386.782/0001-57</x:v>
      </x:c>
      <x:c r="E3121" s="22" t="str">
        <x:f>"66386782000157"</x:f>
        <x:v>66386782000157</x:v>
      </x:c>
      <x:c r="F3121" s="22" t="str">
        <x:f>"061.975.831-78"</x:f>
        <x:v>061.975.831-78</x:v>
      </x:c>
      <x:c r="G3121" s="22" t="str">
        <x:f>"06197583178"</x:f>
        <x:v>06197583178</x:v>
      </x:c>
      <x:c r="H3121" s="23" t="str">
        <x:v>Rafaelkaique776@gmail.com</x:v>
      </x:c>
      <x:c r="I3121" s="22" t="str">
        <x:f>"66992286254"</x:f>
        <x:v>66992286254</x:v>
      </x:c>
      <x:c r="J3121" s="23" t="str">
        <x:v>SPOT</x:v>
      </x:c>
      <x:c r="K3121" s="23" t="str">
        <x:v>favored_only</x:v>
      </x:c>
      <x:c r="L3121" s="24" t="b">
        <x:v>1</x:v>
      </x:c>
      <x:c r="M3121" s="23" t="n">
        <x:v>1</x:v>
      </x:c>
      <x:c r="N3121" s="28" t="n">
        <x:v>46219.812988715275</x:v>
      </x:c>
      <x:c r="O3121" s="28" t="n">
        <x:v>46219.812988715275</x:v>
      </x:c>
      <x:c r="P3121" s="23" t="str">
        <x:v>SINOP</x:v>
      </x:c>
      <x:c r="Q3121" s="30" t="n">
        <x:v>37955</x:v>
      </x:c>
      <x:c r="R3121" s="22" t="str">
        <x:f>"32895038"</x:f>
        <x:v>32895038</x:v>
      </x:c>
      <x:c r="S3121" s="23" t="str">
        <x:v>masculino</x:v>
      </x:c>
      <x:c r="T3121" s="22" t="str">
        <x:f>"QBX2G66"</x:f>
        <x:v>QBX2G66</x:v>
      </x:c>
      <x:c r="U3121" s="23" t="str">
        <x:v>RAFAEL KAIQUE SOUZA SOARES</x:v>
      </x:c>
      <x:c r="V3121" s="22" t="str">
        <x:f>"061.975.831-78"</x:f>
        <x:v>061.975.831-78</x:v>
      </x:c>
      <x:c r="W3121" s="22" t="str">
        <x:f>"06197583178"</x:f>
        <x:v>06197583178</x:v>
      </x:c>
      <x:c r="X3121" s="23" t="str">
        <x:v>Rafaelkaique776@gmail.com</x:v>
      </x:c>
      <x:c r="Y3121" s="22" t="str">
        <x:f>"66992286254"</x:f>
        <x:v>66992286254</x:v>
      </x:c>
      <x:c r="Z3121" s="30" t="n">
        <x:v>46501</x:v>
      </x:c>
    </x:row>
    <x:row r="3122" ht="18" customHeight="1">
      <x:c r="A3122" s="22" t="str">
        <x:f>"54db2f27-1826-49d6-81b2-74533989b39a"</x:f>
        <x:v>54db2f27-1826-49d6-81b2-74533989b39a</x:v>
      </x:c>
      <x:c r="B3122" s="23" t="str">
        <x:v>RAFAEL LEAL GONCALVES</x:v>
      </x:c>
      <x:c r="C3122" s="23" t="str">
        <x:v>rafael leal goncalves</x:v>
      </x:c>
      <x:c r="D3122" s="22" t="str">
        <x:f>"31.616.517/0001-33"</x:f>
        <x:v>31.616.517/0001-33</x:v>
      </x:c>
      <x:c r="E3122" s="22" t="str">
        <x:f>"31616517000133"</x:f>
        <x:v>31616517000133</x:v>
      </x:c>
      <x:c r="F3122" s="22" t="str">
        <x:f>"096.477.306-67"</x:f>
        <x:v>096.477.306-67</x:v>
      </x:c>
      <x:c r="G3122" s="22" t="str">
        <x:f>"09647730667"</x:f>
        <x:v>09647730667</x:v>
      </x:c>
      <x:c r="H3122" s="23" t="str">
        <x:v>rafaelleal013@outlook.com</x:v>
      </x:c>
      <x:c r="I3122" s="22" t="str">
        <x:f>"33991732464"</x:f>
        <x:v>33991732464</x:v>
      </x:c>
      <x:c r="J3122" s="23" t="str">
        <x:v>SPOT</x:v>
      </x:c>
      <x:c r="K3122" s="23" t="str">
        <x:v>favored_only</x:v>
      </x:c>
      <x:c r="L3122" s="24" t="b">
        <x:v>1</x:v>
      </x:c>
      <x:c r="M3122" s="23" t="n">
        <x:v>2</x:v>
      </x:c>
      <x:c r="N3122" s="28" t="n">
        <x:v>46219.812988715275</x:v>
      </x:c>
      <x:c r="O3122" s="28" t="n">
        <x:v>46219.812988715275</x:v>
      </x:c>
      <x:c r="P3122" s="23" t="str">
        <x:v>TEOFILO OTONI</x:v>
      </x:c>
      <x:c r="Q3122" s="30" t="n">
        <x:v>35719</x:v>
      </x:c>
      <x:c r="R3122" s="22" t="str">
        <x:f>"16296447"</x:f>
        <x:v>16296447</x:v>
      </x:c>
      <x:c r="S3122" s="23" t="str">
        <x:v>masculino</x:v>
      </x:c>
      <x:c r="T3122" s="22" t="str">
        <x:f>"OYW2F67"</x:f>
        <x:v>OYW2F67</x:v>
      </x:c>
      <x:c r="U3122" s="23" t="str">
        <x:v>RAFAEL LEAL GONCALVES</x:v>
      </x:c>
      <x:c r="V3122" s="22" t="str">
        <x:f>"096.477.306-67"</x:f>
        <x:v>096.477.306-67</x:v>
      </x:c>
      <x:c r="W3122" s="22" t="str">
        <x:f>"09647730667"</x:f>
        <x:v>09647730667</x:v>
      </x:c>
      <x:c r="X3122" s="23" t="str">
        <x:v>rafaelleal013@outlook.com</x:v>
      </x:c>
      <x:c r="Y3122" s="22" t="str">
        <x:f>"33991732464"</x:f>
        <x:v>33991732464</x:v>
      </x:c>
      <x:c r="Z3122" s="30" t="n">
        <x:v>46527</x:v>
      </x:c>
    </x:row>
    <x:row r="3123" ht="18" customHeight="1">
      <x:c r="A3123" s="22" t="str">
        <x:f>"c33ba1cf-bff3-4c84-b138-507537a5bca1"</x:f>
        <x:v>c33ba1cf-bff3-4c84-b138-507537a5bca1</x:v>
      </x:c>
      <x:c r="B3123" s="23" t="str">
        <x:v>RAFAEL LUIZ ALVEZ</x:v>
      </x:c>
      <x:c r="C3123" s="23" t="str">
        <x:v>rafael luiz alvez</x:v>
      </x:c>
      <x:c r="D3123" s="22" t="str">
        <x:f>"53.931.395/0001-02"</x:f>
        <x:v>53.931.395/0001-02</x:v>
      </x:c>
      <x:c r="E3123" s="22" t="str">
        <x:f>"53931395000102"</x:f>
        <x:v>53931395000102</x:v>
      </x:c>
      <x:c r="F3123" s="22" t="str">
        <x:f>"116.097.676-75"</x:f>
        <x:v>116.097.676-75</x:v>
      </x:c>
      <x:c r="G3123" s="22" t="str">
        <x:f>"11609767675"</x:f>
        <x:v>11609767675</x:v>
      </x:c>
      <x:c r="H3123" s="23" t="str">
        <x:v>RAFINHALUIZALVES2@GMAIL.COM</x:v>
      </x:c>
      <x:c r="I3123" s="22" t="str">
        <x:f>"(35) 99247-1497"</x:f>
        <x:v>(35) 99247-1497</x:v>
      </x:c>
      <x:c r="J3123" s="23" t="str">
        <x:v>SPOT</x:v>
      </x:c>
      <x:c r="K3123" s="23" t="str">
        <x:v>favored_only</x:v>
      </x:c>
      <x:c r="L3123" s="24" t="b">
        <x:v>1</x:v>
      </x:c>
      <x:c r="M3123" s="23" t="n">
        <x:v>1</x:v>
      </x:c>
      <x:c r="N3123" s="28" t="n">
        <x:v>46203.921824756944</x:v>
      </x:c>
      <x:c r="O3123" s="28" t="n">
        <x:v>46219.812988715275</x:v>
      </x:c>
      <x:c r="P3123" s="23" t="str">
        <x:v>GUAXUPE</x:v>
      </x:c>
      <x:c r="Q3123" s="30" t="n">
        <x:v>36606</x:v>
      </x:c>
      <x:c r="R3123" s="22" t="str">
        <x:f>"18626737"</x:f>
        <x:v>18626737</x:v>
      </x:c>
      <x:c r="S3123" s="23" t="str">
        <x:v>masculino</x:v>
      </x:c>
      <x:c r="T3123" s="22" t="str">
        <x:f>"EVT5963"</x:f>
        <x:v>EVT5963</x:v>
      </x:c>
      <x:c r="U3123" s="23" t="str">
        <x:v>RAFAEL LUIZ ALVEZ</x:v>
      </x:c>
      <x:c r="V3123" s="22" t="str">
        <x:f>"116.097.676-75"</x:f>
        <x:v>116.097.676-75</x:v>
      </x:c>
      <x:c r="W3123" s="22" t="str">
        <x:f>"11609767675"</x:f>
        <x:v>11609767675</x:v>
      </x:c>
      <x:c r="X3123" s="23" t="str">
        <x:v>RAFINHALUIZALVES2@GMAIL.COM</x:v>
      </x:c>
      <x:c r="Y3123" s="22" t="str">
        <x:f>"(35) 99247-1497"</x:f>
        <x:v>(35) 99247-1497</x:v>
      </x:c>
      <x:c r="Z3123" s="30" t="n">
        <x:v>46521</x:v>
      </x:c>
    </x:row>
    <x:row r="3124" ht="18" customHeight="1">
      <x:c r="A3124" s="22" t="str">
        <x:f>"066954f7-bb7a-4cf2-8863-1ef550153fa3"</x:f>
        <x:v>066954f7-bb7a-4cf2-8863-1ef550153fa3</x:v>
      </x:c>
      <x:c r="B3124" s="23" t="str">
        <x:v>RAFAEL LUIZ MILITAO MOREIRA</x:v>
      </x:c>
      <x:c r="C3124" s="23" t="str">
        <x:v>rafael luiz militao moreira</x:v>
      </x:c>
      <x:c r="D3124" s="22" t="str">
        <x:f>"12.589.523/0001-02"</x:f>
        <x:v>12.589.523/0001-02</x:v>
      </x:c>
      <x:c r="E3124" s="22" t="str">
        <x:f>"12589523000102"</x:f>
        <x:v>12589523000102</x:v>
      </x:c>
      <x:c r="F3124" s="22" t="str">
        <x:f>"05900106705"</x:f>
        <x:v>05900106705</x:v>
      </x:c>
      <x:c r="G3124" s="22" t="str">
        <x:f>"05900106705"</x:f>
        <x:v>05900106705</x:v>
      </x:c>
      <x:c r="H3124" s="23" t="str">
        <x:v>francosouzahugo@gmail.com</x:v>
      </x:c>
      <x:c r="I3124" s="22" t="str">
        <x:f>"21 98193-1588"</x:f>
        <x:v>21 98193-1588</x:v>
      </x:c>
      <x:c r="J3124" s="23" t="str">
        <x:v>SPOT</x:v>
      </x:c>
      <x:c r="K3124" s="23" t="str">
        <x:v>favored_only</x:v>
      </x:c>
      <x:c r="L3124" s="24" t="b">
        <x:v>1</x:v>
      </x:c>
      <x:c r="M3124" s="23" t="n">
        <x:v>1</x:v>
      </x:c>
      <x:c r="N3124" s="28" t="n">
        <x:v>46203.92189965278</x:v>
      </x:c>
      <x:c r="O3124" s="28" t="n">
        <x:v>46203.92189965278</x:v>
      </x:c>
      <x:c r="P3124" s="23" t="str"/>
      <x:c r="Q3124" s="30" t="str"/>
      <x:c r="R3124" s="22" t="str"/>
      <x:c r="S3124" s="23" t="str"/>
      <x:c r="T3124" s="22" t="str"/>
      <x:c r="U3124" s="23" t="str">
        <x:v>RAFAEL LUIZ MILITAO MOREIRA</x:v>
      </x:c>
      <x:c r="V3124" s="22" t="str">
        <x:f>"05900106705"</x:f>
        <x:v>05900106705</x:v>
      </x:c>
      <x:c r="W3124" s="22" t="str">
        <x:f>"05900106705"</x:f>
        <x:v>05900106705</x:v>
      </x:c>
      <x:c r="X3124" s="23" t="str">
        <x:v>francosouzahugo@gmail.com</x:v>
      </x:c>
      <x:c r="Y3124" s="22" t="str">
        <x:f>"21 98193-1588"</x:f>
        <x:v>21 98193-1588</x:v>
      </x:c>
      <x:c r="Z3124" s="30" t="str"/>
    </x:row>
    <x:row r="3125" ht="18" customHeight="1">
      <x:c r="A3125" s="22" t="str">
        <x:f>"66a9b451-e9ba-4292-bd02-b38efcd7784f"</x:f>
        <x:v>66a9b451-e9ba-4292-bd02-b38efcd7784f</x:v>
      </x:c>
      <x:c r="B3125" s="23" t="str">
        <x:v>RAFAEL MARTINS</x:v>
      </x:c>
      <x:c r="C3125" s="23" t="str">
        <x:v>rafael martins</x:v>
      </x:c>
      <x:c r="D3125" s="22" t="str">
        <x:f>"49.097.267/0001-38"</x:f>
        <x:v>49.097.267/0001-38</x:v>
      </x:c>
      <x:c r="E3125" s="22" t="str">
        <x:f>"49097267000138"</x:f>
        <x:v>49097267000138</x:v>
      </x:c>
      <x:c r="F3125" s="22" t="str">
        <x:f>"372.010.098-77"</x:f>
        <x:v>372.010.098-77</x:v>
      </x:c>
      <x:c r="G3125" s="22" t="str">
        <x:f>"37201009877"</x:f>
        <x:v>37201009877</x:v>
      </x:c>
      <x:c r="H3125" s="23" t="str">
        <x:v>rafaeltimberland@yahoo.com.br</x:v>
      </x:c>
      <x:c r="I3125" s="22" t="str">
        <x:f>"11947479003"</x:f>
        <x:v>11947479003</x:v>
      </x:c>
      <x:c r="J3125" s="23" t="str">
        <x:v>spot</x:v>
      </x:c>
      <x:c r="K3125" s="23" t="str">
        <x:v>favored_only</x:v>
      </x:c>
      <x:c r="L3125" s="24" t="b">
        <x:v>1</x:v>
      </x:c>
      <x:c r="M3125" s="23" t="n">
        <x:v>1</x:v>
      </x:c>
      <x:c r="N3125" s="28" t="n">
        <x:v>46219.812988715275</x:v>
      </x:c>
      <x:c r="O3125" s="28" t="n">
        <x:v>46219.812988715275</x:v>
      </x:c>
      <x:c r="P3125" s="23" t="str">
        <x:v>BARUERI</x:v>
      </x:c>
      <x:c r="Q3125" s="30" t="n">
        <x:v>32635</x:v>
      </x:c>
      <x:c r="R3125" s="22" t="str">
        <x:f>"44808636"</x:f>
        <x:v>44808636</x:v>
      </x:c>
      <x:c r="S3125" s="23" t="str">
        <x:v>masculino</x:v>
      </x:c>
      <x:c r="T3125" s="22" t="str">
        <x:f>"GIP5E81"</x:f>
        <x:v>GIP5E81</x:v>
      </x:c>
      <x:c r="U3125" s="23" t="str">
        <x:v>DEBORA MAGALHAES MARTINS</x:v>
      </x:c>
      <x:c r="V3125" s="22" t="str">
        <x:f>"392.386.188-26"</x:f>
        <x:v>392.386.188-26</x:v>
      </x:c>
      <x:c r="W3125" s="22" t="str">
        <x:f>"39238618826"</x:f>
        <x:v>39238618826</x:v>
      </x:c>
      <x:c r="X3125" s="23" t="str">
        <x:v>debora_mag2@hotmail.com</x:v>
      </x:c>
      <x:c r="Y3125" s="22" t="str">
        <x:f>"11983180722"</x:f>
        <x:v>11983180722</x:v>
      </x:c>
      <x:c r="Z3125" s="30" t="n">
        <x:v>46575</x:v>
      </x:c>
    </x:row>
    <x:row r="3126" ht="18" customHeight="1">
      <x:c r="A3126" s="22" t="str">
        <x:f>"35138918-7184-4118-a6b5-811ceb24f37a"</x:f>
        <x:v>35138918-7184-4118-a6b5-811ceb24f37a</x:v>
      </x:c>
      <x:c r="B3126" s="23" t="str">
        <x:v>RAFAEL MORAIS SILVA</x:v>
      </x:c>
      <x:c r="C3126" s="23" t="str">
        <x:v>rafael morais silva</x:v>
      </x:c>
      <x:c r="D3126" s="22" t="str">
        <x:f>"36.630.498/0001-13"</x:f>
        <x:v>36.630.498/0001-13</x:v>
      </x:c>
      <x:c r="E3126" s="22" t="str">
        <x:f>"36630498000113"</x:f>
        <x:v>36630498000113</x:v>
      </x:c>
      <x:c r="F3126" s="22" t="str">
        <x:f>"157.744.987-86"</x:f>
        <x:v>157.744.987-86</x:v>
      </x:c>
      <x:c r="G3126" s="22" t="str">
        <x:f>"15774498786"</x:f>
        <x:v>15774498786</x:v>
      </x:c>
      <x:c r="H3126" s="23" t="str">
        <x:v>lannalara040618@gmail.com</x:v>
      </x:c>
      <x:c r="I3126" s="22" t="str">
        <x:f>"21966318453"</x:f>
        <x:v>21966318453</x:v>
      </x:c>
      <x:c r="J3126" s="23" t="str">
        <x:v>RENTAL</x:v>
      </x:c>
      <x:c r="K3126" s="23" t="str">
        <x:v>rental_company</x:v>
      </x:c>
      <x:c r="L3126" s="24" t="b">
        <x:v>1</x:v>
      </x:c>
      <x:c r="M3126" s="23" t="n">
        <x:v>1</x:v>
      </x:c>
      <x:c r="N3126" s="28" t="n">
        <x:v>46219.812988715275</x:v>
      </x:c>
      <x:c r="O3126" s="28" t="n">
        <x:v>46219.812988715275</x:v>
      </x:c>
      <x:c r="P3126" s="23" t="str">
        <x:v>QUEIMADOS</x:v>
      </x:c>
      <x:c r="Q3126" s="30" t="n">
        <x:v>34472</x:v>
      </x:c>
      <x:c r="R3126" s="22" t="str">
        <x:f>"242624724"</x:f>
        <x:v>242624724</x:v>
      </x:c>
      <x:c r="S3126" s="23" t="str">
        <x:v>masculino</x:v>
      </x:c>
      <x:c r="T3126" s="22" t="str"/>
      <x:c r="U3126" s="23" t="str">
        <x:v>RAFAEL MORAIS SILVA</x:v>
      </x:c>
      <x:c r="V3126" s="22" t="str">
        <x:f>"157.744.987-86"</x:f>
        <x:v>157.744.987-86</x:v>
      </x:c>
      <x:c r="W3126" s="22" t="str">
        <x:f>"15774498786"</x:f>
        <x:v>15774498786</x:v>
      </x:c>
      <x:c r="X3126" s="23" t="str">
        <x:v>lannalara040618@gmail.com</x:v>
      </x:c>
      <x:c r="Y3126" s="22" t="str">
        <x:f>"21966318453"</x:f>
        <x:v>21966318453</x:v>
      </x:c>
      <x:c r="Z3126" s="30" t="n">
        <x:v>46536</x:v>
      </x:c>
    </x:row>
    <x:row r="3127" ht="18" customHeight="1">
      <x:c r="A3127" s="22" t="str">
        <x:f>"d297a182-d826-41e7-b4ba-2c61d85c9acc"</x:f>
        <x:v>d297a182-d826-41e7-b4ba-2c61d85c9acc</x:v>
      </x:c>
      <x:c r="B3127" s="23" t="str">
        <x:v>RAFAEL MORAIS SILVA</x:v>
      </x:c>
      <x:c r="C3127" s="23" t="str">
        <x:v>rafael morais silva</x:v>
      </x:c>
      <x:c r="D3127" s="22" t="str">
        <x:f>"61.092.082/0001-36"</x:f>
        <x:v>61.092.082/0001-36</x:v>
      </x:c>
      <x:c r="E3127" s="22" t="str">
        <x:f>"61092082000136"</x:f>
        <x:v>61092082000136</x:v>
      </x:c>
      <x:c r="F3127" s="22" t="str">
        <x:f>"157.744.987-86"</x:f>
        <x:v>157.744.987-86</x:v>
      </x:c>
      <x:c r="G3127" s="22" t="str">
        <x:f>"15774498786"</x:f>
        <x:v>15774498786</x:v>
      </x:c>
      <x:c r="H3127" s="23" t="str">
        <x:v>lannalara040618@gmail.com</x:v>
      </x:c>
      <x:c r="I3127" s="22" t="str">
        <x:f>"21966318453"</x:f>
        <x:v>21966318453</x:v>
      </x:c>
      <x:c r="J3127" s="23" t="str">
        <x:v>SPOT</x:v>
      </x:c>
      <x:c r="K3127" s="23" t="str">
        <x:v>favored_only</x:v>
      </x:c>
      <x:c r="L3127" s="24" t="b">
        <x:v>1</x:v>
      </x:c>
      <x:c r="M3127" s="23" t="n">
        <x:v>1</x:v>
      </x:c>
      <x:c r="N3127" s="28" t="n">
        <x:v>46205.60654707176</x:v>
      </x:c>
      <x:c r="O3127" s="28" t="n">
        <x:v>46219.812988715275</x:v>
      </x:c>
      <x:c r="P3127" s="23" t="str">
        <x:v>QUEIMADOS</x:v>
      </x:c>
      <x:c r="Q3127" s="30" t="n">
        <x:v>34472</x:v>
      </x:c>
      <x:c r="R3127" s="22" t="str">
        <x:f>"242624724"</x:f>
        <x:v>242624724</x:v>
      </x:c>
      <x:c r="S3127" s="23" t="str">
        <x:v>masculino</x:v>
      </x:c>
      <x:c r="T3127" s="22" t="str">
        <x:f>"KNL8G91"</x:f>
        <x:v>KNL8G91</x:v>
      </x:c>
      <x:c r="U3127" s="23" t="str">
        <x:v>JEANE LARISSA BATISTA FONSECA</x:v>
      </x:c>
      <x:c r="V3127" s="22" t="str">
        <x:f>"175.191.467-40"</x:f>
        <x:v>175.191.467-40</x:v>
      </x:c>
      <x:c r="W3127" s="22" t="str">
        <x:f>"17519146740"</x:f>
        <x:v>17519146740</x:v>
      </x:c>
      <x:c r="X3127" s="23" t="str">
        <x:v>lannalara040618@gmail.com</x:v>
      </x:c>
      <x:c r="Y3127" s="22" t="str">
        <x:f>"99067-2682"</x:f>
        <x:v>99067-2682</x:v>
      </x:c>
      <x:c r="Z3127" s="30" t="n">
        <x:v>46364</x:v>
      </x:c>
    </x:row>
    <x:row r="3128" ht="18" customHeight="1">
      <x:c r="A3128" s="22" t="str">
        <x:f>"28924e13-5de7-4700-909e-baf2f193a687"</x:f>
        <x:v>28924e13-5de7-4700-909e-baf2f193a687</x:v>
      </x:c>
      <x:c r="B3128" s="23" t="str">
        <x:v>RAFAEL NOGUEIRA MARTINS</x:v>
      </x:c>
      <x:c r="C3128" s="23" t="str">
        <x:v>rafael nogueira martins</x:v>
      </x:c>
      <x:c r="D3128" s="22" t="str">
        <x:f>"67.082.860/0001-92"</x:f>
        <x:v>67.082.860/0001-92</x:v>
      </x:c>
      <x:c r="E3128" s="22" t="str">
        <x:f>"67082860000192"</x:f>
        <x:v>67082860000192</x:v>
      </x:c>
      <x:c r="F3128" s="22" t="str">
        <x:f>"700.566.962-21"</x:f>
        <x:v>700.566.962-21</x:v>
      </x:c>
      <x:c r="G3128" s="22" t="str">
        <x:f>"70056696221"</x:f>
        <x:v>70056696221</x:v>
      </x:c>
      <x:c r="H3128" s="23" t="str">
        <x:v>ragfaelnogueira228@gmail.com</x:v>
      </x:c>
      <x:c r="I3128" s="22" t="str">
        <x:f>"(33)99925-2304"</x:f>
        <x:v>(33)99925-2304</x:v>
      </x:c>
      <x:c r="J3128" s="23" t="str">
        <x:v>RENTAL</x:v>
      </x:c>
      <x:c r="K3128" s="23" t="str">
        <x:v>rental_company</x:v>
      </x:c>
      <x:c r="L3128" s="24" t="b">
        <x:v>1</x:v>
      </x:c>
      <x:c r="M3128" s="23" t="n">
        <x:v>1</x:v>
      </x:c>
      <x:c r="N3128" s="28" t="n">
        <x:v>46219.812988715275</x:v>
      </x:c>
      <x:c r="O3128" s="28" t="n">
        <x:v>46219.812988715275</x:v>
      </x:c>
      <x:c r="P3128" s="23" t="str">
        <x:v>TEOFILO OTONI</x:v>
      </x:c>
      <x:c r="Q3128" s="30" t="n">
        <x:v>35489</x:v>
      </x:c>
      <x:c r="R3128" s="22" t="str">
        <x:f>"70056696221"</x:f>
        <x:v>70056696221</x:v>
      </x:c>
      <x:c r="S3128" s="23" t="str">
        <x:v>masculino</x:v>
      </x:c>
      <x:c r="T3128" s="22" t="str"/>
      <x:c r="U3128" s="23" t="str">
        <x:v>RAFAEL NOGUEIRA MARTINS</x:v>
      </x:c>
      <x:c r="V3128" s="22" t="str">
        <x:f>"700.566.962-21"</x:f>
        <x:v>700.566.962-21</x:v>
      </x:c>
      <x:c r="W3128" s="22" t="str">
        <x:f>"70056696221"</x:f>
        <x:v>70056696221</x:v>
      </x:c>
      <x:c r="X3128" s="23" t="str">
        <x:v>ragfaelnogueira228@gmail.com</x:v>
      </x:c>
      <x:c r="Y3128" s="22" t="str">
        <x:f>"(33)99925-2304"</x:f>
        <x:v>(33)99925-2304</x:v>
      </x:c>
      <x:c r="Z3128" s="30" t="n">
        <x:v>46541</x:v>
      </x:c>
    </x:row>
    <x:row r="3129" ht="18" customHeight="1">
      <x:c r="A3129" s="22" t="str">
        <x:f>"849b8313-c994-4bd8-a90e-28c6c9557c67"</x:f>
        <x:v>849b8313-c994-4bd8-a90e-28c6c9557c67</x:v>
      </x:c>
      <x:c r="B3129" s="23" t="str">
        <x:v>RAFAEL OLIVEIRA DA SILVA</x:v>
      </x:c>
      <x:c r="C3129" s="23" t="str">
        <x:v>rafael oliveira da silva</x:v>
      </x:c>
      <x:c r="D3129" s="22" t="str">
        <x:f>"51.483.727/0001-08"</x:f>
        <x:v>51.483.727/0001-08</x:v>
      </x:c>
      <x:c r="E3129" s="22" t="str">
        <x:f>"51483727000108"</x:f>
        <x:v>51483727000108</x:v>
      </x:c>
      <x:c r="F3129" s="22" t="str">
        <x:f>"121.278.777-30"</x:f>
        <x:v>121.278.777-30</x:v>
      </x:c>
      <x:c r="G3129" s="22" t="str">
        <x:f>"12127877730"</x:f>
        <x:v>12127877730</x:v>
      </x:c>
      <x:c r="H3129" s="23" t="str">
        <x:v>rf8655@gmail.com</x:v>
      </x:c>
      <x:c r="I3129" s="22" t="str">
        <x:f>"21991580416"</x:f>
        <x:v>21991580416</x:v>
      </x:c>
      <x:c r="J3129" s="23" t="str">
        <x:v>SPOT</x:v>
      </x:c>
      <x:c r="K3129" s="23" t="str">
        <x:v>favored_only</x:v>
      </x:c>
      <x:c r="L3129" s="24" t="b">
        <x:v>1</x:v>
      </x:c>
      <x:c r="M3129" s="23" t="n">
        <x:v>1</x:v>
      </x:c>
      <x:c r="N3129" s="28" t="n">
        <x:v>46219.812988715275</x:v>
      </x:c>
      <x:c r="O3129" s="28" t="n">
        <x:v>46219.812988715275</x:v>
      </x:c>
      <x:c r="P3129" s="23" t="str">
        <x:v>CORDOVIL</x:v>
      </x:c>
      <x:c r="Q3129" s="30" t="n">
        <x:v>32627</x:v>
      </x:c>
      <x:c r="R3129" s="22" t="str">
        <x:f>"206322133"</x:f>
        <x:v>206322133</x:v>
      </x:c>
      <x:c r="S3129" s="23" t="str">
        <x:v>masculino</x:v>
      </x:c>
      <x:c r="T3129" s="22" t="str">
        <x:f>"PMI1F94"</x:f>
        <x:v>PMI1F94</x:v>
      </x:c>
      <x:c r="U3129" s="23" t="str">
        <x:v>LUIZ FERNANDO VINCLES DOS SANTOS</x:v>
      </x:c>
      <x:c r="V3129" s="22" t="str">
        <x:f>"162.082.277-63"</x:f>
        <x:v>162.082.277-63</x:v>
      </x:c>
      <x:c r="W3129" s="22" t="str">
        <x:f>"16208227763"</x:f>
        <x:v>16208227763</x:v>
      </x:c>
      <x:c r="X3129" s="23" t="str">
        <x:v>fernandovincles@gmail.com</x:v>
      </x:c>
      <x:c r="Y3129" s="22" t="str">
        <x:f>"21964605120"</x:f>
        <x:v>21964605120</x:v>
      </x:c>
      <x:c r="Z3129" s="30" t="n">
        <x:v>46427</x:v>
      </x:c>
    </x:row>
    <x:row r="3130" ht="18" customHeight="1">
      <x:c r="A3130" s="22" t="str">
        <x:f>"51a61822-46cb-4aaa-b0bf-dc0a144a1b94"</x:f>
        <x:v>51a61822-46cb-4aaa-b0bf-dc0a144a1b94</x:v>
      </x:c>
      <x:c r="B3130" s="23" t="str">
        <x:v>RAFAEL PEREIRA DIAS VERONEZES</x:v>
      </x:c>
      <x:c r="C3130" s="23" t="str">
        <x:v>rafael pereira dias veronezes</x:v>
      </x:c>
      <x:c r="D3130" s="22" t="str">
        <x:f>"51.952.357/0001-00"</x:f>
        <x:v>51.952.357/0001-00</x:v>
      </x:c>
      <x:c r="E3130" s="22" t="str">
        <x:f>"51952357000100"</x:f>
        <x:v>51952357000100</x:v>
      </x:c>
      <x:c r="F3130" s="22" t="str">
        <x:f>"105.118.097-00"</x:f>
        <x:v>105.118.097-00</x:v>
      </x:c>
      <x:c r="G3130" s="22" t="str">
        <x:f>"10511809700"</x:f>
        <x:v>10511809700</x:v>
      </x:c>
      <x:c r="H3130" s="23" t="str">
        <x:v>rafaeldiasmotorista10@gmail.com</x:v>
      </x:c>
      <x:c r="I3130" s="22" t="str">
        <x:f>"21988661838"</x:f>
        <x:v>21988661838</x:v>
      </x:c>
      <x:c r="J3130" s="23" t="str">
        <x:v>SPOT</x:v>
      </x:c>
      <x:c r="K3130" s="23" t="str">
        <x:v>favored_only</x:v>
      </x:c>
      <x:c r="L3130" s="24" t="b">
        <x:v>1</x:v>
      </x:c>
      <x:c r="M3130" s="23" t="n">
        <x:v>1</x:v>
      </x:c>
      <x:c r="N3130" s="28" t="n">
        <x:v>46205.60537295139</x:v>
      </x:c>
      <x:c r="O3130" s="28" t="n">
        <x:v>46219.812988715275</x:v>
      </x:c>
      <x:c r="P3130" s="23" t="str">
        <x:v>CORDOVIL</x:v>
      </x:c>
      <x:c r="Q3130" s="30" t="n">
        <x:v>31172</x:v>
      </x:c>
      <x:c r="R3130" s="22" t="str">
        <x:f>"205022429"</x:f>
        <x:v>205022429</x:v>
      </x:c>
      <x:c r="S3130" s="23" t="str">
        <x:v>masculino</x:v>
      </x:c>
      <x:c r="T3130" s="22" t="str">
        <x:f>"SJG3H12"</x:f>
        <x:v>SJG3H12</x:v>
      </x:c>
      <x:c r="U3130" s="23" t="str">
        <x:v>MARIA RITA DE OLIVEIRA MENDES</x:v>
      </x:c>
      <x:c r="V3130" s="22" t="str">
        <x:f>"228.972.337-10"</x:f>
        <x:v>228.972.337-10</x:v>
      </x:c>
      <x:c r="W3130" s="22" t="str">
        <x:f>"22897233710"</x:f>
        <x:v>22897233710</x:v>
      </x:c>
      <x:c r="X3130" s="23" t="str">
        <x:v>rafaeldiasmotorista10@gmail.com</x:v>
      </x:c>
      <x:c r="Y3130" s="22" t="str">
        <x:f>"21986903103"</x:f>
        <x:v>21986903103</x:v>
      </x:c>
      <x:c r="Z3130" s="30" t="n">
        <x:v>46322</x:v>
      </x:c>
    </x:row>
    <x:row r="3131" ht="18" customHeight="1">
      <x:c r="A3131" s="22" t="str">
        <x:f>"1b94fa8e-821b-4e4d-a188-812fe32eac37"</x:f>
        <x:v>1b94fa8e-821b-4e4d-a188-812fe32eac37</x:v>
      </x:c>
      <x:c r="B3131" s="23" t="str">
        <x:v>RAFAEL PEREIRA LEAL DA FONSECA</x:v>
      </x:c>
      <x:c r="C3131" s="23" t="str">
        <x:v>rafael pereira leal da fonseca</x:v>
      </x:c>
      <x:c r="D3131" s="22" t="str">
        <x:f>"52.260.854/0001-00"</x:f>
        <x:v>52.260.854/0001-00</x:v>
      </x:c>
      <x:c r="E3131" s="22" t="str">
        <x:f>"52260854000100"</x:f>
        <x:v>52260854000100</x:v>
      </x:c>
      <x:c r="F3131" s="22" t="str">
        <x:f>"336.360.348-71"</x:f>
        <x:v>336.360.348-71</x:v>
      </x:c>
      <x:c r="G3131" s="22" t="str">
        <x:f>"33636034871"</x:f>
        <x:v>33636034871</x:v>
      </x:c>
      <x:c r="H3131" s="23" t="str">
        <x:v>rafaelfonseca11111@gmail.com</x:v>
      </x:c>
      <x:c r="I3131" s="22" t="str">
        <x:f>"14 99873-9101"</x:f>
        <x:v>14 99873-9101</x:v>
      </x:c>
      <x:c r="J3131" s="23" t="str">
        <x:v>RENTAL</x:v>
      </x:c>
      <x:c r="K3131" s="23" t="str">
        <x:v>rental_company</x:v>
      </x:c>
      <x:c r="L3131" s="24" t="b">
        <x:v>1</x:v>
      </x:c>
      <x:c r="M3131" s="23" t="n">
        <x:v>2</x:v>
      </x:c>
      <x:c r="N3131" s="28" t="n">
        <x:v>46219.812988715275</x:v>
      </x:c>
      <x:c r="O3131" s="28" t="n">
        <x:v>46219.812988715275</x:v>
      </x:c>
      <x:c r="P3131" s="23" t="str">
        <x:v>MARILIA</x:v>
      </x:c>
      <x:c r="Q3131" s="30" t="n">
        <x:v>36910</x:v>
      </x:c>
      <x:c r="R3131" s="22" t="str">
        <x:f>"373617975"</x:f>
        <x:v>373617975</x:v>
      </x:c>
      <x:c r="S3131" s="23" t="str">
        <x:v>masculino</x:v>
      </x:c>
      <x:c r="T3131" s="22" t="str"/>
      <x:c r="U3131" s="23" t="str">
        <x:v>RAFAEL PEREIRA LEAL DA FONSECA</x:v>
      </x:c>
      <x:c r="V3131" s="22" t="str">
        <x:f>"336.360.348-71"</x:f>
        <x:v>336.360.348-71</x:v>
      </x:c>
      <x:c r="W3131" s="22" t="str">
        <x:f>"33636034871"</x:f>
        <x:v>33636034871</x:v>
      </x:c>
      <x:c r="X3131" s="23" t="str">
        <x:v>rafaelfonseca11111@gmail.com</x:v>
      </x:c>
      <x:c r="Y3131" s="22" t="str">
        <x:f>"14 99873-9101"</x:f>
        <x:v>14 99873-9101</x:v>
      </x:c>
      <x:c r="Z3131" s="30" t="n">
        <x:v>46519</x:v>
      </x:c>
    </x:row>
    <x:row r="3132" ht="18" customHeight="1">
      <x:c r="A3132" s="22" t="str">
        <x:f>"70d67e92-30fb-4d99-ae63-e6fe27f0e225"</x:f>
        <x:v>70d67e92-30fb-4d99-ae63-e6fe27f0e225</x:v>
      </x:c>
      <x:c r="B3132" s="23" t="str">
        <x:v>RAFAEL QUEIROZ DA SILVA</x:v>
      </x:c>
      <x:c r="C3132" s="23" t="str">
        <x:v>rafael queiroz da silva</x:v>
      </x:c>
      <x:c r="D3132" s="22" t="str">
        <x:f>"63.887.975/0001-01"</x:f>
        <x:v>63.887.975/0001-01</x:v>
      </x:c>
      <x:c r="E3132" s="22" t="str">
        <x:f>"63887975000101"</x:f>
        <x:v>63887975000101</x:v>
      </x:c>
      <x:c r="F3132" s="22" t="str">
        <x:f>"415.553.838-58"</x:f>
        <x:v>415.553.838-58</x:v>
      </x:c>
      <x:c r="G3132" s="22" t="str">
        <x:f>"41555383858"</x:f>
        <x:v>41555383858</x:v>
      </x:c>
      <x:c r="H3132" s="23" t="str">
        <x:v>queiroztransportespp@gmail.com</x:v>
      </x:c>
      <x:c r="I3132" s="22" t="str">
        <x:f>"18996008359"</x:f>
        <x:v>18996008359</x:v>
      </x:c>
      <x:c r="J3132" s="23" t="str">
        <x:v>RENTAL</x:v>
      </x:c>
      <x:c r="K3132" s="23" t="str">
        <x:v>rental_company</x:v>
      </x:c>
      <x:c r="L3132" s="24" t="b">
        <x:v>1</x:v>
      </x:c>
      <x:c r="M3132" s="23" t="n">
        <x:v>1</x:v>
      </x:c>
      <x:c r="N3132" s="28" t="n">
        <x:v>46203.92189965278</x:v>
      </x:c>
      <x:c r="O3132" s="28" t="n">
        <x:v>46219.812988715275</x:v>
      </x:c>
      <x:c r="P3132" s="23" t="str">
        <x:v>PRESIDENTE PRUDENTE</x:v>
      </x:c>
      <x:c r="Q3132" s="30" t="n">
        <x:v>33530</x:v>
      </x:c>
      <x:c r="R3132" s="22" t="str">
        <x:f>"2127585"</x:f>
        <x:v>2127585</x:v>
      </x:c>
      <x:c r="S3132" s="23" t="str">
        <x:v>masculino</x:v>
      </x:c>
      <x:c r="T3132" s="22" t="str"/>
      <x:c r="U3132" s="23" t="str">
        <x:v>RAFAEL QUEIROZ DA SILVA</x:v>
      </x:c>
      <x:c r="V3132" s="22" t="str">
        <x:f>"415.553.838-58"</x:f>
        <x:v>415.553.838-58</x:v>
      </x:c>
      <x:c r="W3132" s="22" t="str">
        <x:f>"41555383858"</x:f>
        <x:v>41555383858</x:v>
      </x:c>
      <x:c r="X3132" s="23" t="str">
        <x:v>queiroztransportespp@gmail.com</x:v>
      </x:c>
      <x:c r="Y3132" s="22" t="str">
        <x:f>"18996008359"</x:f>
        <x:v>18996008359</x:v>
      </x:c>
      <x:c r="Z3132" s="30" t="n">
        <x:v>46358</x:v>
      </x:c>
    </x:row>
    <x:row r="3133" ht="18" customHeight="1">
      <x:c r="A3133" s="22" t="str">
        <x:f>"1fb913e0-6584-48cd-b29a-32b60ef132a5"</x:f>
        <x:v>1fb913e0-6584-48cd-b29a-32b60ef132a5</x:v>
      </x:c>
      <x:c r="B3133" s="23" t="str">
        <x:v>RAFAEL RODRIGUES BARBOSA</x:v>
      </x:c>
      <x:c r="C3133" s="23" t="str">
        <x:v>rafael rodrigues barbosa</x:v>
      </x:c>
      <x:c r="D3133" s="22" t="str">
        <x:f>"60.774.851/0001-13"</x:f>
        <x:v>60.774.851/0001-13</x:v>
      </x:c>
      <x:c r="E3133" s="22" t="str">
        <x:f>"60774851000113"</x:f>
        <x:v>60774851000113</x:v>
      </x:c>
      <x:c r="F3133" s="22" t="str">
        <x:f>"734.377.511-15"</x:f>
        <x:v>734.377.511-15</x:v>
      </x:c>
      <x:c r="G3133" s="22" t="str">
        <x:f>"73437751115"</x:f>
        <x:v>73437751115</x:v>
      </x:c>
      <x:c r="H3133" s="23" t="str">
        <x:v>rafaelrodriguesbarbosa38@gmail.com</x:v>
      </x:c>
      <x:c r="I3133" s="22" t="str">
        <x:f>"65 99216-0470"</x:f>
        <x:v>65 99216-0470</x:v>
      </x:c>
      <x:c r="J3133" s="23" t="str">
        <x:v>SPOT</x:v>
      </x:c>
      <x:c r="K3133" s="23" t="str">
        <x:v>favored_only</x:v>
      </x:c>
      <x:c r="L3133" s="24" t="b">
        <x:v>1</x:v>
      </x:c>
      <x:c r="M3133" s="23" t="n">
        <x:v>1</x:v>
      </x:c>
      <x:c r="N3133" s="28" t="n">
        <x:v>46219.812988715275</x:v>
      </x:c>
      <x:c r="O3133" s="28" t="n">
        <x:v>46219.812988715275</x:v>
      </x:c>
      <x:c r="P3133" s="23" t="str">
        <x:v>CUIABA</x:v>
      </x:c>
      <x:c r="Q3133" s="30" t="n">
        <x:v>31859</x:v>
      </x:c>
      <x:c r="R3133" s="22" t="str">
        <x:f>"16819462"</x:f>
        <x:v>16819462</x:v>
      </x:c>
      <x:c r="S3133" s="23" t="str">
        <x:v>masculino</x:v>
      </x:c>
      <x:c r="T3133" s="22" t="str">
        <x:f>"PXA1E18"</x:f>
        <x:v>PXA1E18</x:v>
      </x:c>
      <x:c r="U3133" s="23" t="str">
        <x:v>FAGNER JOSE DA SILVA FERREIRA</x:v>
      </x:c>
      <x:c r="V3133" s="22" t="str">
        <x:f>"731.040.271-53"</x:f>
        <x:v>731.040.271-53</x:v>
      </x:c>
      <x:c r="W3133" s="22" t="str">
        <x:f>"73104027153"</x:f>
        <x:v>73104027153</x:v>
      </x:c>
      <x:c r="X3133" s="23" t="str">
        <x:v>fagnerjose@gmail.com</x:v>
      </x:c>
      <x:c r="Y3133" s="22" t="str">
        <x:f>"65 99695-2828"</x:f>
        <x:v>65 99695-2828</x:v>
      </x:c>
      <x:c r="Z3133" s="30" t="n">
        <x:v>46491</x:v>
      </x:c>
    </x:row>
    <x:row r="3134" ht="18" customHeight="1">
      <x:c r="A3134" s="22" t="str">
        <x:f>"1717430a-99e8-4e69-a8af-d5331ac24756"</x:f>
        <x:v>1717430a-99e8-4e69-a8af-d5331ac24756</x:v>
      </x:c>
      <x:c r="B3134" s="23" t="str">
        <x:v>RAFAEL RODRIGUES DOS SANTOS</x:v>
      </x:c>
      <x:c r="C3134" s="23" t="str">
        <x:v>rafael rodrigues dos santos</x:v>
      </x:c>
      <x:c r="D3134" s="22" t="str">
        <x:f>"45.682.216/0001-12"</x:f>
        <x:v>45.682.216/0001-12</x:v>
      </x:c>
      <x:c r="E3134" s="22" t="str">
        <x:f>"45682216000112"</x:f>
        <x:v>45682216000112</x:v>
      </x:c>
      <x:c r="F3134" s="22" t="str">
        <x:f>"150.140.546-25"</x:f>
        <x:v>150.140.546-25</x:v>
      </x:c>
      <x:c r="G3134" s="22" t="str">
        <x:f>"15014054625"</x:f>
        <x:v>15014054625</x:v>
      </x:c>
      <x:c r="H3134" s="23" t="str">
        <x:v>rafaasantostj@gmail.com</x:v>
      </x:c>
      <x:c r="I3134" s="22" t="str">
        <x:f>"(12) 99723-267"</x:f>
        <x:v>(12) 99723-267</x:v>
      </x:c>
      <x:c r="J3134" s="23" t="str">
        <x:v>RENTAL</x:v>
      </x:c>
      <x:c r="K3134" s="23" t="str">
        <x:v>rental_company</x:v>
      </x:c>
      <x:c r="L3134" s="24" t="b">
        <x:v>1</x:v>
      </x:c>
      <x:c r="M3134" s="23" t="n">
        <x:v>1</x:v>
      </x:c>
      <x:c r="N3134" s="28" t="n">
        <x:v>46219.812988715275</x:v>
      </x:c>
      <x:c r="O3134" s="28" t="n">
        <x:v>46219.812988715275</x:v>
      </x:c>
      <x:c r="P3134" s="23" t="str">
        <x:v>POUSO ALEGRE</x:v>
      </x:c>
      <x:c r="Q3134" s="30" t="n">
        <x:v>35809</x:v>
      </x:c>
      <x:c r="R3134" s="22" t="str">
        <x:f>"MG20982898"</x:f>
        <x:v>MG20982898</x:v>
      </x:c>
      <x:c r="S3134" s="23" t="str">
        <x:v>masculino</x:v>
      </x:c>
      <x:c r="T3134" s="22" t="str"/>
      <x:c r="U3134" s="23" t="str">
        <x:v>RAFAEL RODRIGUES DOS SANTOS</x:v>
      </x:c>
      <x:c r="V3134" s="22" t="str">
        <x:f>"150.140.546-25"</x:f>
        <x:v>150.140.546-25</x:v>
      </x:c>
      <x:c r="W3134" s="22" t="str">
        <x:f>"15014054625"</x:f>
        <x:v>15014054625</x:v>
      </x:c>
      <x:c r="X3134" s="23" t="str">
        <x:v>rafaasantostj@gmail.com</x:v>
      </x:c>
      <x:c r="Y3134" s="22" t="str">
        <x:f>"(12) 99723-2645"</x:f>
        <x:v>(12) 99723-2645</x:v>
      </x:c>
      <x:c r="Z3134" s="30" t="n">
        <x:v>46553</x:v>
      </x:c>
    </x:row>
    <x:row r="3135" ht="18" customHeight="1">
      <x:c r="A3135" s="22" t="str">
        <x:f>"906d974b-02d3-4fc8-a2e4-dc51c3354f3b"</x:f>
        <x:v>906d974b-02d3-4fc8-a2e4-dc51c3354f3b</x:v>
      </x:c>
      <x:c r="B3135" s="23" t="str">
        <x:v>RAFAEL RODRIGUES FERREIRA</x:v>
      </x:c>
      <x:c r="C3135" s="23" t="str">
        <x:v>rafael rodrigues ferreira</x:v>
      </x:c>
      <x:c r="D3135" s="22" t="str">
        <x:f>"53.035.993/0001-01"</x:f>
        <x:v>53.035.993/0001-01</x:v>
      </x:c>
      <x:c r="E3135" s="22" t="str">
        <x:f>"53035993000101"</x:f>
        <x:v>53035993000101</x:v>
      </x:c>
      <x:c r="F3135" s="22" t="str">
        <x:f>"033.460.871-66"</x:f>
        <x:v>033.460.871-66</x:v>
      </x:c>
      <x:c r="G3135" s="22" t="str">
        <x:f>"03346087166"</x:f>
        <x:v>03346087166</x:v>
      </x:c>
      <x:c r="H3135" s="23" t="str">
        <x:v>rafaelgds92@gmail.com</x:v>
      </x:c>
      <x:c r="I3135" s="22" t="str">
        <x:f>"62986183583"</x:f>
        <x:v>62986183583</x:v>
      </x:c>
      <x:c r="J3135" s="23" t="str">
        <x:v>SPOT</x:v>
      </x:c>
      <x:c r="K3135" s="23" t="str">
        <x:v>favored_only</x:v>
      </x:c>
      <x:c r="L3135" s="24" t="b">
        <x:v>1</x:v>
      </x:c>
      <x:c r="M3135" s="23" t="n">
        <x:v>1</x:v>
      </x:c>
      <x:c r="N3135" s="28" t="n">
        <x:v>46203.9218771875</x:v>
      </x:c>
      <x:c r="O3135" s="28" t="n">
        <x:v>46219.812988715275</x:v>
      </x:c>
      <x:c r="P3135" s="23" t="str">
        <x:v>MINAÇU</x:v>
      </x:c>
      <x:c r="Q3135" s="30" t="n">
        <x:v>33932</x:v>
      </x:c>
      <x:c r="R3135" s="22" t="str">
        <x:f>"5823798"</x:f>
        <x:v>5823798</x:v>
      </x:c>
      <x:c r="S3135" s="23" t="str">
        <x:v>masculino</x:v>
      </x:c>
      <x:c r="T3135" s="22" t="str">
        <x:f>"OVQ8910"</x:f>
        <x:v>OVQ8910</x:v>
      </x:c>
      <x:c r="U3135" s="23" t="str">
        <x:v>RAFAEL FERREIRA RODRIGUES</x:v>
      </x:c>
      <x:c r="V3135" s="22" t="str">
        <x:f>"033.460.871-66"</x:f>
        <x:v>033.460.871-66</x:v>
      </x:c>
      <x:c r="W3135" s="22" t="str">
        <x:f>"03346087166"</x:f>
        <x:v>03346087166</x:v>
      </x:c>
      <x:c r="X3135" s="23" t="str">
        <x:v>rafaelgds92@gmail.com</x:v>
      </x:c>
      <x:c r="Y3135" s="22" t="str">
        <x:f>"62986183583"</x:f>
        <x:v>62986183583</x:v>
      </x:c>
      <x:c r="Z3135" s="30" t="n">
        <x:v>46522</x:v>
      </x:c>
    </x:row>
    <x:row r="3136" ht="18" customHeight="1">
      <x:c r="A3136" s="22" t="str">
        <x:f>"20b354e4-699c-4458-9f4c-612cf58d93ad"</x:f>
        <x:v>20b354e4-699c-4458-9f4c-612cf58d93ad</x:v>
      </x:c>
      <x:c r="B3136" s="23" t="str">
        <x:v>RAFAEL SANTOS MADEIRA</x:v>
      </x:c>
      <x:c r="C3136" s="23" t="str">
        <x:v>rafael santos madeira</x:v>
      </x:c>
      <x:c r="D3136" s="22" t="str">
        <x:f>"56.165.547/0001-00"</x:f>
        <x:v>56.165.547/0001-00</x:v>
      </x:c>
      <x:c r="E3136" s="22" t="str">
        <x:f>"56165547000100"</x:f>
        <x:v>56165547000100</x:v>
      </x:c>
      <x:c r="F3136" s="22" t="str">
        <x:f>"135.834.997-51"</x:f>
        <x:v>135.834.997-51</x:v>
      </x:c>
      <x:c r="G3136" s="22" t="str">
        <x:f>"13583499751"</x:f>
        <x:v>13583499751</x:v>
      </x:c>
      <x:c r="H3136" s="23" t="str">
        <x:v>rafaelmadeiraadm@outlook.com</x:v>
      </x:c>
      <x:c r="I3136" s="22" t="str">
        <x:f>"21980743821"</x:f>
        <x:v>21980743821</x:v>
      </x:c>
      <x:c r="J3136" s="23" t="str">
        <x:v>SPOT</x:v>
      </x:c>
      <x:c r="K3136" s="23" t="str">
        <x:v>favored_only</x:v>
      </x:c>
      <x:c r="L3136" s="24" t="b">
        <x:v>1</x:v>
      </x:c>
      <x:c r="M3136" s="23" t="n">
        <x:v>1</x:v>
      </x:c>
      <x:c r="N3136" s="28" t="n">
        <x:v>46219.812988715275</x:v>
      </x:c>
      <x:c r="O3136" s="28" t="n">
        <x:v>46219.812988715275</x:v>
      </x:c>
      <x:c r="P3136" s="23" t="str">
        <x:v>QUEIMADOS</x:v>
      </x:c>
      <x:c r="Q3136" s="30" t="n">
        <x:v>32871</x:v>
      </x:c>
      <x:c r="R3136" s="22" t="str">
        <x:f>"25.672.314-9"</x:f>
        <x:v>25.672.314-9</x:v>
      </x:c>
      <x:c r="S3136" s="23" t="str">
        <x:v>masculino</x:v>
      </x:c>
      <x:c r="T3136" s="22" t="str">
        <x:f>"TKQ5G57"</x:f>
        <x:v>TKQ5G57</x:v>
      </x:c>
      <x:c r="U3136" s="23" t="str">
        <x:v>RAFAEL SANTOS MADEIRA</x:v>
      </x:c>
      <x:c r="V3136" s="22" t="str">
        <x:f>"135.834.997-51"</x:f>
        <x:v>135.834.997-51</x:v>
      </x:c>
      <x:c r="W3136" s="22" t="str">
        <x:f>"13583499751"</x:f>
        <x:v>13583499751</x:v>
      </x:c>
      <x:c r="X3136" s="23" t="str">
        <x:v>rafaelmadeiraadm@outlook.com</x:v>
      </x:c>
      <x:c r="Y3136" s="22" t="str">
        <x:f>"21980743821"</x:f>
        <x:v>21980743821</x:v>
      </x:c>
      <x:c r="Z3136" s="30" t="n">
        <x:v>46554</x:v>
      </x:c>
    </x:row>
    <x:row r="3137" ht="18" customHeight="1">
      <x:c r="A3137" s="22" t="str">
        <x:f>"e6cf71ff-54bf-4561-886d-a385535a0d12"</x:f>
        <x:v>e6cf71ff-54bf-4561-886d-a385535a0d12</x:v>
      </x:c>
      <x:c r="B3137" s="23" t="str">
        <x:v>RAFAEL SERRAVALLE CORREA</x:v>
      </x:c>
      <x:c r="C3137" s="23" t="str">
        <x:v>rafael serravalle correa</x:v>
      </x:c>
      <x:c r="D3137" s="22" t="str">
        <x:f>"57.159.110/0001-18"</x:f>
        <x:v>57.159.110/0001-18</x:v>
      </x:c>
      <x:c r="E3137" s="22" t="str">
        <x:f>"57159110000118"</x:f>
        <x:v>57159110000118</x:v>
      </x:c>
      <x:c r="F3137" s="22" t="str">
        <x:f>"086.182.787-26"</x:f>
        <x:v>086.182.787-26</x:v>
      </x:c>
      <x:c r="G3137" s="22" t="str">
        <x:f>"08618278726"</x:f>
        <x:v>08618278726</x:v>
      </x:c>
      <x:c r="H3137" s="23" t="str">
        <x:v>rafaelserravalle@gmail.com</x:v>
      </x:c>
      <x:c r="I3137" s="22" t="str">
        <x:f>"21967558878"</x:f>
        <x:v>21967558878</x:v>
      </x:c>
      <x:c r="J3137" s="23" t="str">
        <x:v>SPOT</x:v>
      </x:c>
      <x:c r="K3137" s="23" t="str">
        <x:v>favored_only</x:v>
      </x:c>
      <x:c r="L3137" s="24" t="b">
        <x:v>1</x:v>
      </x:c>
      <x:c r="M3137" s="23" t="n">
        <x:v>3</x:v>
      </x:c>
      <x:c r="N3137" s="28" t="n">
        <x:v>46203.92189349537</x:v>
      </x:c>
      <x:c r="O3137" s="28" t="n">
        <x:v>46219.812988715275</x:v>
      </x:c>
      <x:c r="P3137" s="23" t="str">
        <x:v>CAMPO GRANDE</x:v>
      </x:c>
      <x:c r="Q3137" s="30" t="n">
        <x:v>29656</x:v>
      </x:c>
      <x:c r="R3137" s="22" t="str">
        <x:f>"126250216"</x:f>
        <x:v>126250216</x:v>
      </x:c>
      <x:c r="S3137" s="23" t="str">
        <x:v>masculino</x:v>
      </x:c>
      <x:c r="T3137" s="22" t="str">
        <x:f>"FUK9H09"</x:f>
        <x:v>FUK9H09</x:v>
      </x:c>
      <x:c r="U3137" s="23" t="str">
        <x:v>RAPHAELLA DUFFES DA COSTA SERRAVALE CORREA</x:v>
      </x:c>
      <x:c r="V3137" s="22" t="str">
        <x:f>"155.243.927-51"</x:f>
        <x:v>155.243.927-51</x:v>
      </x:c>
      <x:c r="W3137" s="22" t="str">
        <x:f>"15524392751"</x:f>
        <x:v>15524392751</x:v>
      </x:c>
      <x:c r="X3137" s="23" t="str">
        <x:v>rafaelserravalle@gmail.com</x:v>
      </x:c>
      <x:c r="Y3137" s="22" t="str">
        <x:f>"21967558878"</x:f>
        <x:v>21967558878</x:v>
      </x:c>
      <x:c r="Z3137" s="30" t="n">
        <x:v>46556</x:v>
      </x:c>
    </x:row>
    <x:row r="3138" ht="18" customHeight="1">
      <x:c r="A3138" s="22" t="str">
        <x:f>"d450a07f-e20c-470c-9792-6792a392d510"</x:f>
        <x:v>d450a07f-e20c-470c-9792-6792a392d510</x:v>
      </x:c>
      <x:c r="B3138" s="23" t="str">
        <x:v>RAFAEL VIEGAS DE LUCENA WELLER</x:v>
      </x:c>
      <x:c r="C3138" s="23" t="str">
        <x:v>rafael viegas de lucena weller</x:v>
      </x:c>
      <x:c r="D3138" s="22" t="str">
        <x:f>"60.110.011/0001-56"</x:f>
        <x:v>60.110.011/0001-56</x:v>
      </x:c>
      <x:c r="E3138" s="22" t="str">
        <x:f>"60110011000156"</x:f>
        <x:v>60110011000156</x:v>
      </x:c>
      <x:c r="F3138" s="22" t="str">
        <x:f>"409.210.388-36"</x:f>
        <x:v>409.210.388-36</x:v>
      </x:c>
      <x:c r="G3138" s="22" t="str">
        <x:f>"40921038836"</x:f>
        <x:v>40921038836</x:v>
      </x:c>
      <x:c r="H3138" s="23" t="str">
        <x:v>Rafaelviegas7320@gmail.com</x:v>
      </x:c>
      <x:c r="I3138" s="22" t="str">
        <x:f>"(18)99805-2884"</x:f>
        <x:v>(18)99805-2884</x:v>
      </x:c>
      <x:c r="J3138" s="23" t="str">
        <x:v>SPOT</x:v>
      </x:c>
      <x:c r="K3138" s="23" t="str">
        <x:v>favored_only</x:v>
      </x:c>
      <x:c r="L3138" s="24" t="b">
        <x:v>1</x:v>
      </x:c>
      <x:c r="M3138" s="23" t="n">
        <x:v>1</x:v>
      </x:c>
      <x:c r="N3138" s="28" t="n">
        <x:v>46219.812988715275</x:v>
      </x:c>
      <x:c r="O3138" s="28" t="n">
        <x:v>46219.812988715275</x:v>
      </x:c>
      <x:c r="P3138" s="23" t="str">
        <x:v>PRESIDENTE PRUDENTE</x:v>
      </x:c>
      <x:c r="Q3138" s="30" t="n">
        <x:v>33324</x:v>
      </x:c>
      <x:c r="R3138" s="22" t="str">
        <x:f>"39.404.126-4"</x:f>
        <x:v>39.404.126-4</x:v>
      </x:c>
      <x:c r="S3138" s="23" t="str">
        <x:v>masculino</x:v>
      </x:c>
      <x:c r="T3138" s="22" t="str">
        <x:f>"Fbj6d37"</x:f>
        <x:v>Fbj6d37</x:v>
      </x:c>
      <x:c r="U3138" s="23" t="str">
        <x:v>RAFAEL VIEGAS DE LUCENA WELLER</x:v>
      </x:c>
      <x:c r="V3138" s="22" t="str">
        <x:f>"409.210.388-36"</x:f>
        <x:v>409.210.388-36</x:v>
      </x:c>
      <x:c r="W3138" s="22" t="str">
        <x:f>"40921038836"</x:f>
        <x:v>40921038836</x:v>
      </x:c>
      <x:c r="X3138" s="23" t="str">
        <x:v>Rafaelviegas7320@gmail.com</x:v>
      </x:c>
      <x:c r="Y3138" s="22" t="str">
        <x:f>"(18)99805-2884"</x:f>
        <x:v>(18)99805-2884</x:v>
      </x:c>
      <x:c r="Z3138" s="30" t="n">
        <x:v>46540</x:v>
      </x:c>
    </x:row>
    <x:row r="3139" ht="18" customHeight="1">
      <x:c r="A3139" s="22" t="str">
        <x:f>"30a54c54-23ea-4ed8-aaac-d2d6dd44ba31"</x:f>
        <x:v>30a54c54-23ea-4ed8-aaac-d2d6dd44ba31</x:v>
      </x:c>
      <x:c r="B3139" s="23" t="str">
        <x:v>RAFAEL VIEIRA NUNES</x:v>
      </x:c>
      <x:c r="C3139" s="23" t="str">
        <x:v>rafael vieira nunes</x:v>
      </x:c>
      <x:c r="D3139" s="22" t="str">
        <x:f>"51.000.571/0001-67"</x:f>
        <x:v>51.000.571/0001-67</x:v>
      </x:c>
      <x:c r="E3139" s="22" t="str">
        <x:f>"51000571000167"</x:f>
        <x:v>51000571000167</x:v>
      </x:c>
      <x:c r="F3139" s="22" t="str">
        <x:f>"402.443.308-32"</x:f>
        <x:v>402.443.308-32</x:v>
      </x:c>
      <x:c r="G3139" s="22" t="str">
        <x:f>"40244330832"</x:f>
        <x:v>40244330832</x:v>
      </x:c>
      <x:c r="H3139" s="23" t="str">
        <x:v>Uber_rancharia@hotmail.com</x:v>
      </x:c>
      <x:c r="I3139" s="22" t="str">
        <x:f>"18 99198-4340"</x:f>
        <x:v>18 99198-4340</x:v>
      </x:c>
      <x:c r="J3139" s="23" t="str">
        <x:v>RENTAL</x:v>
      </x:c>
      <x:c r="K3139" s="23" t="str">
        <x:v>rental_company</x:v>
      </x:c>
      <x:c r="L3139" s="24" t="b">
        <x:v>1</x:v>
      </x:c>
      <x:c r="M3139" s="23" t="n">
        <x:v>1</x:v>
      </x:c>
      <x:c r="N3139" s="28" t="n">
        <x:v>46203.9219084375</x:v>
      </x:c>
      <x:c r="O3139" s="28" t="n">
        <x:v>46219.812988715275</x:v>
      </x:c>
      <x:c r="P3139" s="23" t="str">
        <x:v>PRESIDENTE PRUDENTE</x:v>
      </x:c>
      <x:c r="Q3139" s="30" t="n">
        <x:v>32959</x:v>
      </x:c>
      <x:c r="R3139" s="22" t="str">
        <x:f>"49481939X"</x:f>
        <x:v>49481939X</x:v>
      </x:c>
      <x:c r="S3139" s="23" t="str">
        <x:v>masculino</x:v>
      </x:c>
      <x:c r="T3139" s="22" t="str"/>
      <x:c r="U3139" s="23" t="str">
        <x:v>RAFAEL VIEIRA NUNES</x:v>
      </x:c>
      <x:c r="V3139" s="22" t="str">
        <x:f>"402.443.308-32"</x:f>
        <x:v>402.443.308-32</x:v>
      </x:c>
      <x:c r="W3139" s="22" t="str">
        <x:f>"40244330832"</x:f>
        <x:v>40244330832</x:v>
      </x:c>
      <x:c r="X3139" s="23" t="str">
        <x:v>Uber_rancharia@hotmail.com</x:v>
      </x:c>
      <x:c r="Y3139" s="22" t="str">
        <x:f>"18 99198-4340"</x:f>
        <x:v>18 99198-4340</x:v>
      </x:c>
      <x:c r="Z3139" s="30" t="n">
        <x:v>46385</x:v>
      </x:c>
    </x:row>
    <x:row r="3140" ht="18" customHeight="1">
      <x:c r="A3140" s="22" t="str">
        <x:f>"45057cdd-df6a-4805-8080-b0c6cc702a10"</x:f>
        <x:v>45057cdd-df6a-4805-8080-b0c6cc702a10</x:v>
      </x:c>
      <x:c r="B3140" s="23" t="str">
        <x:v>RAFHAEL DE SOUSA TEIXEIRA</x:v>
      </x:c>
      <x:c r="C3140" s="23" t="str">
        <x:v>rafhael de sousa teixeira</x:v>
      </x:c>
      <x:c r="D3140" s="22" t="str">
        <x:f>"62.391.835/0001-77"</x:f>
        <x:v>62.391.835/0001-77</x:v>
      </x:c>
      <x:c r="E3140" s="22" t="str">
        <x:f>"62391835000177"</x:f>
        <x:v>62391835000177</x:v>
      </x:c>
      <x:c r="F3140" s="22" t="str">
        <x:f>"101.330.146-30"</x:f>
        <x:v>101.330.146-30</x:v>
      </x:c>
      <x:c r="G3140" s="22" t="str">
        <x:f>"10133014630"</x:f>
        <x:v>10133014630</x:v>
      </x:c>
      <x:c r="H3140" s="23" t="str">
        <x:v>rafhaelsteixeira25@gmail.com</x:v>
      </x:c>
      <x:c r="I3140" s="22" t="str">
        <x:f>"3599767546"</x:f>
        <x:v>3599767546</x:v>
      </x:c>
      <x:c r="J3140" s="23" t="str">
        <x:v>RENTAL</x:v>
      </x:c>
      <x:c r="K3140" s="23" t="str">
        <x:v>rental_company</x:v>
      </x:c>
      <x:c r="L3140" s="24" t="b">
        <x:v>1</x:v>
      </x:c>
      <x:c r="M3140" s="23" t="n">
        <x:v>1</x:v>
      </x:c>
      <x:c r="N3140" s="28" t="n">
        <x:v>46203.92186462963</x:v>
      </x:c>
      <x:c r="O3140" s="28" t="n">
        <x:v>46219.812988715275</x:v>
      </x:c>
      <x:c r="P3140" s="23" t="str">
        <x:v>POUSO ALEGRE</x:v>
      </x:c>
      <x:c r="Q3140" s="30" t="n">
        <x:v>32661</x:v>
      </x:c>
      <x:c r="R3140" s="22" t="str">
        <x:f>"14547776"</x:f>
        <x:v>14547776</x:v>
      </x:c>
      <x:c r="S3140" s="23" t="str">
        <x:v>masculino</x:v>
      </x:c>
      <x:c r="T3140" s="22" t="str"/>
      <x:c r="U3140" s="23" t="str">
        <x:v>RAFHAEL DE SOUSA TEIXEIRA</x:v>
      </x:c>
      <x:c r="V3140" s="22" t="str">
        <x:f>"101.330.146-30"</x:f>
        <x:v>101.330.146-30</x:v>
      </x:c>
      <x:c r="W3140" s="22" t="str">
        <x:f>"10133014630"</x:f>
        <x:v>10133014630</x:v>
      </x:c>
      <x:c r="X3140" s="23" t="str">
        <x:v>rafhaelsteixeira25@gmail.com</x:v>
      </x:c>
      <x:c r="Y3140" s="22" t="str">
        <x:f>"3599767546"</x:f>
        <x:v>3599767546</x:v>
      </x:c>
      <x:c r="Z3140" s="30" t="n">
        <x:v>46285</x:v>
      </x:c>
    </x:row>
    <x:row r="3141" ht="18" customHeight="1">
      <x:c r="A3141" s="22" t="str">
        <x:f>"caa01930-4f84-4944-b4d0-b9b4ebfb90d8"</x:f>
        <x:v>caa01930-4f84-4944-b4d0-b9b4ebfb90d8</x:v>
      </x:c>
      <x:c r="B3141" s="23" t="str">
        <x:v>RAIMUNDO BRANDAO LEOPOLDINO FILHO</x:v>
      </x:c>
      <x:c r="C3141" s="23" t="str">
        <x:v>raimundo brandao leopoldino filho</x:v>
      </x:c>
      <x:c r="D3141" s="22" t="str">
        <x:f>"37.823.997/0001-90"</x:f>
        <x:v>37.823.997/0001-90</x:v>
      </x:c>
      <x:c r="E3141" s="22" t="str">
        <x:f>"37823997000190"</x:f>
        <x:v>37823997000190</x:v>
      </x:c>
      <x:c r="F3141" s="22" t="str">
        <x:f>"604.402.383-40"</x:f>
        <x:v>604.402.383-40</x:v>
      </x:c>
      <x:c r="G3141" s="22" t="str">
        <x:f>"60440238340"</x:f>
        <x:v>60440238340</x:v>
      </x:c>
      <x:c r="H3141" s="23" t="str">
        <x:v>brandaoleopoldino@gmail.com</x:v>
      </x:c>
      <x:c r="I3141" s="22" t="str">
        <x:f>"67999854937"</x:f>
        <x:v>67999854937</x:v>
      </x:c>
      <x:c r="J3141" s="23" t="str">
        <x:v>SPOT</x:v>
      </x:c>
      <x:c r="K3141" s="23" t="str">
        <x:v>favored_only</x:v>
      </x:c>
      <x:c r="L3141" s="24" t="b">
        <x:v>1</x:v>
      </x:c>
      <x:c r="M3141" s="23" t="n">
        <x:v>1</x:v>
      </x:c>
      <x:c r="N3141" s="28" t="n">
        <x:v>46219.812988715275</x:v>
      </x:c>
      <x:c r="O3141" s="28" t="n">
        <x:v>46219.812988715275</x:v>
      </x:c>
      <x:c r="P3141" s="23" t="str">
        <x:v>CHAPADÃO DO SUL</x:v>
      </x:c>
      <x:c r="Q3141" s="30" t="n">
        <x:v>34716</x:v>
      </x:c>
      <x:c r="R3141" s="22" t="str">
        <x:f>"378727720092"</x:f>
        <x:v>378727720092</x:v>
      </x:c>
      <x:c r="S3141" s="23" t="str">
        <x:v>masculino</x:v>
      </x:c>
      <x:c r="T3141" s="22" t="str">
        <x:f>"OAY2J21"</x:f>
        <x:v>OAY2J21</x:v>
      </x:c>
      <x:c r="U3141" s="23" t="str">
        <x:v>RODOPRIME TRANSPORTES E CARGAS LTDA</x:v>
      </x:c>
      <x:c r="V3141" s="22" t="str">
        <x:f>"038.768.901-01"</x:f>
        <x:v>038.768.901-01</x:v>
      </x:c>
      <x:c r="W3141" s="22" t="str">
        <x:f>"03876890101"</x:f>
        <x:v>03876890101</x:v>
      </x:c>
      <x:c r="X3141" s="23" t="str">
        <x:v>rtp.cargas@gmail.com</x:v>
      </x:c>
      <x:c r="Y3141" s="22" t="str">
        <x:f>"62991277279"</x:f>
        <x:v>62991277279</x:v>
      </x:c>
      <x:c r="Z3141" s="30" t="n">
        <x:v>46442</x:v>
      </x:c>
    </x:row>
    <x:row r="3142" ht="18" customHeight="1">
      <x:c r="A3142" s="22" t="str">
        <x:f>"6a1ae4d6-d6c2-4279-9dc1-bb5139bf9452"</x:f>
        <x:v>6a1ae4d6-d6c2-4279-9dc1-bb5139bf9452</x:v>
      </x:c>
      <x:c r="B3142" s="23" t="str">
        <x:v>RAIMUNDO FLAVIO COSTA GONCALVES</x:v>
      </x:c>
      <x:c r="C3142" s="23" t="str">
        <x:v>raimundo flavio costa goncalves</x:v>
      </x:c>
      <x:c r="D3142" s="22" t="str">
        <x:f>"63.496.959/0001-80"</x:f>
        <x:v>63.496.959/0001-80</x:v>
      </x:c>
      <x:c r="E3142" s="22" t="str">
        <x:f>"63496959000180"</x:f>
        <x:v>63496959000180</x:v>
      </x:c>
      <x:c r="F3142" s="22" t="str">
        <x:f>"042.483.231-33"</x:f>
        <x:v>042.483.231-33</x:v>
      </x:c>
      <x:c r="G3142" s="22" t="str">
        <x:f>"04248323133"</x:f>
        <x:v>04248323133</x:v>
      </x:c>
      <x:c r="H3142" s="23" t="str">
        <x:v>Flavio.transporte11@gmail.com</x:v>
      </x:c>
      <x:c r="I3142" s="22" t="str">
        <x:f>"(65)992724581"</x:f>
        <x:v>(65)992724581</x:v>
      </x:c>
      <x:c r="J3142" s="23" t="str">
        <x:v>SPOT</x:v>
      </x:c>
      <x:c r="K3142" s="23" t="str">
        <x:v>favored_only</x:v>
      </x:c>
      <x:c r="L3142" s="24" t="b">
        <x:v>1</x:v>
      </x:c>
      <x:c r="M3142" s="23" t="n">
        <x:v>1</x:v>
      </x:c>
      <x:c r="N3142" s="28" t="n">
        <x:v>46203.92189965278</x:v>
      </x:c>
      <x:c r="O3142" s="28" t="n">
        <x:v>46219.812988715275</x:v>
      </x:c>
      <x:c r="P3142" s="23" t="str">
        <x:v>CUIABA</x:v>
      </x:c>
      <x:c r="Q3142" s="30" t="n">
        <x:v>34300</x:v>
      </x:c>
      <x:c r="R3142" s="22" t="str">
        <x:f>"2138402-9"</x:f>
        <x:v>2138402-9</x:v>
      </x:c>
      <x:c r="S3142" s="23" t="str">
        <x:v>masculino</x:v>
      </x:c>
      <x:c r="T3142" s="22" t="str">
        <x:f>"QCY0E09"</x:f>
        <x:v>QCY0E09</x:v>
      </x:c>
      <x:c r="U3142" s="23" t="str">
        <x:v>RAIMUNDO FLAVIO COSTA GONCALVES</x:v>
      </x:c>
      <x:c r="V3142" s="22" t="str">
        <x:f>"042.483.231-33"</x:f>
        <x:v>042.483.231-33</x:v>
      </x:c>
      <x:c r="W3142" s="22" t="str">
        <x:f>"04248323133"</x:f>
        <x:v>04248323133</x:v>
      </x:c>
      <x:c r="X3142" s="23" t="str">
        <x:v>Flavio.transporte11@gmail.com</x:v>
      </x:c>
      <x:c r="Y3142" s="22" t="str">
        <x:f>"(65)992724581"</x:f>
        <x:v>(65)992724581</x:v>
      </x:c>
      <x:c r="Z3142" s="30" t="n">
        <x:v>46348</x:v>
      </x:c>
    </x:row>
    <x:row r="3143" ht="18" customHeight="1">
      <x:c r="A3143" s="22" t="str">
        <x:f>"b165a20f-4d8b-453b-b93f-e4a270c6068a"</x:f>
        <x:v>b165a20f-4d8b-453b-b93f-e4a270c6068a</x:v>
      </x:c>
      <x:c r="B3143" s="23" t="str">
        <x:v>RAIMUNDO NONATO BEZERRA DE SOUZA</x:v>
      </x:c>
      <x:c r="C3143" s="23" t="str">
        <x:v>raimundo nonato bezerra de souza</x:v>
      </x:c>
      <x:c r="D3143" s="22" t="str">
        <x:f>"55.530.936/0001-16"</x:f>
        <x:v>55.530.936/0001-16</x:v>
      </x:c>
      <x:c r="E3143" s="22" t="str">
        <x:f>"55530936000116"</x:f>
        <x:v>55530936000116</x:v>
      </x:c>
      <x:c r="F3143" s="22" t="str">
        <x:f>"034.709.713-82"</x:f>
        <x:v>034.709.713-82</x:v>
      </x:c>
      <x:c r="G3143" s="22" t="str">
        <x:f>"03470971382"</x:f>
        <x:v>03470971382</x:v>
      </x:c>
      <x:c r="H3143" s="23" t="str">
        <x:v>Souzanonatorepre@gmail.com</x:v>
      </x:c>
      <x:c r="I3143" s="22" t="str">
        <x:f>"67981760028"</x:f>
        <x:v>67981760028</x:v>
      </x:c>
      <x:c r="J3143" s="23" t="str">
        <x:v>RENTAL</x:v>
      </x:c>
      <x:c r="K3143" s="23" t="str">
        <x:v>rental_company</x:v>
      </x:c>
      <x:c r="L3143" s="24" t="b">
        <x:v>1</x:v>
      </x:c>
      <x:c r="M3143" s="23" t="n">
        <x:v>1</x:v>
      </x:c>
      <x:c r="N3143" s="28" t="n">
        <x:v>46203.9218771875</x:v>
      </x:c>
      <x:c r="O3143" s="28" t="n">
        <x:v>46219.812988715275</x:v>
      </x:c>
      <x:c r="P3143" s="23" t="str">
        <x:v>JALES</x:v>
      </x:c>
      <x:c r="Q3143" s="30" t="n">
        <x:v>31865</x:v>
      </x:c>
      <x:c r="R3143" s="22" t="str">
        <x:f>"2451355 SEJUSP"</x:f>
        <x:v>2451355 SEJUSP</x:v>
      </x:c>
      <x:c r="S3143" s="23" t="str">
        <x:v>masculino</x:v>
      </x:c>
      <x:c r="T3143" s="22" t="str"/>
      <x:c r="U3143" s="23" t="str">
        <x:v>RAIMUNDO NONATO BEZERRA DE SOUZA</x:v>
      </x:c>
      <x:c r="V3143" s="22" t="str">
        <x:f>"034.709.713-82"</x:f>
        <x:v>034.709.713-82</x:v>
      </x:c>
      <x:c r="W3143" s="22" t="str">
        <x:f>"03470971382"</x:f>
        <x:v>03470971382</x:v>
      </x:c>
      <x:c r="X3143" s="23" t="str">
        <x:v>Souzanonatorepre@gmail.com</x:v>
      </x:c>
      <x:c r="Y3143" s="22" t="str">
        <x:f>"67981760028"</x:f>
        <x:v>67981760028</x:v>
      </x:c>
      <x:c r="Z3143" s="30" t="n">
        <x:v>46315</x:v>
      </x:c>
    </x:row>
    <x:row r="3144" ht="18" customHeight="1">
      <x:c r="A3144" s="22" t="str">
        <x:f>"3d3c2121-3bfb-4b6e-8f4d-625c4f6b9f08"</x:f>
        <x:v>3d3c2121-3bfb-4b6e-8f4d-625c4f6b9f08</x:v>
      </x:c>
      <x:c r="B3144" s="23" t="str">
        <x:v>Raimundo Santos Oliveira</x:v>
      </x:c>
      <x:c r="C3144" s="23" t="str">
        <x:v>raimundo santos oliveira</x:v>
      </x:c>
      <x:c r="D3144" s="22" t="str">
        <x:f>"61.551.390/0001-82"</x:f>
        <x:v>61.551.390/0001-82</x:v>
      </x:c>
      <x:c r="E3144" s="22" t="str">
        <x:f>"61551390000182"</x:f>
        <x:v>61551390000182</x:v>
      </x:c>
      <x:c r="F3144" s="22" t="str">
        <x:f>"251.864.856.91"</x:f>
        <x:v>251.864.856.91</x:v>
      </x:c>
      <x:c r="G3144" s="22" t="str">
        <x:f>"25186485691"</x:f>
        <x:v>25186485691</x:v>
      </x:c>
      <x:c r="H3144" s="23" t="str">
        <x:v>marcelobarroso1999@outlook.com</x:v>
      </x:c>
      <x:c r="I3144" s="22" t="str">
        <x:f>"33988569338"</x:f>
        <x:v>33988569338</x:v>
      </x:c>
      <x:c r="J3144" s="23" t="str">
        <x:v>SPOT</x:v>
      </x:c>
      <x:c r="K3144" s="23" t="str">
        <x:v>favored_only</x:v>
      </x:c>
      <x:c r="L3144" s="24" t="b">
        <x:v>1</x:v>
      </x:c>
      <x:c r="M3144" s="23" t="n">
        <x:v>1</x:v>
      </x:c>
      <x:c r="N3144" s="28" t="n">
        <x:v>46203.92183332176</x:v>
      </x:c>
      <x:c r="O3144" s="28" t="n">
        <x:v>46203.92183332176</x:v>
      </x:c>
      <x:c r="P3144" s="23" t="str"/>
      <x:c r="Q3144" s="30" t="str"/>
      <x:c r="R3144" s="22" t="str"/>
      <x:c r="S3144" s="23" t="str"/>
      <x:c r="T3144" s="22" t="str"/>
      <x:c r="U3144" s="23" t="str">
        <x:v>Raimundo Santos Oliveira</x:v>
      </x:c>
      <x:c r="V3144" s="22" t="str">
        <x:f>"251.864.856.91"</x:f>
        <x:v>251.864.856.91</x:v>
      </x:c>
      <x:c r="W3144" s="22" t="str">
        <x:f>"25186485691"</x:f>
        <x:v>25186485691</x:v>
      </x:c>
      <x:c r="X3144" s="23" t="str">
        <x:v>marcelobarroso1999@outlook.com</x:v>
      </x:c>
      <x:c r="Y3144" s="22" t="str">
        <x:f>"33988569338"</x:f>
        <x:v>33988569338</x:v>
      </x:c>
      <x:c r="Z3144" s="30" t="str"/>
    </x:row>
    <x:row r="3145" ht="18" customHeight="1">
      <x:c r="A3145" s="22" t="str">
        <x:f>"6a825b8a-fb32-49c6-b672-6e592bdd08c9"</x:f>
        <x:v>6a825b8a-fb32-49c6-b672-6e592bdd08c9</x:v>
      </x:c>
      <x:c r="B3145" s="23" t="str">
        <x:v>RAINDERNEY GOMES FERREIRA</x:v>
      </x:c>
      <x:c r="C3145" s="23" t="str">
        <x:v>rainderney gomes ferreira</x:v>
      </x:c>
      <x:c r="D3145" s="22" t="str">
        <x:f>"61.818.744/0001-02"</x:f>
        <x:v>61.818.744/0001-02</x:v>
      </x:c>
      <x:c r="E3145" s="22" t="str">
        <x:f>"61818744000102"</x:f>
        <x:v>61818744000102</x:v>
      </x:c>
      <x:c r="F3145" s="22" t="str">
        <x:f>"007.357.861-43"</x:f>
        <x:v>007.357.861-43</x:v>
      </x:c>
      <x:c r="G3145" s="22" t="str">
        <x:f>"00735786143"</x:f>
        <x:v>00735786143</x:v>
      </x:c>
      <x:c r="H3145" s="23" t="str">
        <x:v>rubia31silva@gmail.com</x:v>
      </x:c>
      <x:c r="I3145" s="22" t="str">
        <x:f>"+55 65 9961-9015"</x:f>
        <x:v>+55 65 9961-9015</x:v>
      </x:c>
      <x:c r="J3145" s="23" t="str">
        <x:v>SPOT</x:v>
      </x:c>
      <x:c r="K3145" s="23" t="str">
        <x:v>favored_only</x:v>
      </x:c>
      <x:c r="L3145" s="24" t="b">
        <x:v>1</x:v>
      </x:c>
      <x:c r="M3145" s="23" t="n">
        <x:v>1</x:v>
      </x:c>
      <x:c r="N3145" s="28" t="n">
        <x:v>46219.812988715275</x:v>
      </x:c>
      <x:c r="O3145" s="28" t="n">
        <x:v>46219.812988715275</x:v>
      </x:c>
      <x:c r="P3145" s="23" t="str">
        <x:v>PONTES E LACERDA</x:v>
      </x:c>
      <x:c r="Q3145" s="30" t="n">
        <x:v>30990</x:v>
      </x:c>
      <x:c r="R3145" s="22" t="str">
        <x:f>"28701840"</x:f>
        <x:v>28701840</x:v>
      </x:c>
      <x:c r="S3145" s="23" t="str">
        <x:v>masculino</x:v>
      </x:c>
      <x:c r="T3145" s="22" t="str">
        <x:f>"DZJ7G05"</x:f>
        <x:v>DZJ7G05</x:v>
      </x:c>
      <x:c r="U3145" s="23" t="str">
        <x:v>RUBIA DA SILVA</x:v>
      </x:c>
      <x:c r="V3145" s="22" t="str">
        <x:f>"060.326.461-14"</x:f>
        <x:v>060.326.461-14</x:v>
      </x:c>
      <x:c r="W3145" s="22" t="str">
        <x:f>"06032646114"</x:f>
        <x:v>06032646114</x:v>
      </x:c>
      <x:c r="X3145" s="23" t="str">
        <x:v>rubia31silva@gmail.com</x:v>
      </x:c>
      <x:c r="Y3145" s="22" t="str">
        <x:f>"65984690607"</x:f>
        <x:v>65984690607</x:v>
      </x:c>
      <x:c r="Z3145" s="30" t="n">
        <x:v>46466</x:v>
      </x:c>
    </x:row>
    <x:row r="3146" ht="18" customHeight="1">
      <x:c r="A3146" s="22" t="str">
        <x:f>"db4bd6ab-2a48-40fb-bf21-f6b5f607e521"</x:f>
        <x:v>db4bd6ab-2a48-40fb-bf21-f6b5f607e521</x:v>
      </x:c>
      <x:c r="B3146" s="23" t="str">
        <x:v>RALPH DE CAMPOS CARNEIRO</x:v>
      </x:c>
      <x:c r="C3146" s="23" t="str">
        <x:v>ralph de campos carneiro</x:v>
      </x:c>
      <x:c r="D3146" s="22" t="str">
        <x:f>"65.560.820/0001-83"</x:f>
        <x:v>65.560.820/0001-83</x:v>
      </x:c>
      <x:c r="E3146" s="22" t="str">
        <x:f>"65560820000183"</x:f>
        <x:v>65560820000183</x:v>
      </x:c>
      <x:c r="F3146" s="22" t="str">
        <x:f>"098.832.787-21"</x:f>
        <x:v>098.832.787-21</x:v>
      </x:c>
      <x:c r="G3146" s="22" t="str">
        <x:f>"09883278721"</x:f>
        <x:v>09883278721</x:v>
      </x:c>
      <x:c r="H3146" s="23" t="str">
        <x:v>ralphcarneiro.543@gmail.com</x:v>
      </x:c>
      <x:c r="I3146" s="22" t="str">
        <x:f>"22998193910"</x:f>
        <x:v>22998193910</x:v>
      </x:c>
      <x:c r="J3146" s="23" t="str">
        <x:v>SPOT</x:v>
      </x:c>
      <x:c r="K3146" s="23" t="str">
        <x:v>favored_only</x:v>
      </x:c>
      <x:c r="L3146" s="24" t="b">
        <x:v>1</x:v>
      </x:c>
      <x:c r="M3146" s="23" t="n">
        <x:v>2</x:v>
      </x:c>
      <x:c r="N3146" s="28" t="n">
        <x:v>46219.812988715275</x:v>
      </x:c>
      <x:c r="O3146" s="28" t="n">
        <x:v>46219.812988715275</x:v>
      </x:c>
      <x:c r="P3146" s="23" t="str">
        <x:v>CAMPOS DOS GOYTACAZES</x:v>
      </x:c>
      <x:c r="Q3146" s="30" t="n">
        <x:v>30225</x:v>
      </x:c>
      <x:c r="R3146" s="22" t="str">
        <x:f>"203299870"</x:f>
        <x:v>203299870</x:v>
      </x:c>
      <x:c r="S3146" s="23" t="str">
        <x:v>masculino</x:v>
      </x:c>
      <x:c r="T3146" s="22" t="str">
        <x:f>"FKC6138"</x:f>
        <x:v>FKC6138</x:v>
      </x:c>
      <x:c r="U3146" s="23" t="str">
        <x:v>MAYCON JONATHAN ROSARIO DE SOUZA</x:v>
      </x:c>
      <x:c r="V3146" s="22" t="str">
        <x:f>"173.910.657-14"</x:f>
        <x:v>173.910.657-14</x:v>
      </x:c>
      <x:c r="W3146" s="22" t="str">
        <x:f>"17391065714"</x:f>
        <x:v>17391065714</x:v>
      </x:c>
      <x:c r="X3146" s="23" t="str">
        <x:v>mj7rosariodesouza@gmail.com</x:v>
      </x:c>
      <x:c r="Y3146" s="22" t="str">
        <x:f>"22992280678"</x:f>
        <x:v>22992280678</x:v>
      </x:c>
      <x:c r="Z3146" s="30" t="n">
        <x:v>46508</x:v>
      </x:c>
    </x:row>
    <x:row r="3147" ht="18" customHeight="1">
      <x:c r="A3147" s="22" t="str">
        <x:f>"7d77f973-7184-4ba5-801d-f1adc4188773"</x:f>
        <x:v>7d77f973-7184-4ba5-801d-f1adc4188773</x:v>
      </x:c>
      <x:c r="B3147" s="23" t="str">
        <x:v>RAMON LOPES MARIANO DE SOUSA</x:v>
      </x:c>
      <x:c r="C3147" s="23" t="str">
        <x:v>ramon lopes mariano de sousa</x:v>
      </x:c>
      <x:c r="D3147" s="22" t="str">
        <x:f>"68.003.321/0001-83"</x:f>
        <x:v>68.003.321/0001-83</x:v>
      </x:c>
      <x:c r="E3147" s="22" t="str">
        <x:f>"68003321000183"</x:f>
        <x:v>68003321000183</x:v>
      </x:c>
      <x:c r="F3147" s="22" t="str">
        <x:f>"144.688.627-18"</x:f>
        <x:v>144.688.627-18</x:v>
      </x:c>
      <x:c r="G3147" s="22" t="str">
        <x:f>"14468862718"</x:f>
        <x:v>14468862718</x:v>
      </x:c>
      <x:c r="H3147" s="23" t="str">
        <x:v>ramonlopes10@yahoo.com.br</x:v>
      </x:c>
      <x:c r="I3147" s="22" t="str">
        <x:f>"22 99868-6674"</x:f>
        <x:v>22 99868-6674</x:v>
      </x:c>
      <x:c r="J3147" s="23" t="str">
        <x:v>RENTAL</x:v>
      </x:c>
      <x:c r="K3147" s="23" t="str">
        <x:v>rental_company</x:v>
      </x:c>
      <x:c r="L3147" s="24" t="b">
        <x:v>1</x:v>
      </x:c>
      <x:c r="M3147" s="23" t="n">
        <x:v>1</x:v>
      </x:c>
      <x:c r="N3147" s="28" t="n">
        <x:v>46219.812988715275</x:v>
      </x:c>
      <x:c r="O3147" s="28" t="n">
        <x:v>46219.812988715275</x:v>
      </x:c>
      <x:c r="P3147" s="23" t="str">
        <x:v>CAMPOS DOS GOYTACAZES</x:v>
      </x:c>
      <x:c r="Q3147" s="30" t="n">
        <x:v>34231</x:v>
      </x:c>
      <x:c r="R3147" s="22" t="str">
        <x:f>"267004794"</x:f>
        <x:v>267004794</x:v>
      </x:c>
      <x:c r="S3147" s="23" t="str">
        <x:v>masculino</x:v>
      </x:c>
      <x:c r="T3147" s="22" t="str"/>
      <x:c r="U3147" s="23" t="str">
        <x:v>RAMON LOPES MARIANO DE SOUSA</x:v>
      </x:c>
      <x:c r="V3147" s="22" t="str">
        <x:f>"144.688.627-18"</x:f>
        <x:v>144.688.627-18</x:v>
      </x:c>
      <x:c r="W3147" s="22" t="str">
        <x:f>"14468862718"</x:f>
        <x:v>14468862718</x:v>
      </x:c>
      <x:c r="X3147" s="23" t="str">
        <x:v>ramonlopes10@yahoo.com.br</x:v>
      </x:c>
      <x:c r="Y3147" s="22" t="str">
        <x:f>"22 99868-6674"</x:f>
        <x:v>22 99868-6674</x:v>
      </x:c>
      <x:c r="Z3147" s="30" t="n">
        <x:v>46582</x:v>
      </x:c>
    </x:row>
    <x:row r="3148" ht="18" customHeight="1">
      <x:c r="A3148" s="22" t="str">
        <x:f>"29062f94-6211-4896-a269-c9ed9d1d3deb"</x:f>
        <x:v>29062f94-6211-4896-a269-c9ed9d1d3deb</x:v>
      </x:c>
      <x:c r="B3148" s="23" t="str">
        <x:v>RAMON SOUZA ALMEIDA</x:v>
      </x:c>
      <x:c r="C3148" s="23" t="str">
        <x:v>ramon souza almeida</x:v>
      </x:c>
      <x:c r="D3148" s="22" t="str">
        <x:f>"64.169.682/0001-43"</x:f>
        <x:v>64.169.682/0001-43</x:v>
      </x:c>
      <x:c r="E3148" s="22" t="str">
        <x:f>"64169682000143"</x:f>
        <x:v>64169682000143</x:v>
      </x:c>
      <x:c r="F3148" s="22" t="str">
        <x:f>"530.654.238-71"</x:f>
        <x:v>530.654.238-71</x:v>
      </x:c>
      <x:c r="G3148" s="22" t="str">
        <x:f>"53065423871"</x:f>
        <x:v>53065423871</x:v>
      </x:c>
      <x:c r="H3148" s="23" t="str">
        <x:v>ramonsouza0781@gmail.com</x:v>
      </x:c>
      <x:c r="I3148" s="22" t="str">
        <x:f>"16997578957"</x:f>
        <x:v>16997578957</x:v>
      </x:c>
      <x:c r="J3148" s="23" t="str">
        <x:v>RENTAL</x:v>
      </x:c>
      <x:c r="K3148" s="23" t="str">
        <x:v>rental_company</x:v>
      </x:c>
      <x:c r="L3148" s="24" t="b">
        <x:v>1</x:v>
      </x:c>
      <x:c r="M3148" s="23" t="n">
        <x:v>1</x:v>
      </x:c>
      <x:c r="N3148" s="28" t="n">
        <x:v>46203.9219084375</x:v>
      </x:c>
      <x:c r="O3148" s="28" t="n">
        <x:v>46219.812988715275</x:v>
      </x:c>
      <x:c r="P3148" s="23" t="str">
        <x:v>SÃO CARLOS</x:v>
      </x:c>
      <x:c r="Q3148" s="30" t="n">
        <x:v>37079</x:v>
      </x:c>
      <x:c r="R3148" s="22" t="str">
        <x:f>"558063160"</x:f>
        <x:v>558063160</x:v>
      </x:c>
      <x:c r="S3148" s="23" t="str">
        <x:v>masculino</x:v>
      </x:c>
      <x:c r="T3148" s="22" t="str"/>
      <x:c r="U3148" s="23" t="str">
        <x:v>RAMON SOUZA ALMEIDA</x:v>
      </x:c>
      <x:c r="V3148" s="22" t="str">
        <x:f>"530.654.238-71"</x:f>
        <x:v>530.654.238-71</x:v>
      </x:c>
      <x:c r="W3148" s="22" t="str">
        <x:f>"53065423871"</x:f>
        <x:v>53065423871</x:v>
      </x:c>
      <x:c r="X3148" s="23" t="str">
        <x:v>ramonsouza0781@gmail.com</x:v>
      </x:c>
      <x:c r="Y3148" s="22" t="str">
        <x:f>"16997578957"</x:f>
        <x:v>16997578957</x:v>
      </x:c>
      <x:c r="Z3148" s="30" t="n">
        <x:v>46387</x:v>
      </x:c>
    </x:row>
    <x:row r="3149" ht="18" customHeight="1">
      <x:c r="A3149" s="22" t="str">
        <x:f>"757a1b21-d8a1-4b9a-8b88-a6225464948b"</x:f>
        <x:v>757a1b21-d8a1-4b9a-8b88-a6225464948b</x:v>
      </x:c>
      <x:c r="B3149" s="23" t="str">
        <x:v>RANISLEY SIQUEIRA GONZAGA</x:v>
      </x:c>
      <x:c r="C3149" s="23" t="str">
        <x:v>ranisley siqueira gonzaga</x:v>
      </x:c>
      <x:c r="D3149" s="22" t="str">
        <x:f>"66.080.799/0001-81"</x:f>
        <x:v>66.080.799/0001-81</x:v>
      </x:c>
      <x:c r="E3149" s="22" t="str">
        <x:f>"66080799000181"</x:f>
        <x:v>66080799000181</x:v>
      </x:c>
      <x:c r="F3149" s="22" t="str">
        <x:f>"032.392.521-98"</x:f>
        <x:v>032.392.521-98</x:v>
      </x:c>
      <x:c r="G3149" s="22" t="str">
        <x:f>"03239252198"</x:f>
        <x:v>03239252198</x:v>
      </x:c>
      <x:c r="H3149" s="23" t="str">
        <x:v>ranisleysiqueira@gamil.com</x:v>
      </x:c>
      <x:c r="I3149" s="22" t="str">
        <x:f>"62 984327586"</x:f>
        <x:v>62 984327586</x:v>
      </x:c>
      <x:c r="J3149" s="23" t="str">
        <x:v>SPOT</x:v>
      </x:c>
      <x:c r="K3149" s="23" t="str">
        <x:v>favored_only</x:v>
      </x:c>
      <x:c r="L3149" s="24" t="b">
        <x:v>1</x:v>
      </x:c>
      <x:c r="M3149" s="23" t="n">
        <x:v>1</x:v>
      </x:c>
      <x:c r="N3149" s="28" t="n">
        <x:v>46219.812988715275</x:v>
      </x:c>
      <x:c r="O3149" s="28" t="n">
        <x:v>46219.812988715275</x:v>
      </x:c>
      <x:c r="P3149" s="23" t="str">
        <x:v>MINAÇU</x:v>
      </x:c>
      <x:c r="Q3149" s="30" t="n">
        <x:v>32398</x:v>
      </x:c>
      <x:c r="R3149" s="22" t="str">
        <x:f>"852652"</x:f>
        <x:v>852652</x:v>
      </x:c>
      <x:c r="S3149" s="23" t="str">
        <x:v>masculino</x:v>
      </x:c>
      <x:c r="T3149" s="22" t="str">
        <x:f>"NGG1277"</x:f>
        <x:v>NGG1277</x:v>
      </x:c>
      <x:c r="U3149" s="23" t="str">
        <x:v>FLAVIA SANCHES OLIVEIRA</x:v>
      </x:c>
      <x:c r="V3149" s="22" t="str">
        <x:f>"064.519.321-67"</x:f>
        <x:v>064.519.321-67</x:v>
      </x:c>
      <x:c r="W3149" s="22" t="str">
        <x:f>"06451932167"</x:f>
        <x:v>06451932167</x:v>
      </x:c>
      <x:c r="X3149" s="23" t="str">
        <x:v>flaviahelloya123@gmail.coM</x:v>
      </x:c>
      <x:c r="Y3149" s="22" t="str">
        <x:f>"(62)984540748"</x:f>
        <x:v>(62)984540748</x:v>
      </x:c>
      <x:c r="Z3149" s="30" t="n">
        <x:v>46483</x:v>
      </x:c>
    </x:row>
    <x:row r="3150" ht="18" customHeight="1">
      <x:c r="A3150" s="22" t="str">
        <x:f>"4e0f1762-38b4-4b36-962d-e0bbf95e3af1"</x:f>
        <x:v>4e0f1762-38b4-4b36-962d-e0bbf95e3af1</x:v>
      </x:c>
      <x:c r="B3150" s="23" t="str">
        <x:v>RAONE DUARTE GARCIA</x:v>
      </x:c>
      <x:c r="C3150" s="23" t="str">
        <x:v>raone duarte garcia</x:v>
      </x:c>
      <x:c r="D3150" s="22" t="str">
        <x:f>"65.237.750/0001-27"</x:f>
        <x:v>65.237.750/0001-27</x:v>
      </x:c>
      <x:c r="E3150" s="22" t="str">
        <x:f>"65237750000127"</x:f>
        <x:v>65237750000127</x:v>
      </x:c>
      <x:c r="F3150" s="22" t="str">
        <x:f>"047.251.271-40"</x:f>
        <x:v>047.251.271-40</x:v>
      </x:c>
      <x:c r="G3150" s="22" t="str">
        <x:f>"04725127140"</x:f>
        <x:v>04725127140</x:v>
      </x:c>
      <x:c r="H3150" s="23" t="str">
        <x:v>raoneduarte7@gmail.com</x:v>
      </x:c>
      <x:c r="I3150" s="22" t="str">
        <x:f>"65981073046"</x:f>
        <x:v>65981073046</x:v>
      </x:c>
      <x:c r="J3150" s="23" t="str">
        <x:v>SPOT</x:v>
      </x:c>
      <x:c r="K3150" s="23" t="str">
        <x:v>favored_only</x:v>
      </x:c>
      <x:c r="L3150" s="24" t="b">
        <x:v>1</x:v>
      </x:c>
      <x:c r="M3150" s="23" t="n">
        <x:v>1</x:v>
      </x:c>
      <x:c r="N3150" s="28" t="n">
        <x:v>46219.812988715275</x:v>
      </x:c>
      <x:c r="O3150" s="28" t="n">
        <x:v>46219.812988715275</x:v>
      </x:c>
      <x:c r="P3150" s="23" t="str">
        <x:v>CUIABA</x:v>
      </x:c>
      <x:c r="Q3150" s="30" t="n">
        <x:v>34121</x:v>
      </x:c>
      <x:c r="R3150" s="22" t="str">
        <x:f>"21626790"</x:f>
        <x:v>21626790</x:v>
      </x:c>
      <x:c r="S3150" s="23" t="str">
        <x:v>masculino</x:v>
      </x:c>
      <x:c r="T3150" s="22" t="str">
        <x:f>"NUG7B78"</x:f>
        <x:v>NUG7B78</x:v>
      </x:c>
      <x:c r="U3150" s="23" t="str">
        <x:v>RAONE DUARTE GARCIA</x:v>
      </x:c>
      <x:c r="V3150" s="22" t="str">
        <x:f>"047.251.271-40"</x:f>
        <x:v>047.251.271-40</x:v>
      </x:c>
      <x:c r="W3150" s="22" t="str">
        <x:f>"04725127140"</x:f>
        <x:v>04725127140</x:v>
      </x:c>
      <x:c r="X3150" s="23" t="str">
        <x:v>raoneduarte7@gmail.com</x:v>
      </x:c>
      <x:c r="Y3150" s="22" t="str">
        <x:f>"65981073046"</x:f>
        <x:v>65981073046</x:v>
      </x:c>
      <x:c r="Z3150" s="30" t="n">
        <x:v>46472</x:v>
      </x:c>
    </x:row>
    <x:row r="3151" ht="18" customHeight="1">
      <x:c r="A3151" s="22" t="str">
        <x:f>"70f1f052-4469-48d2-8c3a-f53334fa1ef6"</x:f>
        <x:v>70f1f052-4469-48d2-8c3a-f53334fa1ef6</x:v>
      </x:c>
      <x:c r="B3151" s="23" t="str">
        <x:v>RAONY HARLEM FIGUEIREDO PACHECO</x:v>
      </x:c>
      <x:c r="C3151" s="23" t="str">
        <x:v>raony harlem figueiredo pacheco</x:v>
      </x:c>
      <x:c r="D3151" s="22" t="str">
        <x:f>"60.492.248/0001-49"</x:f>
        <x:v>60.492.248/0001-49</x:v>
      </x:c>
      <x:c r="E3151" s="22" t="str">
        <x:f>"60492248000149"</x:f>
        <x:v>60492248000149</x:v>
      </x:c>
      <x:c r="F3151" s="22" t="str">
        <x:f>"024.125.901-09"</x:f>
        <x:v>024.125.901-09</x:v>
      </x:c>
      <x:c r="G3151" s="22" t="str">
        <x:f>"02412590109"</x:f>
        <x:v>02412590109</x:v>
      </x:c>
      <x:c r="H3151" s="23" t="str">
        <x:v>raony.harlem@gmail.com</x:v>
      </x:c>
      <x:c r="I3151" s="22" t="str">
        <x:f>"65999668447"</x:f>
        <x:v>65999668447</x:v>
      </x:c>
      <x:c r="J3151" s="23" t="str">
        <x:v>SPOT</x:v>
      </x:c>
      <x:c r="K3151" s="23" t="str">
        <x:v>favored_only</x:v>
      </x:c>
      <x:c r="L3151" s="24" t="b">
        <x:v>1</x:v>
      </x:c>
      <x:c r="M3151" s="23" t="n">
        <x:v>1</x:v>
      </x:c>
      <x:c r="N3151" s="28" t="n">
        <x:v>46205.60655167824</x:v>
      </x:c>
      <x:c r="O3151" s="28" t="n">
        <x:v>46219.812988715275</x:v>
      </x:c>
      <x:c r="P3151" s="23" t="str">
        <x:v>CUIABA</x:v>
      </x:c>
      <x:c r="Q3151" s="30" t="n">
        <x:v>32052</x:v>
      </x:c>
      <x:c r="R3151" s="22" t="str">
        <x:f>"1727294-7"</x:f>
        <x:v>1727294-7</x:v>
      </x:c>
      <x:c r="S3151" s="23" t="str">
        <x:v>masculino</x:v>
      </x:c>
      <x:c r="T3151" s="22" t="str">
        <x:f>"RRM5B20"</x:f>
        <x:v>RRM5B20</x:v>
      </x:c>
      <x:c r="U3151" s="23" t="str">
        <x:v>VICTOR HUGO ANTUNES VIEIRA</x:v>
      </x:c>
      <x:c r="V3151" s="22" t="str">
        <x:f>"039.196.241-81"</x:f>
        <x:v>039.196.241-81</x:v>
      </x:c>
      <x:c r="W3151" s="22" t="str">
        <x:f>"03919624181"</x:f>
        <x:v>03919624181</x:v>
      </x:c>
      <x:c r="X3151" s="23" t="str">
        <x:v>victor_antunes23@hotmail.com</x:v>
      </x:c>
      <x:c r="Y3151" s="22" t="str">
        <x:f>"65998197307"</x:f>
        <x:v>65998197307</x:v>
      </x:c>
      <x:c r="Z3151" s="30" t="n">
        <x:v>46364</x:v>
      </x:c>
    </x:row>
    <x:row r="3152" ht="18" customHeight="1">
      <x:c r="A3152" s="22" t="str">
        <x:f>"c2865eec-d50c-4cee-bd5c-6f5a9af636e5"</x:f>
        <x:v>c2865eec-d50c-4cee-bd5c-6f5a9af636e5</x:v>
      </x:c>
      <x:c r="B3152" s="23" t="str">
        <x:v>Raphaela De Souza Mayrink</x:v>
      </x:c>
      <x:c r="C3152" s="23" t="str">
        <x:v>raphaela de souza mayrink</x:v>
      </x:c>
      <x:c r="D3152" s="22" t="str">
        <x:f>"54.233.766/0001-45"</x:f>
        <x:v>54.233.766/0001-45</x:v>
      </x:c>
      <x:c r="E3152" s="22" t="str">
        <x:f>"54233766000145"</x:f>
        <x:v>54233766000145</x:v>
      </x:c>
      <x:c r="F3152" s="22" t="str">
        <x:f>"052.529.596-84"</x:f>
        <x:v>052.529.596-84</x:v>
      </x:c>
      <x:c r="G3152" s="22" t="str">
        <x:f>"05252959684"</x:f>
        <x:v>05252959684</x:v>
      </x:c>
      <x:c r="H3152" s="23" t="str">
        <x:v>tiopetshomekennel@gmail.com</x:v>
      </x:c>
      <x:c r="I3152" s="22" t="str">
        <x:f>"31 98628-5456"</x:f>
        <x:v>31 98628-5456</x:v>
      </x:c>
      <x:c r="J3152" s="23" t="str">
        <x:v>SPOT</x:v>
      </x:c>
      <x:c r="K3152" s="23" t="str">
        <x:v>favored_only</x:v>
      </x:c>
      <x:c r="L3152" s="24" t="b">
        <x:v>1</x:v>
      </x:c>
      <x:c r="M3152" s="23" t="n">
        <x:v>1</x:v>
      </x:c>
      <x:c r="N3152" s="28" t="n">
        <x:v>46203.92183332176</x:v>
      </x:c>
      <x:c r="O3152" s="28" t="n">
        <x:v>46203.92183332176</x:v>
      </x:c>
      <x:c r="P3152" s="23" t="str"/>
      <x:c r="Q3152" s="30" t="str"/>
      <x:c r="R3152" s="22" t="str"/>
      <x:c r="S3152" s="23" t="str"/>
      <x:c r="T3152" s="22" t="str"/>
      <x:c r="U3152" s="23" t="str">
        <x:v>Raphaela De Souza Mayrink</x:v>
      </x:c>
      <x:c r="V3152" s="22" t="str">
        <x:f>"052.529.596-84"</x:f>
        <x:v>052.529.596-84</x:v>
      </x:c>
      <x:c r="W3152" s="22" t="str">
        <x:f>"05252959684"</x:f>
        <x:v>05252959684</x:v>
      </x:c>
      <x:c r="X3152" s="23" t="str">
        <x:v>tiopetshomekennel@gmail.com</x:v>
      </x:c>
      <x:c r="Y3152" s="22" t="str">
        <x:f>"31 98628-5456"</x:f>
        <x:v>31 98628-5456</x:v>
      </x:c>
      <x:c r="Z3152" s="30" t="str"/>
    </x:row>
    <x:row r="3153" ht="18" customHeight="1">
      <x:c r="A3153" s="22" t="str">
        <x:f>"7a6a896c-626d-483d-a376-df733a7acb5f"</x:f>
        <x:v>7a6a896c-626d-483d-a376-df733a7acb5f</x:v>
      </x:c>
      <x:c r="B3153" s="23" t="str">
        <x:v>RAPHAEL CACETE DE PAIVA</x:v>
      </x:c>
      <x:c r="C3153" s="23" t="str">
        <x:v>raphael cacete de paiva</x:v>
      </x:c>
      <x:c r="D3153" s="22" t="str">
        <x:f>"59.549.994/0001-42"</x:f>
        <x:v>59.549.994/0001-42</x:v>
      </x:c>
      <x:c r="E3153" s="22" t="str">
        <x:f>"59549994000142"</x:f>
        <x:v>59549994000142</x:v>
      </x:c>
      <x:c r="F3153" s="22" t="str">
        <x:f>"236.144.008-32"</x:f>
        <x:v>236.144.008-32</x:v>
      </x:c>
      <x:c r="G3153" s="22" t="str">
        <x:f>"23614400832"</x:f>
        <x:v>23614400832</x:v>
      </x:c>
      <x:c r="H3153" s="23" t="str">
        <x:v>grtransportes77@gmail.com</x:v>
      </x:c>
      <x:c r="I3153" s="22" t="str">
        <x:f>"(11) 97652-0053"</x:f>
        <x:v>(11) 97652-0053</x:v>
      </x:c>
      <x:c r="J3153" s="23" t="str">
        <x:v>SPOT</x:v>
      </x:c>
      <x:c r="K3153" s="23" t="str">
        <x:v>favored_only</x:v>
      </x:c>
      <x:c r="L3153" s="24" t="b">
        <x:v>1</x:v>
      </x:c>
      <x:c r="M3153" s="23" t="n">
        <x:v>1</x:v>
      </x:c>
      <x:c r="N3153" s="28" t="n">
        <x:v>46203.92183017361</x:v>
      </x:c>
      <x:c r="O3153" s="28" t="n">
        <x:v>46203.92183017361</x:v>
      </x:c>
      <x:c r="P3153" s="23" t="str"/>
      <x:c r="Q3153" s="30" t="str"/>
      <x:c r="R3153" s="22" t="str"/>
      <x:c r="S3153" s="23" t="str"/>
      <x:c r="T3153" s="22" t="str"/>
      <x:c r="U3153" s="23" t="str">
        <x:v>RAPHAEL CACETE DE PAIVA</x:v>
      </x:c>
      <x:c r="V3153" s="22" t="str">
        <x:f>"236.144.008-32"</x:f>
        <x:v>236.144.008-32</x:v>
      </x:c>
      <x:c r="W3153" s="22" t="str">
        <x:f>"23614400832"</x:f>
        <x:v>23614400832</x:v>
      </x:c>
      <x:c r="X3153" s="23" t="str">
        <x:v>grtransportes77@gmail.com</x:v>
      </x:c>
      <x:c r="Y3153" s="22" t="str">
        <x:f>"(11) 97652-0053"</x:f>
        <x:v>(11) 97652-0053</x:v>
      </x:c>
      <x:c r="Z3153" s="30" t="str"/>
    </x:row>
    <x:row r="3154" ht="18" customHeight="1">
      <x:c r="A3154" s="22" t="str">
        <x:f>"98ac46ac-c249-4e28-a463-5bdc131e7dd9"</x:f>
        <x:v>98ac46ac-c249-4e28-a463-5bdc131e7dd9</x:v>
      </x:c>
      <x:c r="B3154" s="23" t="str">
        <x:v>RAPHAEL DOS REIS RODRIGUES</x:v>
      </x:c>
      <x:c r="C3154" s="23" t="str">
        <x:v>raphael dos reis rodrigues</x:v>
      </x:c>
      <x:c r="D3154" s="22" t="str">
        <x:f>"48.711.632/0001-90"</x:f>
        <x:v>48.711.632/0001-90</x:v>
      </x:c>
      <x:c r="E3154" s="22" t="str">
        <x:f>"48711632000190"</x:f>
        <x:v>48711632000190</x:v>
      </x:c>
      <x:c r="F3154" s="22" t="str">
        <x:f>"019.231.316-99"</x:f>
        <x:v>019.231.316-99</x:v>
      </x:c>
      <x:c r="G3154" s="22" t="str">
        <x:f>"01923131699"</x:f>
        <x:v>01923131699</x:v>
      </x:c>
      <x:c r="H3154" s="23" t="str">
        <x:v>rapharodrigues244@gmail.com</x:v>
      </x:c>
      <x:c r="I3154" s="22" t="str">
        <x:f>"(31)998298351"</x:f>
        <x:v>(31)998298351</x:v>
      </x:c>
      <x:c r="J3154" s="23" t="str">
        <x:v>RENTAL</x:v>
      </x:c>
      <x:c r="K3154" s="23" t="str">
        <x:v>rental_company</x:v>
      </x:c>
      <x:c r="L3154" s="24" t="b">
        <x:v>1</x:v>
      </x:c>
      <x:c r="M3154" s="23" t="n">
        <x:v>1</x:v>
      </x:c>
      <x:c r="N3154" s="28" t="n">
        <x:v>46219.812988715275</x:v>
      </x:c>
      <x:c r="O3154" s="28" t="n">
        <x:v>46219.812988715275</x:v>
      </x:c>
      <x:c r="P3154" s="23" t="str">
        <x:v>CONTAGEM</x:v>
      </x:c>
      <x:c r="Q3154" s="30" t="n">
        <x:v>36190</x:v>
      </x:c>
      <x:c r="R3154" s="22" t="str">
        <x:f>"mg1968464696"</x:f>
        <x:v>mg1968464696</x:v>
      </x:c>
      <x:c r="S3154" s="23" t="str">
        <x:v>masculino</x:v>
      </x:c>
      <x:c r="T3154" s="22" t="str"/>
      <x:c r="U3154" s="23" t="str">
        <x:v>RAPHAEL DOS REIS RODRIGUES</x:v>
      </x:c>
      <x:c r="V3154" s="22" t="str">
        <x:f>"019.231.316-99"</x:f>
        <x:v>019.231.316-99</x:v>
      </x:c>
      <x:c r="W3154" s="22" t="str">
        <x:f>"01923131699"</x:f>
        <x:v>01923131699</x:v>
      </x:c>
      <x:c r="X3154" s="23" t="str">
        <x:v>rapharodrigues244@gmail.com</x:v>
      </x:c>
      <x:c r="Y3154" s="22" t="str">
        <x:f>"(31)998298351"</x:f>
        <x:v>(31)998298351</x:v>
      </x:c>
      <x:c r="Z3154" s="30" t="n">
        <x:v>46582</x:v>
      </x:c>
    </x:row>
    <x:row r="3155" ht="18" customHeight="1">
      <x:c r="A3155" s="22" t="str">
        <x:f>"f318808a-297c-4fc7-afa9-d25f18181c7c"</x:f>
        <x:v>f318808a-297c-4fc7-afa9-d25f18181c7c</x:v>
      </x:c>
      <x:c r="B3155" s="23" t="str">
        <x:v>RAPHAELLA DUFFES DA COSTA SERRAVALE CORREA</x:v>
      </x:c>
      <x:c r="C3155" s="23" t="str">
        <x:v>raphaella duffes da costa serravale correa</x:v>
      </x:c>
      <x:c r="D3155" s="22" t="str">
        <x:f>"57159110000118"</x:f>
        <x:v>57159110000118</x:v>
      </x:c>
      <x:c r="E3155" s="22" t="str">
        <x:f>"57159110000118"</x:f>
        <x:v>57159110000118</x:v>
      </x:c>
      <x:c r="F3155" s="22" t="str">
        <x:f>"15524392751"</x:f>
        <x:v>15524392751</x:v>
      </x:c>
      <x:c r="G3155" s="22" t="str">
        <x:f>"15524392751"</x:f>
        <x:v>15524392751</x:v>
      </x:c>
      <x:c r="H3155" s="23" t="str">
        <x:v>rafaelserravalle@gmail.com</x:v>
      </x:c>
      <x:c r="I3155" s="22" t="str">
        <x:f>"21967558878"</x:f>
        <x:v>21967558878</x:v>
      </x:c>
      <x:c r="J3155" s="23" t="str">
        <x:v>SPOT</x:v>
      </x:c>
      <x:c r="K3155" s="23" t="str">
        <x:v>favored_only</x:v>
      </x:c>
      <x:c r="L3155" s="24" t="b">
        <x:v>1</x:v>
      </x:c>
      <x:c r="M3155" s="23" t="n">
        <x:v>1</x:v>
      </x:c>
      <x:c r="N3155" s="28" t="n">
        <x:v>46203.92189349537</x:v>
      </x:c>
      <x:c r="O3155" s="28" t="n">
        <x:v>46203.92189349537</x:v>
      </x:c>
      <x:c r="P3155" s="23" t="str"/>
      <x:c r="Q3155" s="30" t="str"/>
      <x:c r="R3155" s="22" t="str"/>
      <x:c r="S3155" s="23" t="str"/>
      <x:c r="T3155" s="22" t="str"/>
      <x:c r="U3155" s="23" t="str">
        <x:v>RAPHAELLA DUFFES DA COSTA SERRAVALE CORREA</x:v>
      </x:c>
      <x:c r="V3155" s="22" t="str">
        <x:f>"15524392751"</x:f>
        <x:v>15524392751</x:v>
      </x:c>
      <x:c r="W3155" s="22" t="str">
        <x:f>"15524392751"</x:f>
        <x:v>15524392751</x:v>
      </x:c>
      <x:c r="X3155" s="23" t="str">
        <x:v>rafaelserravalle@gmail.com</x:v>
      </x:c>
      <x:c r="Y3155" s="22" t="str">
        <x:f>"21967558878"</x:f>
        <x:v>21967558878</x:v>
      </x:c>
      <x:c r="Z3155" s="30" t="str"/>
    </x:row>
    <x:row r="3156" ht="18" customHeight="1">
      <x:c r="A3156" s="22" t="str">
        <x:f>"1e7ffa4d-6c97-43f0-ba4c-d7c4c43e3f09"</x:f>
        <x:v>1e7ffa4d-6c97-43f0-ba4c-d7c4c43e3f09</x:v>
      </x:c>
      <x:c r="B3156" s="23" t="str">
        <x:v>RAPHAEL LIMA RAPOSO</x:v>
      </x:c>
      <x:c r="C3156" s="23" t="str">
        <x:v>raphael lima raposo</x:v>
      </x:c>
      <x:c r="D3156" s="22" t="str">
        <x:f>"33.303.400/0001-25"</x:f>
        <x:v>33.303.400/0001-25</x:v>
      </x:c>
      <x:c r="E3156" s="22" t="str">
        <x:f>"33303400000125"</x:f>
        <x:v>33303400000125</x:v>
      </x:c>
      <x:c r="F3156" s="22" t="str">
        <x:f>"053.968.257-82"</x:f>
        <x:v>053.968.257-82</x:v>
      </x:c>
      <x:c r="G3156" s="22" t="str">
        <x:f>"05396825782"</x:f>
        <x:v>05396825782</x:v>
      </x:c>
      <x:c r="H3156" s="23" t="str">
        <x:v>rrempresa82@gmail.com</x:v>
      </x:c>
      <x:c r="I3156" s="22" t="str">
        <x:f>"21976962574"</x:f>
        <x:v>21976962574</x:v>
      </x:c>
      <x:c r="J3156" s="23" t="str">
        <x:v>SPOT</x:v>
      </x:c>
      <x:c r="K3156" s="23" t="str">
        <x:v>favored_only</x:v>
      </x:c>
      <x:c r="L3156" s="24" t="b">
        <x:v>1</x:v>
      </x:c>
      <x:c r="M3156" s="23" t="n">
        <x:v>1</x:v>
      </x:c>
      <x:c r="N3156" s="28" t="n">
        <x:v>46203.92188238426</x:v>
      </x:c>
      <x:c r="O3156" s="28" t="n">
        <x:v>46219.812988715275</x:v>
      </x:c>
      <x:c r="P3156" s="23" t="str">
        <x:v>CORDOVIL</x:v>
      </x:c>
      <x:c r="Q3156" s="30" t="n">
        <x:v>30114</x:v>
      </x:c>
      <x:c r="R3156" s="22" t="str">
        <x:f>"128791548"</x:f>
        <x:v>128791548</x:v>
      </x:c>
      <x:c r="S3156" s="23" t="str">
        <x:v>masculino</x:v>
      </x:c>
      <x:c r="T3156" s="22" t="str">
        <x:f>"SIS5J99"</x:f>
        <x:v>SIS5J99</x:v>
      </x:c>
      <x:c r="U3156" s="23" t="str">
        <x:v>RAPHAEL LIMA RAPOSO</x:v>
      </x:c>
      <x:c r="V3156" s="22" t="str">
        <x:f>"053.968.257-82"</x:f>
        <x:v>053.968.257-82</x:v>
      </x:c>
      <x:c r="W3156" s="22" t="str">
        <x:f>"05396825782"</x:f>
        <x:v>05396825782</x:v>
      </x:c>
      <x:c r="X3156" s="23" t="str">
        <x:v>rrempresa82@gmail.com</x:v>
      </x:c>
      <x:c r="Y3156" s="22" t="str">
        <x:f>"21976962574"</x:f>
        <x:v>21976962574</x:v>
      </x:c>
      <x:c r="Z3156" s="30" t="n">
        <x:v>46322</x:v>
      </x:c>
    </x:row>
    <x:row r="3157" ht="18" customHeight="1">
      <x:c r="A3157" s="22" t="str">
        <x:f>"834d876b-2443-42e2-810f-7aa7f790e513"</x:f>
        <x:v>834d876b-2443-42e2-810f-7aa7f790e513</x:v>
      </x:c>
      <x:c r="B3157" s="23" t="str">
        <x:v>RAPHAEL PESSANHA DE SOUZA</x:v>
      </x:c>
      <x:c r="C3157" s="23" t="str">
        <x:v>raphael pessanha de souza</x:v>
      </x:c>
      <x:c r="D3157" s="22" t="str">
        <x:f>"17.190.920/0001-12"</x:f>
        <x:v>17.190.920/0001-12</x:v>
      </x:c>
      <x:c r="E3157" s="22" t="str">
        <x:f>"17190920000112"</x:f>
        <x:v>17190920000112</x:v>
      </x:c>
      <x:c r="F3157" s="22" t="str">
        <x:f>"144.998.167-42"</x:f>
        <x:v>144.998.167-42</x:v>
      </x:c>
      <x:c r="G3157" s="22" t="str">
        <x:f>"14499816742"</x:f>
        <x:v>14499816742</x:v>
      </x:c>
      <x:c r="H3157" s="23" t="str">
        <x:v>darocaraphael@gmail.com</x:v>
      </x:c>
      <x:c r="I3157" s="22" t="str">
        <x:f>"22 998066974"</x:f>
        <x:v>22 998066974</x:v>
      </x:c>
      <x:c r="J3157" s="23" t="str">
        <x:v>SPOT</x:v>
      </x:c>
      <x:c r="K3157" s="23" t="str">
        <x:v>favored_only</x:v>
      </x:c>
      <x:c r="L3157" s="24" t="b">
        <x:v>1</x:v>
      </x:c>
      <x:c r="M3157" s="23" t="n">
        <x:v>1</x:v>
      </x:c>
      <x:c r="N3157" s="28" t="n">
        <x:v>46203.92189349537</x:v>
      </x:c>
      <x:c r="O3157" s="28" t="n">
        <x:v>46203.92189349537</x:v>
      </x:c>
      <x:c r="P3157" s="23" t="str"/>
      <x:c r="Q3157" s="30" t="str"/>
      <x:c r="R3157" s="22" t="str"/>
      <x:c r="S3157" s="23" t="str"/>
      <x:c r="T3157" s="22" t="str"/>
      <x:c r="U3157" s="23" t="str">
        <x:v>RAPHAEL PESSANHA DE SOUZA</x:v>
      </x:c>
      <x:c r="V3157" s="22" t="str">
        <x:f>"144.998.167-42"</x:f>
        <x:v>144.998.167-42</x:v>
      </x:c>
      <x:c r="W3157" s="22" t="str">
        <x:f>"14499816742"</x:f>
        <x:v>14499816742</x:v>
      </x:c>
      <x:c r="X3157" s="23" t="str">
        <x:v>darocaraphael@gmail.com</x:v>
      </x:c>
      <x:c r="Y3157" s="22" t="str">
        <x:f>"22 998066974"</x:f>
        <x:v>22 998066974</x:v>
      </x:c>
      <x:c r="Z3157" s="30" t="str"/>
    </x:row>
    <x:row r="3158" ht="18" customHeight="1">
      <x:c r="A3158" s="22" t="str">
        <x:f>"04425665-2309-4f73-bb51-688e977b976f"</x:f>
        <x:v>04425665-2309-4f73-bb51-688e977b976f</x:v>
      </x:c>
      <x:c r="B3158" s="23" t="str">
        <x:v>RAQUEL FARIAS DE SOUZA</x:v>
      </x:c>
      <x:c r="C3158" s="23" t="str">
        <x:v>raquel farias de souza</x:v>
      </x:c>
      <x:c r="D3158" s="22" t="str">
        <x:f>"22.429.783/0001-66"</x:f>
        <x:v>22.429.783/0001-66</x:v>
      </x:c>
      <x:c r="E3158" s="22" t="str">
        <x:f>"22429783000166"</x:f>
        <x:v>22429783000166</x:v>
      </x:c>
      <x:c r="F3158" s="22" t="str">
        <x:f>"105.513.997-40"</x:f>
        <x:v>105.513.997-40</x:v>
      </x:c>
      <x:c r="G3158" s="22" t="str">
        <x:f>"10551399740"</x:f>
        <x:v>10551399740</x:v>
      </x:c>
      <x:c r="H3158" s="23" t="str">
        <x:v>raquel.26.farias@gmail.com</x:v>
      </x:c>
      <x:c r="I3158" s="22" t="str">
        <x:f>"16 996318226"</x:f>
        <x:v>16 996318226</x:v>
      </x:c>
      <x:c r="J3158" s="23" t="str">
        <x:v>SPOT</x:v>
      </x:c>
      <x:c r="K3158" s="23" t="str">
        <x:v>favored_only</x:v>
      </x:c>
      <x:c r="L3158" s="24" t="b">
        <x:v>1</x:v>
      </x:c>
      <x:c r="M3158" s="23" t="n">
        <x:v>1</x:v>
      </x:c>
      <x:c r="N3158" s="28" t="n">
        <x:v>46219.812988715275</x:v>
      </x:c>
      <x:c r="O3158" s="28" t="n">
        <x:v>46219.812988715275</x:v>
      </x:c>
      <x:c r="P3158" s="23" t="str">
        <x:v>RIBEIRAO PRETO</x:v>
      </x:c>
      <x:c r="Q3158" s="30" t="n">
        <x:v>31362</x:v>
      </x:c>
      <x:c r="R3158" s="22" t="str">
        <x:f>"20169612-7"</x:f>
        <x:v>20169612-7</x:v>
      </x:c>
      <x:c r="S3158" s="23" t="str">
        <x:v>feminino</x:v>
      </x:c>
      <x:c r="T3158" s="22" t="str">
        <x:f>"LRC7F71"</x:f>
        <x:v>LRC7F71</x:v>
      </x:c>
      <x:c r="U3158" s="23" t="str">
        <x:v>RAQUEL FARIAS DE SOUZA</x:v>
      </x:c>
      <x:c r="V3158" s="22" t="str">
        <x:f>"105.513.997-40"</x:f>
        <x:v>105.513.997-40</x:v>
      </x:c>
      <x:c r="W3158" s="22" t="str">
        <x:f>"10551399740"</x:f>
        <x:v>10551399740</x:v>
      </x:c>
      <x:c r="X3158" s="23" t="str">
        <x:v>raquel.26.farias@gmail.com</x:v>
      </x:c>
      <x:c r="Y3158" s="22" t="str">
        <x:f>"16 996318226"</x:f>
        <x:v>16 996318226</x:v>
      </x:c>
      <x:c r="Z3158" s="30" t="n">
        <x:v>46535</x:v>
      </x:c>
    </x:row>
    <x:row r="3159" ht="18" customHeight="1">
      <x:c r="A3159" s="22" t="str">
        <x:f>"413ea7e5-6a99-465e-9aa7-9afac2397a3f"</x:f>
        <x:v>413ea7e5-6a99-465e-9aa7-9afac2397a3f</x:v>
      </x:c>
      <x:c r="B3159" s="23" t="str">
        <x:v>RAQUEL MELLO DE ANDRADE CARVALHO</x:v>
      </x:c>
      <x:c r="C3159" s="23" t="str">
        <x:v>raquel mello de andrade carvalho</x:v>
      </x:c>
      <x:c r="D3159" s="22" t="str">
        <x:f>"25.366.052/0001-07"</x:f>
        <x:v>25.366.052/0001-07</x:v>
      </x:c>
      <x:c r="E3159" s="22" t="str">
        <x:f>"25366052000107"</x:f>
        <x:v>25366052000107</x:v>
      </x:c>
      <x:c r="F3159" s="22" t="str">
        <x:f>"087.685.227-46"</x:f>
        <x:v>087.685.227-46</x:v>
      </x:c>
      <x:c r="G3159" s="22" t="str">
        <x:f>"08768522746"</x:f>
        <x:v>08768522746</x:v>
      </x:c>
      <x:c r="H3159" s="23" t="str">
        <x:v>rm.andrade0211@gmail.com</x:v>
      </x:c>
      <x:c r="I3159" s="22" t="str">
        <x:f>"21 98730-7630"</x:f>
        <x:v>21 98730-7630</x:v>
      </x:c>
      <x:c r="J3159" s="23" t="str">
        <x:v>SPOT</x:v>
      </x:c>
      <x:c r="K3159" s="23" t="str">
        <x:v>favored_only</x:v>
      </x:c>
      <x:c r="L3159" s="24" t="b">
        <x:v>1</x:v>
      </x:c>
      <x:c r="M3159" s="23" t="n">
        <x:v>1</x:v>
      </x:c>
      <x:c r="N3159" s="28" t="n">
        <x:v>46219.812988715275</x:v>
      </x:c>
      <x:c r="O3159" s="28" t="n">
        <x:v>46219.812988715275</x:v>
      </x:c>
      <x:c r="P3159" s="23" t="str">
        <x:v>QUEIMADOS</x:v>
      </x:c>
      <x:c r="Q3159" s="30" t="n">
        <x:v>29990</x:v>
      </x:c>
      <x:c r="R3159" s="22" t="str">
        <x:f>"12579695 3"</x:f>
        <x:v>12579695 3</x:v>
      </x:c>
      <x:c r="S3159" s="23" t="str">
        <x:v>feminino</x:v>
      </x:c>
      <x:c r="T3159" s="22" t="str">
        <x:f>"QMX6J27"</x:f>
        <x:v>QMX6J27</x:v>
      </x:c>
      <x:c r="U3159" s="23" t="str">
        <x:v>RAQUEL MELLO DE ANDRADE CARVALHO</x:v>
      </x:c>
      <x:c r="V3159" s="22" t="str">
        <x:f>"087.685.227-46"</x:f>
        <x:v>087.685.227-46</x:v>
      </x:c>
      <x:c r="W3159" s="22" t="str">
        <x:f>"08768522746"</x:f>
        <x:v>08768522746</x:v>
      </x:c>
      <x:c r="X3159" s="23" t="str">
        <x:v>rm.andrade0211@gmail.com</x:v>
      </x:c>
      <x:c r="Y3159" s="22" t="str">
        <x:f>"21 98730-7630"</x:f>
        <x:v>21 98730-7630</x:v>
      </x:c>
      <x:c r="Z3159" s="30" t="n">
        <x:v>46519</x:v>
      </x:c>
    </x:row>
    <x:row r="3160" ht="18" customHeight="1">
      <x:c r="A3160" s="22" t="str">
        <x:f>"08cc72ee-0cf9-4864-9cc4-cfe4b82cdd59"</x:f>
        <x:v>08cc72ee-0cf9-4864-9cc4-cfe4b82cdd59</x:v>
      </x:c>
      <x:c r="B3160" s="23" t="str">
        <x:v>RAUL CHESTER DE FARIA</x:v>
      </x:c>
      <x:c r="C3160" s="23" t="str">
        <x:v>raul chester de faria</x:v>
      </x:c>
      <x:c r="D3160" s="22" t="str">
        <x:f>"41.871.410/0001-95"</x:f>
        <x:v>41.871.410/0001-95</x:v>
      </x:c>
      <x:c r="E3160" s="22" t="str">
        <x:f>"41871410000195"</x:f>
        <x:v>41871410000195</x:v>
      </x:c>
      <x:c r="F3160" s="22" t="str">
        <x:f>"071.405.636-75"</x:f>
        <x:v>071.405.636-75</x:v>
      </x:c>
      <x:c r="G3160" s="22" t="str">
        <x:f>"07140563675"</x:f>
        <x:v>07140563675</x:v>
      </x:c>
      <x:c r="H3160" s="23" t="str">
        <x:v>raulchester49@gmail.com</x:v>
      </x:c>
      <x:c r="I3160" s="22" t="str">
        <x:f>"34991039387"</x:f>
        <x:v>34991039387</x:v>
      </x:c>
      <x:c r="J3160" s="23" t="str">
        <x:v>RENTAL</x:v>
      </x:c>
      <x:c r="K3160" s="23" t="str">
        <x:v>rental_company</x:v>
      </x:c>
      <x:c r="L3160" s="24" t="b">
        <x:v>1</x:v>
      </x:c>
      <x:c r="M3160" s="23" t="n">
        <x:v>1</x:v>
      </x:c>
      <x:c r="N3160" s="28" t="n">
        <x:v>46219.812988715275</x:v>
      </x:c>
      <x:c r="O3160" s="28" t="n">
        <x:v>46219.812988715275</x:v>
      </x:c>
      <x:c r="P3160" s="23" t="str">
        <x:v>UBERLANDIA</x:v>
      </x:c>
      <x:c r="Q3160" s="30" t="n">
        <x:v>30517</x:v>
      </x:c>
      <x:c r="R3160" s="22" t="str">
        <x:f>"MG12140568 PC MG"</x:f>
        <x:v>MG12140568 PC MG</x:v>
      </x:c>
      <x:c r="S3160" s="23" t="str">
        <x:v>masculino</x:v>
      </x:c>
      <x:c r="T3160" s="22" t="str"/>
      <x:c r="U3160" s="23" t="str">
        <x:v>RAUL CHESTER DE FARIA</x:v>
      </x:c>
      <x:c r="V3160" s="22" t="str">
        <x:f>"071.405.636-75"</x:f>
        <x:v>071.405.636-75</x:v>
      </x:c>
      <x:c r="W3160" s="22" t="str">
        <x:f>"07140563675"</x:f>
        <x:v>07140563675</x:v>
      </x:c>
      <x:c r="X3160" s="23" t="str">
        <x:v>raulchester49@gmail.com</x:v>
      </x:c>
      <x:c r="Y3160" s="22" t="str">
        <x:f>"34991039387"</x:f>
        <x:v>34991039387</x:v>
      </x:c>
      <x:c r="Z3160" s="30" t="n">
        <x:v>46522</x:v>
      </x:c>
    </x:row>
    <x:row r="3161" ht="18" customHeight="1">
      <x:c r="A3161" s="22" t="str">
        <x:f>"1488adba-e19d-4443-a97e-5cf5d7e12698"</x:f>
        <x:v>1488adba-e19d-4443-a97e-5cf5d7e12698</x:v>
      </x:c>
      <x:c r="B3161" s="23" t="str">
        <x:v>RAUL GALEGO DE SOUZA</x:v>
      </x:c>
      <x:c r="C3161" s="23" t="str">
        <x:v>raul galego de souza</x:v>
      </x:c>
      <x:c r="D3161" s="22" t="str">
        <x:f>"57.676.669/0001-15"</x:f>
        <x:v>57.676.669/0001-15</x:v>
      </x:c>
      <x:c r="E3161" s="22" t="str">
        <x:f>"57676669000115"</x:f>
        <x:v>57676669000115</x:v>
      </x:c>
      <x:c r="F3161" s="22" t="str">
        <x:f>"223.252.528-76"</x:f>
        <x:v>223.252.528-76</x:v>
      </x:c>
      <x:c r="G3161" s="22" t="str">
        <x:f>"22325252876"</x:f>
        <x:v>22325252876</x:v>
      </x:c>
      <x:c r="H3161" s="23" t="str">
        <x:v>galegosouza1981@gmail.com</x:v>
      </x:c>
      <x:c r="I3161" s="22" t="str">
        <x:f>"(18) 99131-4883"</x:f>
        <x:v>(18) 99131-4883</x:v>
      </x:c>
      <x:c r="J3161" s="23" t="str">
        <x:v>RENTAL</x:v>
      </x:c>
      <x:c r="K3161" s="23" t="str">
        <x:v>rental_company</x:v>
      </x:c>
      <x:c r="L3161" s="24" t="b">
        <x:v>1</x:v>
      </x:c>
      <x:c r="M3161" s="23" t="n">
        <x:v>1</x:v>
      </x:c>
      <x:c r="N3161" s="28" t="n">
        <x:v>46219.812988715275</x:v>
      </x:c>
      <x:c r="O3161" s="28" t="n">
        <x:v>46219.812988715275</x:v>
      </x:c>
      <x:c r="P3161" s="23" t="str">
        <x:v>ARAÇATUBA</x:v>
      </x:c>
      <x:c r="Q3161" s="30" t="n">
        <x:v>29886</x:v>
      </x:c>
      <x:c r="R3161" s="22" t="str">
        <x:f>"4988494-8"</x:f>
        <x:v>4988494-8</x:v>
      </x:c>
      <x:c r="S3161" s="23" t="str">
        <x:v>masculino</x:v>
      </x:c>
      <x:c r="T3161" s="22" t="str"/>
      <x:c r="U3161" s="23" t="str">
        <x:v>RAUL GALEGO DE SOUZA</x:v>
      </x:c>
      <x:c r="V3161" s="22" t="str">
        <x:f>"223.252.528-76"</x:f>
        <x:v>223.252.528-76</x:v>
      </x:c>
      <x:c r="W3161" s="22" t="str">
        <x:f>"22325252876"</x:f>
        <x:v>22325252876</x:v>
      </x:c>
      <x:c r="X3161" s="23" t="str">
        <x:v>galegosouza1981@gmail.com</x:v>
      </x:c>
      <x:c r="Y3161" s="22" t="str">
        <x:f>"(18) 99131-4883"</x:f>
        <x:v>(18) 99131-4883</x:v>
      </x:c>
      <x:c r="Z3161" s="30" t="n">
        <x:v>46507</x:v>
      </x:c>
    </x:row>
    <x:row r="3162" ht="18" customHeight="1">
      <x:c r="A3162" s="22" t="str">
        <x:f>"e3f12d77-5918-42b7-b802-c5ab2a2d285f"</x:f>
        <x:v>e3f12d77-5918-42b7-b802-c5ab2a2d285f</x:v>
      </x:c>
      <x:c r="B3162" s="23" t="str">
        <x:v>RAUL MARTINS DE SOUSA</x:v>
      </x:c>
      <x:c r="C3162" s="23" t="str">
        <x:v>raul martins de sousa</x:v>
      </x:c>
      <x:c r="D3162" s="22" t="str">
        <x:f>"65.299.060/0001-00"</x:f>
        <x:v>65.299.060/0001-00</x:v>
      </x:c>
      <x:c r="E3162" s="22" t="str">
        <x:f>"65299060000100"</x:f>
        <x:v>65299060000100</x:v>
      </x:c>
      <x:c r="F3162" s="22" t="str">
        <x:f>"808.623.812-15"</x:f>
        <x:v>808.623.812-15</x:v>
      </x:c>
      <x:c r="G3162" s="22" t="str">
        <x:f>"80862381215"</x:f>
        <x:v>80862381215</x:v>
      </x:c>
      <x:c r="H3162" s="23" t="str">
        <x:v>Raulmartinsdesousa123@gmail.com</x:v>
      </x:c>
      <x:c r="I3162" s="22" t="str">
        <x:f>"(65) 9643-3705"</x:f>
        <x:v>(65) 9643-3705</x:v>
      </x:c>
      <x:c r="J3162" s="23" t="str">
        <x:v>SPOT</x:v>
      </x:c>
      <x:c r="K3162" s="23" t="str">
        <x:v>favored_only</x:v>
      </x:c>
      <x:c r="L3162" s="24" t="b">
        <x:v>1</x:v>
      </x:c>
      <x:c r="M3162" s="23" t="n">
        <x:v>1</x:v>
      </x:c>
      <x:c r="N3162" s="28" t="n">
        <x:v>46219.812988715275</x:v>
      </x:c>
      <x:c r="O3162" s="28" t="n">
        <x:v>46219.812988715275</x:v>
      </x:c>
      <x:c r="P3162" s="23" t="str">
        <x:v>PONTES E LACERDA</x:v>
      </x:c>
      <x:c r="Q3162" s="30" t="n">
        <x:v>30494</x:v>
      </x:c>
      <x:c r="R3162" s="22" t="str">
        <x:f>"4652578"</x:f>
        <x:v>4652578</x:v>
      </x:c>
      <x:c r="S3162" s="23" t="str">
        <x:v>masculino</x:v>
      </x:c>
      <x:c r="T3162" s="22" t="str">
        <x:f>"JHC2D93"</x:f>
        <x:v>JHC2D93</x:v>
      </x:c>
      <x:c r="U3162" s="23" t="str">
        <x:v>RAUL MARTINS DE SOUSA</x:v>
      </x:c>
      <x:c r="V3162" s="22" t="str">
        <x:f>"808.623.812-15"</x:f>
        <x:v>808.623.812-15</x:v>
      </x:c>
      <x:c r="W3162" s="22" t="str">
        <x:f>"80862381215"</x:f>
        <x:v>80862381215</x:v>
      </x:c>
      <x:c r="X3162" s="23" t="str">
        <x:v>Raulmartinsdesousa123@gmail.com</x:v>
      </x:c>
      <x:c r="Y3162" s="22" t="str">
        <x:f>"(65) 9643-3705"</x:f>
        <x:v>(65) 9643-3705</x:v>
      </x:c>
      <x:c r="Z3162" s="30" t="n">
        <x:v>46443</x:v>
      </x:c>
    </x:row>
    <x:row r="3163" ht="18" customHeight="1">
      <x:c r="A3163" s="22" t="str">
        <x:f>"6e3b3f13-f025-48c7-9224-620ff59979b2"</x:f>
        <x:v>6e3b3f13-f025-48c7-9224-620ff59979b2</x:v>
      </x:c>
      <x:c r="B3163" s="23" t="str">
        <x:v>RAVINI CORTES BARBOSA</x:v>
      </x:c>
      <x:c r="C3163" s="23" t="str">
        <x:v>ravini cortes barbosa</x:v>
      </x:c>
      <x:c r="D3163" s="22" t="str">
        <x:f>"53.963.388/0001-92"</x:f>
        <x:v>53.963.388/0001-92</x:v>
      </x:c>
      <x:c r="E3163" s="22" t="str">
        <x:f>"53963388000192"</x:f>
        <x:v>53963388000192</x:v>
      </x:c>
      <x:c r="F3163" s="22" t="str">
        <x:f>"136.128.427-73"</x:f>
        <x:v>136.128.427-73</x:v>
      </x:c>
      <x:c r="G3163" s="22" t="str">
        <x:f>"13612842773"</x:f>
        <x:v>13612842773</x:v>
      </x:c>
      <x:c r="H3163" s="23" t="str">
        <x:v>Ravijmj5@gmail.com</x:v>
      </x:c>
      <x:c r="I3163" s="22" t="str">
        <x:f>"21 97654-5399"</x:f>
        <x:v>21 97654-5399</x:v>
      </x:c>
      <x:c r="J3163" s="23" t="str">
        <x:v>SPOT</x:v>
      </x:c>
      <x:c r="K3163" s="23" t="str">
        <x:v>favored_only</x:v>
      </x:c>
      <x:c r="L3163" s="24" t="b">
        <x:v>1</x:v>
      </x:c>
      <x:c r="M3163" s="23" t="n">
        <x:v>1</x:v>
      </x:c>
      <x:c r="N3163" s="28" t="n">
        <x:v>46203.9219084375</x:v>
      </x:c>
      <x:c r="O3163" s="28" t="n">
        <x:v>46219.812988715275</x:v>
      </x:c>
      <x:c r="P3163" s="23" t="str">
        <x:v>CAMPO GRANDE</x:v>
      </x:c>
      <x:c r="Q3163" s="30" t="n">
        <x:v>32264</x:v>
      </x:c>
      <x:c r="R3163" s="22" t="str">
        <x:f>"249128570"</x:f>
        <x:v>249128570</x:v>
      </x:c>
      <x:c r="S3163" s="23" t="str">
        <x:v>feminino</x:v>
      </x:c>
      <x:c r="T3163" s="22" t="str">
        <x:f>"LUJ3F34"</x:f>
        <x:v>LUJ3F34</x:v>
      </x:c>
      <x:c r="U3163" s="23" t="str">
        <x:v>RAVINI CORTES BARBOSA</x:v>
      </x:c>
      <x:c r="V3163" s="22" t="str">
        <x:f>"136.128.427-73"</x:f>
        <x:v>136.128.427-73</x:v>
      </x:c>
      <x:c r="W3163" s="22" t="str">
        <x:f>"13612842773"</x:f>
        <x:v>13612842773</x:v>
      </x:c>
      <x:c r="X3163" s="23" t="str">
        <x:v>Ravijmj5@gmail.com</x:v>
      </x:c>
      <x:c r="Y3163" s="22" t="str">
        <x:f>"21 97654-5399"</x:f>
        <x:v>21 97654-5399</x:v>
      </x:c>
      <x:c r="Z3163" s="30" t="n">
        <x:v>46393</x:v>
      </x:c>
    </x:row>
    <x:row r="3164" ht="18" customHeight="1">
      <x:c r="A3164" s="22" t="str">
        <x:f>"e2792737-6d00-44bb-a625-7d9435026828"</x:f>
        <x:v>e2792737-6d00-44bb-a625-7d9435026828</x:v>
      </x:c>
      <x:c r="B3164" s="23" t="str">
        <x:v>RAWLINSON CASRTRO LEONEL</x:v>
      </x:c>
      <x:c r="C3164" s="23" t="str">
        <x:v>rawlinson casrtro leonel</x:v>
      </x:c>
      <x:c r="D3164" s="22" t="str">
        <x:f>"57.583.747/0001-37"</x:f>
        <x:v>57.583.747/0001-37</x:v>
      </x:c>
      <x:c r="E3164" s="22" t="str">
        <x:f>"57583747000137"</x:f>
        <x:v>57583747000137</x:v>
      </x:c>
      <x:c r="F3164" s="22" t="str">
        <x:f>"474.583.561-20"</x:f>
        <x:v>474.583.561-20</x:v>
      </x:c>
      <x:c r="G3164" s="22" t="str">
        <x:f>"47458356120"</x:f>
        <x:v>47458356120</x:v>
      </x:c>
      <x:c r="H3164" s="23" t="str">
        <x:v>rawlinsonleonel@gmail.com</x:v>
      </x:c>
      <x:c r="I3164" s="22" t="str">
        <x:f>"65992774150"</x:f>
        <x:v>65992774150</x:v>
      </x:c>
      <x:c r="J3164" s="23" t="str">
        <x:v>spot</x:v>
      </x:c>
      <x:c r="K3164" s="23" t="str">
        <x:v>favored_only</x:v>
      </x:c>
      <x:c r="L3164" s="24" t="b">
        <x:v>1</x:v>
      </x:c>
      <x:c r="M3164" s="23" t="n">
        <x:v>1</x:v>
      </x:c>
      <x:c r="N3164" s="28" t="n">
        <x:v>46219.812988715275</x:v>
      </x:c>
      <x:c r="O3164" s="28" t="n">
        <x:v>46219.812988715275</x:v>
      </x:c>
      <x:c r="P3164" s="23" t="str">
        <x:v>PONTES E LACERDA</x:v>
      </x:c>
      <x:c r="Q3164" s="30" t="n">
        <x:v>26619</x:v>
      </x:c>
      <x:c r="R3164" s="22" t="str">
        <x:f>"714308"</x:f>
        <x:v>714308</x:v>
      </x:c>
      <x:c r="S3164" s="23" t="str">
        <x:v>masculino</x:v>
      </x:c>
      <x:c r="T3164" s="22" t="str">
        <x:f>"NJU5H94"</x:f>
        <x:v>NJU5H94</x:v>
      </x:c>
      <x:c r="U3164" s="23" t="str">
        <x:v>RAWLINSON CASTRO LEONEL</x:v>
      </x:c>
      <x:c r="V3164" s="22" t="str">
        <x:f>"474.583.561-20"</x:f>
        <x:v>474.583.561-20</x:v>
      </x:c>
      <x:c r="W3164" s="22" t="str">
        <x:f>"47458356120"</x:f>
        <x:v>47458356120</x:v>
      </x:c>
      <x:c r="X3164" s="23" t="str">
        <x:v>rawlinsonleonel@gmail.com</x:v>
      </x:c>
      <x:c r="Y3164" s="22" t="str">
        <x:f>"65992774150"</x:f>
        <x:v>65992774150</x:v>
      </x:c>
      <x:c r="Z3164" s="30" t="n">
        <x:v>46519</x:v>
      </x:c>
    </x:row>
    <x:row r="3165" ht="18" customHeight="1">
      <x:c r="A3165" s="22" t="str">
        <x:f>"8fa456c8-8d44-497b-8906-3d9baf231538"</x:f>
        <x:v>8fa456c8-8d44-497b-8906-3d9baf231538</x:v>
      </x:c>
      <x:c r="B3165" s="23" t="str">
        <x:v>RAYANE STEFANIE DE SOUZA DOS ANJOS</x:v>
      </x:c>
      <x:c r="C3165" s="23" t="str">
        <x:v>rayane stefanie de souza dos anjos</x:v>
      </x:c>
      <x:c r="D3165" s="22" t="str">
        <x:f>"53.119.035/0001-00"</x:f>
        <x:v>53.119.035/0001-00</x:v>
      </x:c>
      <x:c r="E3165" s="22" t="str">
        <x:f>"53119035000100"</x:f>
        <x:v>53119035000100</x:v>
      </x:c>
      <x:c r="F3165" s="22" t="str">
        <x:f>"148.470.076-70"</x:f>
        <x:v>148.470.076-70</x:v>
      </x:c>
      <x:c r="G3165" s="22" t="str">
        <x:f>"14847007670"</x:f>
        <x:v>14847007670</x:v>
      </x:c>
      <x:c r="H3165" s="23" t="str">
        <x:v>rayanestefanie4@gmail.com</x:v>
      </x:c>
      <x:c r="I3165" s="22" t="str">
        <x:f>"(33) 99858-8900"</x:f>
        <x:v>(33) 99858-8900</x:v>
      </x:c>
      <x:c r="J3165" s="23" t="str">
        <x:v>SPOT</x:v>
      </x:c>
      <x:c r="K3165" s="23" t="str">
        <x:v>favored_only</x:v>
      </x:c>
      <x:c r="L3165" s="24" t="b">
        <x:v>1</x:v>
      </x:c>
      <x:c r="M3165" s="23" t="n">
        <x:v>1</x:v>
      </x:c>
      <x:c r="N3165" s="28" t="n">
        <x:v>46205.60470008102</x:v>
      </x:c>
      <x:c r="O3165" s="28" t="n">
        <x:v>46219.812988715275</x:v>
      </x:c>
      <x:c r="P3165" s="23" t="str">
        <x:v>GUANHAES</x:v>
      </x:c>
      <x:c r="Q3165" s="30" t="n">
        <x:v>36369</x:v>
      </x:c>
      <x:c r="R3165" s="22" t="str">
        <x:f>"22526875"</x:f>
        <x:v>22526875</x:v>
      </x:c>
      <x:c r="S3165" s="23" t="str">
        <x:v>feminino</x:v>
      </x:c>
      <x:c r="T3165" s="22" t="str">
        <x:f>"NYD2B87"</x:f>
        <x:v>NYD2B87</x:v>
      </x:c>
      <x:c r="U3165" s="23" t="str">
        <x:v>ALEX SALVADOR SILVA BARBOSA</x:v>
      </x:c>
      <x:c r="V3165" s="22" t="str">
        <x:f>"109.864.016-09"</x:f>
        <x:v>109.864.016-09</x:v>
      </x:c>
      <x:c r="W3165" s="22" t="str">
        <x:f>"10986401609"</x:f>
        <x:v>10986401609</x:v>
      </x:c>
      <x:c r="X3165" s="23" t="str">
        <x:v>allex4510@gmail.com</x:v>
      </x:c>
      <x:c r="Y3165" s="22" t="str">
        <x:f>"33999136935"</x:f>
        <x:v>33999136935</x:v>
      </x:c>
      <x:c r="Z3165" s="30" t="n">
        <x:v>46291</x:v>
      </x:c>
    </x:row>
    <x:row r="3166" ht="18" customHeight="1">
      <x:c r="A3166" s="22" t="str">
        <x:f>"7cb10807-4fa2-48e7-b992-6c4c4daee27a"</x:f>
        <x:v>7cb10807-4fa2-48e7-b992-6c4c4daee27a</x:v>
      </x:c>
      <x:c r="B3166" s="23" t="str">
        <x:v>RAYANNA BRANDAO CAMPOS</x:v>
      </x:c>
      <x:c r="C3166" s="23" t="str">
        <x:v>rayanna brandao campos</x:v>
      </x:c>
      <x:c r="D3166" s="22" t="str">
        <x:f>"67.027.034/0001-40"</x:f>
        <x:v>67.027.034/0001-40</x:v>
      </x:c>
      <x:c r="E3166" s="22" t="str">
        <x:f>"67027034000140"</x:f>
        <x:v>67027034000140</x:v>
      </x:c>
      <x:c r="F3166" s="22" t="str">
        <x:f>"006.500.222-97"</x:f>
        <x:v>006.500.222-97</x:v>
      </x:c>
      <x:c r="G3166" s="22" t="str">
        <x:f>"00650022297"</x:f>
        <x:v>00650022297</x:v>
      </x:c>
      <x:c r="H3166" s="23" t="str">
        <x:v>rayannabcampos@gmail.com</x:v>
      </x:c>
      <x:c r="I3166" s="22" t="str">
        <x:f>"+55 95 8405-0008"</x:f>
        <x:v>+55 95 8405-0008</x:v>
      </x:c>
      <x:c r="J3166" s="23" t="str">
        <x:v>SPOT</x:v>
      </x:c>
      <x:c r="K3166" s="23" t="str">
        <x:v>favored_only</x:v>
      </x:c>
      <x:c r="L3166" s="24" t="b">
        <x:v>1</x:v>
      </x:c>
      <x:c r="M3166" s="23" t="n">
        <x:v>1</x:v>
      </x:c>
      <x:c r="N3166" s="28" t="n">
        <x:v>46203.92191240741</x:v>
      </x:c>
      <x:c r="O3166" s="28" t="n">
        <x:v>46205.608917314814</x:v>
      </x:c>
      <x:c r="P3166" s="23" t="str">
        <x:v>SINOP</x:v>
      </x:c>
      <x:c r="Q3166" s="30" t="n">
        <x:v>33499</x:v>
      </x:c>
      <x:c r="R3166" s="22" t="str">
        <x:f>"3281507"</x:f>
        <x:v>3281507</x:v>
      </x:c>
      <x:c r="S3166" s="23" t="str">
        <x:v>Masculino</x:v>
      </x:c>
      <x:c r="T3166" s="22" t="str">
        <x:f>"NAV5C16"</x:f>
        <x:v>NAV5C16</x:v>
      </x:c>
      <x:c r="U3166" s="23" t="str">
        <x:v>RAYANNA BRANDAO CAMPOS</x:v>
      </x:c>
      <x:c r="V3166" s="22" t="str">
        <x:f>"00650022297"</x:f>
        <x:v>00650022297</x:v>
      </x:c>
      <x:c r="W3166" s="22" t="str">
        <x:f>"00650022297"</x:f>
        <x:v>00650022297</x:v>
      </x:c>
      <x:c r="X3166" s="23" t="str">
        <x:v>rayannabcampos@gmail.com</x:v>
      </x:c>
      <x:c r="Y3166" s="22" t="str">
        <x:f>"+55 95 8405-0008"</x:f>
        <x:v>+55 95 8405-0008</x:v>
      </x:c>
      <x:c r="Z3166" s="30" t="n">
        <x:v>46564</x:v>
      </x:c>
    </x:row>
    <x:row r="3167" ht="18" customHeight="1">
      <x:c r="A3167" s="22" t="str">
        <x:f>"74616526-9652-4bdd-965d-d9bf4d9a8789"</x:f>
        <x:v>74616526-9652-4bdd-965d-d9bf4d9a8789</x:v>
      </x:c>
      <x:c r="B3167" s="23" t="str">
        <x:v>rayssa pereira de oliveira breia</x:v>
      </x:c>
      <x:c r="C3167" s="23" t="str">
        <x:v>rayssa pereira de oliveira breia</x:v>
      </x:c>
      <x:c r="D3167" s="22" t="str">
        <x:f>"61.063.708/0001-86"</x:f>
        <x:v>61.063.708/0001-86</x:v>
      </x:c>
      <x:c r="E3167" s="22" t="str">
        <x:f>"61063708000186"</x:f>
        <x:v>61063708000186</x:v>
      </x:c>
      <x:c r="F3167" s="22" t="str">
        <x:f>"17307638711"</x:f>
        <x:v>17307638711</x:v>
      </x:c>
      <x:c r="G3167" s="22" t="str">
        <x:f>"17307638711"</x:f>
        <x:v>17307638711</x:v>
      </x:c>
      <x:c r="H3167" s="23" t="str">
        <x:v>jehosafarock@gmail.com</x:v>
      </x:c>
      <x:c r="I3167" s="22" t="str">
        <x:f>"21973734922"</x:f>
        <x:v>21973734922</x:v>
      </x:c>
      <x:c r="J3167" s="23" t="str">
        <x:v>SPOT</x:v>
      </x:c>
      <x:c r="K3167" s="23" t="str">
        <x:v>favored_only</x:v>
      </x:c>
      <x:c r="L3167" s="24" t="b">
        <x:v>1</x:v>
      </x:c>
      <x:c r="M3167" s="23" t="n">
        <x:v>1</x:v>
      </x:c>
      <x:c r="N3167" s="28" t="n">
        <x:v>46203.92183332176</x:v>
      </x:c>
      <x:c r="O3167" s="28" t="n">
        <x:v>46203.92183332176</x:v>
      </x:c>
      <x:c r="P3167" s="23" t="str"/>
      <x:c r="Q3167" s="30" t="str"/>
      <x:c r="R3167" s="22" t="str"/>
      <x:c r="S3167" s="23" t="str"/>
      <x:c r="T3167" s="22" t="str"/>
      <x:c r="U3167" s="23" t="str">
        <x:v>rayssa pereira de oliveira breia</x:v>
      </x:c>
      <x:c r="V3167" s="22" t="str">
        <x:f>"17307638711"</x:f>
        <x:v>17307638711</x:v>
      </x:c>
      <x:c r="W3167" s="22" t="str">
        <x:f>"17307638711"</x:f>
        <x:v>17307638711</x:v>
      </x:c>
      <x:c r="X3167" s="23" t="str">
        <x:v>jehosafarock@gmail.com</x:v>
      </x:c>
      <x:c r="Y3167" s="22" t="str">
        <x:f>"21973734922"</x:f>
        <x:v>21973734922</x:v>
      </x:c>
      <x:c r="Z3167" s="30" t="str"/>
    </x:row>
    <x:row r="3168" ht="18" customHeight="1">
      <x:c r="A3168" s="22" t="str">
        <x:f>"29b357c0-cf8f-479f-a010-7a7392a54151"</x:f>
        <x:v>29b357c0-cf8f-479f-a010-7a7392a54151</x:v>
      </x:c>
      <x:c r="B3168" s="23" t="str">
        <x:v>REGIANE CRISTINA DE OLIVEIRA FERREIRA</x:v>
      </x:c>
      <x:c r="C3168" s="23" t="str">
        <x:v>regiane cristina de oliveira ferreira</x:v>
      </x:c>
      <x:c r="D3168" s="22" t="str">
        <x:f>"62.735.815/0001-76"</x:f>
        <x:v>62.735.815/0001-76</x:v>
      </x:c>
      <x:c r="E3168" s="22" t="str">
        <x:f>"62735815000176"</x:f>
        <x:v>62735815000176</x:v>
      </x:c>
      <x:c r="F3168" s="22" t="str">
        <x:f>"419.474.278-81"</x:f>
        <x:v>419.474.278-81</x:v>
      </x:c>
      <x:c r="G3168" s="22" t="str">
        <x:f>"41947427881"</x:f>
        <x:v>41947427881</x:v>
      </x:c>
      <x:c r="H3168" s="23" t="str">
        <x:v>Regianenovaes2310@gmail.com</x:v>
      </x:c>
      <x:c r="I3168" s="22" t="str">
        <x:f>"18 99684-2566"</x:f>
        <x:v>18 99684-2566</x:v>
      </x:c>
      <x:c r="J3168" s="23" t="str">
        <x:v>RENTAL</x:v>
      </x:c>
      <x:c r="K3168" s="23" t="str">
        <x:v>rental_company</x:v>
      </x:c>
      <x:c r="L3168" s="24" t="b">
        <x:v>1</x:v>
      </x:c>
      <x:c r="M3168" s="23" t="n">
        <x:v>1</x:v>
      </x:c>
      <x:c r="N3168" s="28" t="n">
        <x:v>46203.92186462963</x:v>
      </x:c>
      <x:c r="O3168" s="28" t="n">
        <x:v>46219.812988715275</x:v>
      </x:c>
      <x:c r="P3168" s="23" t="str">
        <x:v>PRESIDENTE PRUDENTE</x:v>
      </x:c>
      <x:c r="Q3168" s="30" t="n">
        <x:v>33884</x:v>
      </x:c>
      <x:c r="R3168" s="22" t="str">
        <x:f>"50838830"</x:f>
        <x:v>50838830</x:v>
      </x:c>
      <x:c r="S3168" s="23" t="str">
        <x:v>feminino</x:v>
      </x:c>
      <x:c r="T3168" s="22" t="str"/>
      <x:c r="U3168" s="23" t="str">
        <x:v>REGIANE CRISTINA DE OLIVEIRA FERREIRA</x:v>
      </x:c>
      <x:c r="V3168" s="22" t="str">
        <x:f>"419.474.278-81"</x:f>
        <x:v>419.474.278-81</x:v>
      </x:c>
      <x:c r="W3168" s="22" t="str">
        <x:f>"41947427881"</x:f>
        <x:v>41947427881</x:v>
      </x:c>
      <x:c r="X3168" s="23" t="str">
        <x:v>Regianenovaes2310@gmail.com</x:v>
      </x:c>
      <x:c r="Y3168" s="22" t="str">
        <x:f>"18 99684-2566"</x:f>
        <x:v>18 99684-2566</x:v>
      </x:c>
      <x:c r="Z3168" s="30" t="n">
        <x:v>46287</x:v>
      </x:c>
    </x:row>
    <x:row r="3169" ht="18" customHeight="1">
      <x:c r="A3169" s="22" t="str">
        <x:f>"1d7a3b9f-9cbb-401f-b45c-3b59e0745a39"</x:f>
        <x:v>1d7a3b9f-9cbb-401f-b45c-3b59e0745a39</x:v>
      </x:c>
      <x:c r="B3169" s="23" t="str">
        <x:v>REGIANE DE OLIVEIRA</x:v>
      </x:c>
      <x:c r="C3169" s="23" t="str">
        <x:v>regiane de oliveira</x:v>
      </x:c>
      <x:c r="D3169" s="22" t="str">
        <x:f>"58.323.925/0001-53"</x:f>
        <x:v>58.323.925/0001-53</x:v>
      </x:c>
      <x:c r="E3169" s="22" t="str">
        <x:f>"58323925000153"</x:f>
        <x:v>58323925000153</x:v>
      </x:c>
      <x:c r="F3169" s="22" t="str">
        <x:f>"312.075.758-60"</x:f>
        <x:v>312.075.758-60</x:v>
      </x:c>
      <x:c r="G3169" s="22" t="str">
        <x:f>"31207575860"</x:f>
        <x:v>31207575860</x:v>
      </x:c>
      <x:c r="H3169" s="23" t="str">
        <x:v>regianehar@hotmail.com</x:v>
      </x:c>
      <x:c r="I3169" s="22" t="str">
        <x:f>"18 98193-7779"</x:f>
        <x:v>18 98193-7779</x:v>
      </x:c>
      <x:c r="J3169" s="23" t="str">
        <x:v>RENTAL</x:v>
      </x:c>
      <x:c r="K3169" s="23" t="str">
        <x:v>rental_company</x:v>
      </x:c>
      <x:c r="L3169" s="24" t="b">
        <x:v>1</x:v>
      </x:c>
      <x:c r="M3169" s="23" t="n">
        <x:v>1</x:v>
      </x:c>
      <x:c r="N3169" s="28" t="n">
        <x:v>46219.812988715275</x:v>
      </x:c>
      <x:c r="O3169" s="28" t="n">
        <x:v>46219.812988715275</x:v>
      </x:c>
      <x:c r="P3169" s="23" t="str">
        <x:v>PRESIDENTE PRUDENTE</x:v>
      </x:c>
      <x:c r="Q3169" s="30" t="n">
        <x:v>30495</x:v>
      </x:c>
      <x:c r="R3169" s="22" t="str">
        <x:f>"34174866"</x:f>
        <x:v>34174866</x:v>
      </x:c>
      <x:c r="S3169" s="23" t="str">
        <x:v>feminino</x:v>
      </x:c>
      <x:c r="T3169" s="22" t="str"/>
      <x:c r="U3169" s="23" t="str">
        <x:v>REGIANE DE OLIVEIRA</x:v>
      </x:c>
      <x:c r="V3169" s="22" t="str">
        <x:f>"312.075.758-60"</x:f>
        <x:v>312.075.758-60</x:v>
      </x:c>
      <x:c r="W3169" s="22" t="str">
        <x:f>"31207575860"</x:f>
        <x:v>31207575860</x:v>
      </x:c>
      <x:c r="X3169" s="23" t="str">
        <x:v>regianehar@hotmail.com</x:v>
      </x:c>
      <x:c r="Y3169" s="22" t="str">
        <x:f>"18 98193-7779"</x:f>
        <x:v>18 98193-7779</x:v>
      </x:c>
      <x:c r="Z3169" s="30" t="n">
        <x:v>46414</x:v>
      </x:c>
    </x:row>
    <x:row r="3170" ht="18" customHeight="1">
      <x:c r="A3170" s="22" t="str">
        <x:f>"c2b913ec-13b0-4015-9e4f-2dce4540d7e6"</x:f>
        <x:v>c2b913ec-13b0-4015-9e4f-2dce4540d7e6</x:v>
      </x:c>
      <x:c r="B3170" s="23" t="str">
        <x:v>REGINALDO ANTUNES DUARTE</x:v>
      </x:c>
      <x:c r="C3170" s="23" t="str">
        <x:v>reginaldo antunes duarte</x:v>
      </x:c>
      <x:c r="D3170" s="22" t="str">
        <x:f>"61.034.230/0001-66"</x:f>
        <x:v>61.034.230/0001-66</x:v>
      </x:c>
      <x:c r="E3170" s="22" t="str">
        <x:f>"61034230000166"</x:f>
        <x:v>61034230000166</x:v>
      </x:c>
      <x:c r="F3170" s="22" t="str">
        <x:f>"040.033.325-20"</x:f>
        <x:v>040.033.325-20</x:v>
      </x:c>
      <x:c r="G3170" s="22" t="str">
        <x:f>"04003332520"</x:f>
        <x:v>04003332520</x:v>
      </x:c>
      <x:c r="H3170" s="23" t="str">
        <x:v>reginaldoaduarte@gmail.com</x:v>
      </x:c>
      <x:c r="I3170" s="22" t="str">
        <x:f>"(65)992896738"</x:f>
        <x:v>(65)992896738</x:v>
      </x:c>
      <x:c r="J3170" s="23" t="str">
        <x:v>SPOT</x:v>
      </x:c>
      <x:c r="K3170" s="23" t="str">
        <x:v>favored_only</x:v>
      </x:c>
      <x:c r="L3170" s="24" t="b">
        <x:v>1</x:v>
      </x:c>
      <x:c r="M3170" s="23" t="n">
        <x:v>1</x:v>
      </x:c>
      <x:c r="N3170" s="28" t="n">
        <x:v>46205.605031747684</x:v>
      </x:c>
      <x:c r="O3170" s="28" t="n">
        <x:v>46219.812988715275</x:v>
      </x:c>
      <x:c r="P3170" s="23" t="str">
        <x:v>CUIABA</x:v>
      </x:c>
      <x:c r="Q3170" s="30" t="n">
        <x:v>33183</x:v>
      </x:c>
      <x:c r="R3170" s="22" t="str">
        <x:f>"1939660-0"</x:f>
        <x:v>1939660-0</x:v>
      </x:c>
      <x:c r="S3170" s="23" t="str">
        <x:v>masculino</x:v>
      </x:c>
      <x:c r="T3170" s="22" t="str">
        <x:f>"RRW5A71"</x:f>
        <x:v>RRW5A71</x:v>
      </x:c>
      <x:c r="U3170" s="23" t="str">
        <x:v>WANESSA KAROLYNE SOUZA LINO</x:v>
      </x:c>
      <x:c r="V3170" s="22" t="str">
        <x:f>"061.856.251-64"</x:f>
        <x:v>061.856.251-64</x:v>
      </x:c>
      <x:c r="W3170" s="22" t="str">
        <x:f>"06185625164"</x:f>
        <x:v>06185625164</x:v>
      </x:c>
      <x:c r="X3170" s="23" t="str">
        <x:v>wanessakarolyne0@icloud.com</x:v>
      </x:c>
      <x:c r="Y3170" s="22" t="str">
        <x:f>"(65)98471-1107"</x:f>
        <x:v>(65)98471-1107</x:v>
      </x:c>
      <x:c r="Z3170" s="30" t="n">
        <x:v>46308</x:v>
      </x:c>
    </x:row>
    <x:row r="3171" ht="18" customHeight="1">
      <x:c r="A3171" s="22" t="str">
        <x:f>"35129298-52b7-42a3-85be-659aa394c2b3"</x:f>
        <x:v>35129298-52b7-42a3-85be-659aa394c2b3</x:v>
      </x:c>
      <x:c r="B3171" s="23" t="str">
        <x:v>REGINALDO DE ALMEIDA GUEDES</x:v>
      </x:c>
      <x:c r="C3171" s="23" t="str">
        <x:v>reginaldo de almeida guedes</x:v>
      </x:c>
      <x:c r="D3171" s="22" t="str">
        <x:f>"49.993.997/0001-17"</x:f>
        <x:v>49.993.997/0001-17</x:v>
      </x:c>
      <x:c r="E3171" s="22" t="str">
        <x:f>"49993997000117"</x:f>
        <x:v>49993997000117</x:v>
      </x:c>
      <x:c r="F3171" s="22" t="str">
        <x:f>"356.085.308-70"</x:f>
        <x:v>356.085.308-70</x:v>
      </x:c>
      <x:c r="G3171" s="22" t="str">
        <x:f>"35608530870"</x:f>
        <x:v>35608530870</x:v>
      </x:c>
      <x:c r="H3171" s="23" t="str">
        <x:v>regilara333@gmail.com</x:v>
      </x:c>
      <x:c r="I3171" s="22" t="str">
        <x:f>"(14)997494051"</x:f>
        <x:v>(14)997494051</x:v>
      </x:c>
      <x:c r="J3171" s="23" t="str">
        <x:v>RENTAL</x:v>
      </x:c>
      <x:c r="K3171" s="23" t="str">
        <x:v>rental_company</x:v>
      </x:c>
      <x:c r="L3171" s="24" t="b">
        <x:v>1</x:v>
      </x:c>
      <x:c r="M3171" s="23" t="n">
        <x:v>1</x:v>
      </x:c>
      <x:c r="N3171" s="28" t="n">
        <x:v>46219.812988715275</x:v>
      </x:c>
      <x:c r="O3171" s="28" t="n">
        <x:v>46219.812988715275</x:v>
      </x:c>
      <x:c r="P3171" s="23" t="str">
        <x:v>BAURU</x:v>
      </x:c>
      <x:c r="Q3171" s="30" t="n">
        <x:v>31493</x:v>
      </x:c>
      <x:c r="R3171" s="22" t="str">
        <x:f>"41507690-0"</x:f>
        <x:v>41507690-0</x:v>
      </x:c>
      <x:c r="S3171" s="23" t="str">
        <x:v>masculino</x:v>
      </x:c>
      <x:c r="T3171" s="22" t="str"/>
      <x:c r="U3171" s="23" t="str">
        <x:v>REGINALDO DE ALMEIDA GUEDES</x:v>
      </x:c>
      <x:c r="V3171" s="22" t="str">
        <x:f>"356.085.308-70"</x:f>
        <x:v>356.085.308-70</x:v>
      </x:c>
      <x:c r="W3171" s="22" t="str">
        <x:f>"35608530870"</x:f>
        <x:v>35608530870</x:v>
      </x:c>
      <x:c r="X3171" s="23" t="str">
        <x:v>regilara333@gmail.com</x:v>
      </x:c>
      <x:c r="Y3171" s="22" t="str">
        <x:f>"(14)997494051"</x:f>
        <x:v>(14)997494051</x:v>
      </x:c>
      <x:c r="Z3171" s="30" t="n">
        <x:v>46494</x:v>
      </x:c>
    </x:row>
    <x:row r="3172" ht="18" customHeight="1">
      <x:c r="A3172" s="22" t="str">
        <x:f>"9fee72fb-9db0-402f-a8b2-5cd67b5f9a6f"</x:f>
        <x:v>9fee72fb-9db0-402f-a8b2-5cd67b5f9a6f</x:v>
      </x:c>
      <x:c r="B3172" s="23" t="str">
        <x:v>REGINALDO DE MORAIS</x:v>
      </x:c>
      <x:c r="C3172" s="23" t="str">
        <x:v>reginaldo de morais</x:v>
      </x:c>
      <x:c r="D3172" s="22" t="str">
        <x:f>"67.991.986/0001-80"</x:f>
        <x:v>67.991.986/0001-80</x:v>
      </x:c>
      <x:c r="E3172" s="22" t="str">
        <x:f>"67991986000180"</x:f>
        <x:v>67991986000180</x:v>
      </x:c>
      <x:c r="F3172" s="22" t="str">
        <x:f>"001.314.056-67"</x:f>
        <x:v>001.314.056-67</x:v>
      </x:c>
      <x:c r="G3172" s="22" t="str">
        <x:f>"00131405667"</x:f>
        <x:v>00131405667</x:v>
      </x:c>
      <x:c r="H3172" s="23" t="str">
        <x:v>regismoraismorais48@gmail.com</x:v>
      </x:c>
      <x:c r="I3172" s="22" t="str">
        <x:f>"+55 31 8108-6436"</x:f>
        <x:v>+55 31 8108-6436</x:v>
      </x:c>
      <x:c r="J3172" s="23" t="str">
        <x:v>RENTAL</x:v>
      </x:c>
      <x:c r="K3172" s="23" t="str">
        <x:v>rental_company</x:v>
      </x:c>
      <x:c r="L3172" s="24" t="b">
        <x:v>1</x:v>
      </x:c>
      <x:c r="M3172" s="23" t="n">
        <x:v>1</x:v>
      </x:c>
      <x:c r="N3172" s="28" t="n">
        <x:v>46219.812988715275</x:v>
      </x:c>
      <x:c r="O3172" s="28" t="n">
        <x:v>46219.812988715275</x:v>
      </x:c>
      <x:c r="P3172" s="23" t="str">
        <x:v>GUANHAES</x:v>
      </x:c>
      <x:c r="Q3172" s="30" t="n">
        <x:v>27598</x:v>
      </x:c>
      <x:c r="R3172" s="22" t="str">
        <x:f>"7542333"</x:f>
        <x:v>7542333</x:v>
      </x:c>
      <x:c r="S3172" s="23" t="str">
        <x:v>masculino</x:v>
      </x:c>
      <x:c r="T3172" s="22" t="str"/>
      <x:c r="U3172" s="23" t="str">
        <x:v>REGINALDO DE MORAIS</x:v>
      </x:c>
      <x:c r="V3172" s="22" t="str">
        <x:f>"001.314.056-67"</x:f>
        <x:v>001.314.056-67</x:v>
      </x:c>
      <x:c r="W3172" s="22" t="str">
        <x:f>"00131405667"</x:f>
        <x:v>00131405667</x:v>
      </x:c>
      <x:c r="X3172" s="23" t="str">
        <x:v>regismoraismorais48@gmail.com</x:v>
      </x:c>
      <x:c r="Y3172" s="22" t="str">
        <x:f>"+55 31 8108-6436"</x:f>
        <x:v>+55 31 8108-6436</x:v>
      </x:c>
      <x:c r="Z3172" s="30" t="n">
        <x:v>46582</x:v>
      </x:c>
    </x:row>
    <x:row r="3173" ht="18" customHeight="1">
      <x:c r="A3173" s="22" t="str">
        <x:f>"7d85cfdd-dc5b-4742-880c-79b28c17ff9c"</x:f>
        <x:v>7d85cfdd-dc5b-4742-880c-79b28c17ff9c</x:v>
      </x:c>
      <x:c r="B3173" s="23" t="str">
        <x:v>REGINALDO DE SOUSA NASCIMENTO</x:v>
      </x:c>
      <x:c r="C3173" s="23" t="str">
        <x:v>reginaldo de sousa nascimento</x:v>
      </x:c>
      <x:c r="D3173" s="22" t="str">
        <x:f>"41.442.186/0001-16"</x:f>
        <x:v>41.442.186/0001-16</x:v>
      </x:c>
      <x:c r="E3173" s="22" t="str">
        <x:f>"41442186000116"</x:f>
        <x:v>41442186000116</x:v>
      </x:c>
      <x:c r="F3173" s="22" t="str">
        <x:f>"971.189.233-20"</x:f>
        <x:v>971.189.233-20</x:v>
      </x:c>
      <x:c r="G3173" s="22" t="str">
        <x:f>"97118923320"</x:f>
        <x:v>97118923320</x:v>
      </x:c>
      <x:c r="H3173" s="23" t="str">
        <x:v>molekedoido200@gmail.com</x:v>
      </x:c>
      <x:c r="I3173" s="22" t="str">
        <x:f>"(35) 99273-3603"</x:f>
        <x:v>(35) 99273-3603</x:v>
      </x:c>
      <x:c r="J3173" s="23" t="str">
        <x:v>RENTAL</x:v>
      </x:c>
      <x:c r="K3173" s="23" t="str">
        <x:v>rental_company</x:v>
      </x:c>
      <x:c r="L3173" s="24" t="b">
        <x:v>1</x:v>
      </x:c>
      <x:c r="M3173" s="23" t="n">
        <x:v>1</x:v>
      </x:c>
      <x:c r="N3173" s="28" t="n">
        <x:v>46219.812988715275</x:v>
      </x:c>
      <x:c r="O3173" s="28" t="n">
        <x:v>46219.812988715275</x:v>
      </x:c>
      <x:c r="P3173" s="23" t="str">
        <x:v>POUSO ALEGRE</x:v>
      </x:c>
      <x:c r="Q3173" s="30" t="n">
        <x:v>31081</x:v>
      </x:c>
      <x:c r="R3173" s="22" t="str">
        <x:f>"164446120017 SSP MA"</x:f>
        <x:v>164446120017 SSP MA</x:v>
      </x:c>
      <x:c r="S3173" s="23" t="str">
        <x:v>masculino</x:v>
      </x:c>
      <x:c r="T3173" s="22" t="str"/>
      <x:c r="U3173" s="23" t="str">
        <x:v>REGINALDO DE SOUSA NASCIMENTO</x:v>
      </x:c>
      <x:c r="V3173" s="22" t="str">
        <x:f>"971.189.233-20"</x:f>
        <x:v>971.189.233-20</x:v>
      </x:c>
      <x:c r="W3173" s="22" t="str">
        <x:f>"97118923320"</x:f>
        <x:v>97118923320</x:v>
      </x:c>
      <x:c r="X3173" s="23" t="str">
        <x:v>molekedoido200@gmail.com</x:v>
      </x:c>
      <x:c r="Y3173" s="22" t="str">
        <x:f>"(35) 99273-3603"</x:f>
        <x:v>(35) 99273-3603</x:v>
      </x:c>
      <x:c r="Z3173" s="30" t="n">
        <x:v>46578</x:v>
      </x:c>
    </x:row>
    <x:row r="3174" ht="18" customHeight="1">
      <x:c r="A3174" s="22" t="str">
        <x:f>"f649e086-f1b8-4d88-a41c-d4d5a3eaaa94"</x:f>
        <x:v>f649e086-f1b8-4d88-a41c-d4d5a3eaaa94</x:v>
      </x:c>
      <x:c r="B3174" s="23" t="str">
        <x:v>REGINALDO DOS SANTOS SILVA E SILVA</x:v>
      </x:c>
      <x:c r="C3174" s="23" t="str">
        <x:v>reginaldo dos santos silva e silva</x:v>
      </x:c>
      <x:c r="D3174" s="22" t="str">
        <x:f>"63.503.495/0001-91"</x:f>
        <x:v>63.503.495/0001-91</x:v>
      </x:c>
      <x:c r="E3174" s="22" t="str">
        <x:f>"63503495000191"</x:f>
        <x:v>63503495000191</x:v>
      </x:c>
      <x:c r="F3174" s="22" t="str">
        <x:f>"100.027.197-89"</x:f>
        <x:v>100.027.197-89</x:v>
      </x:c>
      <x:c r="G3174" s="22" t="str">
        <x:f>"10002719789"</x:f>
        <x:v>10002719789</x:v>
      </x:c>
      <x:c r="H3174" s="23" t="str">
        <x:v>reginaldosss32@gmail.com</x:v>
      </x:c>
      <x:c r="I3174" s="22" t="str">
        <x:f>"21 99066-6342"</x:f>
        <x:v>21 99066-6342</x:v>
      </x:c>
      <x:c r="J3174" s="23" t="str">
        <x:v>SPOT</x:v>
      </x:c>
      <x:c r="K3174" s="23" t="str">
        <x:v>favored_only</x:v>
      </x:c>
      <x:c r="L3174" s="24" t="b">
        <x:v>1</x:v>
      </x:c>
      <x:c r="M3174" s="23" t="n">
        <x:v>1</x:v>
      </x:c>
      <x:c r="N3174" s="28" t="n">
        <x:v>46203.921887453704</x:v>
      </x:c>
      <x:c r="O3174" s="28" t="n">
        <x:v>46219.812988715275</x:v>
      </x:c>
      <x:c r="P3174" s="23" t="str">
        <x:v>CORDOVIL</x:v>
      </x:c>
      <x:c r="Q3174" s="30" t="n">
        <x:v>30081</x:v>
      </x:c>
      <x:c r="R3174" s="22" t="str">
        <x:f>"204571434"</x:f>
        <x:v>204571434</x:v>
      </x:c>
      <x:c r="S3174" s="23" t="str">
        <x:v>masculino</x:v>
      </x:c>
      <x:c r="T3174" s="22" t="str">
        <x:f>"KNW5182"</x:f>
        <x:v>KNW5182</x:v>
      </x:c>
      <x:c r="U3174" s="23" t="str">
        <x:v>REGINALDO DOS SANTOS SILVA E SILVA</x:v>
      </x:c>
      <x:c r="V3174" s="22" t="str">
        <x:f>"100.027.197-89"</x:f>
        <x:v>100.027.197-89</x:v>
      </x:c>
      <x:c r="W3174" s="22" t="str">
        <x:f>"10002719789"</x:f>
        <x:v>10002719789</x:v>
      </x:c>
      <x:c r="X3174" s="23" t="str">
        <x:v>reginaldosss32@gmail.com</x:v>
      </x:c>
      <x:c r="Y3174" s="22" t="str">
        <x:f>"21 99066-6342"</x:f>
        <x:v>21 99066-6342</x:v>
      </x:c>
      <x:c r="Z3174" s="30" t="n">
        <x:v>46332</x:v>
      </x:c>
    </x:row>
    <x:row r="3175" ht="18" customHeight="1">
      <x:c r="A3175" s="22" t="str">
        <x:f>"9b667276-0af7-4d0b-865f-7f2404a26767"</x:f>
        <x:v>9b667276-0af7-4d0b-865f-7f2404a26767</x:v>
      </x:c>
      <x:c r="B3175" s="23" t="str">
        <x:v>REINALDO APARECIDO CARDOSO</x:v>
      </x:c>
      <x:c r="C3175" s="23" t="str">
        <x:v>reinaldo aparecido cardoso</x:v>
      </x:c>
      <x:c r="D3175" s="22" t="str">
        <x:f>"67.611.140/0001-77"</x:f>
        <x:v>67.611.140/0001-77</x:v>
      </x:c>
      <x:c r="E3175" s="22" t="str">
        <x:f>"67611140000177"</x:f>
        <x:v>67611140000177</x:v>
      </x:c>
      <x:c r="F3175" s="22" t="str">
        <x:f>"327.408.028-46"</x:f>
        <x:v>327.408.028-46</x:v>
      </x:c>
      <x:c r="G3175" s="22" t="str">
        <x:f>"32740802846"</x:f>
        <x:v>32740802846</x:v>
      </x:c>
      <x:c r="H3175" s="23" t="str">
        <x:v>cardosoinfo2@gmail.com</x:v>
      </x:c>
      <x:c r="I3175" s="22" t="str">
        <x:f>"18998026978"</x:f>
        <x:v>18998026978</x:v>
      </x:c>
      <x:c r="J3175" s="23" t="str">
        <x:v>SPOT</x:v>
      </x:c>
      <x:c r="K3175" s="23" t="str">
        <x:v>favored_only</x:v>
      </x:c>
      <x:c r="L3175" s="24" t="b">
        <x:v>1</x:v>
      </x:c>
      <x:c r="M3175" s="23" t="n">
        <x:v>1</x:v>
      </x:c>
      <x:c r="N3175" s="28" t="n">
        <x:v>46219.812988715275</x:v>
      </x:c>
      <x:c r="O3175" s="28" t="n">
        <x:v>46219.812988715275</x:v>
      </x:c>
      <x:c r="P3175" s="23" t="str">
        <x:v>PRESIDENTE PRUDENTE</x:v>
      </x:c>
      <x:c r="Q3175" s="30" t="n">
        <x:v>30902</x:v>
      </x:c>
      <x:c r="R3175" s="22" t="str">
        <x:f>"40016449-8"</x:f>
        <x:v>40016449-8</x:v>
      </x:c>
      <x:c r="S3175" s="23" t="str">
        <x:v>masculino</x:v>
      </x:c>
      <x:c r="T3175" s="22" t="str">
        <x:f>"EVS-4A86"</x:f>
        <x:v>EVS-4A86</x:v>
      </x:c>
      <x:c r="U3175" s="23" t="str">
        <x:v>REINALDO APARECIDO CARDOSO</x:v>
      </x:c>
      <x:c r="V3175" s="22" t="str">
        <x:f>"327.408.028-46"</x:f>
        <x:v>327.408.028-46</x:v>
      </x:c>
      <x:c r="W3175" s="22" t="str">
        <x:f>"32740802846"</x:f>
        <x:v>32740802846</x:v>
      </x:c>
      <x:c r="X3175" s="23" t="str">
        <x:v>cardosoinfo2@gmail.com</x:v>
      </x:c>
      <x:c r="Y3175" s="22" t="str">
        <x:f>"18998026978"</x:f>
        <x:v>18998026978</x:v>
      </x:c>
      <x:c r="Z3175" s="30" t="n">
        <x:v>46564</x:v>
      </x:c>
    </x:row>
    <x:row r="3176" ht="18" customHeight="1">
      <x:c r="A3176" s="22" t="str">
        <x:f>"b8089053-cc8b-4491-94c2-0a450d5b8703"</x:f>
        <x:v>b8089053-cc8b-4491-94c2-0a450d5b8703</x:v>
      </x:c>
      <x:c r="B3176" s="23" t="str">
        <x:v>REINALDO CORSI LEITE</x:v>
      </x:c>
      <x:c r="C3176" s="23" t="str">
        <x:v>reinaldo corsi leite</x:v>
      </x:c>
      <x:c r="D3176" s="22" t="str">
        <x:f>"52769987000107"</x:f>
        <x:v>52769987000107</x:v>
      </x:c>
      <x:c r="E3176" s="22" t="str">
        <x:f>"52769987000107"</x:f>
        <x:v>52769987000107</x:v>
      </x:c>
      <x:c r="F3176" s="22" t="str">
        <x:f>"01536411698"</x:f>
        <x:v>01536411698</x:v>
      </x:c>
      <x:c r="G3176" s="22" t="str">
        <x:f>"01536411698"</x:f>
        <x:v>01536411698</x:v>
      </x:c>
      <x:c r="H3176" s="23" t="str">
        <x:v>reinaldocorsi@hotmail.com</x:v>
      </x:c>
      <x:c r="I3176" s="22" t="str">
        <x:f>"35991579570"</x:f>
        <x:v>35991579570</x:v>
      </x:c>
      <x:c r="J3176" s="23" t="str">
        <x:v>SPOT</x:v>
      </x:c>
      <x:c r="K3176" s="23" t="str">
        <x:v>favored_only</x:v>
      </x:c>
      <x:c r="L3176" s="24" t="b">
        <x:v>1</x:v>
      </x:c>
      <x:c r="M3176" s="23" t="n">
        <x:v>5</x:v>
      </x:c>
      <x:c r="N3176" s="28" t="n">
        <x:v>46203.921840393516</x:v>
      </x:c>
      <x:c r="O3176" s="28" t="n">
        <x:v>46203.921840393516</x:v>
      </x:c>
      <x:c r="P3176" s="23" t="str"/>
      <x:c r="Q3176" s="30" t="str"/>
      <x:c r="R3176" s="22" t="str"/>
      <x:c r="S3176" s="23" t="str"/>
      <x:c r="T3176" s="22" t="str"/>
      <x:c r="U3176" s="23" t="str">
        <x:v>REINALDO CORSI LEITE</x:v>
      </x:c>
      <x:c r="V3176" s="22" t="str">
        <x:f>"01536411698"</x:f>
        <x:v>01536411698</x:v>
      </x:c>
      <x:c r="W3176" s="22" t="str">
        <x:f>"01536411698"</x:f>
        <x:v>01536411698</x:v>
      </x:c>
      <x:c r="X3176" s="23" t="str">
        <x:v>reinaldocorsi@hotmail.com</x:v>
      </x:c>
      <x:c r="Y3176" s="22" t="str">
        <x:f>"35991579570"</x:f>
        <x:v>35991579570</x:v>
      </x:c>
      <x:c r="Z3176" s="30" t="str"/>
    </x:row>
    <x:row r="3177" ht="18" customHeight="1">
      <x:c r="A3177" s="22" t="str">
        <x:f>"2b24664d-d5e9-454a-bf20-5258c3fa330f"</x:f>
        <x:v>2b24664d-d5e9-454a-bf20-5258c3fa330f</x:v>
      </x:c>
      <x:c r="B3177" s="23" t="str">
        <x:v>REINALDO DE ALMEIDA GUIMARAES</x:v>
      </x:c>
      <x:c r="C3177" s="23" t="str">
        <x:v>reinaldo de almeida guimaraes</x:v>
      </x:c>
      <x:c r="D3177" s="22" t="str">
        <x:f>"62.044.203/0001-37"</x:f>
        <x:v>62.044.203/0001-37</x:v>
      </x:c>
      <x:c r="E3177" s="22" t="str">
        <x:f>"62044203000137"</x:f>
        <x:v>62044203000137</x:v>
      </x:c>
      <x:c r="F3177" s="22" t="str">
        <x:f>"114.182.967-32"</x:f>
        <x:v>114.182.967-32</x:v>
      </x:c>
      <x:c r="G3177" s="22" t="str">
        <x:f>"11418296732"</x:f>
        <x:v>11418296732</x:v>
      </x:c>
      <x:c r="H3177" s="23" t="str">
        <x:v>reinaldoalmeida8@yahoo.com.br</x:v>
      </x:c>
      <x:c r="I3177" s="22" t="str">
        <x:f>"21983939092"</x:f>
        <x:v>21983939092</x:v>
      </x:c>
      <x:c r="J3177" s="23" t="str">
        <x:v>SPOT</x:v>
      </x:c>
      <x:c r="K3177" s="23" t="str">
        <x:v>favored_only</x:v>
      </x:c>
      <x:c r="L3177" s="24" t="b">
        <x:v>1</x:v>
      </x:c>
      <x:c r="M3177" s="23" t="n">
        <x:v>1</x:v>
      </x:c>
      <x:c r="N3177" s="28" t="n">
        <x:v>46219.812988715275</x:v>
      </x:c>
      <x:c r="O3177" s="28" t="n">
        <x:v>46219.812988715275</x:v>
      </x:c>
      <x:c r="P3177" s="23" t="str">
        <x:v>CAMPO GRANDE</x:v>
      </x:c>
      <x:c r="Q3177" s="30" t="n">
        <x:v>31329</x:v>
      </x:c>
      <x:c r="R3177" s="22" t="str">
        <x:f>"204567838"</x:f>
        <x:v>204567838</x:v>
      </x:c>
      <x:c r="S3177" s="23" t="str">
        <x:v>masculino</x:v>
      </x:c>
      <x:c r="T3177" s="22" t="str">
        <x:f>"KVZ1844"</x:f>
        <x:v>KVZ1844</x:v>
      </x:c>
      <x:c r="U3177" s="23" t="str">
        <x:v>REINALDO DE ALMEIDA GUIMARAES</x:v>
      </x:c>
      <x:c r="V3177" s="22" t="str">
        <x:f>"114.182.967-32"</x:f>
        <x:v>114.182.967-32</x:v>
      </x:c>
      <x:c r="W3177" s="22" t="str">
        <x:f>"11418296732"</x:f>
        <x:v>11418296732</x:v>
      </x:c>
      <x:c r="X3177" s="23" t="str">
        <x:v>reinaldoalmeida8@yahoo.com.br</x:v>
      </x:c>
      <x:c r="Y3177" s="22" t="str">
        <x:f>"21983939092"</x:f>
        <x:v>21983939092</x:v>
      </x:c>
      <x:c r="Z3177" s="30" t="n">
        <x:v>46473</x:v>
      </x:c>
    </x:row>
    <x:row r="3178" ht="18" customHeight="1">
      <x:c r="A3178" s="22" t="str">
        <x:f>"2139a47f-8668-4cb5-90c9-55f2b2d0eba8"</x:f>
        <x:v>2139a47f-8668-4cb5-90c9-55f2b2d0eba8</x:v>
      </x:c>
      <x:c r="B3178" s="23" t="str">
        <x:v>REINALDO LUIZ DE SOUZA</x:v>
      </x:c>
      <x:c r="C3178" s="23" t="str">
        <x:v>reinaldo luiz de souza</x:v>
      </x:c>
      <x:c r="D3178" s="22" t="str">
        <x:f>"62.118.142/0001-05"</x:f>
        <x:v>62.118.142/0001-05</x:v>
      </x:c>
      <x:c r="E3178" s="22" t="str">
        <x:f>"62118142000105"</x:f>
        <x:v>62118142000105</x:v>
      </x:c>
      <x:c r="F3178" s="22" t="str">
        <x:f>"043.506.976-40"</x:f>
        <x:v>043.506.976-40</x:v>
      </x:c>
      <x:c r="G3178" s="22" t="str">
        <x:f>"04350697640"</x:f>
        <x:v>04350697640</x:v>
      </x:c>
      <x:c r="H3178" s="23" t="str">
        <x:v>reinaldoagricolino@hotmail.com</x:v>
      </x:c>
      <x:c r="I3178" s="22" t="str">
        <x:f>"34998730140"</x:f>
        <x:v>34998730140</x:v>
      </x:c>
      <x:c r="J3178" s="23" t="str">
        <x:v>SPOT</x:v>
      </x:c>
      <x:c r="K3178" s="23" t="str">
        <x:v>favored_only</x:v>
      </x:c>
      <x:c r="L3178" s="24" t="b">
        <x:v>1</x:v>
      </x:c>
      <x:c r="M3178" s="23" t="n">
        <x:v>1</x:v>
      </x:c>
      <x:c r="N3178" s="28" t="n">
        <x:v>46219.812988715275</x:v>
      </x:c>
      <x:c r="O3178" s="28" t="n">
        <x:v>46219.812988715275</x:v>
      </x:c>
      <x:c r="P3178" s="23" t="str">
        <x:v>PATOS DE MINAS</x:v>
      </x:c>
      <x:c r="Q3178" s="30" t="n">
        <x:v>28417</x:v>
      </x:c>
      <x:c r="R3178" s="22" t="str">
        <x:f>"394493229 SSP"</x:f>
        <x:v>394493229 SSP</x:v>
      </x:c>
      <x:c r="S3178" s="23" t="str">
        <x:v>masculino</x:v>
      </x:c>
      <x:c r="T3178" s="22" t="str">
        <x:f>"PXK2A06"</x:f>
        <x:v>PXK2A06</x:v>
      </x:c>
      <x:c r="U3178" s="23" t="str">
        <x:v>MAYCON DOUGLAS DONISETE</x:v>
      </x:c>
      <x:c r="V3178" s="22" t="str">
        <x:f>"141.018.496-09"</x:f>
        <x:v>141.018.496-09</x:v>
      </x:c>
      <x:c r="W3178" s="22" t="str">
        <x:f>"14101849609"</x:f>
        <x:v>14101849609</x:v>
      </x:c>
      <x:c r="X3178" s="23" t="str">
        <x:v>maycondougllasa28@gmail.com</x:v>
      </x:c>
      <x:c r="Y3178" s="22" t="str">
        <x:f>"34 9198-4760"</x:f>
        <x:v>34 9198-4760</x:v>
      </x:c>
      <x:c r="Z3178" s="30" t="n">
        <x:v>46533</x:v>
      </x:c>
    </x:row>
    <x:row r="3179" ht="18" customHeight="1">
      <x:c r="A3179" s="22" t="str">
        <x:f>"7be58fdc-d4e5-4d42-a04e-ea91bbe49954"</x:f>
        <x:v>7be58fdc-d4e5-4d42-a04e-ea91bbe49954</x:v>
      </x:c>
      <x:c r="B3179" s="23" t="str">
        <x:v>REJANNE MALTA RODRIGUES</x:v>
      </x:c>
      <x:c r="C3179" s="23" t="str">
        <x:v>rejanne malta rodrigues</x:v>
      </x:c>
      <x:c r="D3179" s="22" t="str">
        <x:f>"49.942.404/0001-93"</x:f>
        <x:v>49.942.404/0001-93</x:v>
      </x:c>
      <x:c r="E3179" s="22" t="str">
        <x:f>"49942404000193"</x:f>
        <x:v>49942404000193</x:v>
      </x:c>
      <x:c r="F3179" s="22" t="str">
        <x:f>"139.240.766-42"</x:f>
        <x:v>139.240.766-42</x:v>
      </x:c>
      <x:c r="G3179" s="22" t="str">
        <x:f>"13924076642"</x:f>
        <x:v>13924076642</x:v>
      </x:c>
      <x:c r="H3179" s="23" t="str">
        <x:v>regemalta@gmail.com</x:v>
      </x:c>
      <x:c r="I3179" s="22" t="str">
        <x:f>"31 98403-6553"</x:f>
        <x:v>31 98403-6553</x:v>
      </x:c>
      <x:c r="J3179" s="23" t="str">
        <x:v>SPOT</x:v>
      </x:c>
      <x:c r="K3179" s="23" t="str">
        <x:v>favored_only</x:v>
      </x:c>
      <x:c r="L3179" s="24" t="b">
        <x:v>1</x:v>
      </x:c>
      <x:c r="M3179" s="23" t="n">
        <x:v>1</x:v>
      </x:c>
      <x:c r="N3179" s="28" t="n">
        <x:v>46205.60381634259</x:v>
      </x:c>
      <x:c r="O3179" s="28" t="n">
        <x:v>46219.812988715275</x:v>
      </x:c>
      <x:c r="P3179" s="23" t="str">
        <x:v>BARUERI</x:v>
      </x:c>
      <x:c r="Q3179" s="30" t="n">
        <x:v>43402</x:v>
      </x:c>
      <x:c r="R3179" s="22" t="str">
        <x:f>"20687689"</x:f>
        <x:v>20687689</x:v>
      </x:c>
      <x:c r="S3179" s="23" t="str">
        <x:v>feminino</x:v>
      </x:c>
      <x:c r="T3179" s="22" t="str">
        <x:f>"AOH8F33"</x:f>
        <x:v>AOH8F33</x:v>
      </x:c>
      <x:c r="U3179" s="23" t="str">
        <x:v>49.942.404 MATHEUS BATISTA GONCALVES</x:v>
      </x:c>
      <x:c r="V3179" s="22" t="str">
        <x:f>"445.477.028-02"</x:f>
        <x:v>445.477.028-02</x:v>
      </x:c>
      <x:c r="W3179" s="22" t="str">
        <x:f>"44547702802"</x:f>
        <x:v>44547702802</x:v>
      </x:c>
      <x:c r="X3179" s="23" t="str">
        <x:v>matheuslhp13@gmail.com</x:v>
      </x:c>
      <x:c r="Y3179" s="22" t="str">
        <x:f>"11 97133-3748"</x:f>
        <x:v>11 97133-3748</x:v>
      </x:c>
      <x:c r="Z3179" s="30" t="n">
        <x:v>46242</x:v>
      </x:c>
    </x:row>
    <x:row r="3180" ht="18" customHeight="1">
      <x:c r="A3180" s="22" t="str">
        <x:f>"b5bee86b-21cc-4426-a380-e6d2c7efa98f"</x:f>
        <x:v>b5bee86b-21cc-4426-a380-e6d2c7efa98f</x:v>
      </x:c>
      <x:c r="B3180" s="23" t="str">
        <x:v>RENALTY ALMEIDA DE OLIVEIRA</x:v>
      </x:c>
      <x:c r="C3180" s="23" t="str">
        <x:v>renalty almeida de oliveira</x:v>
      </x:c>
      <x:c r="D3180" s="22" t="str">
        <x:f>"62.257.473/0001-26"</x:f>
        <x:v>62.257.473/0001-26</x:v>
      </x:c>
      <x:c r="E3180" s="22" t="str">
        <x:f>"62257473000126"</x:f>
        <x:v>62257473000126</x:v>
      </x:c>
      <x:c r="F3180" s="22" t="str">
        <x:f>"079.085.231-45"</x:f>
        <x:v>079.085.231-45</x:v>
      </x:c>
      <x:c r="G3180" s="22" t="str">
        <x:f>"07908523145"</x:f>
        <x:v>07908523145</x:v>
      </x:c>
      <x:c r="H3180" s="23" t="str">
        <x:v>almeidarenalty54@gmail.com</x:v>
      </x:c>
      <x:c r="I3180" s="22" t="str">
        <x:f>"65 98111-8071"</x:f>
        <x:v>65 98111-8071</x:v>
      </x:c>
      <x:c r="J3180" s="23" t="str">
        <x:v>SPOT</x:v>
      </x:c>
      <x:c r="K3180" s="23" t="str">
        <x:v>favored_only</x:v>
      </x:c>
      <x:c r="L3180" s="24" t="b">
        <x:v>1</x:v>
      </x:c>
      <x:c r="M3180" s="23" t="n">
        <x:v>1</x:v>
      </x:c>
      <x:c r="N3180" s="28" t="n">
        <x:v>46219.812988715275</x:v>
      </x:c>
      <x:c r="O3180" s="28" t="n">
        <x:v>46219.812988715275</x:v>
      </x:c>
      <x:c r="P3180" s="23" t="str">
        <x:v>CUIABA</x:v>
      </x:c>
      <x:c r="Q3180" s="30" t="n">
        <x:v>37600</x:v>
      </x:c>
      <x:c r="R3180" s="22" t="str">
        <x:f>"30445230"</x:f>
        <x:v>30445230</x:v>
      </x:c>
      <x:c r="S3180" s="23" t="str">
        <x:v>masculino</x:v>
      </x:c>
      <x:c r="T3180" s="22" t="str">
        <x:f>"GAS4H75"</x:f>
        <x:v>GAS4H75</x:v>
      </x:c>
      <x:c r="U3180" s="23" t="str">
        <x:v>RENALTY ALMEIDA DE OLIVEIRA</x:v>
      </x:c>
      <x:c r="V3180" s="22" t="str">
        <x:f>"079.085.231-45"</x:f>
        <x:v>079.085.231-45</x:v>
      </x:c>
      <x:c r="W3180" s="22" t="str">
        <x:f>"07908523145"</x:f>
        <x:v>07908523145</x:v>
      </x:c>
      <x:c r="X3180" s="23" t="str">
        <x:v>almeidarenalty54@gmail.com</x:v>
      </x:c>
      <x:c r="Y3180" s="22" t="str">
        <x:f>"65 98111-8071"</x:f>
        <x:v>65 98111-8071</x:v>
      </x:c>
      <x:c r="Z3180" s="30" t="n">
        <x:v>46463</x:v>
      </x:c>
    </x:row>
    <x:row r="3181" ht="18" customHeight="1">
      <x:c r="A3181" s="22" t="str">
        <x:f>"9d133347-632b-4dd3-b5ef-6e7c3ad66a40"</x:f>
        <x:v>9d133347-632b-4dd3-b5ef-6e7c3ad66a40</x:v>
      </x:c>
      <x:c r="B3181" s="23" t="str">
        <x:v>RENAN BARRETO AZEVEDO</x:v>
      </x:c>
      <x:c r="C3181" s="23" t="str">
        <x:v>renan barreto azevedo</x:v>
      </x:c>
      <x:c r="D3181" s="22" t="str">
        <x:f>"55.272.737/0001-55"</x:f>
        <x:v>55.272.737/0001-55</x:v>
      </x:c>
      <x:c r="E3181" s="22" t="str">
        <x:f>"55272737000155"</x:f>
        <x:v>55272737000155</x:v>
      </x:c>
      <x:c r="F3181" s="22" t="str">
        <x:f>"13652307755"</x:f>
        <x:v>13652307755</x:v>
      </x:c>
      <x:c r="G3181" s="22" t="str">
        <x:f>"13652307755"</x:f>
        <x:v>13652307755</x:v>
      </x:c>
      <x:c r="H3181" s="23" t="str">
        <x:v>renanazevedobarreto@hotmail.com</x:v>
      </x:c>
      <x:c r="I3181" s="22" t="str">
        <x:f>"22 998400329"</x:f>
        <x:v>22 998400329</x:v>
      </x:c>
      <x:c r="J3181" s="23" t="str">
        <x:v>SPOT</x:v>
      </x:c>
      <x:c r="K3181" s="23" t="str">
        <x:v>favored_only</x:v>
      </x:c>
      <x:c r="L3181" s="24" t="b">
        <x:v>1</x:v>
      </x:c>
      <x:c r="M3181" s="23" t="n">
        <x:v>1</x:v>
      </x:c>
      <x:c r="N3181" s="28" t="n">
        <x:v>46203.9219084375</x:v>
      </x:c>
      <x:c r="O3181" s="28" t="n">
        <x:v>46203.9219084375</x:v>
      </x:c>
      <x:c r="P3181" s="23" t="str"/>
      <x:c r="Q3181" s="30" t="str"/>
      <x:c r="R3181" s="22" t="str"/>
      <x:c r="S3181" s="23" t="str"/>
      <x:c r="T3181" s="22" t="str"/>
      <x:c r="U3181" s="23" t="str">
        <x:v>RENAN BARRETO AZEVEDO</x:v>
      </x:c>
      <x:c r="V3181" s="22" t="str">
        <x:f>"13652307755"</x:f>
        <x:v>13652307755</x:v>
      </x:c>
      <x:c r="W3181" s="22" t="str">
        <x:f>"13652307755"</x:f>
        <x:v>13652307755</x:v>
      </x:c>
      <x:c r="X3181" s="23" t="str">
        <x:v>renanazevedobarreto@hotmail.com</x:v>
      </x:c>
      <x:c r="Y3181" s="22" t="str">
        <x:f>"22 998400329"</x:f>
        <x:v>22 998400329</x:v>
      </x:c>
      <x:c r="Z3181" s="30" t="str"/>
    </x:row>
    <x:row r="3182" ht="18" customHeight="1">
      <x:c r="A3182" s="22" t="str">
        <x:f>"1e22ad25-8caf-499c-a8b2-c75e11e8b4f3"</x:f>
        <x:v>1e22ad25-8caf-499c-a8b2-c75e11e8b4f3</x:v>
      </x:c>
      <x:c r="B3182" s="23" t="str">
        <x:v>RENAN BRAGA GUALBERTO</x:v>
      </x:c>
      <x:c r="C3182" s="23" t="str">
        <x:v>renan braga gualberto</x:v>
      </x:c>
      <x:c r="D3182" s="22" t="str">
        <x:f>"60.880.014/0001-79"</x:f>
        <x:v>60.880.014/0001-79</x:v>
      </x:c>
      <x:c r="E3182" s="22" t="str">
        <x:f>"60880014000179"</x:f>
        <x:v>60880014000179</x:v>
      </x:c>
      <x:c r="F3182" s="22" t="str">
        <x:f>"721.532.026-04"</x:f>
        <x:v>721.532.026-04</x:v>
      </x:c>
      <x:c r="G3182" s="22" t="str">
        <x:f>"72153202604"</x:f>
        <x:v>72153202604</x:v>
      </x:c>
      <x:c r="H3182" s="23" t="str">
        <x:v>renanbraga1.uber@gmail.com</x:v>
      </x:c>
      <x:c r="I3182" s="22" t="str">
        <x:f>"31986070451"</x:f>
        <x:v>31986070451</x:v>
      </x:c>
      <x:c r="J3182" s="23" t="str">
        <x:v>SPOT</x:v>
      </x:c>
      <x:c r="K3182" s="23" t="str">
        <x:v>favored_only</x:v>
      </x:c>
      <x:c r="L3182" s="24" t="b">
        <x:v>1</x:v>
      </x:c>
      <x:c r="M3182" s="23" t="n">
        <x:v>2</x:v>
      </x:c>
      <x:c r="N3182" s="28" t="n">
        <x:v>46203.921852962965</x:v>
      </x:c>
      <x:c r="O3182" s="28" t="n">
        <x:v>46219.812988715275</x:v>
      </x:c>
      <x:c r="P3182" s="23" t="str">
        <x:v>CONTAGEM</x:v>
      </x:c>
      <x:c r="Q3182" s="30" t="n">
        <x:v>24833</x:v>
      </x:c>
      <x:c r="R3182" s="22" t="str">
        <x:f>"3764249"</x:f>
        <x:v>3764249</x:v>
      </x:c>
      <x:c r="S3182" s="23" t="str">
        <x:v>masculino</x:v>
      </x:c>
      <x:c r="T3182" s="22" t="str">
        <x:f>"DVJ3085"</x:f>
        <x:v>DVJ3085</x:v>
      </x:c>
      <x:c r="U3182" s="23" t="str">
        <x:v>RENAN BRAGA GUALBERTO</x:v>
      </x:c>
      <x:c r="V3182" s="22" t="str">
        <x:f>"721.532.026-04"</x:f>
        <x:v>721.532.026-04</x:v>
      </x:c>
      <x:c r="W3182" s="22" t="str">
        <x:f>"72153202604"</x:f>
        <x:v>72153202604</x:v>
      </x:c>
      <x:c r="X3182" s="23" t="str">
        <x:v>renanbraga1.uber@gmail.com</x:v>
      </x:c>
      <x:c r="Y3182" s="22" t="str">
        <x:f>"31986070451"</x:f>
        <x:v>31986070451</x:v>
      </x:c>
      <x:c r="Z3182" s="30" t="n">
        <x:v>46253</x:v>
      </x:c>
    </x:row>
    <x:row r="3183" ht="18" customHeight="1">
      <x:c r="A3183" s="22" t="str">
        <x:f>"4a59cd05-33cd-4d4b-a49c-f7c0f236eaf4"</x:f>
        <x:v>4a59cd05-33cd-4d4b-a49c-f7c0f236eaf4</x:v>
      </x:c>
      <x:c r="B3183" s="23" t="str">
        <x:v>RENAN CAETANO DE SOUZA</x:v>
      </x:c>
      <x:c r="C3183" s="23" t="str">
        <x:v>renan caetano de souza</x:v>
      </x:c>
      <x:c r="D3183" s="22" t="str">
        <x:f>"64.035.852/0001-05"</x:f>
        <x:v>64.035.852/0001-05</x:v>
      </x:c>
      <x:c r="E3183" s="22" t="str">
        <x:f>"64035852000105"</x:f>
        <x:v>64035852000105</x:v>
      </x:c>
      <x:c r="F3183" s="22" t="str">
        <x:f>"15596541710"</x:f>
        <x:v>15596541710</x:v>
      </x:c>
      <x:c r="G3183" s="22" t="str">
        <x:f>"15596541710"</x:f>
        <x:v>15596541710</x:v>
      </x:c>
      <x:c r="H3183" s="23" t="str">
        <x:v>rncaetano021@gmail.com</x:v>
      </x:c>
      <x:c r="I3183" s="22" t="str">
        <x:f>"21 99348-5303"</x:f>
        <x:v>21 99348-5303</x:v>
      </x:c>
      <x:c r="J3183" s="23" t="str">
        <x:v>SPOT</x:v>
      </x:c>
      <x:c r="K3183" s="23" t="str">
        <x:v>favored_only</x:v>
      </x:c>
      <x:c r="L3183" s="24" t="b">
        <x:v>1</x:v>
      </x:c>
      <x:c r="M3183" s="23" t="n">
        <x:v>2</x:v>
      </x:c>
      <x:c r="N3183" s="28" t="n">
        <x:v>46203.921904421295</x:v>
      </x:c>
      <x:c r="O3183" s="28" t="n">
        <x:v>46203.921904421295</x:v>
      </x:c>
      <x:c r="P3183" s="23" t="str"/>
      <x:c r="Q3183" s="30" t="str"/>
      <x:c r="R3183" s="22" t="str"/>
      <x:c r="S3183" s="23" t="str"/>
      <x:c r="T3183" s="22" t="str"/>
      <x:c r="U3183" s="23" t="str">
        <x:v>RENAN CAETANO DE SOUZA</x:v>
      </x:c>
      <x:c r="V3183" s="22" t="str">
        <x:f>"155.965.417-10"</x:f>
        <x:v>155.965.417-10</x:v>
      </x:c>
      <x:c r="W3183" s="22" t="str">
        <x:f>"15596541710"</x:f>
        <x:v>15596541710</x:v>
      </x:c>
      <x:c r="X3183" s="23" t="str">
        <x:v>rncaetano021@gmail.com</x:v>
      </x:c>
      <x:c r="Y3183" s="22" t="str">
        <x:f>"21 99348-5303"</x:f>
        <x:v>21 99348-5303</x:v>
      </x:c>
      <x:c r="Z3183" s="30" t="str"/>
    </x:row>
    <x:row r="3184" ht="18" customHeight="1">
      <x:c r="A3184" s="22" t="str">
        <x:f>"6f9759dd-3184-4f87-bdd5-4c4b73c19885"</x:f>
        <x:v>6f9759dd-3184-4f87-bdd5-4c4b73c19885</x:v>
      </x:c>
      <x:c r="B3184" s="23" t="str">
        <x:v>RENAN CARLOS DA SILVA BENJAMIM</x:v>
      </x:c>
      <x:c r="C3184" s="23" t="str">
        <x:v>renan carlos da silva benjamim</x:v>
      </x:c>
      <x:c r="D3184" s="22" t="str">
        <x:f>"66.094.109/0001-43"</x:f>
        <x:v>66.094.109/0001-43</x:v>
      </x:c>
      <x:c r="E3184" s="22" t="str">
        <x:f>"66094109000143"</x:f>
        <x:v>66094109000143</x:v>
      </x:c>
      <x:c r="F3184" s="22" t="str">
        <x:f>"519.863.478-69"</x:f>
        <x:v>519.863.478-69</x:v>
      </x:c>
      <x:c r="G3184" s="22" t="str">
        <x:f>"51986347869"</x:f>
        <x:v>51986347869</x:v>
      </x:c>
      <x:c r="H3184" s="23" t="str">
        <x:v>renancarlosbenjamim13@gmail.com</x:v>
      </x:c>
      <x:c r="I3184" s="22" t="str">
        <x:f>"14 998834306"</x:f>
        <x:v>14 998834306</x:v>
      </x:c>
      <x:c r="J3184" s="23" t="str">
        <x:v>RENTAL</x:v>
      </x:c>
      <x:c r="K3184" s="23" t="str">
        <x:v>rental_company</x:v>
      </x:c>
      <x:c r="L3184" s="24" t="b">
        <x:v>1</x:v>
      </x:c>
      <x:c r="M3184" s="23" t="n">
        <x:v>1</x:v>
      </x:c>
      <x:c r="N3184" s="28" t="n">
        <x:v>46219.812988715275</x:v>
      </x:c>
      <x:c r="O3184" s="28" t="n">
        <x:v>46219.812988715275</x:v>
      </x:c>
      <x:c r="P3184" s="23" t="str">
        <x:v>BAURU</x:v>
      </x:c>
      <x:c r="Q3184" s="30" t="n">
        <x:v>36721</x:v>
      </x:c>
      <x:c r="R3184" s="22" t="str">
        <x:f>"648648461"</x:f>
        <x:v>648648461</x:v>
      </x:c>
      <x:c r="S3184" s="23" t="str">
        <x:v>masculino</x:v>
      </x:c>
      <x:c r="T3184" s="22" t="str"/>
      <x:c r="U3184" s="23" t="str">
        <x:v>RENAN CARLOS DA SILVA BENJAMIM</x:v>
      </x:c>
      <x:c r="V3184" s="22" t="str">
        <x:f>"519.863.478-69"</x:f>
        <x:v>519.863.478-69</x:v>
      </x:c>
      <x:c r="W3184" s="22" t="str">
        <x:f>"51986347869"</x:f>
        <x:v>51986347869</x:v>
      </x:c>
      <x:c r="X3184" s="23" t="str">
        <x:v>renancarlosbenjamim13@gmail.com</x:v>
      </x:c>
      <x:c r="Y3184" s="22" t="str">
        <x:f>"14 998834306"</x:f>
        <x:v>14 998834306</x:v>
      </x:c>
      <x:c r="Z3184" s="30" t="n">
        <x:v>46483</x:v>
      </x:c>
    </x:row>
    <x:row r="3185" ht="18" customHeight="1">
      <x:c r="A3185" s="22" t="str">
        <x:f>"7a15831f-2983-4449-980f-ce5bc15155af"</x:f>
        <x:v>7a15831f-2983-4449-980f-ce5bc15155af</x:v>
      </x:c>
      <x:c r="B3185" s="23" t="str">
        <x:v>RENAN CARLOS DELFINO PEREIRA</x:v>
      </x:c>
      <x:c r="C3185" s="23" t="str">
        <x:v>renan carlos delfino pereira</x:v>
      </x:c>
      <x:c r="D3185" s="22" t="str">
        <x:f>"64.078.537/0001-57"</x:f>
        <x:v>64.078.537/0001-57</x:v>
      </x:c>
      <x:c r="E3185" s="22" t="str">
        <x:f>"64078537000157"</x:f>
        <x:v>64078537000157</x:v>
      </x:c>
      <x:c r="F3185" s="22" t="str">
        <x:f>"488.746.668-45"</x:f>
        <x:v>488.746.668-45</x:v>
      </x:c>
      <x:c r="G3185" s="22" t="str">
        <x:f>"48874666845"</x:f>
        <x:v>48874666845</x:v>
      </x:c>
      <x:c r="H3185" s="23" t="str">
        <x:v>renancarlospereire@gmail.com</x:v>
      </x:c>
      <x:c r="I3185" s="22" t="str">
        <x:f>"18997180383"</x:f>
        <x:v>18997180383</x:v>
      </x:c>
      <x:c r="J3185" s="23" t="str">
        <x:v>SPOT</x:v>
      </x:c>
      <x:c r="K3185" s="23" t="str">
        <x:v>favored_only</x:v>
      </x:c>
      <x:c r="L3185" s="24" t="b">
        <x:v>1</x:v>
      </x:c>
      <x:c r="M3185" s="23" t="n">
        <x:v>1</x:v>
      </x:c>
      <x:c r="N3185" s="28" t="n">
        <x:v>46203.921904421295</x:v>
      </x:c>
      <x:c r="O3185" s="28" t="n">
        <x:v>46219.812988715275</x:v>
      </x:c>
      <x:c r="P3185" s="23" t="str">
        <x:v>PRESIDENTE PRUDENTE</x:v>
      </x:c>
      <x:c r="Q3185" s="30" t="n">
        <x:v>37217</x:v>
      </x:c>
      <x:c r="R3185" s="22" t="str">
        <x:f>"591104167"</x:f>
        <x:v>591104167</x:v>
      </x:c>
      <x:c r="S3185" s="23" t="str">
        <x:v>masculino</x:v>
      </x:c>
      <x:c r="T3185" s="22" t="str"/>
      <x:c r="U3185" s="23" t="str">
        <x:v>RENAN CARLOS DELFINO PEREIRA</x:v>
      </x:c>
      <x:c r="V3185" s="22" t="str">
        <x:f>"488.746.668-45"</x:f>
        <x:v>488.746.668-45</x:v>
      </x:c>
      <x:c r="W3185" s="22" t="str">
        <x:f>"48874666845"</x:f>
        <x:v>48874666845</x:v>
      </x:c>
      <x:c r="X3185" s="23" t="str">
        <x:v>renancarlospereire@gmail.com</x:v>
      </x:c>
      <x:c r="Y3185" s="22" t="str">
        <x:f>"18997180383"</x:f>
        <x:v>18997180383</x:v>
      </x:c>
      <x:c r="Z3185" s="30" t="n">
        <x:v>46373</x:v>
      </x:c>
    </x:row>
    <x:row r="3186" ht="18" customHeight="1">
      <x:c r="A3186" s="22" t="str">
        <x:f>"d279653a-6b1f-4c67-9f80-e5f492fcd7b5"</x:f>
        <x:v>d279653a-6b1f-4c67-9f80-e5f492fcd7b5</x:v>
      </x:c>
      <x:c r="B3186" s="23" t="str">
        <x:v>RENAN DA SILVA ABREU</x:v>
      </x:c>
      <x:c r="C3186" s="23" t="str">
        <x:v>renan da silva abreu</x:v>
      </x:c>
      <x:c r="D3186" s="22" t="str">
        <x:f>"59.727.310/0001-55"</x:f>
        <x:v>59.727.310/0001-55</x:v>
      </x:c>
      <x:c r="E3186" s="22" t="str">
        <x:f>"59727310000155"</x:f>
        <x:v>59727310000155</x:v>
      </x:c>
      <x:c r="F3186" s="22" t="str">
        <x:f>"105.575.676-02"</x:f>
        <x:v>105.575.676-02</x:v>
      </x:c>
      <x:c r="G3186" s="22" t="str">
        <x:f>"10557567602"</x:f>
        <x:v>10557567602</x:v>
      </x:c>
      <x:c r="H3186" s="23" t="str">
        <x:v>rrenan.abreu09@gmail.com</x:v>
      </x:c>
      <x:c r="I3186" s="22" t="str">
        <x:f>"(35)9 9118-6365"</x:f>
        <x:v>(35)9 9118-6365</x:v>
      </x:c>
      <x:c r="J3186" s="23" t="str">
        <x:v>RENTAL</x:v>
      </x:c>
      <x:c r="K3186" s="23" t="str">
        <x:v>rental_company</x:v>
      </x:c>
      <x:c r="L3186" s="24" t="b">
        <x:v>1</x:v>
      </x:c>
      <x:c r="M3186" s="23" t="n">
        <x:v>1</x:v>
      </x:c>
      <x:c r="N3186" s="28" t="n">
        <x:v>46219.812988715275</x:v>
      </x:c>
      <x:c r="O3186" s="28" t="n">
        <x:v>46219.812988715275</x:v>
      </x:c>
      <x:c r="P3186" s="23" t="str">
        <x:v>POUSO ALEGRE</x:v>
      </x:c>
      <x:c r="Q3186" s="30" t="n">
        <x:v>38814</x:v>
      </x:c>
      <x:c r="R3186" s="22" t="str">
        <x:f>"506109598 SSP SP"</x:f>
        <x:v>506109598 SSP SP</x:v>
      </x:c>
      <x:c r="S3186" s="23" t="str">
        <x:v>masculino</x:v>
      </x:c>
      <x:c r="T3186" s="22" t="str"/>
      <x:c r="U3186" s="23" t="str">
        <x:v>RENAN DA SILVA ABREU</x:v>
      </x:c>
      <x:c r="V3186" s="22" t="str">
        <x:f>"105.575.676-02"</x:f>
        <x:v>105.575.676-02</x:v>
      </x:c>
      <x:c r="W3186" s="22" t="str">
        <x:f>"10557567602"</x:f>
        <x:v>10557567602</x:v>
      </x:c>
      <x:c r="X3186" s="23" t="str">
        <x:v>rrenan.abreu09@gmail.com</x:v>
      </x:c>
      <x:c r="Y3186" s="22" t="str">
        <x:f>"(35)9 9118-6365"</x:f>
        <x:v>(35)9 9118-6365</x:v>
      </x:c>
      <x:c r="Z3186" s="30" t="n">
        <x:v>46549</x:v>
      </x:c>
    </x:row>
    <x:row r="3187" ht="18" customHeight="1">
      <x:c r="A3187" s="22" t="str">
        <x:f>"aab6b96d-3534-458a-ae07-bbda9f9aeefe"</x:f>
        <x:v>aab6b96d-3534-458a-ae07-bbda9f9aeefe</x:v>
      </x:c>
      <x:c r="B3187" s="23" t="str">
        <x:v>RENAN DE OLIVEIRA AGUIAR</x:v>
      </x:c>
      <x:c r="C3187" s="23" t="str">
        <x:v>renan de oliveira aguiar</x:v>
      </x:c>
      <x:c r="D3187" s="22" t="str">
        <x:f>"34.624.464/0001-90"</x:f>
        <x:v>34.624.464/0001-90</x:v>
      </x:c>
      <x:c r="E3187" s="22" t="str">
        <x:f>"34624464000190"</x:f>
        <x:v>34624464000190</x:v>
      </x:c>
      <x:c r="F3187" s="22" t="str">
        <x:f>"104.980.347-71"</x:f>
        <x:v>104.980.347-71</x:v>
      </x:c>
      <x:c r="G3187" s="22" t="str">
        <x:f>"10498034771"</x:f>
        <x:v>10498034771</x:v>
      </x:c>
      <x:c r="H3187" s="23" t="str">
        <x:v>renanoliveiraaguiar2229@gmail.com</x:v>
      </x:c>
      <x:c r="I3187" s="22" t="str">
        <x:f>"21964618994"</x:f>
        <x:v>21964618994</x:v>
      </x:c>
      <x:c r="J3187" s="23" t="str">
        <x:v>SPOT</x:v>
      </x:c>
      <x:c r="K3187" s="23" t="str">
        <x:v>favored_only</x:v>
      </x:c>
      <x:c r="L3187" s="24" t="b">
        <x:v>1</x:v>
      </x:c>
      <x:c r="M3187" s="23" t="n">
        <x:v>1</x:v>
      </x:c>
      <x:c r="N3187" s="28" t="n">
        <x:v>46205.607018599534</x:v>
      </x:c>
      <x:c r="O3187" s="28" t="n">
        <x:v>46219.812988715275</x:v>
      </x:c>
      <x:c r="P3187" s="23" t="str">
        <x:v>CORDOVIL</x:v>
      </x:c>
      <x:c r="Q3187" s="30" t="n">
        <x:v>30764</x:v>
      </x:c>
      <x:c r="R3187" s="22" t="str">
        <x:f>"2008417999"</x:f>
        <x:v>2008417999</x:v>
      </x:c>
      <x:c r="S3187" s="23" t="str">
        <x:v>masculino</x:v>
      </x:c>
      <x:c r="T3187" s="22" t="str">
        <x:f>"MTN4B74"</x:f>
        <x:v>MTN4B74</x:v>
      </x:c>
      <x:c r="U3187" s="23" t="str">
        <x:v>RAFAEL DE OLIVEIRA AGUIAR NASCIMENTO</x:v>
      </x:c>
      <x:c r="V3187" s="22" t="str">
        <x:f>"131.108.237-99"</x:f>
        <x:v>131.108.237-99</x:v>
      </x:c>
      <x:c r="W3187" s="22" t="str">
        <x:f>"13110823799"</x:f>
        <x:v>13110823799</x:v>
      </x:c>
      <x:c r="X3187" s="23" t="str">
        <x:v>rafaelaguiar993@gmail.com</x:v>
      </x:c>
      <x:c r="Y3187" s="22" t="str">
        <x:f>"21964618994"</x:f>
        <x:v>21964618994</x:v>
      </x:c>
      <x:c r="Z3187" s="30" t="n">
        <x:v>46394</x:v>
      </x:c>
    </x:row>
    <x:row r="3188" ht="18" customHeight="1">
      <x:c r="A3188" s="22" t="str">
        <x:f>"e0859bbb-efa4-43fa-bc02-ad109321d82d"</x:f>
        <x:v>e0859bbb-efa4-43fa-bc02-ad109321d82d</x:v>
      </x:c>
      <x:c r="B3188" s="23" t="str">
        <x:v>RENAN DE OLIVEIRA SEGALA</x:v>
      </x:c>
      <x:c r="C3188" s="23" t="str">
        <x:v>renan de oliveira segala</x:v>
      </x:c>
      <x:c r="D3188" s="22" t="str">
        <x:f>"23.216.231/0001-32"</x:f>
        <x:v>23.216.231/0001-32</x:v>
      </x:c>
      <x:c r="E3188" s="22" t="str">
        <x:f>"23216231000132"</x:f>
        <x:v>23216231000132</x:v>
      </x:c>
      <x:c r="F3188" s="22" t="str">
        <x:f>"400.470.218-61"</x:f>
        <x:v>400.470.218-61</x:v>
      </x:c>
      <x:c r="G3188" s="22" t="str">
        <x:f>"40047021861"</x:f>
        <x:v>40047021861</x:v>
      </x:c>
      <x:c r="H3188" s="23" t="str">
        <x:v>kenanight@gmail.com</x:v>
      </x:c>
      <x:c r="I3188" s="22" t="str">
        <x:f>"14 98135-5007"</x:f>
        <x:v>14 98135-5007</x:v>
      </x:c>
      <x:c r="J3188" s="23" t="str">
        <x:v>RENTAL</x:v>
      </x:c>
      <x:c r="K3188" s="23" t="str">
        <x:v>rental_company</x:v>
      </x:c>
      <x:c r="L3188" s="24" t="b">
        <x:v>1</x:v>
      </x:c>
      <x:c r="M3188" s="23" t="n">
        <x:v>1</x:v>
      </x:c>
      <x:c r="N3188" s="28" t="n">
        <x:v>46203.92183017361</x:v>
      </x:c>
      <x:c r="O3188" s="28" t="n">
        <x:v>46219.812988715275</x:v>
      </x:c>
      <x:c r="P3188" s="23" t="str">
        <x:v>BAURU</x:v>
      </x:c>
      <x:c r="Q3188" s="30" t="n">
        <x:v>33166</x:v>
      </x:c>
      <x:c r="R3188" s="22" t="str">
        <x:f>"35121089"</x:f>
        <x:v>35121089</x:v>
      </x:c>
      <x:c r="S3188" s="23" t="str">
        <x:v>masculino</x:v>
      </x:c>
      <x:c r="T3188" s="22" t="str"/>
      <x:c r="U3188" s="23" t="str">
        <x:v>RENAN DE OLIVEIRA SEGALA</x:v>
      </x:c>
      <x:c r="V3188" s="22" t="str">
        <x:f>"400.470.218-61"</x:f>
        <x:v>400.470.218-61</x:v>
      </x:c>
      <x:c r="W3188" s="22" t="str">
        <x:f>"40047021861"</x:f>
        <x:v>40047021861</x:v>
      </x:c>
      <x:c r="X3188" s="23" t="str">
        <x:v>kenanight@gmail.com</x:v>
      </x:c>
      <x:c r="Y3188" s="22" t="str">
        <x:f>"14 98135-5007"</x:f>
        <x:v>14 98135-5007</x:v>
      </x:c>
      <x:c r="Z3188" s="30" t="n">
        <x:v>46521</x:v>
      </x:c>
    </x:row>
    <x:row r="3189" ht="18" customHeight="1">
      <x:c r="A3189" s="22" t="str">
        <x:f>"aa08d269-a360-48b2-8170-442f0f437b2a"</x:f>
        <x:v>aa08d269-a360-48b2-8170-442f0f437b2a</x:v>
      </x:c>
      <x:c r="B3189" s="23" t="str">
        <x:v>RENAN FALCAO FERNANDES CARLOS</x:v>
      </x:c>
      <x:c r="C3189" s="23" t="str">
        <x:v>renan falcao fernandes carlos</x:v>
      </x:c>
      <x:c r="D3189" s="22" t="str">
        <x:f>"61.211.047/0001-99"</x:f>
        <x:v>61.211.047/0001-99</x:v>
      </x:c>
      <x:c r="E3189" s="22" t="str">
        <x:f>"61211047000199"</x:f>
        <x:v>61211047000199</x:v>
      </x:c>
      <x:c r="F3189" s="22" t="str">
        <x:f>"439.454.968-02"</x:f>
        <x:v>439.454.968-02</x:v>
      </x:c>
      <x:c r="G3189" s="22" t="str">
        <x:f>"43945496802"</x:f>
        <x:v>43945496802</x:v>
      </x:c>
      <x:c r="H3189" s="23" t="str">
        <x:v>renanfalcaofc@gmail.com</x:v>
      </x:c>
      <x:c r="I3189" s="22" t="str">
        <x:f>"11 96528-0649"</x:f>
        <x:v>11 96528-0649</x:v>
      </x:c>
      <x:c r="J3189" s="23" t="str">
        <x:v>RENTAL</x:v>
      </x:c>
      <x:c r="K3189" s="23" t="str">
        <x:v>rental_company</x:v>
      </x:c>
      <x:c r="L3189" s="24" t="b">
        <x:v>1</x:v>
      </x:c>
      <x:c r="M3189" s="23" t="n">
        <x:v>1</x:v>
      </x:c>
      <x:c r="N3189" s="28" t="n">
        <x:v>46203.921887453704</x:v>
      </x:c>
      <x:c r="O3189" s="28" t="n">
        <x:v>46219.812988715275</x:v>
      </x:c>
      <x:c r="P3189" s="23" t="str">
        <x:v>BARUERI</x:v>
      </x:c>
      <x:c r="Q3189" s="30" t="n">
        <x:v>37274</x:v>
      </x:c>
      <x:c r="R3189" s="22" t="str">
        <x:f>"39390607"</x:f>
        <x:v>39390607</x:v>
      </x:c>
      <x:c r="S3189" s="23" t="str">
        <x:v>masculino</x:v>
      </x:c>
      <x:c r="T3189" s="22" t="str"/>
      <x:c r="U3189" s="23" t="str">
        <x:v>RENAN FALCAO FERNANDES CARLOS</x:v>
      </x:c>
      <x:c r="V3189" s="22" t="str">
        <x:f>"439.454.968-02"</x:f>
        <x:v>439.454.968-02</x:v>
      </x:c>
      <x:c r="W3189" s="22" t="str">
        <x:f>"43945496802"</x:f>
        <x:v>43945496802</x:v>
      </x:c>
      <x:c r="X3189" s="23" t="str">
        <x:v>renanfalcaofc@gmail.com</x:v>
      </x:c>
      <x:c r="Y3189" s="22" t="str">
        <x:f>"11 96528-0649"</x:f>
        <x:v>11 96528-0649</x:v>
      </x:c>
      <x:c r="Z3189" s="30" t="n">
        <x:v>46331</x:v>
      </x:c>
    </x:row>
    <x:row r="3190" ht="18" customHeight="1">
      <x:c r="A3190" s="22" t="str">
        <x:f>"7b1b2256-ae1f-4442-865b-40fd9c6ff7e4"</x:f>
        <x:v>7b1b2256-ae1f-4442-865b-40fd9c6ff7e4</x:v>
      </x:c>
      <x:c r="B3190" s="23" t="str">
        <x:v>RENAN GABRIEL DOS SANTOS MARIANO</x:v>
      </x:c>
      <x:c r="C3190" s="23" t="str">
        <x:v>renan gabriel dos santos mariano</x:v>
      </x:c>
      <x:c r="D3190" s="22" t="str">
        <x:f>"53.812.018/0001-54"</x:f>
        <x:v>53.812.018/0001-54</x:v>
      </x:c>
      <x:c r="E3190" s="22" t="str">
        <x:f>"53812018000154"</x:f>
        <x:v>53812018000154</x:v>
      </x:c>
      <x:c r="F3190" s="22" t="str">
        <x:f>"594.013.818-79"</x:f>
        <x:v>594.013.818-79</x:v>
      </x:c>
      <x:c r="G3190" s="22" t="str">
        <x:f>"59401381879"</x:f>
        <x:v>59401381879</x:v>
      </x:c>
      <x:c r="H3190" s="23" t="str">
        <x:v>falecomrenansantos@gmail.com</x:v>
      </x:c>
      <x:c r="I3190" s="22" t="str">
        <x:f>"18988234279"</x:f>
        <x:v>18988234279</x:v>
      </x:c>
      <x:c r="J3190" s="23" t="str">
        <x:v>RENTALS</x:v>
      </x:c>
      <x:c r="K3190" s="23" t="str">
        <x:v>rental_company</x:v>
      </x:c>
      <x:c r="L3190" s="24" t="b">
        <x:v>1</x:v>
      </x:c>
      <x:c r="M3190" s="23" t="n">
        <x:v>1</x:v>
      </x:c>
      <x:c r="N3190" s="28" t="n">
        <x:v>46219.812988715275</x:v>
      </x:c>
      <x:c r="O3190" s="28" t="n">
        <x:v>46219.812988715275</x:v>
      </x:c>
      <x:c r="P3190" s="23" t="str">
        <x:v>PRESIDENTE PRUDENTE</x:v>
      </x:c>
      <x:c r="Q3190" s="30" t="n">
        <x:v>38301</x:v>
      </x:c>
      <x:c r="R3190" s="22" t="str">
        <x:f>"631617322"</x:f>
        <x:v>631617322</x:v>
      </x:c>
      <x:c r="S3190" s="23" t="str">
        <x:v>masculino</x:v>
      </x:c>
      <x:c r="T3190" s="22" t="str"/>
      <x:c r="U3190" s="23" t="str">
        <x:v>RENAN GABRIEL DOS SANTOS MARIANO</x:v>
      </x:c>
      <x:c r="V3190" s="22" t="str">
        <x:f>"594.013.818-79"</x:f>
        <x:v>594.013.818-79</x:v>
      </x:c>
      <x:c r="W3190" s="22" t="str">
        <x:f>"59401381879"</x:f>
        <x:v>59401381879</x:v>
      </x:c>
      <x:c r="X3190" s="23" t="str">
        <x:v>falecomrenansantos@gmail.com</x:v>
      </x:c>
      <x:c r="Y3190" s="22" t="str">
        <x:f>"18988234279"</x:f>
        <x:v>18988234279</x:v>
      </x:c>
      <x:c r="Z3190" s="30" t="n">
        <x:v>46483</x:v>
      </x:c>
    </x:row>
    <x:row r="3191" ht="18" customHeight="1">
      <x:c r="A3191" s="22" t="str">
        <x:f>"f51866ca-b175-49a2-8587-b0e45c6e34c3"</x:f>
        <x:v>f51866ca-b175-49a2-8587-b0e45c6e34c3</x:v>
      </x:c>
      <x:c r="B3191" s="23" t="str">
        <x:v>RENAN SANTANA DOS SANTOS</x:v>
      </x:c>
      <x:c r="C3191" s="23" t="str">
        <x:v>renan santana dos santos</x:v>
      </x:c>
      <x:c r="D3191" s="22" t="str">
        <x:f>"37.823.997/0001-90"</x:f>
        <x:v>37.823.997/0001-90</x:v>
      </x:c>
      <x:c r="E3191" s="22" t="str">
        <x:f>"37823997000190"</x:f>
        <x:v>37823997000190</x:v>
      </x:c>
      <x:c r="F3191" s="22" t="str">
        <x:f>"015.777.321-38"</x:f>
        <x:v>015.777.321-38</x:v>
      </x:c>
      <x:c r="G3191" s="22" t="str">
        <x:f>"01577732138"</x:f>
        <x:v>01577732138</x:v>
      </x:c>
      <x:c r="H3191" s="23" t="str">
        <x:v>renansantanalevita@gmail.com</x:v>
      </x:c>
      <x:c r="I3191" s="22" t="str">
        <x:f>"65 992723453"</x:f>
        <x:v>65 992723453</x:v>
      </x:c>
      <x:c r="J3191" s="23" t="str">
        <x:v>SPOT</x:v>
      </x:c>
      <x:c r="K3191" s="23" t="str">
        <x:v>favored_only</x:v>
      </x:c>
      <x:c r="L3191" s="24" t="b">
        <x:v>1</x:v>
      </x:c>
      <x:c r="M3191" s="23" t="n">
        <x:v>1</x:v>
      </x:c>
      <x:c r="N3191" s="28" t="n">
        <x:v>46205.60502715278</x:v>
      </x:c>
      <x:c r="O3191" s="28" t="n">
        <x:v>46219.812988715275</x:v>
      </x:c>
      <x:c r="P3191" s="23" t="str">
        <x:v>PONTES E LACERDA</x:v>
      </x:c>
      <x:c r="Q3191" s="30" t="n">
        <x:v>31483</x:v>
      </x:c>
      <x:c r="R3191" s="22" t="str">
        <x:f>"17510554"</x:f>
        <x:v>17510554</x:v>
      </x:c>
      <x:c r="S3191" s="23" t="str">
        <x:v>masculino</x:v>
      </x:c>
      <x:c r="T3191" s="22" t="str">
        <x:f>"NTY7C67"</x:f>
        <x:v>NTY7C67</x:v>
      </x:c>
      <x:c r="U3191" s="23" t="str">
        <x:v>DANILLO BACIEL ALMEIDA</x:v>
      </x:c>
      <x:c r="V3191" s="22" t="str">
        <x:f>"038.768.901-01"</x:f>
        <x:v>038.768.901-01</x:v>
      </x:c>
      <x:c r="W3191" s="22" t="str">
        <x:f>"03876890101"</x:f>
        <x:v>03876890101</x:v>
      </x:c>
      <x:c r="X3191" s="23" t="str">
        <x:v>rtp.cargas@gmail.com</x:v>
      </x:c>
      <x:c r="Y3191" s="22" t="str">
        <x:f>"62991277279"</x:f>
        <x:v>62991277279</x:v>
      </x:c>
      <x:c r="Z3191" s="30" t="n">
        <x:v>46308</x:v>
      </x:c>
    </x:row>
    <x:row r="3192" ht="18" customHeight="1">
      <x:c r="A3192" s="22" t="str">
        <x:f>"655feb1e-0bd9-4865-8bec-79d929ecd565"</x:f>
        <x:v>655feb1e-0bd9-4865-8bec-79d929ecd565</x:v>
      </x:c>
      <x:c r="B3192" s="23" t="str">
        <x:v>RENAN VIANA DE ALMEIDA</x:v>
      </x:c>
      <x:c r="C3192" s="23" t="str">
        <x:v>renan viana de almeida</x:v>
      </x:c>
      <x:c r="D3192" s="22" t="str">
        <x:f>"50.896.541/0001-18"</x:f>
        <x:v>50.896.541/0001-18</x:v>
      </x:c>
      <x:c r="E3192" s="22" t="str">
        <x:f>"50896541000118"</x:f>
        <x:v>50896541000118</x:v>
      </x:c>
      <x:c r="F3192" s="22" t="str">
        <x:f>"424.318.768-10"</x:f>
        <x:v>424.318.768-10</x:v>
      </x:c>
      <x:c r="G3192" s="22" t="str">
        <x:f>"42431876810"</x:f>
        <x:v>42431876810</x:v>
      </x:c>
      <x:c r="H3192" s="23" t="str">
        <x:v>vianarenan162@gmail.com</x:v>
      </x:c>
      <x:c r="I3192" s="22" t="str">
        <x:f>"11976583964"</x:f>
        <x:v>11976583964</x:v>
      </x:c>
      <x:c r="J3192" s="23" t="str">
        <x:v>SPOT</x:v>
      </x:c>
      <x:c r="K3192" s="23" t="str">
        <x:v>favored_only</x:v>
      </x:c>
      <x:c r="L3192" s="24" t="b">
        <x:v>1</x:v>
      </x:c>
      <x:c r="M3192" s="23" t="n">
        <x:v>1</x:v>
      </x:c>
      <x:c r="N3192" s="28" t="n">
        <x:v>46219.812988715275</x:v>
      </x:c>
      <x:c r="O3192" s="28" t="n">
        <x:v>46219.812988715275</x:v>
      </x:c>
      <x:c r="P3192" s="23" t="str">
        <x:v>BARUERI</x:v>
      </x:c>
      <x:c r="Q3192" s="30" t="n">
        <x:v>33798</x:v>
      </x:c>
      <x:c r="R3192" s="22" t="str">
        <x:f>"363007702"</x:f>
        <x:v>363007702</x:v>
      </x:c>
      <x:c r="S3192" s="23" t="str">
        <x:v>masculino</x:v>
      </x:c>
      <x:c r="T3192" s="22" t="str">
        <x:f>"GIJ6J30"</x:f>
        <x:v>GIJ6J30</x:v>
      </x:c>
      <x:c r="U3192" s="23" t="str">
        <x:v>RENAN VIANA DE ALMEIDA</x:v>
      </x:c>
      <x:c r="V3192" s="22" t="str">
        <x:f>"424.318.768-10"</x:f>
        <x:v>424.318.768-10</x:v>
      </x:c>
      <x:c r="W3192" s="22" t="str">
        <x:f>"42431876810"</x:f>
        <x:v>42431876810</x:v>
      </x:c>
      <x:c r="X3192" s="23" t="str">
        <x:v>vianarenan162@gmail.com</x:v>
      </x:c>
      <x:c r="Y3192" s="22" t="str">
        <x:f>"11976583964"</x:f>
        <x:v>11976583964</x:v>
      </x:c>
      <x:c r="Z3192" s="30" t="n">
        <x:v>46553</x:v>
      </x:c>
    </x:row>
    <x:row r="3193" ht="18" customHeight="1">
      <x:c r="A3193" s="22" t="str">
        <x:f>"7222303d-3581-4ad0-a426-7320fb8dd06a"</x:f>
        <x:v>7222303d-3581-4ad0-a426-7320fb8dd06a</x:v>
      </x:c>
      <x:c r="B3193" s="23" t="str">
        <x:v>RENATA DE ANDRADE DA SILVA</x:v>
      </x:c>
      <x:c r="C3193" s="23" t="str">
        <x:v>renata de andrade da silva</x:v>
      </x:c>
      <x:c r="D3193" s="22" t="str">
        <x:f>"64.247.092/0001-91"</x:f>
        <x:v>64.247.092/0001-91</x:v>
      </x:c>
      <x:c r="E3193" s="22" t="str">
        <x:f>"64247092000191"</x:f>
        <x:v>64247092000191</x:v>
      </x:c>
      <x:c r="F3193" s="22" t="str">
        <x:f>"92281605787"</x:f>
        <x:v>92281605787</x:v>
      </x:c>
      <x:c r="G3193" s="22" t="str">
        <x:f>"92281605787"</x:f>
        <x:v>92281605787</x:v>
      </x:c>
      <x:c r="H3193" s="23" t="str">
        <x:v>andrade093@gmail.com</x:v>
      </x:c>
      <x:c r="I3193" s="22" t="str">
        <x:f>"21969553680"</x:f>
        <x:v>21969553680</x:v>
      </x:c>
      <x:c r="J3193" s="23" t="str">
        <x:v>SPOT</x:v>
      </x:c>
      <x:c r="K3193" s="23" t="str">
        <x:v>favored_only</x:v>
      </x:c>
      <x:c r="L3193" s="24" t="b">
        <x:v>1</x:v>
      </x:c>
      <x:c r="M3193" s="23" t="n">
        <x:v>1</x:v>
      </x:c>
      <x:c r="N3193" s="28" t="n">
        <x:v>46203.9219084375</x:v>
      </x:c>
      <x:c r="O3193" s="28" t="n">
        <x:v>46203.9219084375</x:v>
      </x:c>
      <x:c r="P3193" s="23" t="str"/>
      <x:c r="Q3193" s="30" t="str"/>
      <x:c r="R3193" s="22" t="str"/>
      <x:c r="S3193" s="23" t="str"/>
      <x:c r="T3193" s="22" t="str"/>
      <x:c r="U3193" s="23" t="str">
        <x:v>RENATA DE ANDRADE DA SILVA</x:v>
      </x:c>
      <x:c r="V3193" s="22" t="str">
        <x:f>"92281605787"</x:f>
        <x:v>92281605787</x:v>
      </x:c>
      <x:c r="W3193" s="22" t="str">
        <x:f>"92281605787"</x:f>
        <x:v>92281605787</x:v>
      </x:c>
      <x:c r="X3193" s="23" t="str">
        <x:v>andrade093@gmail.com</x:v>
      </x:c>
      <x:c r="Y3193" s="22" t="str">
        <x:f>"21969553680"</x:f>
        <x:v>21969553680</x:v>
      </x:c>
      <x:c r="Z3193" s="30" t="str"/>
    </x:row>
    <x:row r="3194" ht="18" customHeight="1">
      <x:c r="A3194" s="22" t="str">
        <x:f>"3a6d66da-9efa-47b7-8d5a-3c86bcb07f06"</x:f>
        <x:v>3a6d66da-9efa-47b7-8d5a-3c86bcb07f06</x:v>
      </x:c>
      <x:c r="B3194" s="23" t="str">
        <x:v>RENATA SOUZA DOS SANTOS SARMENTO</x:v>
      </x:c>
      <x:c r="C3194" s="23" t="str">
        <x:v>renata souza dos santos sarmento</x:v>
      </x:c>
      <x:c r="D3194" s="22" t="str">
        <x:f>"64.357.934/0001-68"</x:f>
        <x:v>64.357.934/0001-68</x:v>
      </x:c>
      <x:c r="E3194" s="22" t="str">
        <x:f>"64357934000168"</x:f>
        <x:v>64357934000168</x:v>
      </x:c>
      <x:c r="F3194" s="22" t="str">
        <x:f>"057.627.057-14"</x:f>
        <x:v>057.627.057-14</x:v>
      </x:c>
      <x:c r="G3194" s="22" t="str">
        <x:f>"05762705714"</x:f>
        <x:v>05762705714</x:v>
      </x:c>
      <x:c r="H3194" s="23" t="str">
        <x:v>renatadaviketlen@gmail.com</x:v>
      </x:c>
      <x:c r="I3194" s="22" t="str">
        <x:f>"21 96840-1850"</x:f>
        <x:v>21 96840-1850</x:v>
      </x:c>
      <x:c r="J3194" s="23" t="str">
        <x:v>SPOT</x:v>
      </x:c>
      <x:c r="K3194" s="23" t="str">
        <x:v>favored_only</x:v>
      </x:c>
      <x:c r="L3194" s="24" t="b">
        <x:v>1</x:v>
      </x:c>
      <x:c r="M3194" s="23" t="n">
        <x:v>1</x:v>
      </x:c>
      <x:c r="N3194" s="28" t="n">
        <x:v>46219.812988715275</x:v>
      </x:c>
      <x:c r="O3194" s="28" t="n">
        <x:v>46219.812988715275</x:v>
      </x:c>
      <x:c r="P3194" s="23" t="str">
        <x:v>CORDOVIL</x:v>
      </x:c>
      <x:c r="Q3194" s="30" t="n">
        <x:v>30647</x:v>
      </x:c>
      <x:c r="R3194" s="22" t="str">
        <x:f>"020.443.473-2"</x:f>
        <x:v>020.443.473-2</x:v>
      </x:c>
      <x:c r="S3194" s="23" t="str">
        <x:v>feminino</x:v>
      </x:c>
      <x:c r="T3194" s="22" t="str">
        <x:f>"kou8f50"</x:f>
        <x:v>kou8f50</x:v>
      </x:c>
      <x:c r="U3194" s="23" t="str">
        <x:v>RENAN SOUZA DOS SANTOS</x:v>
      </x:c>
      <x:c r="V3194" s="22" t="str">
        <x:f>"059.474.637-09"</x:f>
        <x:v>059.474.637-09</x:v>
      </x:c>
      <x:c r="W3194" s="22" t="str">
        <x:f>"05947463709"</x:f>
        <x:v>05947463709</x:v>
      </x:c>
      <x:c r="X3194" s="23" t="str">
        <x:v>Renanejosi@hotmail.com</x:v>
      </x:c>
      <x:c r="Y3194" s="22" t="str">
        <x:f>"2198801-8770"</x:f>
        <x:v>2198801-8770</x:v>
      </x:c>
      <x:c r="Z3194" s="30" t="n">
        <x:v>46578</x:v>
      </x:c>
    </x:row>
    <x:row r="3195" ht="18" customHeight="1">
      <x:c r="A3195" s="22" t="str">
        <x:f>"2df9aabd-a474-4931-962f-18447fab4a3f"</x:f>
        <x:v>2df9aabd-a474-4931-962f-18447fab4a3f</x:v>
      </x:c>
      <x:c r="B3195" s="23" t="str">
        <x:v>RENATO APARECIDO CESARIO MANCINI</x:v>
      </x:c>
      <x:c r="C3195" s="23" t="str">
        <x:v>renato aparecido cesario mancini</x:v>
      </x:c>
      <x:c r="D3195" s="22" t="str">
        <x:f>"32.789.804/0001-08"</x:f>
        <x:v>32.789.804/0001-08</x:v>
      </x:c>
      <x:c r="E3195" s="22" t="str">
        <x:f>"32789804000108"</x:f>
        <x:v>32789804000108</x:v>
      </x:c>
      <x:c r="F3195" s="22" t="str">
        <x:f>"012.205.146-75"</x:f>
        <x:v>012.205.146-75</x:v>
      </x:c>
      <x:c r="G3195" s="22" t="str">
        <x:f>"01220514675"</x:f>
        <x:v>01220514675</x:v>
      </x:c>
      <x:c r="H3195" s="23" t="str">
        <x:v>renatomancine14@gmail.com</x:v>
      </x:c>
      <x:c r="I3195" s="22" t="str">
        <x:f>"19 92001-4790"</x:f>
        <x:v>19 92001-4790</x:v>
      </x:c>
      <x:c r="J3195" s="23" t="str">
        <x:v>SPOT</x:v>
      </x:c>
      <x:c r="K3195" s="23" t="str">
        <x:v>favored_only</x:v>
      </x:c>
      <x:c r="L3195" s="24" t="b">
        <x:v>1</x:v>
      </x:c>
      <x:c r="M3195" s="23" t="n">
        <x:v>1</x:v>
      </x:c>
      <x:c r="N3195" s="28" t="n">
        <x:v>46205.60371819444</x:v>
      </x:c>
      <x:c r="O3195" s="28" t="n">
        <x:v>46219.812988715275</x:v>
      </x:c>
      <x:c r="P3195" s="23" t="str">
        <x:v>GUAXUPE</x:v>
      </x:c>
      <x:c r="Q3195" s="30" t="n">
        <x:v>29751</x:v>
      </x:c>
      <x:c r="R3195" s="22" t="str">
        <x:f>"34934374"</x:f>
        <x:v>34934374</x:v>
      </x:c>
      <x:c r="S3195" s="23" t="str">
        <x:v>masculino</x:v>
      </x:c>
      <x:c r="T3195" s="22" t="str">
        <x:f>"PUO2A05"</x:f>
        <x:v>PUO2A05</x:v>
      </x:c>
      <x:c r="U3195" s="23" t="str">
        <x:v>ALEX DUTRA VIEIRA</x:v>
      </x:c>
      <x:c r="V3195" s="22" t="str">
        <x:f>"114.948.956-17"</x:f>
        <x:v>114.948.956-17</x:v>
      </x:c>
      <x:c r="W3195" s="22" t="str">
        <x:f>"11494895617"</x:f>
        <x:v>11494895617</x:v>
      </x:c>
      <x:c r="X3195" s="23" t="str">
        <x:v>alexdutra166.ad@gmail.com</x:v>
      </x:c>
      <x:c r="Y3195" s="22" t="str">
        <x:f>"35 9276-1663"</x:f>
        <x:v>35 9276-1663</x:v>
      </x:c>
      <x:c r="Z3195" s="30" t="n">
        <x:v>46235</x:v>
      </x:c>
    </x:row>
    <x:row r="3196" ht="18" customHeight="1">
      <x:c r="A3196" s="22" t="str">
        <x:f>"e06c6a0d-8b48-4d0e-875c-d11b9ce7163d"</x:f>
        <x:v>e06c6a0d-8b48-4d0e-875c-d11b9ce7163d</x:v>
      </x:c>
      <x:c r="B3196" s="23" t="str">
        <x:v>RENATO CARVALHO PEREIRA</x:v>
      </x:c>
      <x:c r="C3196" s="23" t="str">
        <x:v>renato carvalho pereira</x:v>
      </x:c>
      <x:c r="D3196" s="22" t="str">
        <x:f>"45.794.007/0001-60"</x:f>
        <x:v>45.794.007/0001-60</x:v>
      </x:c>
      <x:c r="E3196" s="22" t="str">
        <x:f>"45794007000160"</x:f>
        <x:v>45794007000160</x:v>
      </x:c>
      <x:c r="F3196" s="22" t="str">
        <x:f>"154.826.918-29"</x:f>
        <x:v>154.826.918-29</x:v>
      </x:c>
      <x:c r="G3196" s="22" t="str">
        <x:f>"15482691829"</x:f>
        <x:v>15482691829</x:v>
      </x:c>
      <x:c r="H3196" s="23" t="str">
        <x:v>renatocarvalho6699@gmail.com</x:v>
      </x:c>
      <x:c r="I3196" s="22" t="str">
        <x:f>"19 99409-8325"</x:f>
        <x:v>19 99409-8325</x:v>
      </x:c>
      <x:c r="J3196" s="23" t="str">
        <x:v>SPOT</x:v>
      </x:c>
      <x:c r="K3196" s="23" t="str">
        <x:v>favored_only</x:v>
      </x:c>
      <x:c r="L3196" s="24" t="b">
        <x:v>1</x:v>
      </x:c>
      <x:c r="M3196" s="23" t="n">
        <x:v>1</x:v>
      </x:c>
      <x:c r="N3196" s="28" t="n">
        <x:v>46203.92186462963</x:v>
      </x:c>
      <x:c r="O3196" s="28" t="n">
        <x:v>46219.812988715275</x:v>
      </x:c>
      <x:c r="P3196" s="23" t="str">
        <x:v>POCOS DE CALDAS</x:v>
      </x:c>
      <x:c r="Q3196" s="30" t="n">
        <x:v>26185</x:v>
      </x:c>
      <x:c r="R3196" s="22" t="str">
        <x:f>"22154784"</x:f>
        <x:v>22154784</x:v>
      </x:c>
      <x:c r="S3196" s="23" t="str">
        <x:v>masculino</x:v>
      </x:c>
      <x:c r="T3196" s="22" t="str">
        <x:f>"FSS2B25"</x:f>
        <x:v>FSS2B25</x:v>
      </x:c>
      <x:c r="U3196" s="23" t="str">
        <x:v>RENATO CARVALHO PEREIRA</x:v>
      </x:c>
      <x:c r="V3196" s="22" t="str">
        <x:f>"154.826.918-29"</x:f>
        <x:v>154.826.918-29</x:v>
      </x:c>
      <x:c r="W3196" s="22" t="str">
        <x:f>"15482691829"</x:f>
        <x:v>15482691829</x:v>
      </x:c>
      <x:c r="X3196" s="23" t="str">
        <x:v>renatocarvalho6699@gmail.com</x:v>
      </x:c>
      <x:c r="Y3196" s="22" t="str">
        <x:f>"19 99409-8325"</x:f>
        <x:v>19 99409-8325</x:v>
      </x:c>
      <x:c r="Z3196" s="30" t="n">
        <x:v>46273</x:v>
      </x:c>
    </x:row>
    <x:row r="3197" ht="18" customHeight="1">
      <x:c r="A3197" s="22" t="str">
        <x:f>"a0526f42-b2ac-4543-abc1-63a95fdd99c2"</x:f>
        <x:v>a0526f42-b2ac-4543-abc1-63a95fdd99c2</x:v>
      </x:c>
      <x:c r="B3197" s="23" t="str">
        <x:v>RENATO CHAVES</x:v>
      </x:c>
      <x:c r="C3197" s="23" t="str">
        <x:v>renato chaves</x:v>
      </x:c>
      <x:c r="D3197" s="22" t="str">
        <x:f>"63.693.066/0001-24"</x:f>
        <x:v>63.693.066/0001-24</x:v>
      </x:c>
      <x:c r="E3197" s="22" t="str">
        <x:f>"63693066000124"</x:f>
        <x:v>63693066000124</x:v>
      </x:c>
      <x:c r="F3197" s="22" t="str">
        <x:f>"093.081.917-98"</x:f>
        <x:v>093.081.917-98</x:v>
      </x:c>
      <x:c r="G3197" s="22" t="str">
        <x:f>"09308191798"</x:f>
        <x:v>09308191798</x:v>
      </x:c>
      <x:c r="H3197" s="23" t="str">
        <x:v>Chaves.renato@hotmail.com</x:v>
      </x:c>
      <x:c r="I3197" s="22" t="str">
        <x:f>"21964844313"</x:f>
        <x:v>21964844313</x:v>
      </x:c>
      <x:c r="J3197" s="23" t="str">
        <x:v>SPOT</x:v>
      </x:c>
      <x:c r="K3197" s="23" t="str">
        <x:v>favored_only</x:v>
      </x:c>
      <x:c r="L3197" s="24" t="b">
        <x:v>1</x:v>
      </x:c>
      <x:c r="M3197" s="23" t="n">
        <x:v>1</x:v>
      </x:c>
      <x:c r="N3197" s="28" t="n">
        <x:v>46219.812988715275</x:v>
      </x:c>
      <x:c r="O3197" s="28" t="n">
        <x:v>46219.812988715275</x:v>
      </x:c>
      <x:c r="P3197" s="23" t="str">
        <x:v>CORDOVIL</x:v>
      </x:c>
      <x:c r="Q3197" s="30" t="n">
        <x:v>28972</x:v>
      </x:c>
      <x:c r="R3197" s="22" t="str">
        <x:f>"115336863"</x:f>
        <x:v>115336863</x:v>
      </x:c>
      <x:c r="S3197" s="23" t="str">
        <x:v>masculino</x:v>
      </x:c>
      <x:c r="T3197" s="22" t="str">
        <x:f>"EUR4560"</x:f>
        <x:v>EUR4560</x:v>
      </x:c>
      <x:c r="U3197" s="23" t="str">
        <x:v>RENATO CHAVES</x:v>
      </x:c>
      <x:c r="V3197" s="22" t="str">
        <x:f>"093.081.917-98"</x:f>
        <x:v>093.081.917-98</x:v>
      </x:c>
      <x:c r="W3197" s="22" t="str">
        <x:f>"09308191798"</x:f>
        <x:v>09308191798</x:v>
      </x:c>
      <x:c r="X3197" s="23" t="str">
        <x:v>Chaves.renato@hotmail.com</x:v>
      </x:c>
      <x:c r="Y3197" s="22" t="str">
        <x:f>"21964844313"</x:f>
        <x:v>21964844313</x:v>
      </x:c>
      <x:c r="Z3197" s="30" t="n">
        <x:v>46571</x:v>
      </x:c>
    </x:row>
    <x:row r="3198" ht="18" customHeight="1">
      <x:c r="A3198" s="22" t="str">
        <x:f>"c701751d-c78d-4fc3-a061-a26b2e68a897"</x:f>
        <x:v>c701751d-c78d-4fc3-a061-a26b2e68a897</x:v>
      </x:c>
      <x:c r="B3198" s="23" t="str">
        <x:v>RENATO CICERELLI SILVA</x:v>
      </x:c>
      <x:c r="C3198" s="23" t="str">
        <x:v>renato cicerelli silva</x:v>
      </x:c>
      <x:c r="D3198" s="22" t="str">
        <x:f>"63.099.457/0001-15"</x:f>
        <x:v>63.099.457/0001-15</x:v>
      </x:c>
      <x:c r="E3198" s="22" t="str">
        <x:f>"63099457000115"</x:f>
        <x:v>63099457000115</x:v>
      </x:c>
      <x:c r="F3198" s="22" t="str">
        <x:f>"147.183.198-11"</x:f>
        <x:v>147.183.198-11</x:v>
      </x:c>
      <x:c r="G3198" s="22" t="str">
        <x:f>"14718319811"</x:f>
        <x:v>14718319811</x:v>
      </x:c>
      <x:c r="H3198" s="23" t="str">
        <x:v>renatocicerelli@gmail.com</x:v>
      </x:c>
      <x:c r="I3198" s="22" t="str">
        <x:f>"18 99826-0303"</x:f>
        <x:v>18 99826-0303</x:v>
      </x:c>
      <x:c r="J3198" s="23" t="str">
        <x:v>SPOT</x:v>
      </x:c>
      <x:c r="K3198" s="23" t="str">
        <x:v>favored_only</x:v>
      </x:c>
      <x:c r="L3198" s="24" t="b">
        <x:v>1</x:v>
      </x:c>
      <x:c r="M3198" s="23" t="n">
        <x:v>1</x:v>
      </x:c>
      <x:c r="N3198" s="28" t="n">
        <x:v>46219.812988715275</x:v>
      </x:c>
      <x:c r="O3198" s="28" t="n">
        <x:v>46219.812988715275</x:v>
      </x:c>
      <x:c r="P3198" s="23" t="str">
        <x:v>PRESIDENTE PRUDENTE</x:v>
      </x:c>
      <x:c r="Q3198" s="30" t="n">
        <x:v>28515</x:v>
      </x:c>
      <x:c r="R3198" s="22" t="str">
        <x:f>"25408809"</x:f>
        <x:v>25408809</x:v>
      </x:c>
      <x:c r="S3198" s="23" t="str">
        <x:v>masculino</x:v>
      </x:c>
      <x:c r="T3198" s="22" t="str">
        <x:f>"EAB4A27"</x:f>
        <x:v>EAB4A27</x:v>
      </x:c>
      <x:c r="U3198" s="23" t="str">
        <x:v>RENATO CICERELLI SILVA</x:v>
      </x:c>
      <x:c r="V3198" s="22" t="str">
        <x:f>"147.183.198-11"</x:f>
        <x:v>147.183.198-11</x:v>
      </x:c>
      <x:c r="W3198" s="22" t="str">
        <x:f>"14718319811"</x:f>
        <x:v>14718319811</x:v>
      </x:c>
      <x:c r="X3198" s="23" t="str">
        <x:v>renatocicerelli@gmail.com</x:v>
      </x:c>
      <x:c r="Y3198" s="22" t="str">
        <x:f>"18 99826-0303"</x:f>
        <x:v>18 99826-0303</x:v>
      </x:c>
      <x:c r="Z3198" s="30" t="n">
        <x:v>46420</x:v>
      </x:c>
    </x:row>
    <x:row r="3199" ht="18" customHeight="1">
      <x:c r="A3199" s="22" t="str">
        <x:f>"708ff53d-0f08-4a4e-8d88-b5bb064deb4b"</x:f>
        <x:v>708ff53d-0f08-4a4e-8d88-b5bb064deb4b</x:v>
      </x:c>
      <x:c r="B3199" s="23" t="str">
        <x:v>RENATO DUARTE DOS SANTOS</x:v>
      </x:c>
      <x:c r="C3199" s="23" t="str">
        <x:v>renato duarte dos santos</x:v>
      </x:c>
      <x:c r="D3199" s="22" t="str">
        <x:f>"62.827.636/0001-69"</x:f>
        <x:v>62.827.636/0001-69</x:v>
      </x:c>
      <x:c r="E3199" s="22" t="str">
        <x:f>"62827636000169"</x:f>
        <x:v>62827636000169</x:v>
      </x:c>
      <x:c r="F3199" s="22" t="str">
        <x:f>"316.877.108-21"</x:f>
        <x:v>316.877.108-21</x:v>
      </x:c>
      <x:c r="G3199" s="22" t="str">
        <x:f>"31687710821"</x:f>
        <x:v>31687710821</x:v>
      </x:c>
      <x:c r="H3199" s="23" t="str">
        <x:v>reca130615@gmail.com</x:v>
      </x:c>
      <x:c r="I3199" s="22" t="str">
        <x:f>"18991639335"</x:f>
        <x:v>18991639335</x:v>
      </x:c>
      <x:c r="J3199" s="23" t="str">
        <x:v>RENTAL</x:v>
      </x:c>
      <x:c r="K3199" s="23" t="str">
        <x:v>rental_company</x:v>
      </x:c>
      <x:c r="L3199" s="24" t="b">
        <x:v>1</x:v>
      </x:c>
      <x:c r="M3199" s="23" t="n">
        <x:v>1</x:v>
      </x:c>
      <x:c r="N3199" s="28" t="n">
        <x:v>46203.92186462963</x:v>
      </x:c>
      <x:c r="O3199" s="28" t="n">
        <x:v>46219.812988715275</x:v>
      </x:c>
      <x:c r="P3199" s="23" t="str">
        <x:v>PRESIDENTE PRUDENTE</x:v>
      </x:c>
      <x:c r="Q3199" s="30" t="n">
        <x:v>30814</x:v>
      </x:c>
      <x:c r="R3199" s="22" t="str">
        <x:f>"32880700"</x:f>
        <x:v>32880700</x:v>
      </x:c>
      <x:c r="S3199" s="23" t="str">
        <x:v>masculino</x:v>
      </x:c>
      <x:c r="T3199" s="22" t="str"/>
      <x:c r="U3199" s="23" t="str">
        <x:v>RENATO DUARTE DOS SANTOS</x:v>
      </x:c>
      <x:c r="V3199" s="22" t="str">
        <x:f>"316.877.108-21"</x:f>
        <x:v>316.877.108-21</x:v>
      </x:c>
      <x:c r="W3199" s="22" t="str">
        <x:f>"31687710821"</x:f>
        <x:v>31687710821</x:v>
      </x:c>
      <x:c r="X3199" s="23" t="str">
        <x:v>reca130615@gmail.com</x:v>
      </x:c>
      <x:c r="Y3199" s="22" t="str">
        <x:f>"18991639335"</x:f>
        <x:v>18991639335</x:v>
      </x:c>
      <x:c r="Z3199" s="30" t="n">
        <x:v>46287</x:v>
      </x:c>
    </x:row>
    <x:row r="3200" ht="18" customHeight="1">
      <x:c r="A3200" s="22" t="str">
        <x:f>"2ce1e13e-fbc8-41f8-b9ef-d6e9502c799f"</x:f>
        <x:v>2ce1e13e-fbc8-41f8-b9ef-d6e9502c799f</x:v>
      </x:c>
      <x:c r="B3200" s="23" t="str">
        <x:v>RENATO FAGUNDES DA SILVA</x:v>
      </x:c>
      <x:c r="C3200" s="23" t="str">
        <x:v>renato fagundes da silva</x:v>
      </x:c>
      <x:c r="D3200" s="22" t="str">
        <x:f>"52.948.549/0001-06"</x:f>
        <x:v>52.948.549/0001-06</x:v>
      </x:c>
      <x:c r="E3200" s="22" t="str">
        <x:f>"52948549000106"</x:f>
        <x:v>52948549000106</x:v>
      </x:c>
      <x:c r="F3200" s="22" t="str">
        <x:f>"100.457.796-60"</x:f>
        <x:v>100.457.796-60</x:v>
      </x:c>
      <x:c r="G3200" s="22" t="str">
        <x:f>"10045779660"</x:f>
        <x:v>10045779660</x:v>
      </x:c>
      <x:c r="H3200" s="23" t="str">
        <x:v>renatofagundes.1991@gmail.com</x:v>
      </x:c>
      <x:c r="I3200" s="22" t="str">
        <x:f>"31975551914"</x:f>
        <x:v>31975551914</x:v>
      </x:c>
      <x:c r="J3200" s="23" t="str">
        <x:v>SPOT</x:v>
      </x:c>
      <x:c r="K3200" s="23" t="str">
        <x:v>favored_only</x:v>
      </x:c>
      <x:c r="L3200" s="24" t="b">
        <x:v>1</x:v>
      </x:c>
      <x:c r="M3200" s="23" t="n">
        <x:v>1</x:v>
      </x:c>
      <x:c r="N3200" s="28" t="n">
        <x:v>46219.812988715275</x:v>
      </x:c>
      <x:c r="O3200" s="28" t="n">
        <x:v>46219.812988715275</x:v>
      </x:c>
      <x:c r="P3200" s="23" t="str">
        <x:v>NOVA LIMA</x:v>
      </x:c>
      <x:c r="Q3200" s="30" t="n">
        <x:v>33396</x:v>
      </x:c>
      <x:c r="R3200" s="22" t="str">
        <x:f>"15945306"</x:f>
        <x:v>15945306</x:v>
      </x:c>
      <x:c r="S3200" s="23" t="str">
        <x:v>masculino</x:v>
      </x:c>
      <x:c r="T3200" s="22" t="str">
        <x:f>"OLS1H06"</x:f>
        <x:v>OLS1H06</x:v>
      </x:c>
      <x:c r="U3200" s="23" t="str">
        <x:v>RENATO FAGUNDES DA SILVA</x:v>
      </x:c>
      <x:c r="V3200" s="22" t="str">
        <x:f>"100.457.796-60"</x:f>
        <x:v>100.457.796-60</x:v>
      </x:c>
      <x:c r="W3200" s="22" t="str">
        <x:f>"10045779660"</x:f>
        <x:v>10045779660</x:v>
      </x:c>
      <x:c r="X3200" s="23" t="str">
        <x:v>renatofagundes.1991@gmail.com</x:v>
      </x:c>
      <x:c r="Y3200" s="22" t="str">
        <x:f>"31975551914"</x:f>
        <x:v>31975551914</x:v>
      </x:c>
      <x:c r="Z3200" s="30" t="n">
        <x:v>46546</x:v>
      </x:c>
    </x:row>
    <x:row r="3201" ht="18" customHeight="1">
      <x:c r="A3201" s="22" t="str">
        <x:f>"9c94b8c9-a959-4673-a439-b221c6c82f9e"</x:f>
        <x:v>9c94b8c9-a959-4673-a439-b221c6c82f9e</x:v>
      </x:c>
      <x:c r="B3201" s="23" t="str">
        <x:v>RENATO HENRIQUE ANDRADE FOGARI</x:v>
      </x:c>
      <x:c r="C3201" s="23" t="str">
        <x:v>renato henrique andrade fogari</x:v>
      </x:c>
      <x:c r="D3201" s="22" t="str">
        <x:f>"59.116.299/0001-97"</x:f>
        <x:v>59.116.299/0001-97</x:v>
      </x:c>
      <x:c r="E3201" s="22" t="str">
        <x:f>"59116299000197"</x:f>
        <x:v>59116299000197</x:v>
      </x:c>
      <x:c r="F3201" s="22" t="str">
        <x:f>"457.892.998-14"</x:f>
        <x:v>457.892.998-14</x:v>
      </x:c>
      <x:c r="G3201" s="22" t="str">
        <x:f>"45789299814"</x:f>
        <x:v>45789299814</x:v>
      </x:c>
      <x:c r="H3201" s="23" t="str">
        <x:v>renato.fogari@hotmail.com</x:v>
      </x:c>
      <x:c r="I3201" s="22" t="str">
        <x:f>"17991439340"</x:f>
        <x:v>17991439340</x:v>
      </x:c>
      <x:c r="J3201" s="23" t="str">
        <x:v>RENTAL</x:v>
      </x:c>
      <x:c r="K3201" s="23" t="str">
        <x:v>rental_company</x:v>
      </x:c>
      <x:c r="L3201" s="24" t="b">
        <x:v>1</x:v>
      </x:c>
      <x:c r="M3201" s="23" t="n">
        <x:v>1</x:v>
      </x:c>
      <x:c r="N3201" s="28" t="n">
        <x:v>46203.921858726855</x:v>
      </x:c>
      <x:c r="O3201" s="28" t="n">
        <x:v>46219.812988715275</x:v>
      </x:c>
      <x:c r="P3201" s="23" t="str">
        <x:v>SÃO JOSE DO RIO PRETO</x:v>
      </x:c>
      <x:c r="Q3201" s="30" t="n">
        <x:v>36573</x:v>
      </x:c>
      <x:c r="R3201" s="22" t="str">
        <x:f>"56631097"</x:f>
        <x:v>56631097</x:v>
      </x:c>
      <x:c r="S3201" s="23" t="str">
        <x:v>masculino</x:v>
      </x:c>
      <x:c r="T3201" s="22" t="str"/>
      <x:c r="U3201" s="23" t="str">
        <x:v>RENATO HENRIQUE ANDRADE FOGARI</x:v>
      </x:c>
      <x:c r="V3201" s="22" t="str">
        <x:f>"457.892.998-14"</x:f>
        <x:v>457.892.998-14</x:v>
      </x:c>
      <x:c r="W3201" s="22" t="str">
        <x:f>"45789299814"</x:f>
        <x:v>45789299814</x:v>
      </x:c>
      <x:c r="X3201" s="23" t="str">
        <x:v>renato.fogari@hotmail.com</x:v>
      </x:c>
      <x:c r="Y3201" s="22" t="str">
        <x:f>"17991439340"</x:f>
        <x:v>17991439340</x:v>
      </x:c>
      <x:c r="Z3201" s="30" t="n">
        <x:v>46266</x:v>
      </x:c>
    </x:row>
    <x:row r="3202" ht="18" customHeight="1">
      <x:c r="A3202" s="22" t="str">
        <x:f>"9b132dff-ee61-4613-945f-e19986f493ab"</x:f>
        <x:v>9b132dff-ee61-4613-945f-e19986f493ab</x:v>
      </x:c>
      <x:c r="B3202" s="23" t="str">
        <x:v>RENATO LOPES DE MENEZES</x:v>
      </x:c>
      <x:c r="C3202" s="23" t="str">
        <x:v>renato lopes de menezes</x:v>
      </x:c>
      <x:c r="D3202" s="22" t="str">
        <x:f>"66.983.649/0001-88"</x:f>
        <x:v>66.983.649/0001-88</x:v>
      </x:c>
      <x:c r="E3202" s="22" t="str">
        <x:f>"66983649000188"</x:f>
        <x:v>66983649000188</x:v>
      </x:c>
      <x:c r="F3202" s="22" t="str">
        <x:f>"073.186.816-13"</x:f>
        <x:v>073.186.816-13</x:v>
      </x:c>
      <x:c r="G3202" s="22" t="str">
        <x:f>"07318681613"</x:f>
        <x:v>07318681613</x:v>
      </x:c>
      <x:c r="H3202" s="23" t="str">
        <x:v>renatodaroca259@gmail.com</x:v>
      </x:c>
      <x:c r="I3202" s="22" t="str">
        <x:f>"34997741092"</x:f>
        <x:v>34997741092</x:v>
      </x:c>
      <x:c r="J3202" s="23" t="str">
        <x:v>SPOT</x:v>
      </x:c>
      <x:c r="K3202" s="23" t="str">
        <x:v>favored_only</x:v>
      </x:c>
      <x:c r="L3202" s="24" t="b">
        <x:v>1</x:v>
      </x:c>
      <x:c r="M3202" s="23" t="n">
        <x:v>1</x:v>
      </x:c>
      <x:c r="N3202" s="28" t="n">
        <x:v>46219.812988715275</x:v>
      </x:c>
      <x:c r="O3202" s="28" t="n">
        <x:v>46219.812988715275</x:v>
      </x:c>
      <x:c r="P3202" s="23" t="str">
        <x:v>UBERLANDIA</x:v>
      </x:c>
      <x:c r="Q3202" s="30" t="n">
        <x:v>30384</x:v>
      </x:c>
      <x:c r="R3202" s="22" t="str">
        <x:f>"13417904"</x:f>
        <x:v>13417904</x:v>
      </x:c>
      <x:c r="S3202" s="23" t="str">
        <x:v>masculino</x:v>
      </x:c>
      <x:c r="T3202" s="22" t="str">
        <x:f>"HIH5110"</x:f>
        <x:v>HIH5110</x:v>
      </x:c>
      <x:c r="U3202" s="23" t="str">
        <x:v>RENATO LOPES DE MENEZES</x:v>
      </x:c>
      <x:c r="V3202" s="22" t="str">
        <x:f>"073.186.816-13"</x:f>
        <x:v>073.186.816-13</x:v>
      </x:c>
      <x:c r="W3202" s="22" t="str">
        <x:f>"07318681613"</x:f>
        <x:v>07318681613</x:v>
      </x:c>
      <x:c r="X3202" s="23" t="str">
        <x:v>renatodaroca259@gmail.com</x:v>
      </x:c>
      <x:c r="Y3202" s="22" t="str">
        <x:f>"34997741092"</x:f>
        <x:v>34997741092</x:v>
      </x:c>
      <x:c r="Z3202" s="30" t="n">
        <x:v>46539</x:v>
      </x:c>
    </x:row>
    <x:row r="3203" ht="18" customHeight="1">
      <x:c r="A3203" s="22" t="str">
        <x:f>"33c20f17-6120-4a38-8650-cdaa135f17c2"</x:f>
        <x:v>33c20f17-6120-4a38-8650-cdaa135f17c2</x:v>
      </x:c>
      <x:c r="B3203" s="23" t="str">
        <x:v>RENATO LUIZ DA SILVA</x:v>
      </x:c>
      <x:c r="C3203" s="23" t="str">
        <x:v>renato luiz da silva</x:v>
      </x:c>
      <x:c r="D3203" s="22" t="str">
        <x:f>"44.797.035/0001-79"</x:f>
        <x:v>44.797.035/0001-79</x:v>
      </x:c>
      <x:c r="E3203" s="22" t="str">
        <x:f>"44797035000179"</x:f>
        <x:v>44797035000179</x:v>
      </x:c>
      <x:c r="F3203" s="22" t="str">
        <x:f>"152.150.268-40"</x:f>
        <x:v>152.150.268-40</x:v>
      </x:c>
      <x:c r="G3203" s="22" t="str">
        <x:f>"15215026840"</x:f>
        <x:v>15215026840</x:v>
      </x:c>
      <x:c r="H3203" s="23" t="str">
        <x:v>renatoluiz898@gmail.com</x:v>
      </x:c>
      <x:c r="I3203" s="22" t="str">
        <x:f>"64993422045"</x:f>
        <x:v>64993422045</x:v>
      </x:c>
      <x:c r="J3203" s="23" t="str">
        <x:v>SPOT</x:v>
      </x:c>
      <x:c r="K3203" s="23" t="str">
        <x:v>favored_only</x:v>
      </x:c>
      <x:c r="L3203" s="24" t="b">
        <x:v>1</x:v>
      </x:c>
      <x:c r="M3203" s="23" t="n">
        <x:v>1</x:v>
      </x:c>
      <x:c r="N3203" s="28" t="n">
        <x:v>46205.604679537035</x:v>
      </x:c>
      <x:c r="O3203" s="28" t="n">
        <x:v>46219.812988715275</x:v>
      </x:c>
      <x:c r="P3203" s="23" t="str">
        <x:v>SÃO JOSE DO RIO PRETO</x:v>
      </x:c>
      <x:c r="Q3203" s="30" t="n">
        <x:v>26269</x:v>
      </x:c>
      <x:c r="R3203" s="22" t="str">
        <x:f>"20358126"</x:f>
        <x:v>20358126</x:v>
      </x:c>
      <x:c r="S3203" s="23" t="str">
        <x:v>masculino</x:v>
      </x:c>
      <x:c r="T3203" s="22" t="str">
        <x:f>"FHT2E01"</x:f>
        <x:v>FHT2E01</x:v>
      </x:c>
      <x:c r="U3203" s="23" t="str">
        <x:v>EDSON FERNANDO LUCHESI</x:v>
      </x:c>
      <x:c r="V3203" s="22" t="str">
        <x:f>"446.135.908-50"</x:f>
        <x:v>446.135.908-50</x:v>
      </x:c>
      <x:c r="W3203" s="22" t="str">
        <x:f>"44613590850"</x:f>
        <x:v>44613590850</x:v>
      </x:c>
      <x:c r="X3203" s="23" t="str">
        <x:v>luchesi456@gmail.com</x:v>
      </x:c>
      <x:c r="Y3203" s="22" t="str">
        <x:f>"17992257199"</x:f>
        <x:v>17992257199</x:v>
      </x:c>
      <x:c r="Z3203" s="30" t="n">
        <x:v>46290</x:v>
      </x:c>
    </x:row>
    <x:row r="3204" ht="18" customHeight="1">
      <x:c r="A3204" s="22" t="str">
        <x:f>"9f22a021-5975-49da-bac4-b2a53503cf66"</x:f>
        <x:v>9f22a021-5975-49da-bac4-b2a53503cf66</x:v>
      </x:c>
      <x:c r="B3204" s="23" t="str">
        <x:v>RENATO RAFAEL NASCIMENTO LIMA</x:v>
      </x:c>
      <x:c r="C3204" s="23" t="str">
        <x:v>renato rafael nascimento lima</x:v>
      </x:c>
      <x:c r="D3204" s="22" t="str">
        <x:f>"64.998.661/0001-30"</x:f>
        <x:v>64.998.661/0001-30</x:v>
      </x:c>
      <x:c r="E3204" s="22" t="str">
        <x:f>"64998661000130"</x:f>
        <x:v>64998661000130</x:v>
      </x:c>
      <x:c r="F3204" s="22" t="str">
        <x:f>"034.516.551-95"</x:f>
        <x:v>034.516.551-95</x:v>
      </x:c>
      <x:c r="G3204" s="22" t="str">
        <x:f>"03451655195"</x:f>
        <x:v>03451655195</x:v>
      </x:c>
      <x:c r="H3204" s="23" t="str">
        <x:v>agrrenatolima@gmail.com</x:v>
      </x:c>
      <x:c r="I3204" s="22" t="str">
        <x:f>"65 999760951"</x:f>
        <x:v>65 999760951</x:v>
      </x:c>
      <x:c r="J3204" s="23" t="str">
        <x:v>SPOT</x:v>
      </x:c>
      <x:c r="K3204" s="23" t="str">
        <x:v>favored_only</x:v>
      </x:c>
      <x:c r="L3204" s="24" t="b">
        <x:v>1</x:v>
      </x:c>
      <x:c r="M3204" s="23" t="n">
        <x:v>1</x:v>
      </x:c>
      <x:c r="N3204" s="28" t="n">
        <x:v>46219.812988715275</x:v>
      </x:c>
      <x:c r="O3204" s="28" t="n">
        <x:v>46219.812988715275</x:v>
      </x:c>
      <x:c r="P3204" s="23" t="str">
        <x:v>CUIABA</x:v>
      </x:c>
      <x:c r="Q3204" s="30" t="n">
        <x:v>33486</x:v>
      </x:c>
      <x:c r="R3204" s="22" t="str">
        <x:f>"20907184"</x:f>
        <x:v>20907184</x:v>
      </x:c>
      <x:c r="S3204" s="23" t="str">
        <x:v>masculino</x:v>
      </x:c>
      <x:c r="T3204" s="22" t="str">
        <x:f>"SPW7C34"</x:f>
        <x:v>SPW7C34</x:v>
      </x:c>
      <x:c r="U3204" s="23" t="str">
        <x:v>RENATO RAFAEL NASCIMENTO LIMA</x:v>
      </x:c>
      <x:c r="V3204" s="22" t="str">
        <x:f>"034.516.551-95"</x:f>
        <x:v>034.516.551-95</x:v>
      </x:c>
      <x:c r="W3204" s="22" t="str">
        <x:f>"03451655195"</x:f>
        <x:v>03451655195</x:v>
      </x:c>
      <x:c r="X3204" s="23" t="str">
        <x:v>agrrenatolima@gmail.com</x:v>
      </x:c>
      <x:c r="Y3204" s="22" t="str">
        <x:f>"65 999760951"</x:f>
        <x:v>65 999760951</x:v>
      </x:c>
      <x:c r="Z3204" s="30" t="n">
        <x:v>46450</x:v>
      </x:c>
    </x:row>
    <x:row r="3205" ht="18" customHeight="1">
      <x:c r="A3205" s="22" t="str">
        <x:f>"d7b60084-c3c7-43fb-9b2e-ab6bc9007f0b"</x:f>
        <x:v>d7b60084-c3c7-43fb-9b2e-ab6bc9007f0b</x:v>
      </x:c>
      <x:c r="B3205" s="23" t="str">
        <x:v>RENATO SOUZA RODRIGUES</x:v>
      </x:c>
      <x:c r="C3205" s="23" t="str">
        <x:v>renato souza rodrigues</x:v>
      </x:c>
      <x:c r="D3205" s="22" t="str">
        <x:f>"66.224.610/0001-87"</x:f>
        <x:v>66.224.610/0001-87</x:v>
      </x:c>
      <x:c r="E3205" s="22" t="str">
        <x:f>"66224610000187"</x:f>
        <x:v>66224610000187</x:v>
      </x:c>
      <x:c r="F3205" s="22" t="str">
        <x:f>"129.050.947-61"</x:f>
        <x:v>129.050.947-61</x:v>
      </x:c>
      <x:c r="G3205" s="22" t="str">
        <x:f>"12905094761"</x:f>
        <x:v>12905094761</x:v>
      </x:c>
      <x:c r="H3205" s="23" t="str">
        <x:v>renato13rt@gmail.com</x:v>
      </x:c>
      <x:c r="I3205" s="22" t="str">
        <x:f>"21965401279"</x:f>
        <x:v>21965401279</x:v>
      </x:c>
      <x:c r="J3205" s="23" t="str">
        <x:v>SPOT</x:v>
      </x:c>
      <x:c r="K3205" s="23" t="str">
        <x:v>favored_only</x:v>
      </x:c>
      <x:c r="L3205" s="24" t="b">
        <x:v>1</x:v>
      </x:c>
      <x:c r="M3205" s="23" t="n">
        <x:v>1</x:v>
      </x:c>
      <x:c r="N3205" s="28" t="n">
        <x:v>46219.812988715275</x:v>
      </x:c>
      <x:c r="O3205" s="28" t="n">
        <x:v>46219.812988715275</x:v>
      </x:c>
      <x:c r="P3205" s="23" t="str">
        <x:v>QUEIMADOS</x:v>
      </x:c>
      <x:c r="Q3205" s="30" t="n">
        <x:v>37654</x:v>
      </x:c>
      <x:c r="R3205" s="22" t="str">
        <x:f>"239905466"</x:f>
        <x:v>239905466</x:v>
      </x:c>
      <x:c r="S3205" s="23" t="str">
        <x:v>masculino</x:v>
      </x:c>
      <x:c r="T3205" s="22" t="str">
        <x:f>"FNZ4I27"</x:f>
        <x:v>FNZ4I27</x:v>
      </x:c>
      <x:c r="U3205" s="23" t="str">
        <x:v>RENATO SOUZA RODRIGUES</x:v>
      </x:c>
      <x:c r="V3205" s="22" t="str">
        <x:f>"129.050.947-61"</x:f>
        <x:v>129.050.947-61</x:v>
      </x:c>
      <x:c r="W3205" s="22" t="str">
        <x:f>"12905094761"</x:f>
        <x:v>12905094761</x:v>
      </x:c>
      <x:c r="X3205" s="23" t="str">
        <x:v>renato13rt@gmail.com</x:v>
      </x:c>
      <x:c r="Y3205" s="22" t="str">
        <x:f>"21965401279"</x:f>
        <x:v>21965401279</x:v>
      </x:c>
      <x:c r="Z3205" s="30" t="n">
        <x:v>46492</x:v>
      </x:c>
    </x:row>
    <x:row r="3206" ht="18" customHeight="1">
      <x:c r="A3206" s="22" t="str">
        <x:f>"e93512f8-7370-4040-8e19-608534f77468"</x:f>
        <x:v>e93512f8-7370-4040-8e19-608534f77468</x:v>
      </x:c>
      <x:c r="B3206" s="23" t="str">
        <x:v>RENÊ MACHADO RIBEIRO</x:v>
      </x:c>
      <x:c r="C3206" s="23" t="str">
        <x:v>rene machado ribeiro</x:v>
      </x:c>
      <x:c r="D3206" s="22" t="str">
        <x:f>"61.963.839/0001-10"</x:f>
        <x:v>61.963.839/0001-10</x:v>
      </x:c>
      <x:c r="E3206" s="22" t="str">
        <x:f>"61963839000110"</x:f>
        <x:v>61963839000110</x:v>
      </x:c>
      <x:c r="F3206" s="22" t="str">
        <x:f>"357.919.068-70"</x:f>
        <x:v>357.919.068-70</x:v>
      </x:c>
      <x:c r="G3206" s="22" t="str">
        <x:f>"35791906870"</x:f>
        <x:v>35791906870</x:v>
      </x:c>
      <x:c r="H3206" s="23" t="str">
        <x:v>renemachadoribeiro@gmail.com</x:v>
      </x:c>
      <x:c r="I3206" s="22" t="str">
        <x:f>"17 99738-5084"</x:f>
        <x:v>17 99738-5084</x:v>
      </x:c>
      <x:c r="J3206" s="23" t="str">
        <x:v>RENTAL</x:v>
      </x:c>
      <x:c r="K3206" s="23" t="str">
        <x:v>rental_company</x:v>
      </x:c>
      <x:c r="L3206" s="24" t="b">
        <x:v>1</x:v>
      </x:c>
      <x:c r="M3206" s="23" t="n">
        <x:v>1</x:v>
      </x:c>
      <x:c r="N3206" s="28" t="n">
        <x:v>46203.92184908565</x:v>
      </x:c>
      <x:c r="O3206" s="28" t="n">
        <x:v>46205.605193379626</x:v>
      </x:c>
      <x:c r="P3206" s="23" t="str">
        <x:v>BARRETOS</x:v>
      </x:c>
      <x:c r="Q3206" s="30" t="n">
        <x:v>31632</x:v>
      </x:c>
      <x:c r="R3206" s="22" t="str">
        <x:f>"41219441-7"</x:f>
        <x:v>41219441-7</x:v>
      </x:c>
      <x:c r="S3206" s="23" t="str">
        <x:v>Masculino</x:v>
      </x:c>
      <x:c r="T3206" s="22" t="str"/>
      <x:c r="U3206" s="23" t="str">
        <x:v>RENÊ MACHADO RIBEIRO</x:v>
      </x:c>
      <x:c r="V3206" s="22" t="str">
        <x:f>"35791906870"</x:f>
        <x:v>35791906870</x:v>
      </x:c>
      <x:c r="W3206" s="22" t="str">
        <x:f>"35791906870"</x:f>
        <x:v>35791906870</x:v>
      </x:c>
      <x:c r="X3206" s="23" t="str">
        <x:v>renemachadoribeiro@gmail.com</x:v>
      </x:c>
      <x:c r="Y3206" s="22" t="str">
        <x:f>"17 99738-5084"</x:f>
        <x:v>17 99738-5084</x:v>
      </x:c>
      <x:c r="Z3206" s="30" t="n">
        <x:v>46232</x:v>
      </x:c>
    </x:row>
    <x:row r="3207" ht="18" customHeight="1">
      <x:c r="A3207" s="22" t="str">
        <x:f>"50e851d9-af25-4e45-bb28-aac39879e371"</x:f>
        <x:v>50e851d9-af25-4e45-bb28-aac39879e371</x:v>
      </x:c>
      <x:c r="B3207" s="23" t="str">
        <x:v>RENNAN MORAES LIMA</x:v>
      </x:c>
      <x:c r="C3207" s="23" t="str">
        <x:v>rennan moraes lima</x:v>
      </x:c>
      <x:c r="D3207" s="22" t="str">
        <x:f>"55.736.704/0001-19"</x:f>
        <x:v>55.736.704/0001-19</x:v>
      </x:c>
      <x:c r="E3207" s="22" t="str">
        <x:f>"55736704000119"</x:f>
        <x:v>55736704000119</x:v>
      </x:c>
      <x:c r="F3207" s="22" t="str">
        <x:f>"434.591.918-56"</x:f>
        <x:v>434.591.918-56</x:v>
      </x:c>
      <x:c r="G3207" s="22" t="str">
        <x:f>"43459191856"</x:f>
        <x:v>43459191856</x:v>
      </x:c>
      <x:c r="H3207" s="23" t="str">
        <x:v>rennan.adm.2015@gmail.com</x:v>
      </x:c>
      <x:c r="I3207" s="22" t="str">
        <x:f>"11956680538"</x:f>
        <x:v>11956680538</x:v>
      </x:c>
      <x:c r="J3207" s="23" t="str">
        <x:v>RENTAL</x:v>
      </x:c>
      <x:c r="K3207" s="23" t="str">
        <x:v>rental_company</x:v>
      </x:c>
      <x:c r="L3207" s="24" t="b">
        <x:v>1</x:v>
      </x:c>
      <x:c r="M3207" s="23" t="n">
        <x:v>1</x:v>
      </x:c>
      <x:c r="N3207" s="28" t="n">
        <x:v>46203.92183017361</x:v>
      </x:c>
      <x:c r="O3207" s="28" t="n">
        <x:v>46219.812988715275</x:v>
      </x:c>
      <x:c r="P3207" s="23" t="str">
        <x:v>MADEIRA MADEIRA</x:v>
      </x:c>
      <x:c r="Q3207" s="30" t="n">
        <x:v>34566</x:v>
      </x:c>
      <x:c r="R3207" s="22" t="str">
        <x:f>"361118521"</x:f>
        <x:v>361118521</x:v>
      </x:c>
      <x:c r="S3207" s="23" t="str">
        <x:v>masculino</x:v>
      </x:c>
      <x:c r="T3207" s="22" t="str"/>
      <x:c r="U3207" s="23" t="str">
        <x:v>RENNAN MORAES LIMA</x:v>
      </x:c>
      <x:c r="V3207" s="22" t="str">
        <x:f>"434.591.918-56"</x:f>
        <x:v>434.591.918-56</x:v>
      </x:c>
      <x:c r="W3207" s="22" t="str">
        <x:f>"43459191856"</x:f>
        <x:v>43459191856</x:v>
      </x:c>
      <x:c r="X3207" s="23" t="str">
        <x:v>rennan.adm.2015@gmail.com</x:v>
      </x:c>
      <x:c r="Y3207" s="22" t="str">
        <x:f>"11956680538"</x:f>
        <x:v>11956680538</x:v>
      </x:c>
      <x:c r="Z3207" s="30" t="n">
        <x:v>46344</x:v>
      </x:c>
    </x:row>
    <x:row r="3208" ht="18" customHeight="1">
      <x:c r="A3208" s="22" t="str">
        <x:f>"01e1eb13-e940-4f14-b03e-e1263e5a21c5"</x:f>
        <x:v>01e1eb13-e940-4f14-b03e-e1263e5a21c5</x:v>
      </x:c>
      <x:c r="B3208" s="23" t="str">
        <x:v>RENZO FERNANDO NASCIMENTO</x:v>
      </x:c>
      <x:c r="C3208" s="23" t="str">
        <x:v>renzo fernando nascimento</x:v>
      </x:c>
      <x:c r="D3208" s="22" t="str">
        <x:f>"59.234.535/0001-70"</x:f>
        <x:v>59.234.535/0001-70</x:v>
      </x:c>
      <x:c r="E3208" s="22" t="str">
        <x:f>"59234535000170"</x:f>
        <x:v>59234535000170</x:v>
      </x:c>
      <x:c r="F3208" s="22" t="str">
        <x:f>"406.043.018-80"</x:f>
        <x:v>406.043.018-80</x:v>
      </x:c>
      <x:c r="G3208" s="22" t="str">
        <x:f>"40604301880"</x:f>
        <x:v>40604301880</x:v>
      </x:c>
      <x:c r="H3208" s="23" t="str">
        <x:v>RENZOFERNANDO767@GMAIL.COM</x:v>
      </x:c>
      <x:c r="I3208" s="22" t="str">
        <x:f>"11920080853"</x:f>
        <x:v>11920080853</x:v>
      </x:c>
      <x:c r="J3208" s="23" t="str">
        <x:v>RENTAL</x:v>
      </x:c>
      <x:c r="K3208" s="23" t="str">
        <x:v>rental_company</x:v>
      </x:c>
      <x:c r="L3208" s="24" t="b">
        <x:v>1</x:v>
      </x:c>
      <x:c r="M3208" s="23" t="n">
        <x:v>1</x:v>
      </x:c>
      <x:c r="N3208" s="28" t="n">
        <x:v>46203.921840393516</x:v>
      </x:c>
      <x:c r="O3208" s="28" t="n">
        <x:v>46205.60479583334</x:v>
      </x:c>
      <x:c r="P3208" s="23" t="str">
        <x:v>MADEIRA MADEIRA</x:v>
      </x:c>
      <x:c r="Q3208" s="30" t="n">
        <x:v>33693</x:v>
      </x:c>
      <x:c r="R3208" s="22" t="str">
        <x:f>"480764736"</x:f>
        <x:v>480764736</x:v>
      </x:c>
      <x:c r="S3208" s="23" t="str">
        <x:v>Masculino</x:v>
      </x:c>
      <x:c r="T3208" s="22" t="str"/>
      <x:c r="U3208" s="23" t="str">
        <x:v>RENZO FERNANDO NASCIMENTO</x:v>
      </x:c>
      <x:c r="V3208" s="22" t="str">
        <x:f>"40604301880"</x:f>
        <x:v>40604301880</x:v>
      </x:c>
      <x:c r="W3208" s="22" t="str">
        <x:f>"40604301880"</x:f>
        <x:v>40604301880</x:v>
      </x:c>
      <x:c r="X3208" s="23" t="str">
        <x:v>RENZOFERNANDO767@GMAIL.COM</x:v>
      </x:c>
      <x:c r="Y3208" s="22" t="str">
        <x:f>"11920080853"</x:f>
        <x:v>11920080853</x:v>
      </x:c>
      <x:c r="Z3208" s="30" t="n">
        <x:v>46212</x:v>
      </x:c>
    </x:row>
    <x:row r="3209" ht="18" customHeight="1">
      <x:c r="A3209" s="22" t="str">
        <x:f>"b714ff7c-1dcd-4755-b8f3-81d49f112875"</x:f>
        <x:v>b714ff7c-1dcd-4755-b8f3-81d49f112875</x:v>
      </x:c>
      <x:c r="B3209" s="23" t="str">
        <x:v>RHUAN BRAGA SANTOS</x:v>
      </x:c>
      <x:c r="C3209" s="23" t="str">
        <x:v>rhuan braga santos</x:v>
      </x:c>
      <x:c r="D3209" s="22" t="str">
        <x:f>"66.836.444/0001-70"</x:f>
        <x:v>66.836.444/0001-70</x:v>
      </x:c>
      <x:c r="E3209" s="22" t="str">
        <x:f>"66836444000170"</x:f>
        <x:v>66836444000170</x:v>
      </x:c>
      <x:c r="F3209" s="22" t="str">
        <x:f>"138.487.847-50"</x:f>
        <x:v>138.487.847-50</x:v>
      </x:c>
      <x:c r="G3209" s="22" t="str">
        <x:f>"13848784750"</x:f>
        <x:v>13848784750</x:v>
      </x:c>
      <x:c r="H3209" s="23" t="str">
        <x:v>rhuanbsantos@hotmail.com</x:v>
      </x:c>
      <x:c r="I3209" s="22" t="str">
        <x:f>"21995467136"</x:f>
        <x:v>21995467136</x:v>
      </x:c>
      <x:c r="J3209" s="23" t="str">
        <x:v>SPOT</x:v>
      </x:c>
      <x:c r="K3209" s="23" t="str">
        <x:v>favored_only</x:v>
      </x:c>
      <x:c r="L3209" s="24" t="b">
        <x:v>1</x:v>
      </x:c>
      <x:c r="M3209" s="23" t="n">
        <x:v>1</x:v>
      </x:c>
      <x:c r="N3209" s="28" t="n">
        <x:v>46219.812988715275</x:v>
      </x:c>
      <x:c r="O3209" s="28" t="n">
        <x:v>46219.812988715275</x:v>
      </x:c>
      <x:c r="P3209" s="23" t="str">
        <x:v>QUEIMADOS</x:v>
      </x:c>
      <x:c r="Q3209" s="30" t="n">
        <x:v>35887</x:v>
      </x:c>
      <x:c r="R3209" s="22" t="str">
        <x:f>"211638073"</x:f>
        <x:v>211638073</x:v>
      </x:c>
      <x:c r="S3209" s="23" t="str">
        <x:v>masculino</x:v>
      </x:c>
      <x:c r="T3209" s="22" t="str">
        <x:f>"QNH4D19"</x:f>
        <x:v>QNH4D19</x:v>
      </x:c>
      <x:c r="U3209" s="23" t="str">
        <x:v>OLIEDA DA SILVA BRAGA</x:v>
      </x:c>
      <x:c r="V3209" s="22" t="str">
        <x:f>"781.690.037-68"</x:f>
        <x:v>781.690.037-68</x:v>
      </x:c>
      <x:c r="W3209" s="22" t="str">
        <x:f>"78169003768"</x:f>
        <x:v>78169003768</x:v>
      </x:c>
      <x:c r="X3209" s="23" t="str">
        <x:v>rhuanbsantos@hotmail.com</x:v>
      </x:c>
      <x:c r="Y3209" s="22" t="str">
        <x:f>"21995467136"</x:f>
        <x:v>21995467136</x:v>
      </x:c>
      <x:c r="Z3209" s="30" t="n">
        <x:v>46525</x:v>
      </x:c>
    </x:row>
    <x:row r="3210" ht="18" customHeight="1">
      <x:c r="A3210" s="22" t="str">
        <x:f>"caaae8b1-3a15-4071-91dd-0d8e051c0f58"</x:f>
        <x:v>caaae8b1-3a15-4071-91dd-0d8e051c0f58</x:v>
      </x:c>
      <x:c r="B3210" s="23" t="str">
        <x:v>RHUAN BRAGA SANTOS</x:v>
      </x:c>
      <x:c r="C3210" s="23" t="str">
        <x:v>rhuan braga santos</x:v>
      </x:c>
      <x:c r="D3210" s="22" t="str">
        <x:f>"37.250.769/0001-78"</x:f>
        <x:v>37.250.769/0001-78</x:v>
      </x:c>
      <x:c r="E3210" s="22" t="str">
        <x:f>"37250769000178"</x:f>
        <x:v>37250769000178</x:v>
      </x:c>
      <x:c r="F3210" s="22" t="str">
        <x:f>"138.487.847-50"</x:f>
        <x:v>138.487.847-50</x:v>
      </x:c>
      <x:c r="G3210" s="22" t="str">
        <x:f>"13848784750"</x:f>
        <x:v>13848784750</x:v>
      </x:c>
      <x:c r="H3210" s="23" t="str">
        <x:v>rhuanbsantos@hotmail.com</x:v>
      </x:c>
      <x:c r="I3210" s="22" t="str">
        <x:f>"21995467136"</x:f>
        <x:v>21995467136</x:v>
      </x:c>
      <x:c r="J3210" s="23" t="str">
        <x:v>SPOT</x:v>
      </x:c>
      <x:c r="K3210" s="23" t="str">
        <x:v>favored_only</x:v>
      </x:c>
      <x:c r="L3210" s="24" t="b">
        <x:v>1</x:v>
      </x:c>
      <x:c r="M3210" s="23" t="n">
        <x:v>1</x:v>
      </x:c>
      <x:c r="N3210" s="28" t="n">
        <x:v>46219.812988715275</x:v>
      </x:c>
      <x:c r="O3210" s="28" t="n">
        <x:v>46219.812988715275</x:v>
      </x:c>
      <x:c r="P3210" s="23" t="str">
        <x:v>QUEIMADOS</x:v>
      </x:c>
      <x:c r="Q3210" s="30" t="n">
        <x:v>35887</x:v>
      </x:c>
      <x:c r="R3210" s="22" t="str">
        <x:f>"211638073"</x:f>
        <x:v>211638073</x:v>
      </x:c>
      <x:c r="S3210" s="23" t="str">
        <x:v>masculino</x:v>
      </x:c>
      <x:c r="T3210" s="22" t="str">
        <x:f>"QNH4D19"</x:f>
        <x:v>QNH4D19</x:v>
      </x:c>
      <x:c r="U3210" s="23" t="str">
        <x:v>RHUAN BRAGA SANTOS</x:v>
      </x:c>
      <x:c r="V3210" s="22" t="str">
        <x:f>"138.487.847-50"</x:f>
        <x:v>138.487.847-50</x:v>
      </x:c>
      <x:c r="W3210" s="22" t="str">
        <x:f>"13848784750"</x:f>
        <x:v>13848784750</x:v>
      </x:c>
      <x:c r="X3210" s="23" t="str">
        <x:v>rhuanbsantos@hotmail.com</x:v>
      </x:c>
      <x:c r="Y3210" s="22" t="str">
        <x:f>"21995467136"</x:f>
        <x:v>21995467136</x:v>
      </x:c>
      <x:c r="Z3210" s="30" t="n">
        <x:v>46500</x:v>
      </x:c>
    </x:row>
    <x:row r="3211" ht="18" customHeight="1">
      <x:c r="A3211" s="22" t="str">
        <x:f>"ddbb6ef0-4929-49f2-ae44-68d3b51f5153"</x:f>
        <x:v>ddbb6ef0-4929-49f2-ae44-68d3b51f5153</x:v>
      </x:c>
      <x:c r="B3211" s="23" t="str">
        <x:v>RHUANDRELL BRYAN LARA AZEVEDO</x:v>
      </x:c>
      <x:c r="C3211" s="23" t="str">
        <x:v>rhuandrell bryan lara azevedo</x:v>
      </x:c>
      <x:c r="D3211" s="22" t="str">
        <x:f>"55.295.654/0001-81"</x:f>
        <x:v>55.295.654/0001-81</x:v>
      </x:c>
      <x:c r="E3211" s="22" t="str">
        <x:f>"55295654000181"</x:f>
        <x:v>55295654000181</x:v>
      </x:c>
      <x:c r="F3211" s="22" t="str">
        <x:f>"022.838.726-42"</x:f>
        <x:v>022.838.726-42</x:v>
      </x:c>
      <x:c r="G3211" s="22" t="str">
        <x:f>"02283872642"</x:f>
        <x:v>02283872642</x:v>
      </x:c>
      <x:c r="H3211" s="23" t="str">
        <x:v>rhuandrellbryan1@gmail.com</x:v>
      </x:c>
      <x:c r="I3211" s="22" t="str">
        <x:f>"11960299827"</x:f>
        <x:v>11960299827</x:v>
      </x:c>
      <x:c r="J3211" s="23" t="str">
        <x:v>SPOT</x:v>
      </x:c>
      <x:c r="K3211" s="23" t="str">
        <x:v>favored_only</x:v>
      </x:c>
      <x:c r="L3211" s="24" t="b">
        <x:v>1</x:v>
      </x:c>
      <x:c r="M3211" s="23" t="n">
        <x:v>1</x:v>
      </x:c>
      <x:c r="N3211" s="28" t="n">
        <x:v>46205.606825</x:v>
      </x:c>
      <x:c r="O3211" s="28" t="n">
        <x:v>46219.812988715275</x:v>
      </x:c>
      <x:c r="P3211" s="23" t="str">
        <x:v>ARAXÁ</x:v>
      </x:c>
      <x:c r="Q3211" s="30" t="n">
        <x:v>37528</x:v>
      </x:c>
      <x:c r="R3211" s="22" t="str">
        <x:f>"MG21236071"</x:f>
        <x:v>MG21236071</x:v>
      </x:c>
      <x:c r="S3211" s="23" t="str">
        <x:v>masculino</x:v>
      </x:c>
      <x:c r="T3211" s="22" t="str">
        <x:f>"OXK6I64"</x:f>
        <x:v>OXK6I64</x:v>
      </x:c>
      <x:c r="U3211" s="23" t="str">
        <x:v>RHUANDRELL BRYAN LARA AZEVEDO</x:v>
      </x:c>
      <x:c r="V3211" s="22" t="str">
        <x:f>"022.838.726-42"</x:f>
        <x:v>022.838.726-42</x:v>
      </x:c>
      <x:c r="W3211" s="22" t="str">
        <x:f>"02283872642"</x:f>
        <x:v>02283872642</x:v>
      </x:c>
      <x:c r="X3211" s="23" t="str">
        <x:v>rhuandrellbryan1@gmail.com</x:v>
      </x:c>
      <x:c r="Y3211" s="22" t="str">
        <x:f>"11960299827"</x:f>
        <x:v>11960299827</x:v>
      </x:c>
      <x:c r="Z3211" s="30" t="n">
        <x:v>46378</x:v>
      </x:c>
    </x:row>
    <x:row r="3212" ht="18" customHeight="1">
      <x:c r="A3212" s="22" t="str">
        <x:f>"78c2e454-5790-4100-8814-82e34c091a87"</x:f>
        <x:v>78c2e454-5790-4100-8814-82e34c091a87</x:v>
      </x:c>
      <x:c r="B3212" s="23" t="str">
        <x:v>RIAN DA SILVA CRUZ</x:v>
      </x:c>
      <x:c r="C3212" s="23" t="str">
        <x:v>rian da silva cruz</x:v>
      </x:c>
      <x:c r="D3212" s="22" t="str">
        <x:f>"63.976.723/0001-40"</x:f>
        <x:v>63.976.723/0001-40</x:v>
      </x:c>
      <x:c r="E3212" s="22" t="str">
        <x:f>"63976723000140"</x:f>
        <x:v>63976723000140</x:v>
      </x:c>
      <x:c r="F3212" s="22" t="str">
        <x:f>"082.552.661-27"</x:f>
        <x:v>082.552.661-27</x:v>
      </x:c>
      <x:c r="G3212" s="22" t="str">
        <x:f>"08255266127"</x:f>
        <x:v>08255266127</x:v>
      </x:c>
      <x:c r="H3212" s="23" t="str">
        <x:v>riansilvacruz17@gmail.com</x:v>
      </x:c>
      <x:c r="I3212" s="22" t="str">
        <x:f>"6599989-5128"</x:f>
        <x:v>6599989-5128</x:v>
      </x:c>
      <x:c r="J3212" s="23" t="str">
        <x:v>SPOT</x:v>
      </x:c>
      <x:c r="K3212" s="23" t="str">
        <x:v>favored_only</x:v>
      </x:c>
      <x:c r="L3212" s="24" t="b">
        <x:v>1</x:v>
      </x:c>
      <x:c r="M3212" s="23" t="n">
        <x:v>1</x:v>
      </x:c>
      <x:c r="N3212" s="28" t="n">
        <x:v>46203.921904421295</x:v>
      </x:c>
      <x:c r="O3212" s="28" t="n">
        <x:v>46219.812988715275</x:v>
      </x:c>
      <x:c r="P3212" s="23" t="str">
        <x:v>CÁCERES</x:v>
      </x:c>
      <x:c r="Q3212" s="30" t="n">
        <x:v>38581</x:v>
      </x:c>
      <x:c r="R3212" s="22" t="str">
        <x:f>"8255266127"</x:f>
        <x:v>8255266127</x:v>
      </x:c>
      <x:c r="S3212" s="23" t="str">
        <x:v>masculino</x:v>
      </x:c>
      <x:c r="T3212" s="22" t="str">
        <x:f>"OBE6774"</x:f>
        <x:v>OBE6774</x:v>
      </x:c>
      <x:c r="U3212" s="23" t="str">
        <x:v>RIAN DA SILVA CRUZ</x:v>
      </x:c>
      <x:c r="V3212" s="22" t="str">
        <x:f>"082.552.661-27"</x:f>
        <x:v>082.552.661-27</x:v>
      </x:c>
      <x:c r="W3212" s="22" t="str">
        <x:f>"08255266127"</x:f>
        <x:v>08255266127</x:v>
      </x:c>
      <x:c r="X3212" s="23" t="str">
        <x:v>riansilvacruz17@gmail.com</x:v>
      </x:c>
      <x:c r="Y3212" s="22" t="str">
        <x:f>"6599989-5128"</x:f>
        <x:v>6599989-5128</x:v>
      </x:c>
      <x:c r="Z3212" s="30" t="n">
        <x:v>46371</x:v>
      </x:c>
    </x:row>
    <x:row r="3213" ht="18" customHeight="1">
      <x:c r="A3213" s="22" t="str">
        <x:f>"3db8d43a-0177-4a61-ac04-310a59f6afb6"</x:f>
        <x:v>3db8d43a-0177-4a61-ac04-310a59f6afb6</x:v>
      </x:c>
      <x:c r="B3213" s="23" t="str">
        <x:v>RIAN GABRIEL TAVARES</x:v>
      </x:c>
      <x:c r="C3213" s="23" t="str">
        <x:v>rian gabriel tavares</x:v>
      </x:c>
      <x:c r="D3213" s="22" t="str">
        <x:f>"52.664.355/0001-89"</x:f>
        <x:v>52.664.355/0001-89</x:v>
      </x:c>
      <x:c r="E3213" s="22" t="str">
        <x:f>"52664355000189"</x:f>
        <x:v>52664355000189</x:v>
      </x:c>
      <x:c r="F3213" s="22" t="str">
        <x:f>"144.538.376-40"</x:f>
        <x:v>144.538.376-40</x:v>
      </x:c>
      <x:c r="G3213" s="22" t="str">
        <x:f>"14453837640"</x:f>
        <x:v>14453837640</x:v>
      </x:c>
      <x:c r="H3213" s="23" t="str">
        <x:v>tavaresrian47@gmail.com</x:v>
      </x:c>
      <x:c r="I3213" s="22" t="str">
        <x:f>"034991572468"</x:f>
        <x:v>034991572468</x:v>
      </x:c>
      <x:c r="J3213" s="23" t="str">
        <x:v>SPOT</x:v>
      </x:c>
      <x:c r="K3213" s="23" t="str">
        <x:v>favored_only</x:v>
      </x:c>
      <x:c r="L3213" s="24" t="b">
        <x:v>1</x:v>
      </x:c>
      <x:c r="M3213" s="23" t="n">
        <x:v>1</x:v>
      </x:c>
      <x:c r="N3213" s="28" t="n">
        <x:v>46205.60532482639</x:v>
      </x:c>
      <x:c r="O3213" s="28" t="n">
        <x:v>46219.812988715275</x:v>
      </x:c>
      <x:c r="P3213" s="23" t="str">
        <x:v>ARAXÁ</x:v>
      </x:c>
      <x:c r="Q3213" s="30" t="n">
        <x:v>37221</x:v>
      </x:c>
      <x:c r="R3213" s="22" t="str">
        <x:f>"20874627"</x:f>
        <x:v>20874627</x:v>
      </x:c>
      <x:c r="S3213" s="23" t="str">
        <x:v>masculino</x:v>
      </x:c>
      <x:c r="T3213" s="22" t="str">
        <x:f>"OWW8D92"</x:f>
        <x:v>OWW8D92</x:v>
      </x:c>
      <x:c r="U3213" s="23" t="str">
        <x:v>GIVAGO AUGUSTO REZENDE SILVA</x:v>
      </x:c>
      <x:c r="V3213" s="22" t="str">
        <x:f>"101.346.146-07"</x:f>
        <x:v>101.346.146-07</x:v>
      </x:c>
      <x:c r="W3213" s="22" t="str">
        <x:f>"10134614607"</x:f>
        <x:v>10134614607</x:v>
      </x:c>
      <x:c r="X3213" s="23" t="str">
        <x:v>givagoaugusto28@hotmail.com</x:v>
      </x:c>
      <x:c r="Y3213" s="22" t="str">
        <x:f>"034992472640"</x:f>
        <x:v>034992472640</x:v>
      </x:c>
      <x:c r="Z3213" s="30" t="n">
        <x:v>46319</x:v>
      </x:c>
    </x:row>
    <x:row r="3214" ht="18" customHeight="1">
      <x:c r="A3214" s="22" t="str">
        <x:f>"a2350986-7809-4816-b5e5-a06dbfd020bf"</x:f>
        <x:v>a2350986-7809-4816-b5e5-a06dbfd020bf</x:v>
      </x:c>
      <x:c r="B3214" s="23" t="str">
        <x:v>RIBAMAR COSTA E SILVA</x:v>
      </x:c>
      <x:c r="C3214" s="23" t="str">
        <x:v>ribamar costa e silva</x:v>
      </x:c>
      <x:c r="D3214" s="22" t="str">
        <x:f>"63.040.449/0001-01"</x:f>
        <x:v>63.040.449/0001-01</x:v>
      </x:c>
      <x:c r="E3214" s="22" t="str">
        <x:f>"63040449000101"</x:f>
        <x:v>63040449000101</x:v>
      </x:c>
      <x:c r="F3214" s="22" t="str">
        <x:f>"633.995.631-91"</x:f>
        <x:v>633.995.631-91</x:v>
      </x:c>
      <x:c r="G3214" s="22" t="str">
        <x:f>"63399563191"</x:f>
        <x:v>63399563191</x:v>
      </x:c>
      <x:c r="H3214" s="23" t="str">
        <x:v>ribamarcosta018@gmail.com</x:v>
      </x:c>
      <x:c r="I3214" s="22" t="str">
        <x:f>"62 984008843"</x:f>
        <x:v>62 984008843</x:v>
      </x:c>
      <x:c r="J3214" s="23" t="str">
        <x:v>RENTAL</x:v>
      </x:c>
      <x:c r="K3214" s="23" t="str">
        <x:v>rental_company</x:v>
      </x:c>
      <x:c r="L3214" s="24" t="b">
        <x:v>1</x:v>
      </x:c>
      <x:c r="M3214" s="23" t="n">
        <x:v>1</x:v>
      </x:c>
      <x:c r="N3214" s="28" t="n">
        <x:v>46203.9218771875</x:v>
      </x:c>
      <x:c r="O3214" s="28" t="n">
        <x:v>46219.812988715275</x:v>
      </x:c>
      <x:c r="P3214" s="23" t="str">
        <x:v>GOIANIA</x:v>
      </x:c>
      <x:c r="Q3214" s="30" t="n">
        <x:v>27290</x:v>
      </x:c>
      <x:c r="R3214" s="22" t="str">
        <x:f>"3138150"</x:f>
        <x:v>3138150</x:v>
      </x:c>
      <x:c r="S3214" s="23" t="str">
        <x:v>masculino</x:v>
      </x:c>
      <x:c r="T3214" s="22" t="str"/>
      <x:c r="U3214" s="23" t="str">
        <x:v>RIBAMAR COSTA E SILVA</x:v>
      </x:c>
      <x:c r="V3214" s="22" t="str">
        <x:f>"633.995.631-91"</x:f>
        <x:v>633.995.631-91</x:v>
      </x:c>
      <x:c r="W3214" s="22" t="str">
        <x:f>"63399563191"</x:f>
        <x:v>63399563191</x:v>
      </x:c>
      <x:c r="X3214" s="23" t="str">
        <x:v>ribamarcosta018@gmail.com</x:v>
      </x:c>
      <x:c r="Y3214" s="22" t="str">
        <x:f>"62 984008843"</x:f>
        <x:v>62 984008843</x:v>
      </x:c>
      <x:c r="Z3214" s="30" t="n">
        <x:v>46304</x:v>
      </x:c>
    </x:row>
    <x:row r="3215" ht="18" customHeight="1">
      <x:c r="A3215" s="22" t="str">
        <x:f>"e11868d8-ee26-416b-acf5-60691ae2be4b"</x:f>
        <x:v>e11868d8-ee26-416b-acf5-60691ae2be4b</x:v>
      </x:c>
      <x:c r="B3215" s="23" t="str">
        <x:v>RIBAMAR COSTA E SILVA</x:v>
      </x:c>
      <x:c r="C3215" s="23" t="str">
        <x:v>ribamar costa e silva</x:v>
      </x:c>
      <x:c r="D3215" s="22" t="str">
        <x:f>"37.823.997/0001-90"</x:f>
        <x:v>37.823.997/0001-90</x:v>
      </x:c>
      <x:c r="E3215" s="22" t="str">
        <x:f>"37823997000190"</x:f>
        <x:v>37823997000190</x:v>
      </x:c>
      <x:c r="F3215" s="22" t="str">
        <x:f>"633.995.631-91"</x:f>
        <x:v>633.995.631-91</x:v>
      </x:c>
      <x:c r="G3215" s="22" t="str">
        <x:f>"63399563191"</x:f>
        <x:v>63399563191</x:v>
      </x:c>
      <x:c r="H3215" s="23" t="str">
        <x:v>ribamarcosta018@gmail.com</x:v>
      </x:c>
      <x:c r="I3215" s="22" t="str">
        <x:f>"7799981-0901"</x:f>
        <x:v>7799981-0901</x:v>
      </x:c>
      <x:c r="J3215" s="23" t="str">
        <x:v>SPOT</x:v>
      </x:c>
      <x:c r="K3215" s="23" t="str">
        <x:v>favored_only</x:v>
      </x:c>
      <x:c r="L3215" s="24" t="b">
        <x:v>1</x:v>
      </x:c>
      <x:c r="M3215" s="23" t="n">
        <x:v>1</x:v>
      </x:c>
      <x:c r="N3215" s="28" t="n">
        <x:v>46205.60192188658</x:v>
      </x:c>
      <x:c r="O3215" s="28" t="n">
        <x:v>46219.812988715275</x:v>
      </x:c>
      <x:c r="P3215" s="23" t="str">
        <x:v>GOIANIA</x:v>
      </x:c>
      <x:c r="Q3215" s="30" t="n">
        <x:v>27290</x:v>
      </x:c>
      <x:c r="R3215" s="22" t="str">
        <x:f>"3138150"</x:f>
        <x:v>3138150</x:v>
      </x:c>
      <x:c r="S3215" s="23" t="str">
        <x:v>masculino</x:v>
      </x:c>
      <x:c r="T3215" s="22" t="str">
        <x:f>"OVS8F80"</x:f>
        <x:v>OVS8F80</x:v>
      </x:c>
      <x:c r="U3215" s="23" t="str">
        <x:v>DANILLO BACIEL ALMEIDA</x:v>
      </x:c>
      <x:c r="V3215" s="22" t="str">
        <x:f>"962.005.291-91"</x:f>
        <x:v>962.005.291-91</x:v>
      </x:c>
      <x:c r="W3215" s="22" t="str">
        <x:f>"96200529191"</x:f>
        <x:v>96200529191</x:v>
      </x:c>
      <x:c r="X3215" s="23" t="str">
        <x:v>rpt.cargas@gmail.com</x:v>
      </x:c>
      <x:c r="Y3215" s="22" t="str">
        <x:f>"62 996610607"</x:f>
        <x:v>62 996610607</x:v>
      </x:c>
      <x:c r="Z3215" s="30" t="n">
        <x:v>46294</x:v>
      </x:c>
    </x:row>
    <x:row r="3216" ht="18" customHeight="1">
      <x:c r="A3216" s="22" t="str">
        <x:f>"6769b59f-c3db-4d89-b4f4-34f2ec79d74c"</x:f>
        <x:v>6769b59f-c3db-4d89-b4f4-34f2ec79d74c</x:v>
      </x:c>
      <x:c r="B3216" s="23" t="str">
        <x:v>RICARDO ADRIAN GARCIA SORIA GALVARRO</x:v>
      </x:c>
      <x:c r="C3216" s="23" t="str">
        <x:v>ricardo adrian garcia soria galvarro</x:v>
      </x:c>
      <x:c r="D3216" s="22" t="str">
        <x:f>"48.159.500/0001-05"</x:f>
        <x:v>48.159.500/0001-05</x:v>
      </x:c>
      <x:c r="E3216" s="22" t="str">
        <x:f>"48159500000105"</x:f>
        <x:v>48159500000105</x:v>
      </x:c>
      <x:c r="F3216" s="22" t="str">
        <x:f>"098.789.451-03"</x:f>
        <x:v>098.789.451-03</x:v>
      </x:c>
      <x:c r="G3216" s="22" t="str">
        <x:f>"09878945103"</x:f>
        <x:v>09878945103</x:v>
      </x:c>
      <x:c r="H3216" s="23" t="str">
        <x:v>riki.ragsg@gmail.com</x:v>
      </x:c>
      <x:c r="I3216" s="22" t="str">
        <x:f>"17 99216-9439"</x:f>
        <x:v>17 99216-9439</x:v>
      </x:c>
      <x:c r="J3216" s="23" t="str">
        <x:v>SPOT</x:v>
      </x:c>
      <x:c r="K3216" s="23" t="str">
        <x:v>favored_only</x:v>
      </x:c>
      <x:c r="L3216" s="24" t="b">
        <x:v>1</x:v>
      </x:c>
      <x:c r="M3216" s="23" t="n">
        <x:v>1</x:v>
      </x:c>
      <x:c r="N3216" s="28" t="n">
        <x:v>46219.812988715275</x:v>
      </x:c>
      <x:c r="O3216" s="28" t="n">
        <x:v>46219.812988715275</x:v>
      </x:c>
      <x:c r="P3216" s="23" t="str">
        <x:v>BARRETOS</x:v>
      </x:c>
      <x:c r="Q3216" s="30" t="n">
        <x:v>35888</x:v>
      </x:c>
      <x:c r="R3216" s="22" t="str">
        <x:f>"F784385D DIREX EX"</x:f>
        <x:v>F784385D DIREX EX</x:v>
      </x:c>
      <x:c r="S3216" s="23" t="str">
        <x:v>masculino</x:v>
      </x:c>
      <x:c r="T3216" s="22" t="str">
        <x:f>"EWN6F81"</x:f>
        <x:v>EWN6F81</x:v>
      </x:c>
      <x:c r="U3216" s="23" t="str">
        <x:v>ODILON RAMOS DE OLIVEIRA</x:v>
      </x:c>
      <x:c r="V3216" s="22" t="str">
        <x:f>"338.285.548-81"</x:f>
        <x:v>338.285.548-81</x:v>
      </x:c>
      <x:c r="W3216" s="22" t="str">
        <x:f>"33828554881"</x:f>
        <x:v>33828554881</x:v>
      </x:c>
      <x:c r="X3216" s="23" t="str">
        <x:v>dickvigarista.n1@gmail.com</x:v>
      </x:c>
      <x:c r="Y3216" s="22" t="str">
        <x:f>"17981277634"</x:f>
        <x:v>17981277634</x:v>
      </x:c>
      <x:c r="Z3216" s="30" t="n">
        <x:v>46478</x:v>
      </x:c>
    </x:row>
    <x:row r="3217" ht="18" customHeight="1">
      <x:c r="A3217" s="22" t="str">
        <x:f>"e2198974-fd20-4017-bc48-43adaee1d426"</x:f>
        <x:v>e2198974-fd20-4017-bc48-43adaee1d426</x:v>
      </x:c>
      <x:c r="B3217" s="23" t="str">
        <x:v>RICARDO ADRIAN GARCIA SORIA GALVARRO</x:v>
      </x:c>
      <x:c r="C3217" s="23" t="str">
        <x:v>ricardo adrian garcia soria galvarro</x:v>
      </x:c>
      <x:c r="D3217" s="22" t="str">
        <x:f>"56.385.211/0001-44"</x:f>
        <x:v>56.385.211/0001-44</x:v>
      </x:c>
      <x:c r="E3217" s="22" t="str">
        <x:f>"56385211000144"</x:f>
        <x:v>56385211000144</x:v>
      </x:c>
      <x:c r="F3217" s="22" t="str">
        <x:f>"098.789.451-03"</x:f>
        <x:v>098.789.451-03</x:v>
      </x:c>
      <x:c r="G3217" s="22" t="str">
        <x:f>"09878945103"</x:f>
        <x:v>09878945103</x:v>
      </x:c>
      <x:c r="H3217" s="23" t="str">
        <x:v>Riki.ragsg@gmail.com</x:v>
      </x:c>
      <x:c r="I3217" s="22" t="str">
        <x:f>"17992169439"</x:f>
        <x:v>17992169439</x:v>
      </x:c>
      <x:c r="J3217" s="23" t="str">
        <x:v>RENTAL</x:v>
      </x:c>
      <x:c r="K3217" s="23" t="str">
        <x:v>rental_company</x:v>
      </x:c>
      <x:c r="L3217" s="24" t="b">
        <x:v>1</x:v>
      </x:c>
      <x:c r="M3217" s="23" t="n">
        <x:v>1</x:v>
      </x:c>
      <x:c r="N3217" s="28" t="n">
        <x:v>46219.812988715275</x:v>
      </x:c>
      <x:c r="O3217" s="28" t="n">
        <x:v>46219.812988715275</x:v>
      </x:c>
      <x:c r="P3217" s="23" t="str">
        <x:v>BARRETOS</x:v>
      </x:c>
      <x:c r="Q3217" s="30" t="n">
        <x:v>35888</x:v>
      </x:c>
      <x:c r="R3217" s="22" t="str">
        <x:f>"F784385D"</x:f>
        <x:v>F784385D</x:v>
      </x:c>
      <x:c r="S3217" s="23" t="str">
        <x:v>masculino</x:v>
      </x:c>
      <x:c r="T3217" s="22" t="str"/>
      <x:c r="U3217" s="23" t="str">
        <x:v>RICARDO ADRIAN GARCIA SORIA GALVARRO</x:v>
      </x:c>
      <x:c r="V3217" s="22" t="str">
        <x:f>"098.789.451-03"</x:f>
        <x:v>098.789.451-03</x:v>
      </x:c>
      <x:c r="W3217" s="22" t="str">
        <x:f>"09878945103"</x:f>
        <x:v>09878945103</x:v>
      </x:c>
      <x:c r="X3217" s="23" t="str">
        <x:v>Riki.ragsg@gmail.com</x:v>
      </x:c>
      <x:c r="Y3217" s="22" t="str">
        <x:f>"17992169439"</x:f>
        <x:v>17992169439</x:v>
      </x:c>
      <x:c r="Z3217" s="30" t="n">
        <x:v>46519</x:v>
      </x:c>
    </x:row>
    <x:row r="3218" ht="18" customHeight="1">
      <x:c r="A3218" s="22" t="str">
        <x:f>"e3e9bcba-50b8-423e-90ce-805927bc3a05"</x:f>
        <x:v>e3e9bcba-50b8-423e-90ce-805927bc3a05</x:v>
      </x:c>
      <x:c r="B3218" s="23" t="str">
        <x:v>RICARDO ALEXANDRE</x:v>
      </x:c>
      <x:c r="C3218" s="23" t="str">
        <x:v>ricardo alexandre</x:v>
      </x:c>
      <x:c r="D3218" s="22" t="str">
        <x:f>"63.773.546/0001-03"</x:f>
        <x:v>63.773.546/0001-03</x:v>
      </x:c>
      <x:c r="E3218" s="22" t="str">
        <x:f>"63773546000103"</x:f>
        <x:v>63773546000103</x:v>
      </x:c>
      <x:c r="F3218" s="22" t="str">
        <x:f>"099.533.826-46"</x:f>
        <x:v>099.533.826-46</x:v>
      </x:c>
      <x:c r="G3218" s="22" t="str">
        <x:f>"09953382646"</x:f>
        <x:v>09953382646</x:v>
      </x:c>
      <x:c r="H3218" s="23" t="str">
        <x:v>ricardoalexandr.2@gmail.com</x:v>
      </x:c>
      <x:c r="I3218" s="22" t="str">
        <x:f>"(35)99889-0821"</x:f>
        <x:v>(35)99889-0821</x:v>
      </x:c>
      <x:c r="J3218" s="23" t="str">
        <x:v>SPOT</x:v>
      </x:c>
      <x:c r="K3218" s="23" t="str">
        <x:v>favored_only</x:v>
      </x:c>
      <x:c r="L3218" s="24" t="b">
        <x:v>1</x:v>
      </x:c>
      <x:c r="M3218" s="23" t="n">
        <x:v>1</x:v>
      </x:c>
      <x:c r="N3218" s="28" t="n">
        <x:v>46219.812988715275</x:v>
      </x:c>
      <x:c r="O3218" s="28" t="n">
        <x:v>46219.812988715275</x:v>
      </x:c>
      <x:c r="P3218" s="23" t="str">
        <x:v>POUSO ALEGRE</x:v>
      </x:c>
      <x:c r="Q3218" s="30" t="n">
        <x:v>32317</x:v>
      </x:c>
      <x:c r="R3218" s="22" t="str">
        <x:f>"MG16543367 SSP MG"</x:f>
        <x:v>MG16543367 SSP MG</x:v>
      </x:c>
      <x:c r="S3218" s="23" t="str">
        <x:v>masculino</x:v>
      </x:c>
      <x:c r="T3218" s="22" t="str">
        <x:f>"BEQ7C67"</x:f>
        <x:v>BEQ7C67</x:v>
      </x:c>
      <x:c r="U3218" s="23" t="str">
        <x:v>RICARDO ALEXANDRE</x:v>
      </x:c>
      <x:c r="V3218" s="22" t="str">
        <x:f>"099.533.826-46"</x:f>
        <x:v>099.533.826-46</x:v>
      </x:c>
      <x:c r="W3218" s="22" t="str">
        <x:f>"09953382646"</x:f>
        <x:v>09953382646</x:v>
      </x:c>
      <x:c r="X3218" s="23" t="str">
        <x:v>ricardoalexandr.2@gmail.com</x:v>
      </x:c>
      <x:c r="Y3218" s="22" t="str">
        <x:f>"(35)99889-0821"</x:f>
        <x:v>(35)99889-0821</x:v>
      </x:c>
      <x:c r="Z3218" s="30" t="n">
        <x:v>46556</x:v>
      </x:c>
    </x:row>
    <x:row r="3219" ht="18" customHeight="1">
      <x:c r="A3219" s="22" t="str">
        <x:f>"47ca89d1-9db7-4e92-891c-d06a5229ccc9"</x:f>
        <x:v>47ca89d1-9db7-4e92-891c-d06a5229ccc9</x:v>
      </x:c>
      <x:c r="B3219" s="23" t="str">
        <x:v>RICARDO ANTONIO DA SILVA SA</x:v>
      </x:c>
      <x:c r="C3219" s="23" t="str">
        <x:v>ricardo antonio da silva sa</x:v>
      </x:c>
      <x:c r="D3219" s="22" t="str">
        <x:f>"39.475.742/0001-09"</x:f>
        <x:v>39.475.742/0001-09</x:v>
      </x:c>
      <x:c r="E3219" s="22" t="str">
        <x:f>"39475742000109"</x:f>
        <x:v>39475742000109</x:v>
      </x:c>
      <x:c r="F3219" s="22" t="str">
        <x:f>"015.126.776-63"</x:f>
        <x:v>015.126.776-63</x:v>
      </x:c>
      <x:c r="G3219" s="22" t="str">
        <x:f>"01512677663"</x:f>
        <x:v>01512677663</x:v>
      </x:c>
      <x:c r="H3219" s="23" t="str">
        <x:v>ricardoantoniodasilvasa@gmail.com</x:v>
      </x:c>
      <x:c r="I3219" s="22" t="str">
        <x:f>"(34) 9 8437 7131"</x:f>
        <x:v>(34) 9 8437 7131</x:v>
      </x:c>
      <x:c r="J3219" s="23" t="str">
        <x:v>RENTAL</x:v>
      </x:c>
      <x:c r="K3219" s="23" t="str">
        <x:v>rental_company</x:v>
      </x:c>
      <x:c r="L3219" s="24" t="b">
        <x:v>1</x:v>
      </x:c>
      <x:c r="M3219" s="23" t="n">
        <x:v>1</x:v>
      </x:c>
      <x:c r="N3219" s="28" t="n">
        <x:v>46203.921904421295</x:v>
      </x:c>
      <x:c r="O3219" s="28" t="n">
        <x:v>46219.812988715275</x:v>
      </x:c>
      <x:c r="P3219" s="23" t="str">
        <x:v>UBERABA</x:v>
      </x:c>
      <x:c r="Q3219" s="30" t="n">
        <x:v>31342</x:v>
      </x:c>
      <x:c r="R3219" s="22" t="str">
        <x:f>"8649497"</x:f>
        <x:v>8649497</x:v>
      </x:c>
      <x:c r="S3219" s="23" t="str">
        <x:v>masculino</x:v>
      </x:c>
      <x:c r="T3219" s="22" t="str"/>
      <x:c r="U3219" s="23" t="str">
        <x:v>RICARDO ANTONIO DA SILVA SA</x:v>
      </x:c>
      <x:c r="V3219" s="22" t="str">
        <x:f>"015.126.776-63"</x:f>
        <x:v>015.126.776-63</x:v>
      </x:c>
      <x:c r="W3219" s="22" t="str">
        <x:f>"01512677663"</x:f>
        <x:v>01512677663</x:v>
      </x:c>
      <x:c r="X3219" s="23" t="str">
        <x:v>ricardoantoniodasilvasa@gmail.com</x:v>
      </x:c>
      <x:c r="Y3219" s="22" t="str">
        <x:f>"(34) 9 8437 7131"</x:f>
        <x:v>(34) 9 8437 7131</x:v>
      </x:c>
      <x:c r="Z3219" s="30" t="n">
        <x:v>46362</x:v>
      </x:c>
    </x:row>
    <x:row r="3220" ht="18" customHeight="1">
      <x:c r="A3220" s="22" t="str">
        <x:f>"30981a62-b844-489a-aded-5da9d22d82b2"</x:f>
        <x:v>30981a62-b844-489a-aded-5da9d22d82b2</x:v>
      </x:c>
      <x:c r="B3220" s="23" t="str">
        <x:v>RICARDO BARROS VECCHI</x:v>
      </x:c>
      <x:c r="C3220" s="23" t="str">
        <x:v>ricardo barros vecchi</x:v>
      </x:c>
      <x:c r="D3220" s="22" t="str">
        <x:f>"42.410.200/0001-62"</x:f>
        <x:v>42.410.200/0001-62</x:v>
      </x:c>
      <x:c r="E3220" s="22" t="str">
        <x:f>"42410200000162"</x:f>
        <x:v>42410200000162</x:v>
      </x:c>
      <x:c r="F3220" s="22" t="str">
        <x:f>"117.673.196-30"</x:f>
        <x:v>117.673.196-30</x:v>
      </x:c>
      <x:c r="G3220" s="22" t="str">
        <x:f>"11767319630"</x:f>
        <x:v>11767319630</x:v>
      </x:c>
      <x:c r="H3220" s="23" t="str">
        <x:v>RICARDO.VECCHI2013@GMAIL.COM</x:v>
      </x:c>
      <x:c r="I3220" s="22" t="str">
        <x:f>"35 998933894"</x:f>
        <x:v>35 998933894</x:v>
      </x:c>
      <x:c r="J3220" s="23" t="str">
        <x:v>SPOT</x:v>
      </x:c>
      <x:c r="K3220" s="23" t="str">
        <x:v>favored_only</x:v>
      </x:c>
      <x:c r="L3220" s="24" t="b">
        <x:v>1</x:v>
      </x:c>
      <x:c r="M3220" s="23" t="n">
        <x:v>3</x:v>
      </x:c>
      <x:c r="N3220" s="28" t="n">
        <x:v>46203.921824756944</x:v>
      </x:c>
      <x:c r="O3220" s="28" t="n">
        <x:v>46203.921824756944</x:v>
      </x:c>
      <x:c r="P3220" s="23" t="str"/>
      <x:c r="Q3220" s="30" t="str"/>
      <x:c r="R3220" s="22" t="str"/>
      <x:c r="S3220" s="23" t="str"/>
      <x:c r="T3220" s="22" t="str"/>
      <x:c r="U3220" s="23" t="str">
        <x:v>RICARDO BARROS VECCHI</x:v>
      </x:c>
      <x:c r="V3220" s="22" t="str">
        <x:f>"11767319630"</x:f>
        <x:v>11767319630</x:v>
      </x:c>
      <x:c r="W3220" s="22" t="str">
        <x:f>"11767319630"</x:f>
        <x:v>11767319630</x:v>
      </x:c>
      <x:c r="X3220" s="23" t="str">
        <x:v>RICARDO.VECCHI2013@GMAIL.COM</x:v>
      </x:c>
      <x:c r="Y3220" s="22" t="str">
        <x:f>"35998933894"</x:f>
        <x:v>35998933894</x:v>
      </x:c>
      <x:c r="Z3220" s="30" t="str"/>
    </x:row>
    <x:row r="3221" ht="18" customHeight="1">
      <x:c r="A3221" s="22" t="str">
        <x:f>"d713ee7b-db36-4a8e-a733-0483e96e88e6"</x:f>
        <x:v>d713ee7b-db36-4a8e-a733-0483e96e88e6</x:v>
      </x:c>
      <x:c r="B3221" s="23" t="str">
        <x:v>RICARDO DA COSTA SILVA</x:v>
      </x:c>
      <x:c r="C3221" s="23" t="str">
        <x:v>ricardo da costa silva</x:v>
      </x:c>
      <x:c r="D3221" s="22" t="str">
        <x:f>"46.234.771/0001-44"</x:f>
        <x:v>46.234.771/0001-44</x:v>
      </x:c>
      <x:c r="E3221" s="22" t="str">
        <x:f>"46234771000144"</x:f>
        <x:v>46234771000144</x:v>
      </x:c>
      <x:c r="F3221" s="22" t="str">
        <x:f>"017.660.346-83"</x:f>
        <x:v>017.660.346-83</x:v>
      </x:c>
      <x:c r="G3221" s="22" t="str">
        <x:f>"01766034683"</x:f>
        <x:v>01766034683</x:v>
      </x:c>
      <x:c r="H3221" s="23" t="str">
        <x:v>rc076474@gmail.com</x:v>
      </x:c>
      <x:c r="I3221" s="22" t="str">
        <x:f>"31998814286"</x:f>
        <x:v>31998814286</x:v>
      </x:c>
      <x:c r="J3221" s="23" t="str">
        <x:v>RENTAL</x:v>
      </x:c>
      <x:c r="K3221" s="23" t="str">
        <x:v>rental_company</x:v>
      </x:c>
      <x:c r="L3221" s="24" t="b">
        <x:v>1</x:v>
      </x:c>
      <x:c r="M3221" s="23" t="n">
        <x:v>1</x:v>
      </x:c>
      <x:c r="N3221" s="28" t="n">
        <x:v>46219.812988715275</x:v>
      </x:c>
      <x:c r="O3221" s="28" t="n">
        <x:v>46219.812988715275</x:v>
      </x:c>
      <x:c r="P3221" s="23" t="str">
        <x:v>CONTAGEM</x:v>
      </x:c>
      <x:c r="Q3221" s="30" t="n">
        <x:v>33955</x:v>
      </x:c>
      <x:c r="R3221" s="22" t="str">
        <x:f>"5023529327"</x:f>
        <x:v>5023529327</x:v>
      </x:c>
      <x:c r="S3221" s="23" t="str">
        <x:v>masculino</x:v>
      </x:c>
      <x:c r="T3221" s="22" t="str"/>
      <x:c r="U3221" s="23" t="str">
        <x:v>RICARDO DA COSTA SILVA</x:v>
      </x:c>
      <x:c r="V3221" s="22" t="str">
        <x:f>"017.660.346-83"</x:f>
        <x:v>017.660.346-83</x:v>
      </x:c>
      <x:c r="W3221" s="22" t="str">
        <x:f>"01766034683"</x:f>
        <x:v>01766034683</x:v>
      </x:c>
      <x:c r="X3221" s="23" t="str">
        <x:v>rc076474@gmail.com</x:v>
      </x:c>
      <x:c r="Y3221" s="22" t="str">
        <x:f>"31998814286"</x:f>
        <x:v>31998814286</x:v>
      </x:c>
      <x:c r="Z3221" s="30" t="n">
        <x:v>46556</x:v>
      </x:c>
    </x:row>
    <x:row r="3222" ht="18" customHeight="1">
      <x:c r="A3222" s="22" t="str">
        <x:f>"228a4c4e-d27b-40b6-8cd7-722b2008c9f2"</x:f>
        <x:v>228a4c4e-d27b-40b6-8cd7-722b2008c9f2</x:v>
      </x:c>
      <x:c r="B3222" s="23" t="str">
        <x:v>RICARDO DE ARAUJO TAVARES</x:v>
      </x:c>
      <x:c r="C3222" s="23" t="str">
        <x:v>ricardo de araujo tavares</x:v>
      </x:c>
      <x:c r="D3222" s="22" t="str">
        <x:f>"53.548.031/0001-48"</x:f>
        <x:v>53.548.031/0001-48</x:v>
      </x:c>
      <x:c r="E3222" s="22" t="str">
        <x:f>"53548031000148"</x:f>
        <x:v>53548031000148</x:v>
      </x:c>
      <x:c r="F3222" s="22" t="str">
        <x:f>"105.970.754-33"</x:f>
        <x:v>105.970.754-33</x:v>
      </x:c>
      <x:c r="G3222" s="22" t="str">
        <x:f>"10597075433"</x:f>
        <x:v>10597075433</x:v>
      </x:c>
      <x:c r="H3222" s="23" t="str">
        <x:v>tavaresricardo751@gmail.com</x:v>
      </x:c>
      <x:c r="I3222" s="22" t="str">
        <x:f>"34993216387"</x:f>
        <x:v>34993216387</x:v>
      </x:c>
      <x:c r="J3222" s="23" t="str">
        <x:v>SPOT</x:v>
      </x:c>
      <x:c r="K3222" s="23" t="str">
        <x:v>favored_only</x:v>
      </x:c>
      <x:c r="L3222" s="24" t="b">
        <x:v>1</x:v>
      </x:c>
      <x:c r="M3222" s="23" t="n">
        <x:v>1</x:v>
      </x:c>
      <x:c r="N3222" s="28" t="n">
        <x:v>46205.60304258102</x:v>
      </x:c>
      <x:c r="O3222" s="28" t="n">
        <x:v>46219.812988715275</x:v>
      </x:c>
      <x:c r="P3222" s="23" t="str">
        <x:v>ARAXÁ</x:v>
      </x:c>
      <x:c r="Q3222" s="30" t="n">
        <x:v>33598</x:v>
      </x:c>
      <x:c r="R3222" s="22" t="str">
        <x:f>"8620472"</x:f>
        <x:v>8620472</x:v>
      </x:c>
      <x:c r="S3222" s="23" t="str">
        <x:v>masculino</x:v>
      </x:c>
      <x:c r="T3222" s="22" t="str">
        <x:f>"RNQ9I24"</x:f>
        <x:v>RNQ9I24</x:v>
      </x:c>
      <x:c r="U3222" s="23" t="str">
        <x:v>WEDJA DE SOUZA SILVA</x:v>
      </x:c>
      <x:c r="V3222" s="22" t="str">
        <x:f>"105.970.754-33"</x:f>
        <x:v>105.970.754-33</x:v>
      </x:c>
      <x:c r="W3222" s="22" t="str">
        <x:f>"10597075433"</x:f>
        <x:v>10597075433</x:v>
      </x:c>
      <x:c r="X3222" s="23" t="str">
        <x:v>WEDJASOUZA73@GMAIL.COM</x:v>
      </x:c>
      <x:c r="Y3222" s="22" t="str">
        <x:f>"34993216387"</x:f>
        <x:v>34993216387</x:v>
      </x:c>
      <x:c r="Z3222" s="30" t="n">
        <x:v>46294</x:v>
      </x:c>
    </x:row>
    <x:row r="3223" ht="18" customHeight="1">
      <x:c r="A3223" s="22" t="str">
        <x:f>"b009a43d-50f2-486c-87b5-12950872f0c6"</x:f>
        <x:v>b009a43d-50f2-486c-87b5-12950872f0c6</x:v>
      </x:c>
      <x:c r="B3223" s="23" t="str">
        <x:v>RICARDO DIAS CAMPOS JUNIOR</x:v>
      </x:c>
      <x:c r="C3223" s="23" t="str">
        <x:v>ricardo dias campos junior</x:v>
      </x:c>
      <x:c r="D3223" s="22" t="str">
        <x:f>"64.542.595/0001-90"</x:f>
        <x:v>64.542.595/0001-90</x:v>
      </x:c>
      <x:c r="E3223" s="22" t="str">
        <x:f>"64542595000190"</x:f>
        <x:v>64542595000190</x:v>
      </x:c>
      <x:c r="F3223" s="22" t="str">
        <x:f>"381.012.318-89"</x:f>
        <x:v>381.012.318-89</x:v>
      </x:c>
      <x:c r="G3223" s="22" t="str">
        <x:f>"38101231889"</x:f>
        <x:v>38101231889</x:v>
      </x:c>
      <x:c r="H3223" s="23" t="str">
        <x:v>ricardo23campos@gmail.com</x:v>
      </x:c>
      <x:c r="I3223" s="22" t="str">
        <x:f>"16 99411-5006"</x:f>
        <x:v>16 99411-5006</x:v>
      </x:c>
      <x:c r="J3223" s="23" t="str">
        <x:v>RENTAL</x:v>
      </x:c>
      <x:c r="K3223" s="23" t="str">
        <x:v>rental_company</x:v>
      </x:c>
      <x:c r="L3223" s="24" t="b">
        <x:v>1</x:v>
      </x:c>
      <x:c r="M3223" s="23" t="n">
        <x:v>2</x:v>
      </x:c>
      <x:c r="N3223" s="28" t="n">
        <x:v>46219.812988715275</x:v>
      </x:c>
      <x:c r="O3223" s="28" t="n">
        <x:v>46219.812988715275</x:v>
      </x:c>
      <x:c r="P3223" s="23" t="str">
        <x:v>RIBEIRAO PRETO</x:v>
      </x:c>
      <x:c r="Q3223" s="30" t="n">
        <x:v>33626</x:v>
      </x:c>
      <x:c r="R3223" s="22" t="str">
        <x:f>"47.974.384-8"</x:f>
        <x:v>47.974.384-8</x:v>
      </x:c>
      <x:c r="S3223" s="23" t="str">
        <x:v>masculino</x:v>
      </x:c>
      <x:c r="T3223" s="22" t="str"/>
      <x:c r="U3223" s="23" t="str">
        <x:v>RICARDO DIAS CAMPOS JUNIOR</x:v>
      </x:c>
      <x:c r="V3223" s="22" t="str">
        <x:f>"381.012.318-89"</x:f>
        <x:v>381.012.318-89</x:v>
      </x:c>
      <x:c r="W3223" s="22" t="str">
        <x:f>"38101231889"</x:f>
        <x:v>38101231889</x:v>
      </x:c>
      <x:c r="X3223" s="23" t="str">
        <x:v>ricardo23campos@gmail.com</x:v>
      </x:c>
      <x:c r="Y3223" s="22" t="str">
        <x:f>"16 99411-5006"</x:f>
        <x:v>16 99411-5006</x:v>
      </x:c>
      <x:c r="Z3223" s="30" t="n">
        <x:v>46484</x:v>
      </x:c>
    </x:row>
    <x:row r="3224" ht="18" customHeight="1">
      <x:c r="A3224" s="22" t="str">
        <x:f>"017328cc-e423-4161-840d-a84eb943726c"</x:f>
        <x:v>017328cc-e423-4161-840d-a84eb943726c</x:v>
      </x:c>
      <x:c r="B3224" s="23" t="str">
        <x:v>RICARDO FELIPE PIRES</x:v>
      </x:c>
      <x:c r="C3224" s="23" t="str">
        <x:v>ricardo felipe pires</x:v>
      </x:c>
      <x:c r="D3224" s="22" t="str">
        <x:f>"59.736.880/0001-01"</x:f>
        <x:v>59.736.880/0001-01</x:v>
      </x:c>
      <x:c r="E3224" s="22" t="str">
        <x:f>"59736880000101"</x:f>
        <x:v>59736880000101</x:v>
      </x:c>
      <x:c r="F3224" s="22" t="str">
        <x:f>"083.387.001-77"</x:f>
        <x:v>083.387.001-77</x:v>
      </x:c>
      <x:c r="G3224" s="22" t="str">
        <x:f>"08338700177"</x:f>
        <x:v>08338700177</x:v>
      </x:c>
      <x:c r="H3224" s="23" t="str">
        <x:v>ricardoff1111@gmail.com</x:v>
      </x:c>
      <x:c r="I3224" s="22" t="str">
        <x:f>"62998590292"</x:f>
        <x:v>62998590292</x:v>
      </x:c>
      <x:c r="J3224" s="23" t="str">
        <x:v>SPOT</x:v>
      </x:c>
      <x:c r="K3224" s="23" t="str">
        <x:v>favored_only</x:v>
      </x:c>
      <x:c r="L3224" s="24" t="b">
        <x:v>1</x:v>
      </x:c>
      <x:c r="M3224" s="23" t="n">
        <x:v>1</x:v>
      </x:c>
      <x:c r="N3224" s="28" t="n">
        <x:v>46219.812988715275</x:v>
      </x:c>
      <x:c r="O3224" s="28" t="n">
        <x:v>46219.812988715275</x:v>
      </x:c>
      <x:c r="P3224" s="23" t="str">
        <x:v>MINAÇU</x:v>
      </x:c>
      <x:c r="Q3224" s="30" t="n">
        <x:v>37821</x:v>
      </x:c>
      <x:c r="R3224" s="22" t="str">
        <x:f>"7869251"</x:f>
        <x:v>7869251</x:v>
      </x:c>
      <x:c r="S3224" s="23" t="str">
        <x:v>masculino</x:v>
      </x:c>
      <x:c r="T3224" s="22" t="str">
        <x:f>"SCS3H02"</x:f>
        <x:v>SCS3H02</x:v>
      </x:c>
      <x:c r="U3224" s="23" t="str">
        <x:v>RICARDO FELIPE PIRES</x:v>
      </x:c>
      <x:c r="V3224" s="22" t="str">
        <x:f>"083.387.001-77"</x:f>
        <x:v>083.387.001-77</x:v>
      </x:c>
      <x:c r="W3224" s="22" t="str">
        <x:f>"08338700177"</x:f>
        <x:v>08338700177</x:v>
      </x:c>
      <x:c r="X3224" s="23" t="str">
        <x:v>ricardoff1111@gmail.com</x:v>
      </x:c>
      <x:c r="Y3224" s="22" t="str">
        <x:f>"62998590292"</x:f>
        <x:v>62998590292</x:v>
      </x:c>
      <x:c r="Z3224" s="30" t="n">
        <x:v>46491</x:v>
      </x:c>
    </x:row>
    <x:row r="3225" ht="18" customHeight="1">
      <x:c r="A3225" s="22" t="str">
        <x:f>"0bfa495d-0b35-4da6-ba33-8548abb7f74e"</x:f>
        <x:v>0bfa495d-0b35-4da6-ba33-8548abb7f74e</x:v>
      </x:c>
      <x:c r="B3225" s="23" t="str">
        <x:v>RICARDO FERNANDES DOS SANTOS</x:v>
      </x:c>
      <x:c r="C3225" s="23" t="str">
        <x:v>ricardo fernandes dos santos</x:v>
      </x:c>
      <x:c r="D3225" s="22" t="str">
        <x:f>"64.384.687/0001-99"</x:f>
        <x:v>64.384.687/0001-99</x:v>
      </x:c>
      <x:c r="E3225" s="22" t="str">
        <x:f>"64384687000199"</x:f>
        <x:v>64384687000199</x:v>
      </x:c>
      <x:c r="F3225" s="22" t="str">
        <x:f>"705.996.166-60"</x:f>
        <x:v>705.996.166-60</x:v>
      </x:c>
      <x:c r="G3225" s="22" t="str">
        <x:f>"70599616660"</x:f>
        <x:v>70599616660</x:v>
      </x:c>
      <x:c r="H3225" s="23" t="str">
        <x:v>ricardofnd11@gmail.com</x:v>
      </x:c>
      <x:c r="I3225" s="22" t="str">
        <x:f>"33991447823"</x:f>
        <x:v>33991447823</x:v>
      </x:c>
      <x:c r="J3225" s="23" t="str">
        <x:v>SPOT</x:v>
      </x:c>
      <x:c r="K3225" s="23" t="str">
        <x:v>favored_only</x:v>
      </x:c>
      <x:c r="L3225" s="24" t="b">
        <x:v>1</x:v>
      </x:c>
      <x:c r="M3225" s="23" t="n">
        <x:v>1</x:v>
      </x:c>
      <x:c r="N3225" s="28" t="n">
        <x:v>46219.812988715275</x:v>
      </x:c>
      <x:c r="O3225" s="28" t="n">
        <x:v>46219.812988715275</x:v>
      </x:c>
      <x:c r="P3225" s="23" t="str">
        <x:v>TEOFILO OTONI</x:v>
      </x:c>
      <x:c r="Q3225" s="30" t="n">
        <x:v>36924</x:v>
      </x:c>
      <x:c r="R3225" s="22" t="str">
        <x:f>"22838635"</x:f>
        <x:v>22838635</x:v>
      </x:c>
      <x:c r="S3225" s="23" t="str">
        <x:v>masculino</x:v>
      </x:c>
      <x:c r="T3225" s="22" t="str">
        <x:f>"OQX4601"</x:f>
        <x:v>OQX4601</x:v>
      </x:c>
      <x:c r="U3225" s="23" t="str">
        <x:v>RICARDO FERNANDES DOS SANTOS</x:v>
      </x:c>
      <x:c r="V3225" s="22" t="str">
        <x:f>"705.996.166-60"</x:f>
        <x:v>705.996.166-60</x:v>
      </x:c>
      <x:c r="W3225" s="22" t="str">
        <x:f>"70599616660"</x:f>
        <x:v>70599616660</x:v>
      </x:c>
      <x:c r="X3225" s="23" t="str">
        <x:v>ricardofnd11@gmail.com</x:v>
      </x:c>
      <x:c r="Y3225" s="22" t="str">
        <x:f>"33991447823"</x:f>
        <x:v>33991447823</x:v>
      </x:c>
      <x:c r="Z3225" s="30" t="n">
        <x:v>46473</x:v>
      </x:c>
    </x:row>
    <x:row r="3226" ht="18" customHeight="1">
      <x:c r="A3226" s="22" t="str">
        <x:f>"f68bfd19-1dcc-474e-85cd-4d2606783a33"</x:f>
        <x:v>f68bfd19-1dcc-474e-85cd-4d2606783a33</x:v>
      </x:c>
      <x:c r="B3226" s="23" t="str">
        <x:v>RICARDO FLORIANO VARANDAS</x:v>
      </x:c>
      <x:c r="C3226" s="23" t="str">
        <x:v>ricardo floriano varandas</x:v>
      </x:c>
      <x:c r="D3226" s="22" t="str">
        <x:f>"65.981.324/0001-01"</x:f>
        <x:v>65.981.324/0001-01</x:v>
      </x:c>
      <x:c r="E3226" s="22" t="str">
        <x:f>"65981324000101"</x:f>
        <x:v>65981324000101</x:v>
      </x:c>
      <x:c r="F3226" s="22" t="str">
        <x:f>"281.607.228-26"</x:f>
        <x:v>281.607.228-26</x:v>
      </x:c>
      <x:c r="G3226" s="22" t="str">
        <x:f>"28160722826"</x:f>
        <x:v>28160722826</x:v>
      </x:c>
      <x:c r="H3226" s="23" t="str">
        <x:v>sergioflorianovaranda03@gmail.com</x:v>
      </x:c>
      <x:c r="I3226" s="22" t="str">
        <x:f>"(16)99216-8690"</x:f>
        <x:v>(16)99216-8690</x:v>
      </x:c>
      <x:c r="J3226" s="23" t="str">
        <x:v>SPOT</x:v>
      </x:c>
      <x:c r="K3226" s="23" t="str">
        <x:v>favored_only</x:v>
      </x:c>
      <x:c r="L3226" s="24" t="b">
        <x:v>1</x:v>
      </x:c>
      <x:c r="M3226" s="23" t="n">
        <x:v>1</x:v>
      </x:c>
      <x:c r="N3226" s="28" t="n">
        <x:v>46219.812988715275</x:v>
      </x:c>
      <x:c r="O3226" s="28" t="n">
        <x:v>46219.812988715275</x:v>
      </x:c>
      <x:c r="P3226" s="23" t="str">
        <x:v>SÃO JOSE DO RIO PRETO</x:v>
      </x:c>
      <x:c r="Q3226" s="30" t="n">
        <x:v>29283</x:v>
      </x:c>
      <x:c r="R3226" s="22" t="str">
        <x:f>"33820795"</x:f>
        <x:v>33820795</x:v>
      </x:c>
      <x:c r="S3226" s="23" t="str">
        <x:v>masculino</x:v>
      </x:c>
      <x:c r="T3226" s="22" t="str">
        <x:f>"RTX7J87"</x:f>
        <x:v>RTX7J87</x:v>
      </x:c>
      <x:c r="U3226" s="23" t="str">
        <x:v>RICARDO FLORIANO VARANDAS</x:v>
      </x:c>
      <x:c r="V3226" s="22" t="str">
        <x:f>"281.607.228-26"</x:f>
        <x:v>281.607.228-26</x:v>
      </x:c>
      <x:c r="W3226" s="22" t="str">
        <x:f>"28160722826"</x:f>
        <x:v>28160722826</x:v>
      </x:c>
      <x:c r="X3226" s="23" t="str">
        <x:v>sergioflorianovaranda03@gmail.com</x:v>
      </x:c>
      <x:c r="Y3226" s="22" t="str">
        <x:f>"(16)99216-8690"</x:f>
        <x:v>(16)99216-8690</x:v>
      </x:c>
      <x:c r="Z3226" s="30" t="n">
        <x:v>46506</x:v>
      </x:c>
    </x:row>
    <x:row r="3227" ht="18" customHeight="1">
      <x:c r="A3227" s="22" t="str">
        <x:f>"0e10c9a7-980c-4b8d-880b-7034467a1188"</x:f>
        <x:v>0e10c9a7-980c-4b8d-880b-7034467a1188</x:v>
      </x:c>
      <x:c r="B3227" s="23" t="str">
        <x:v>RICARDO FRANCISCO CAMPOS DE ALMEIDA</x:v>
      </x:c>
      <x:c r="C3227" s="23" t="str">
        <x:v>ricardo francisco campos de almeida</x:v>
      </x:c>
      <x:c r="D3227" s="22" t="str">
        <x:f>"63.406.768/0001-80"</x:f>
        <x:v>63.406.768/0001-80</x:v>
      </x:c>
      <x:c r="E3227" s="22" t="str">
        <x:f>"63406768000180"</x:f>
        <x:v>63406768000180</x:v>
      </x:c>
      <x:c r="F3227" s="22" t="str">
        <x:f>"403.096.638-14"</x:f>
        <x:v>403.096.638-14</x:v>
      </x:c>
      <x:c r="G3227" s="22" t="str">
        <x:f>"40309663814"</x:f>
        <x:v>40309663814</x:v>
      </x:c>
      <x:c r="H3227" s="23" t="str">
        <x:v>ricardo.franciscoalmeida@gmail.com</x:v>
      </x:c>
      <x:c r="I3227" s="22" t="str">
        <x:f>"(17)98814-3143"</x:f>
        <x:v>(17)98814-3143</x:v>
      </x:c>
      <x:c r="J3227" s="23" t="str">
        <x:v>RENTAL</x:v>
      </x:c>
      <x:c r="K3227" s="23" t="str">
        <x:v>rental_company</x:v>
      </x:c>
      <x:c r="L3227" s="24" t="b">
        <x:v>1</x:v>
      </x:c>
      <x:c r="M3227" s="23" t="n">
        <x:v>1</x:v>
      </x:c>
      <x:c r="N3227" s="28" t="n">
        <x:v>46203.92188238426</x:v>
      </x:c>
      <x:c r="O3227" s="28" t="n">
        <x:v>46219.812988715275</x:v>
      </x:c>
      <x:c r="P3227" s="23" t="str">
        <x:v>BARRETOS</x:v>
      </x:c>
      <x:c r="Q3227" s="30" t="n">
        <x:v>32500</x:v>
      </x:c>
      <x:c r="R3227" s="22" t="str">
        <x:f>"44842217"</x:f>
        <x:v>44842217</x:v>
      </x:c>
      <x:c r="S3227" s="23" t="str">
        <x:v>masculino</x:v>
      </x:c>
      <x:c r="T3227" s="22" t="str"/>
      <x:c r="U3227" s="23" t="str">
        <x:v>RICARDO FRANCISCO CAMPOS DE ALMEIDA</x:v>
      </x:c>
      <x:c r="V3227" s="22" t="str">
        <x:f>"403.096.638-14"</x:f>
        <x:v>403.096.638-14</x:v>
      </x:c>
      <x:c r="W3227" s="22" t="str">
        <x:f>"40309663814"</x:f>
        <x:v>40309663814</x:v>
      </x:c>
      <x:c r="X3227" s="23" t="str">
        <x:v>ricardo.franciscoalmeida@gmail.com</x:v>
      </x:c>
      <x:c r="Y3227" s="22" t="str">
        <x:f>"(17)98814-3143"</x:f>
        <x:v>(17)98814-3143</x:v>
      </x:c>
      <x:c r="Z3227" s="30" t="n">
        <x:v>46324</x:v>
      </x:c>
    </x:row>
    <x:row r="3228" ht="18" customHeight="1">
      <x:c r="A3228" s="22" t="str">
        <x:f>"94921ae4-28f1-4004-8e2d-402a6871a403"</x:f>
        <x:v>94921ae4-28f1-4004-8e2d-402a6871a403</x:v>
      </x:c>
      <x:c r="B3228" s="23" t="str">
        <x:v>RICARDO GUILHERME COSTA</x:v>
      </x:c>
      <x:c r="C3228" s="23" t="str">
        <x:v>ricardo guilherme costa</x:v>
      </x:c>
      <x:c r="D3228" s="22" t="str">
        <x:f>"65.242.211/0001-86"</x:f>
        <x:v>65.242.211/0001-86</x:v>
      </x:c>
      <x:c r="E3228" s="22" t="str">
        <x:f>"65242211000186"</x:f>
        <x:v>65242211000186</x:v>
      </x:c>
      <x:c r="F3228" s="22" t="str">
        <x:f>"036.300.391-62"</x:f>
        <x:v>036.300.391-62</x:v>
      </x:c>
      <x:c r="G3228" s="22" t="str">
        <x:f>"03630039162"</x:f>
        <x:v>03630039162</x:v>
      </x:c>
      <x:c r="H3228" s="23" t="str">
        <x:v>guilhermericardo968@gmail.com</x:v>
      </x:c>
      <x:c r="I3228" s="22" t="str">
        <x:f>"65999375290"</x:f>
        <x:v>65999375290</x:v>
      </x:c>
      <x:c r="J3228" s="23" t="str">
        <x:v>SPOT</x:v>
      </x:c>
      <x:c r="K3228" s="23" t="str">
        <x:v>favored_only</x:v>
      </x:c>
      <x:c r="L3228" s="24" t="b">
        <x:v>1</x:v>
      </x:c>
      <x:c r="M3228" s="23" t="n">
        <x:v>1</x:v>
      </x:c>
      <x:c r="N3228" s="28" t="n">
        <x:v>46219.812988715275</x:v>
      </x:c>
      <x:c r="O3228" s="28" t="n">
        <x:v>46219.812988715275</x:v>
      </x:c>
      <x:c r="P3228" s="23" t="str">
        <x:v>CUIABA</x:v>
      </x:c>
      <x:c r="Q3228" s="30" t="n">
        <x:v>33694</x:v>
      </x:c>
      <x:c r="R3228" s="22" t="str">
        <x:f>"6459936760"</x:f>
        <x:v>6459936760</x:v>
      </x:c>
      <x:c r="S3228" s="23" t="str">
        <x:v>masculino</x:v>
      </x:c>
      <x:c r="T3228" s="22" t="str">
        <x:f>"RTP2C56"</x:f>
        <x:v>RTP2C56</x:v>
      </x:c>
      <x:c r="U3228" s="23" t="str">
        <x:v>RICARDO GUILHERME COSTA</x:v>
      </x:c>
      <x:c r="V3228" s="22" t="str">
        <x:f>"036.300.391-62"</x:f>
        <x:v>036.300.391-62</x:v>
      </x:c>
      <x:c r="W3228" s="22" t="str">
        <x:f>"03630039162"</x:f>
        <x:v>03630039162</x:v>
      </x:c>
      <x:c r="X3228" s="23" t="str">
        <x:v>guilhermericardo968@gmail.com</x:v>
      </x:c>
      <x:c r="Y3228" s="22" t="str">
        <x:f>"65999375290"</x:f>
        <x:v>65999375290</x:v>
      </x:c>
      <x:c r="Z3228" s="30" t="n">
        <x:v>46458</x:v>
      </x:c>
    </x:row>
    <x:row r="3229" ht="18" customHeight="1">
      <x:c r="A3229" s="22" t="str">
        <x:f>"637874e0-c846-4b96-b620-f26b1d54d731"</x:f>
        <x:v>637874e0-c846-4b96-b620-f26b1d54d731</x:v>
      </x:c>
      <x:c r="B3229" s="23" t="str">
        <x:v>RICARDO HUMBERTO TEODORO</x:v>
      </x:c>
      <x:c r="C3229" s="23" t="str">
        <x:v>ricardo humberto teodoro</x:v>
      </x:c>
      <x:c r="D3229" s="22" t="str">
        <x:f>"62.739.860/0001-07"</x:f>
        <x:v>62.739.860/0001-07</x:v>
      </x:c>
      <x:c r="E3229" s="22" t="str">
        <x:f>"62739860000107"</x:f>
        <x:v>62739860000107</x:v>
      </x:c>
      <x:c r="F3229" s="22" t="str">
        <x:f>"083.771.906-21"</x:f>
        <x:v>083.771.906-21</x:v>
      </x:c>
      <x:c r="G3229" s="22" t="str">
        <x:f>"08377190621"</x:f>
        <x:v>08377190621</x:v>
      </x:c>
      <x:c r="H3229" s="23" t="str">
        <x:v>rickeluh014@gmail.com</x:v>
      </x:c>
      <x:c r="I3229" s="22" t="str">
        <x:f>"34 996965614"</x:f>
        <x:v>34 996965614</x:v>
      </x:c>
      <x:c r="J3229" s="23" t="str">
        <x:v>SPOT</x:v>
      </x:c>
      <x:c r="K3229" s="23" t="str">
        <x:v>favored_only</x:v>
      </x:c>
      <x:c r="L3229" s="24" t="b">
        <x:v>1</x:v>
      </x:c>
      <x:c r="M3229" s="23" t="n">
        <x:v>1</x:v>
      </x:c>
      <x:c r="N3229" s="28" t="n">
        <x:v>46203.92186462963</x:v>
      </x:c>
      <x:c r="O3229" s="28" t="n">
        <x:v>46219.812988715275</x:v>
      </x:c>
      <x:c r="P3229" s="23" t="str">
        <x:v>UBERABA</x:v>
      </x:c>
      <x:c r="Q3229" s="30" t="n">
        <x:v>30939</x:v>
      </x:c>
      <x:c r="R3229" s="22" t="str">
        <x:f>"13680757"</x:f>
        <x:v>13680757</x:v>
      </x:c>
      <x:c r="S3229" s="23" t="str">
        <x:v>masculino</x:v>
      </x:c>
      <x:c r="T3229" s="22" t="str"/>
      <x:c r="U3229" s="23" t="str">
        <x:v>RICARDO HUMBERTO TEODORO</x:v>
      </x:c>
      <x:c r="V3229" s="22" t="str">
        <x:f>"083.771.906-21"</x:f>
        <x:v>083.771.906-21</x:v>
      </x:c>
      <x:c r="W3229" s="22" t="str">
        <x:f>"08377190621"</x:f>
        <x:v>08377190621</x:v>
      </x:c>
      <x:c r="X3229" s="23" t="str">
        <x:v>rickeluh014@gmail.com</x:v>
      </x:c>
      <x:c r="Y3229" s="22" t="str">
        <x:f>"34 996965614"</x:f>
        <x:v>34 996965614</x:v>
      </x:c>
      <x:c r="Z3229" s="30" t="n">
        <x:v>46288</x:v>
      </x:c>
    </x:row>
    <x:row r="3230" ht="18" customHeight="1">
      <x:c r="A3230" s="22" t="str">
        <x:f>"acb025b6-723b-4ca2-98d1-31d0fef5c6c4"</x:f>
        <x:v>acb025b6-723b-4ca2-98d1-31d0fef5c6c4</x:v>
      </x:c>
      <x:c r="B3230" s="23" t="str">
        <x:v>RICARDO JOSE DA SILVA</x:v>
      </x:c>
      <x:c r="C3230" s="23" t="str">
        <x:v>ricardo jose da silva</x:v>
      </x:c>
      <x:c r="D3230" s="22" t="str">
        <x:f>"63.496.570/0001-34"</x:f>
        <x:v>63.496.570/0001-34</x:v>
      </x:c>
      <x:c r="E3230" s="22" t="str">
        <x:f>"63496570000134"</x:f>
        <x:v>63496570000134</x:v>
      </x:c>
      <x:c r="F3230" s="22" t="str">
        <x:f>"508.589.848-65"</x:f>
        <x:v>508.589.848-65</x:v>
      </x:c>
      <x:c r="G3230" s="22" t="str">
        <x:f>"50858984865"</x:f>
        <x:v>50858984865</x:v>
      </x:c>
      <x:c r="H3230" s="23" t="str">
        <x:v>ricardo.eletrico111@gmail.com</x:v>
      </x:c>
      <x:c r="I3230" s="22" t="str">
        <x:f>"11992079387"</x:f>
        <x:v>11992079387</x:v>
      </x:c>
      <x:c r="J3230" s="23" t="str">
        <x:v>RENTAL</x:v>
      </x:c>
      <x:c r="K3230" s="23" t="str">
        <x:v>rental_company</x:v>
      </x:c>
      <x:c r="L3230" s="24" t="b">
        <x:v>1</x:v>
      </x:c>
      <x:c r="M3230" s="23" t="n">
        <x:v>1</x:v>
      </x:c>
      <x:c r="N3230" s="28" t="n">
        <x:v>46219.812988715275</x:v>
      </x:c>
      <x:c r="O3230" s="28" t="n">
        <x:v>46219.812988715275</x:v>
      </x:c>
      <x:c r="P3230" s="23" t="str">
        <x:v>BARUERI</x:v>
      </x:c>
      <x:c r="Q3230" s="30" t="n">
        <x:v>36585</x:v>
      </x:c>
      <x:c r="R3230" s="22" t="str">
        <x:f>"559784211"</x:f>
        <x:v>559784211</x:v>
      </x:c>
      <x:c r="S3230" s="23" t="str">
        <x:v>masculino</x:v>
      </x:c>
      <x:c r="T3230" s="22" t="str"/>
      <x:c r="U3230" s="23" t="str">
        <x:v>RICARDO JOSE DA SILVA</x:v>
      </x:c>
      <x:c r="V3230" s="22" t="str">
        <x:f>"508.589.848-65"</x:f>
        <x:v>508.589.848-65</x:v>
      </x:c>
      <x:c r="W3230" s="22" t="str">
        <x:f>"50858984865"</x:f>
        <x:v>50858984865</x:v>
      </x:c>
      <x:c r="X3230" s="23" t="str">
        <x:v>ricardo.eletrico111@gmail.com</x:v>
      </x:c>
      <x:c r="Y3230" s="22" t="str">
        <x:f>"11992079387"</x:f>
        <x:v>11992079387</x:v>
      </x:c>
      <x:c r="Z3230" s="30" t="n">
        <x:v>46494</x:v>
      </x:c>
    </x:row>
    <x:row r="3231" ht="18" customHeight="1">
      <x:c r="A3231" s="22" t="str">
        <x:f>"f2b9f0f7-d120-4262-a35e-9e1ccbe19f78"</x:f>
        <x:v>f2b9f0f7-d120-4262-a35e-9e1ccbe19f78</x:v>
      </x:c>
      <x:c r="B3231" s="23" t="str">
        <x:v>RICARDO JOSE DA SILVA</x:v>
      </x:c>
      <x:c r="C3231" s="23" t="str">
        <x:v>ricardo jose da silva</x:v>
      </x:c>
      <x:c r="D3231" s="22" t="str">
        <x:f>"37.823.997/0001-90"</x:f>
        <x:v>37.823.997/0001-90</x:v>
      </x:c>
      <x:c r="E3231" s="22" t="str">
        <x:f>"37823997000190"</x:f>
        <x:v>37823997000190</x:v>
      </x:c>
      <x:c r="F3231" s="22" t="str">
        <x:f>"029.185.451-63"</x:f>
        <x:v>029.185.451-63</x:v>
      </x:c>
      <x:c r="G3231" s="22" t="str">
        <x:f>"02918545163"</x:f>
        <x:v>02918545163</x:v>
      </x:c>
      <x:c r="H3231" s="23" t="str">
        <x:v>ricardojdasilva90@gmail.com</x:v>
      </x:c>
      <x:c r="I3231" s="22" t="str">
        <x:f>"62 98321-3881"</x:f>
        <x:v>62 98321-3881</x:v>
      </x:c>
      <x:c r="J3231" s="23" t="str">
        <x:v>SPOT</x:v>
      </x:c>
      <x:c r="K3231" s="23" t="str">
        <x:v>favored_only</x:v>
      </x:c>
      <x:c r="L3231" s="24" t="b">
        <x:v>1</x:v>
      </x:c>
      <x:c r="M3231" s="23" t="n">
        <x:v>1</x:v>
      </x:c>
      <x:c r="N3231" s="28" t="n">
        <x:v>46205.605489305555</x:v>
      </x:c>
      <x:c r="O3231" s="28" t="n">
        <x:v>46219.812988715275</x:v>
      </x:c>
      <x:c r="P3231" s="23" t="str">
        <x:v>GOIANIA</x:v>
      </x:c>
      <x:c r="Q3231" s="30" t="n">
        <x:v>33198</x:v>
      </x:c>
      <x:c r="R3231" s="22" t="str">
        <x:f>"17560907"</x:f>
        <x:v>17560907</x:v>
      </x:c>
      <x:c r="S3231" s="23" t="str">
        <x:v>masculino</x:v>
      </x:c>
      <x:c r="T3231" s="22" t="str">
        <x:f>"ONT1F78"</x:f>
        <x:v>ONT1F78</x:v>
      </x:c>
      <x:c r="U3231" s="23" t="str">
        <x:v>DANILLO BACCIEL ALMEIDA</x:v>
      </x:c>
      <x:c r="V3231" s="22" t="str">
        <x:f>"019.928.911-50"</x:f>
        <x:v>019.928.911-50</x:v>
      </x:c>
      <x:c r="W3231" s="22" t="str">
        <x:f>"01992891150"</x:f>
        <x:v>01992891150</x:v>
      </x:c>
      <x:c r="X3231" s="23" t="str">
        <x:v>rtp.cargas@gmail.com</x:v>
      </x:c>
      <x:c r="Y3231" s="22" t="str">
        <x:f>"62 9661-0607"</x:f>
        <x:v>62 9661-0607</x:v>
      </x:c>
      <x:c r="Z3231" s="30" t="n">
        <x:v>46324</x:v>
      </x:c>
    </x:row>
    <x:row r="3232" ht="18" customHeight="1">
      <x:c r="A3232" s="22" t="str">
        <x:f>"caa58278-21c3-446f-a7c6-986d75bbac11"</x:f>
        <x:v>caa58278-21c3-446f-a7c6-986d75bbac11</x:v>
      </x:c>
      <x:c r="B3232" s="23" t="str">
        <x:v>RICARDO LUCAS DE CASTRO</x:v>
      </x:c>
      <x:c r="C3232" s="23" t="str">
        <x:v>ricardo lucas de castro</x:v>
      </x:c>
      <x:c r="D3232" s="22" t="str">
        <x:f>"65.513.928/0001-15"</x:f>
        <x:v>65.513.928/0001-15</x:v>
      </x:c>
      <x:c r="E3232" s="22" t="str">
        <x:f>"65513928000115"</x:f>
        <x:v>65513928000115</x:v>
      </x:c>
      <x:c r="F3232" s="22" t="str">
        <x:f>"429.455.448-73"</x:f>
        <x:v>429.455.448-73</x:v>
      </x:c>
      <x:c r="G3232" s="22" t="str">
        <x:f>"42945544873"</x:f>
        <x:v>42945544873</x:v>
      </x:c>
      <x:c r="H3232" s="23" t="str">
        <x:v>Ricardolucasdecastro140994@gmail.com</x:v>
      </x:c>
      <x:c r="I3232" s="22" t="str">
        <x:f>"35991056566"</x:f>
        <x:v>35991056566</x:v>
      </x:c>
      <x:c r="J3232" s="23" t="str">
        <x:v>SPOT</x:v>
      </x:c>
      <x:c r="K3232" s="23" t="str">
        <x:v>favored_only</x:v>
      </x:c>
      <x:c r="L3232" s="24" t="b">
        <x:v>1</x:v>
      </x:c>
      <x:c r="M3232" s="23" t="n">
        <x:v>1</x:v>
      </x:c>
      <x:c r="N3232" s="28" t="n">
        <x:v>46219.812988715275</x:v>
      </x:c>
      <x:c r="O3232" s="28" t="n">
        <x:v>46219.812988715275</x:v>
      </x:c>
      <x:c r="P3232" s="23" t="str">
        <x:v>GUAXUPE</x:v>
      </x:c>
      <x:c r="Q3232" s="30" t="n">
        <x:v>34591</x:v>
      </x:c>
      <x:c r="R3232" s="22" t="str">
        <x:f>"22660624"</x:f>
        <x:v>22660624</x:v>
      </x:c>
      <x:c r="S3232" s="23" t="str">
        <x:v>masculino</x:v>
      </x:c>
      <x:c r="T3232" s="22" t="str">
        <x:f>"QOC2G36"</x:f>
        <x:v>QOC2G36</x:v>
      </x:c>
      <x:c r="U3232" s="23" t="str">
        <x:v>JAQUELINE APARECIDA DE CARVALHO</x:v>
      </x:c>
      <x:c r="V3232" s="22" t="str">
        <x:f>"143.261.376-65"</x:f>
        <x:v>143.261.376-65</x:v>
      </x:c>
      <x:c r="W3232" s="22" t="str">
        <x:f>"14326137665"</x:f>
        <x:v>14326137665</x:v>
      </x:c>
      <x:c r="X3232" s="23" t="str">
        <x:v>Jaquelinecarvalho018@gmail.com</x:v>
      </x:c>
      <x:c r="Y3232" s="22" t="str">
        <x:f>"99977-7025"</x:f>
        <x:v>99977-7025</x:v>
      </x:c>
      <x:c r="Z3232" s="30" t="n">
        <x:v>46528</x:v>
      </x:c>
    </x:row>
    <x:row r="3233" ht="18" customHeight="1">
      <x:c r="A3233" s="22" t="str">
        <x:f>"f34ce8c8-df34-4d71-b97f-095ac79bb0ef"</x:f>
        <x:v>f34ce8c8-df34-4d71-b97f-095ac79bb0ef</x:v>
      </x:c>
      <x:c r="B3233" s="23" t="str">
        <x:v>RICARDO MACHADO BATISTA</x:v>
      </x:c>
      <x:c r="C3233" s="23" t="str">
        <x:v>ricardo machado batista</x:v>
      </x:c>
      <x:c r="D3233" s="22" t="str">
        <x:f>"45.156.804/0001-12"</x:f>
        <x:v>45.156.804/0001-12</x:v>
      </x:c>
      <x:c r="E3233" s="22" t="str">
        <x:f>"45156804000112"</x:f>
        <x:v>45156804000112</x:v>
      </x:c>
      <x:c r="F3233" s="22" t="str">
        <x:f>"088.802.167-40"</x:f>
        <x:v>088.802.167-40</x:v>
      </x:c>
      <x:c r="G3233" s="22" t="str">
        <x:f>"08880216740"</x:f>
        <x:v>08880216740</x:v>
      </x:c>
      <x:c r="H3233" s="23" t="str">
        <x:v>GODOYBATISTAMACHADO@GMAIL.COM</x:v>
      </x:c>
      <x:c r="I3233" s="22" t="str">
        <x:f>"+55 22 99802-1068"</x:f>
        <x:v>+55 22 99802-1068</x:v>
      </x:c>
      <x:c r="J3233" s="23" t="str">
        <x:v>RENTAL</x:v>
      </x:c>
      <x:c r="K3233" s="23" t="str">
        <x:v>rental_company</x:v>
      </x:c>
      <x:c r="L3233" s="24" t="b">
        <x:v>1</x:v>
      </x:c>
      <x:c r="M3233" s="23" t="n">
        <x:v>1</x:v>
      </x:c>
      <x:c r="N3233" s="28" t="n">
        <x:v>46203.921824756944</x:v>
      </x:c>
      <x:c r="O3233" s="28" t="n">
        <x:v>46219.812988715275</x:v>
      </x:c>
      <x:c r="P3233" s="23" t="str">
        <x:v>CAMPOS DOS GOYTACAZES</x:v>
      </x:c>
      <x:c r="Q3233" s="30" t="n">
        <x:v>29522</x:v>
      </x:c>
      <x:c r="R3233" s="22" t="str">
        <x:f>"129856894"</x:f>
        <x:v>129856894</x:v>
      </x:c>
      <x:c r="S3233" s="23" t="str">
        <x:v>masculino</x:v>
      </x:c>
      <x:c r="T3233" s="22" t="str"/>
      <x:c r="U3233" s="23" t="str">
        <x:v>RICARDO MACHADO BATISTA</x:v>
      </x:c>
      <x:c r="V3233" s="22" t="str">
        <x:f>"088.802.167-40"</x:f>
        <x:v>088.802.167-40</x:v>
      </x:c>
      <x:c r="W3233" s="22" t="str">
        <x:f>"08880216740"</x:f>
        <x:v>08880216740</x:v>
      </x:c>
      <x:c r="X3233" s="23" t="str">
        <x:v>GODOYBATISTAMACHADO@GMAIL.COM</x:v>
      </x:c>
      <x:c r="Y3233" s="22" t="str">
        <x:f>"+55 22 99802-1068"</x:f>
        <x:v>+55 22 99802-1068</x:v>
      </x:c>
      <x:c r="Z3233" s="30" t="n">
        <x:v>46249</x:v>
      </x:c>
    </x:row>
    <x:row r="3234" ht="18" customHeight="1">
      <x:c r="A3234" s="22" t="str">
        <x:f>"263e17e7-7dc4-49db-9100-527e80d325e7"</x:f>
        <x:v>263e17e7-7dc4-49db-9100-527e80d325e7</x:v>
      </x:c>
      <x:c r="B3234" s="23" t="str">
        <x:v>RICARDO RODRIGUES CUNHA</x:v>
      </x:c>
      <x:c r="C3234" s="23" t="str">
        <x:v>ricardo rodrigues cunha</x:v>
      </x:c>
      <x:c r="D3234" s="22" t="str">
        <x:f>"55.156.189/0001-06"</x:f>
        <x:v>55.156.189/0001-06</x:v>
      </x:c>
      <x:c r="E3234" s="22" t="str">
        <x:f>"55156189000106"</x:f>
        <x:v>55156189000106</x:v>
      </x:c>
      <x:c r="F3234" s="22" t="str">
        <x:f>"901.533.916-34"</x:f>
        <x:v>901.533.916-34</x:v>
      </x:c>
      <x:c r="G3234" s="22" t="str">
        <x:f>"90153391634"</x:f>
        <x:v>90153391634</x:v>
      </x:c>
      <x:c r="H3234" s="23" t="str">
        <x:v>ricardocunha080177@gmail.com</x:v>
      </x:c>
      <x:c r="I3234" s="22" t="str">
        <x:f>"31 99542-1515"</x:f>
        <x:v>31 99542-1515</x:v>
      </x:c>
      <x:c r="J3234" s="23" t="str">
        <x:v>SPOT</x:v>
      </x:c>
      <x:c r="K3234" s="23" t="str">
        <x:v>favored_only</x:v>
      </x:c>
      <x:c r="L3234" s="24" t="b">
        <x:v>1</x:v>
      </x:c>
      <x:c r="M3234" s="23" t="n">
        <x:v>1</x:v>
      </x:c>
      <x:c r="N3234" s="28" t="n">
        <x:v>46203.92188238426</x:v>
      </x:c>
      <x:c r="O3234" s="28" t="n">
        <x:v>46219.812988715275</x:v>
      </x:c>
      <x:c r="P3234" s="23" t="str">
        <x:v>VESPASIANO</x:v>
      </x:c>
      <x:c r="Q3234" s="30" t="n">
        <x:v>28133</x:v>
      </x:c>
      <x:c r="R3234" s="22" t="str">
        <x:f>"MG7.228.890"</x:f>
        <x:v>MG7.228.890</x:v>
      </x:c>
      <x:c r="S3234" s="23" t="str">
        <x:v>masculino</x:v>
      </x:c>
      <x:c r="T3234" s="22" t="str">
        <x:f>"PZW5936"</x:f>
        <x:v>PZW5936</x:v>
      </x:c>
      <x:c r="U3234" s="23" t="str">
        <x:v>RICARDO RODRIGUES CUNHA</x:v>
      </x:c>
      <x:c r="V3234" s="22" t="str">
        <x:f>"901.533.916-34"</x:f>
        <x:v>901.533.916-34</x:v>
      </x:c>
      <x:c r="W3234" s="22" t="str">
        <x:f>"90153391634"</x:f>
        <x:v>90153391634</x:v>
      </x:c>
      <x:c r="X3234" s="23" t="str">
        <x:v>ricardocunha080177@gmail.com</x:v>
      </x:c>
      <x:c r="Y3234" s="22" t="str">
        <x:f>"31 99542-1515"</x:f>
        <x:v>31 99542-1515</x:v>
      </x:c>
      <x:c r="Z3234" s="30" t="n">
        <x:v>46325</x:v>
      </x:c>
    </x:row>
    <x:row r="3235" ht="18" customHeight="1">
      <x:c r="A3235" s="22" t="str">
        <x:f>"92183c27-8d2d-45d8-998c-73f5a6982f1d"</x:f>
        <x:v>92183c27-8d2d-45d8-998c-73f5a6982f1d</x:v>
      </x:c>
      <x:c r="B3235" s="23" t="str">
        <x:v>RICARDO WASHINGTON SANTOS DE MORAES</x:v>
      </x:c>
      <x:c r="C3235" s="23" t="str">
        <x:v>ricardo washington santos de moraes</x:v>
      </x:c>
      <x:c r="D3235" s="22" t="str">
        <x:f>"35.128.166/0001-72"</x:f>
        <x:v>35.128.166/0001-72</x:v>
      </x:c>
      <x:c r="E3235" s="22" t="str">
        <x:f>"35128166000172"</x:f>
        <x:v>35128166000172</x:v>
      </x:c>
      <x:c r="F3235" s="22" t="str">
        <x:f>"073.191.457-07"</x:f>
        <x:v>073.191.457-07</x:v>
      </x:c>
      <x:c r="G3235" s="22" t="str">
        <x:f>"07319145707"</x:f>
        <x:v>07319145707</x:v>
      </x:c>
      <x:c r="H3235" s="23" t="str">
        <x:v>ricardowashington2004@yahoo.com.br</x:v>
      </x:c>
      <x:c r="I3235" s="22" t="str">
        <x:f>"21998224662"</x:f>
        <x:v>21998224662</x:v>
      </x:c>
      <x:c r="J3235" s="23" t="str">
        <x:v>SPOT</x:v>
      </x:c>
      <x:c r="K3235" s="23" t="str">
        <x:v>favored_only</x:v>
      </x:c>
      <x:c r="L3235" s="24" t="b">
        <x:v>1</x:v>
      </x:c>
      <x:c r="M3235" s="23" t="n">
        <x:v>1</x:v>
      </x:c>
      <x:c r="N3235" s="28" t="n">
        <x:v>46219.812988715275</x:v>
      </x:c>
      <x:c r="O3235" s="28" t="n">
        <x:v>46219.812988715275</x:v>
      </x:c>
      <x:c r="P3235" s="23" t="str">
        <x:v>ITABORAI</x:v>
      </x:c>
      <x:c r="Q3235" s="30" t="n">
        <x:v>28577</x:v>
      </x:c>
      <x:c r="R3235" s="22" t="str">
        <x:f>"111169215"</x:f>
        <x:v>111169215</x:v>
      </x:c>
      <x:c r="S3235" s="23" t="str">
        <x:v>masculino</x:v>
      </x:c>
      <x:c r="T3235" s="22" t="str">
        <x:f>"LSC3909"</x:f>
        <x:v>LSC3909</x:v>
      </x:c>
      <x:c r="U3235" s="23" t="str">
        <x:v>RICARDO WASHINGTON SANTOS DE MORAES</x:v>
      </x:c>
      <x:c r="V3235" s="22" t="str">
        <x:f>"073.191.457-07"</x:f>
        <x:v>073.191.457-07</x:v>
      </x:c>
      <x:c r="W3235" s="22" t="str">
        <x:f>"07319145707"</x:f>
        <x:v>07319145707</x:v>
      </x:c>
      <x:c r="X3235" s="23" t="str">
        <x:v>ricardowashington2004@yahoo.com.br</x:v>
      </x:c>
      <x:c r="Y3235" s="22" t="str">
        <x:f>"21998224662"</x:f>
        <x:v>21998224662</x:v>
      </x:c>
      <x:c r="Z3235" s="30" t="n">
        <x:v>46516</x:v>
      </x:c>
    </x:row>
    <x:row r="3236" ht="18" customHeight="1">
      <x:c r="A3236" s="22" t="str">
        <x:f>"5f636363-16ef-4f87-a688-1c11d4a6e90c"</x:f>
        <x:v>5f636363-16ef-4f87-a688-1c11d4a6e90c</x:v>
      </x:c>
      <x:c r="B3236" s="23" t="str">
        <x:v>RICARDO WEIRICH</x:v>
      </x:c>
      <x:c r="C3236" s="23" t="str">
        <x:v>ricardo weirich</x:v>
      </x:c>
      <x:c r="D3236" s="22" t="str">
        <x:f>"53.291.345/0001-08"</x:f>
        <x:v>53.291.345/0001-08</x:v>
      </x:c>
      <x:c r="E3236" s="22" t="str">
        <x:f>"53291345000108"</x:f>
        <x:v>53291345000108</x:v>
      </x:c>
      <x:c r="F3236" s="22" t="str">
        <x:f>"009.089.490-14"</x:f>
        <x:v>009.089.490-14</x:v>
      </x:c>
      <x:c r="G3236" s="22" t="str">
        <x:f>"00908949014"</x:f>
        <x:v>00908949014</x:v>
      </x:c>
      <x:c r="H3236" s="23" t="str">
        <x:v>ricardoweirich21@gmail.com</x:v>
      </x:c>
      <x:c r="I3236" s="22" t="str">
        <x:f>"66 9618-1600"</x:f>
        <x:v>66 9618-1600</x:v>
      </x:c>
      <x:c r="J3236" s="23" t="str">
        <x:v>DESCONHECIDO</x:v>
      </x:c>
      <x:c r="K3236" s="23" t="str">
        <x:v>favored_only</x:v>
      </x:c>
      <x:c r="L3236" s="24" t="b">
        <x:v>1</x:v>
      </x:c>
      <x:c r="M3236" s="23" t="n">
        <x:v>1</x:v>
      </x:c>
      <x:c r="N3236" s="28" t="n">
        <x:v>46219.812988715275</x:v>
      </x:c>
      <x:c r="O3236" s="28" t="n">
        <x:v>46219.812988715275</x:v>
      </x:c>
      <x:c r="P3236" s="23" t="str">
        <x:v>SINOP</x:v>
      </x:c>
      <x:c r="Q3236" s="30" t="str"/>
      <x:c r="R3236" s="22" t="str">
        <x:f>"1082131218"</x:f>
        <x:v>1082131218</x:v>
      </x:c>
      <x:c r="S3236" s="23" t="str">
        <x:v>masculino</x:v>
      </x:c>
      <x:c r="T3236" s="22" t="str">
        <x:f>"QBZ0B77"</x:f>
        <x:v>QBZ0B77</x:v>
      </x:c>
      <x:c r="U3236" s="23" t="str">
        <x:v>RICARDO WEIRICH</x:v>
      </x:c>
      <x:c r="V3236" s="22" t="str">
        <x:f>"009.089.490-14"</x:f>
        <x:v>009.089.490-14</x:v>
      </x:c>
      <x:c r="W3236" s="22" t="str">
        <x:f>"00908949014"</x:f>
        <x:v>00908949014</x:v>
      </x:c>
      <x:c r="X3236" s="23" t="str">
        <x:v>ricardoweirich21@gmail.com</x:v>
      </x:c>
      <x:c r="Y3236" s="22" t="str">
        <x:f>"66 9618-1600"</x:f>
        <x:v>66 9618-1600</x:v>
      </x:c>
      <x:c r="Z3236" s="30" t="n">
        <x:v>46403</x:v>
      </x:c>
    </x:row>
    <x:row r="3237" ht="18" customHeight="1">
      <x:c r="A3237" s="22" t="str">
        <x:f>"f6f62153-e5b0-4585-90d4-546d5d23e2c6"</x:f>
        <x:v>f6f62153-e5b0-4585-90d4-546d5d23e2c6</x:v>
      </x:c>
      <x:c r="B3237" s="23" t="str">
        <x:v>RICHARD MACHADO DA LUZ</x:v>
      </x:c>
      <x:c r="C3237" s="23" t="str">
        <x:v>richard machado da luz</x:v>
      </x:c>
      <x:c r="D3237" s="22" t="str">
        <x:f>"55.673.030/0001-50"</x:f>
        <x:v>55.673.030/0001-50</x:v>
      </x:c>
      <x:c r="E3237" s="22" t="str">
        <x:f>"55673030000150"</x:f>
        <x:v>55673030000150</x:v>
      </x:c>
      <x:c r="F3237" s="22" t="str">
        <x:f>"054.694.951-75"</x:f>
        <x:v>054.694.951-75</x:v>
      </x:c>
      <x:c r="G3237" s="22" t="str">
        <x:f>"05469495175"</x:f>
        <x:v>05469495175</x:v>
      </x:c>
      <x:c r="H3237" s="23" t="str">
        <x:v>richardmachado_@live.com</x:v>
      </x:c>
      <x:c r="I3237" s="22" t="str">
        <x:f>"65993419814"</x:f>
        <x:v>65993419814</x:v>
      </x:c>
      <x:c r="J3237" s="23" t="str">
        <x:v>RENTAL</x:v>
      </x:c>
      <x:c r="K3237" s="23" t="str">
        <x:v>rental_company</x:v>
      </x:c>
      <x:c r="L3237" s="24" t="b">
        <x:v>1</x:v>
      </x:c>
      <x:c r="M3237" s="23" t="n">
        <x:v>1</x:v>
      </x:c>
      <x:c r="N3237" s="28" t="n">
        <x:v>46219.812988715275</x:v>
      </x:c>
      <x:c r="O3237" s="28" t="n">
        <x:v>46219.812988715275</x:v>
      </x:c>
      <x:c r="P3237" s="23" t="str">
        <x:v>CUIABA</x:v>
      </x:c>
      <x:c r="Q3237" s="30" t="n">
        <x:v>34536</x:v>
      </x:c>
      <x:c r="R3237" s="22" t="str">
        <x:f>"19549962"</x:f>
        <x:v>19549962</x:v>
      </x:c>
      <x:c r="S3237" s="23" t="str">
        <x:v>masculino</x:v>
      </x:c>
      <x:c r="T3237" s="22" t="str"/>
      <x:c r="U3237" s="23" t="str">
        <x:v>RICHARD MACHADO DA LUZ</x:v>
      </x:c>
      <x:c r="V3237" s="22" t="str">
        <x:f>"054.694.951-75"</x:f>
        <x:v>054.694.951-75</x:v>
      </x:c>
      <x:c r="W3237" s="22" t="str">
        <x:f>"05469495175"</x:f>
        <x:v>05469495175</x:v>
      </x:c>
      <x:c r="X3237" s="23" t="str">
        <x:v>richardmachado_@live.com</x:v>
      </x:c>
      <x:c r="Y3237" s="22" t="str">
        <x:f>"65993419814"</x:f>
        <x:v>65993419814</x:v>
      </x:c>
      <x:c r="Z3237" s="30" t="n">
        <x:v>46437</x:v>
      </x:c>
    </x:row>
    <x:row r="3238" ht="18" customHeight="1">
      <x:c r="A3238" s="22" t="str">
        <x:f>"b0cc9bc3-f0b6-421f-8d0b-c2708034bc62"</x:f>
        <x:v>b0cc9bc3-f0b6-421f-8d0b-c2708034bc62</x:v>
      </x:c>
      <x:c r="B3238" s="23" t="str">
        <x:v>RIGS MAX GOMES DOS SANTOS QUEIROZ</x:v>
      </x:c>
      <x:c r="C3238" s="23" t="str">
        <x:v>rigs max gomes dos santos queiroz</x:v>
      </x:c>
      <x:c r="D3238" s="22" t="str">
        <x:f>"59.696.194/0001-54"</x:f>
        <x:v>59.696.194/0001-54</x:v>
      </x:c>
      <x:c r="E3238" s="22" t="str">
        <x:f>"59696194000154"</x:f>
        <x:v>59696194000154</x:v>
      </x:c>
      <x:c r="F3238" s="22" t="str">
        <x:f>"150.376.547-42"</x:f>
        <x:v>150.376.547-42</x:v>
      </x:c>
      <x:c r="G3238" s="22" t="str">
        <x:f>"15037654742"</x:f>
        <x:v>15037654742</x:v>
      </x:c>
      <x:c r="H3238" s="23" t="str">
        <x:v>rigsmaxsantos@gmail.com</x:v>
      </x:c>
      <x:c r="I3238" s="22" t="str">
        <x:f>"22 998807219"</x:f>
        <x:v>22 998807219</x:v>
      </x:c>
      <x:c r="J3238" s="23" t="str">
        <x:v>SPOT</x:v>
      </x:c>
      <x:c r="K3238" s="23" t="str">
        <x:v>favored_only</x:v>
      </x:c>
      <x:c r="L3238" s="24" t="b">
        <x:v>1</x:v>
      </x:c>
      <x:c r="M3238" s="23" t="n">
        <x:v>1</x:v>
      </x:c>
      <x:c r="N3238" s="28" t="n">
        <x:v>46219.812988715275</x:v>
      </x:c>
      <x:c r="O3238" s="28" t="n">
        <x:v>46219.812988715275</x:v>
      </x:c>
      <x:c r="P3238" s="23" t="str">
        <x:v>CAMPOS DOS GOYTACAZES</x:v>
      </x:c>
      <x:c r="Q3238" s="30" t="n">
        <x:v>34896</x:v>
      </x:c>
      <x:c r="R3238" s="22" t="str">
        <x:f>"279172266"</x:f>
        <x:v>279172266</x:v>
      </x:c>
      <x:c r="S3238" s="23" t="str">
        <x:v>masculino</x:v>
      </x:c>
      <x:c r="T3238" s="22" t="str">
        <x:f>"TTT9C03"</x:f>
        <x:v>TTT9C03</x:v>
      </x:c>
      <x:c r="U3238" s="23" t="str">
        <x:v>JOSENIR HENRIQUES DA PAIXAO</x:v>
      </x:c>
      <x:c r="V3238" s="22" t="str">
        <x:f>"059.581.007-18"</x:f>
        <x:v>059.581.007-18</x:v>
      </x:c>
      <x:c r="W3238" s="22" t="str">
        <x:f>"05958100718"</x:f>
        <x:v>05958100718</x:v>
      </x:c>
      <x:c r="X3238" s="23" t="str">
        <x:v>JOSENIRH@YAHOO.COM</x:v>
      </x:c>
      <x:c r="Y3238" s="22" t="str">
        <x:f>"22 999313108"</x:f>
        <x:v>22 999313108</x:v>
      </x:c>
      <x:c r="Z3238" s="30" t="n">
        <x:v>46567</x:v>
      </x:c>
    </x:row>
    <x:row r="3239" ht="18" customHeight="1">
      <x:c r="A3239" s="22" t="str">
        <x:f>"50bc9c93-1bd7-43cc-ba1a-cfb88557cd30"</x:f>
        <x:v>50bc9c93-1bd7-43cc-ba1a-cfb88557cd30</x:v>
      </x:c>
      <x:c r="B3239" s="23" t="str">
        <x:v>RIKELME AMARAL DOS SANTOS</x:v>
      </x:c>
      <x:c r="C3239" s="23" t="str">
        <x:v>rikelme amaral dos santos</x:v>
      </x:c>
      <x:c r="D3239" s="22" t="str">
        <x:f>"47.459.293/0001-33"</x:f>
        <x:v>47.459.293/0001-33</x:v>
      </x:c>
      <x:c r="E3239" s="22" t="str">
        <x:f>"47459293000133"</x:f>
        <x:v>47459293000133</x:v>
      </x:c>
      <x:c r="F3239" s="22" t="str">
        <x:f>"128.897.307-19"</x:f>
        <x:v>128.897.307-19</x:v>
      </x:c>
      <x:c r="G3239" s="22" t="str">
        <x:f>"12889730719"</x:f>
        <x:v>12889730719</x:v>
      </x:c>
      <x:c r="H3239" s="23" t="str">
        <x:v>Rikelmeamaral@yahoo.com</x:v>
      </x:c>
      <x:c r="I3239" s="22" t="str">
        <x:f>"22981044585"</x:f>
        <x:v>22981044585</x:v>
      </x:c>
      <x:c r="J3239" s="23" t="str">
        <x:v>SPOT</x:v>
      </x:c>
      <x:c r="K3239" s="23" t="str">
        <x:v>favored_only</x:v>
      </x:c>
      <x:c r="L3239" s="24" t="b">
        <x:v>1</x:v>
      </x:c>
      <x:c r="M3239" s="23" t="n">
        <x:v>1</x:v>
      </x:c>
      <x:c r="N3239" s="28" t="n">
        <x:v>46219.812988715275</x:v>
      </x:c>
      <x:c r="O3239" s="28" t="n">
        <x:v>46219.812988715275</x:v>
      </x:c>
      <x:c r="P3239" s="23" t="str">
        <x:v>CAMPOS DOS GOYTACAZES</x:v>
      </x:c>
      <x:c r="Q3239" s="30" t="n">
        <x:v>37958</x:v>
      </x:c>
      <x:c r="R3239" s="22" t="str">
        <x:f>"294541453"</x:f>
        <x:v>294541453</x:v>
      </x:c>
      <x:c r="S3239" s="23" t="str">
        <x:v>masculino</x:v>
      </x:c>
      <x:c r="T3239" s="22" t="str">
        <x:f>"LPM4A12"</x:f>
        <x:v>LPM4A12</x:v>
      </x:c>
      <x:c r="U3239" s="23" t="str">
        <x:v>SERGIO VIEIRA MONNERAT JUNIOR</x:v>
      </x:c>
      <x:c r="V3239" s="22" t="str">
        <x:f>"100.877.337-61"</x:f>
        <x:v>100.877.337-61</x:v>
      </x:c>
      <x:c r="W3239" s="22" t="str">
        <x:f>"10087733761"</x:f>
        <x:v>10087733761</x:v>
      </x:c>
      <x:c r="X3239" s="23" t="str">
        <x:v>sergiov.monneratjr@gmail.com</x:v>
      </x:c>
      <x:c r="Y3239" s="22" t="str">
        <x:f>"22981380350"</x:f>
        <x:v>22981380350</x:v>
      </x:c>
      <x:c r="Z3239" s="30" t="n">
        <x:v>46442</x:v>
      </x:c>
    </x:row>
    <x:row r="3240" ht="18" customHeight="1">
      <x:c r="A3240" s="22" t="str">
        <x:f>"803677c9-e439-4460-a18d-e7613268903a"</x:f>
        <x:v>803677c9-e439-4460-a18d-e7613268903a</x:v>
      </x:c>
      <x:c r="B3240" s="23" t="str">
        <x:v>RITA DE CASSIA ADALGISA DE SOUZA GRIJO</x:v>
      </x:c>
      <x:c r="C3240" s="23" t="str">
        <x:v>rita de cassia adalgisa de souza grijo</x:v>
      </x:c>
      <x:c r="D3240" s="22" t="str">
        <x:f>"52.447.272/0001-38"</x:f>
        <x:v>52.447.272/0001-38</x:v>
      </x:c>
      <x:c r="E3240" s="22" t="str">
        <x:f>"52447272000138"</x:f>
        <x:v>52447272000138</x:v>
      </x:c>
      <x:c r="F3240" s="22" t="str">
        <x:f>"053.279.227-07"</x:f>
        <x:v>053.279.227-07</x:v>
      </x:c>
      <x:c r="G3240" s="22" t="str">
        <x:f>"05327922707"</x:f>
        <x:v>05327922707</x:v>
      </x:c>
      <x:c r="H3240" s="23" t="str">
        <x:v>rita.grijo@gmail.com</x:v>
      </x:c>
      <x:c r="I3240" s="22" t="str">
        <x:f>"2196602-2018"</x:f>
        <x:v>2196602-2018</x:v>
      </x:c>
      <x:c r="J3240" s="23" t="str">
        <x:v>SPOT</x:v>
      </x:c>
      <x:c r="K3240" s="23" t="str">
        <x:v>favored_only</x:v>
      </x:c>
      <x:c r="L3240" s="24" t="b">
        <x:v>1</x:v>
      </x:c>
      <x:c r="M3240" s="23" t="n">
        <x:v>1</x:v>
      </x:c>
      <x:c r="N3240" s="28" t="n">
        <x:v>46219.812988715275</x:v>
      </x:c>
      <x:c r="O3240" s="28" t="n">
        <x:v>46219.812988715275</x:v>
      </x:c>
      <x:c r="P3240" s="23" t="str">
        <x:v>CAMPO GRANDE</x:v>
      </x:c>
      <x:c r="Q3240" s="30" t="n">
        <x:v>30048</x:v>
      </x:c>
      <x:c r="R3240" s="22" t="str">
        <x:f>"122002439"</x:f>
        <x:v>122002439</x:v>
      </x:c>
      <x:c r="S3240" s="23" t="str">
        <x:v>feminino</x:v>
      </x:c>
      <x:c r="T3240" s="22" t="str">
        <x:f>"EFV8I41"</x:f>
        <x:v>EFV8I41</x:v>
      </x:c>
      <x:c r="U3240" s="23" t="str">
        <x:v>RITA DE CASSIA ADALGISA DE SOUZA GRIJO</x:v>
      </x:c>
      <x:c r="V3240" s="22" t="str">
        <x:f>"053.279.227-07"</x:f>
        <x:v>053.279.227-07</x:v>
      </x:c>
      <x:c r="W3240" s="22" t="str">
        <x:f>"05327922707"</x:f>
        <x:v>05327922707</x:v>
      </x:c>
      <x:c r="X3240" s="23" t="str">
        <x:v>rita.grijo@gmail.com</x:v>
      </x:c>
      <x:c r="Y3240" s="22" t="str">
        <x:f>"2196602-2018"</x:f>
        <x:v>2196602-2018</x:v>
      </x:c>
      <x:c r="Z3240" s="30" t="n">
        <x:v>46560</x:v>
      </x:c>
    </x:row>
    <x:row r="3241" ht="18" customHeight="1">
      <x:c r="A3241" s="22" t="str">
        <x:f>"32451e9c-bda9-4166-b364-d92ec0f2de41"</x:f>
        <x:v>32451e9c-bda9-4166-b364-d92ec0f2de41</x:v>
      </x:c>
      <x:c r="B3241" s="23" t="str">
        <x:v>RIVELINO DE JESUS DA SILVA</x:v>
      </x:c>
      <x:c r="C3241" s="23" t="str">
        <x:v>rivelino de jesus da silva</x:v>
      </x:c>
      <x:c r="D3241" s="22" t="str">
        <x:f>"55.880.444/0001-50"</x:f>
        <x:v>55.880.444/0001-50</x:v>
      </x:c>
      <x:c r="E3241" s="22" t="str">
        <x:f>"55880444000150"</x:f>
        <x:v>55880444000150</x:v>
      </x:c>
      <x:c r="F3241" s="22" t="str">
        <x:f>"029.503.216-23"</x:f>
        <x:v>029.503.216-23</x:v>
      </x:c>
      <x:c r="G3241" s="22" t="str">
        <x:f>"02950321623"</x:f>
        <x:v>02950321623</x:v>
      </x:c>
      <x:c r="H3241" s="23" t="str">
        <x:v>FERNANDASILVARIBEIROT13@GMAIL.COM</x:v>
      </x:c>
      <x:c r="I3241" s="22" t="str">
        <x:f>"35 991540129"</x:f>
        <x:v>35 991540129</x:v>
      </x:c>
      <x:c r="J3241" s="23" t="str">
        <x:v>SPOT</x:v>
      </x:c>
      <x:c r="K3241" s="23" t="str">
        <x:v>favored_only</x:v>
      </x:c>
      <x:c r="L3241" s="24" t="b">
        <x:v>1</x:v>
      </x:c>
      <x:c r="M3241" s="23" t="n">
        <x:v>2</x:v>
      </x:c>
      <x:c r="N3241" s="28" t="n">
        <x:v>46203.921824756944</x:v>
      </x:c>
      <x:c r="O3241" s="28" t="n">
        <x:v>46203.921824756944</x:v>
      </x:c>
      <x:c r="P3241" s="23" t="str"/>
      <x:c r="Q3241" s="30" t="str"/>
      <x:c r="R3241" s="22" t="str"/>
      <x:c r="S3241" s="23" t="str"/>
      <x:c r="T3241" s="22" t="str"/>
      <x:c r="U3241" s="23" t="str">
        <x:v>RIVELINO DE JESUS DA SILVA</x:v>
      </x:c>
      <x:c r="V3241" s="22" t="str">
        <x:f>"02950321623"</x:f>
        <x:v>02950321623</x:v>
      </x:c>
      <x:c r="W3241" s="22" t="str">
        <x:f>"02950321623"</x:f>
        <x:v>02950321623</x:v>
      </x:c>
      <x:c r="X3241" s="23" t="str">
        <x:v>FERNANDASILVARIBEIROT13@GMAIL.COM</x:v>
      </x:c>
      <x:c r="Y3241" s="22" t="str">
        <x:f>"35997090967"</x:f>
        <x:v>35997090967</x:v>
      </x:c>
      <x:c r="Z3241" s="30" t="str"/>
    </x:row>
    <x:row r="3242" ht="18" customHeight="1">
      <x:c r="A3242" s="22" t="str">
        <x:f>"37810e62-9590-4a52-9bd0-6a020c7c397e"</x:f>
        <x:v>37810e62-9590-4a52-9bd0-6a020c7c397e</x:v>
      </x:c>
      <x:c r="B3242" s="23" t="str">
        <x:v>ROBERT ALESSANDRO DE SOUZA</x:v>
      </x:c>
      <x:c r="C3242" s="23" t="str">
        <x:v>robert alessandro de souza</x:v>
      </x:c>
      <x:c r="D3242" s="22" t="str">
        <x:f>"67.495.180/0001-09"</x:f>
        <x:v>67.495.180/0001-09</x:v>
      </x:c>
      <x:c r="E3242" s="22" t="str">
        <x:f>"67495180000109"</x:f>
        <x:v>67495180000109</x:v>
      </x:c>
      <x:c r="F3242" s="22" t="str">
        <x:f>"055.100.226-39"</x:f>
        <x:v>055.100.226-39</x:v>
      </x:c>
      <x:c r="G3242" s="22" t="str">
        <x:f>"05510022639"</x:f>
        <x:v>05510022639</x:v>
      </x:c>
      <x:c r="H3242" s="23" t="str">
        <x:v>robertalessandro2014.rb@gmail.com</x:v>
      </x:c>
      <x:c r="I3242" s="22" t="str">
        <x:f>"31985462165"</x:f>
        <x:v>31985462165</x:v>
      </x:c>
      <x:c r="J3242" s="23" t="str">
        <x:v>RENTAL</x:v>
      </x:c>
      <x:c r="K3242" s="23" t="str">
        <x:v>rental_company</x:v>
      </x:c>
      <x:c r="L3242" s="24" t="b">
        <x:v>1</x:v>
      </x:c>
      <x:c r="M3242" s="23" t="n">
        <x:v>1</x:v>
      </x:c>
      <x:c r="N3242" s="28" t="n">
        <x:v>46219.812988715275</x:v>
      </x:c>
      <x:c r="O3242" s="28" t="n">
        <x:v>46219.812988715275</x:v>
      </x:c>
      <x:c r="P3242" s="23" t="str">
        <x:v>NOVA LIMA</x:v>
      </x:c>
      <x:c r="Q3242" s="30" t="n">
        <x:v>29616</x:v>
      </x:c>
      <x:c r="R3242" s="22" t="str">
        <x:f>"10204071"</x:f>
        <x:v>10204071</x:v>
      </x:c>
      <x:c r="S3242" s="23" t="str">
        <x:v>masculino</x:v>
      </x:c>
      <x:c r="T3242" s="22" t="str"/>
      <x:c r="U3242" s="23" t="str">
        <x:v>ROBERT ALESSANDRO DE SOUZA</x:v>
      </x:c>
      <x:c r="V3242" s="22" t="str">
        <x:f>"055.100.226-39"</x:f>
        <x:v>055.100.226-39</x:v>
      </x:c>
      <x:c r="W3242" s="22" t="str">
        <x:f>"05510022639"</x:f>
        <x:v>05510022639</x:v>
      </x:c>
      <x:c r="X3242" s="23" t="str">
        <x:v>robertalessandro2014.rb@gmail.com</x:v>
      </x:c>
      <x:c r="Y3242" s="22" t="str">
        <x:f>"31985462165"</x:f>
        <x:v>31985462165</x:v>
      </x:c>
      <x:c r="Z3242" s="30" t="n">
        <x:v>46554</x:v>
      </x:c>
    </x:row>
    <x:row r="3243" ht="18" customHeight="1">
      <x:c r="A3243" s="22" t="str">
        <x:f>"2edbdc9b-403e-460b-875d-4d9b0396c23d"</x:f>
        <x:v>2edbdc9b-403e-460b-875d-4d9b0396c23d</x:v>
      </x:c>
      <x:c r="B3243" s="23" t="str">
        <x:v>ROBERTA RODRIGUES DE SOUSA</x:v>
      </x:c>
      <x:c r="C3243" s="23" t="str">
        <x:v>roberta rodrigues de sousa</x:v>
      </x:c>
      <x:c r="D3243" s="22" t="str">
        <x:f>"55.031.606/0001-86"</x:f>
        <x:v>55.031.606/0001-86</x:v>
      </x:c>
      <x:c r="E3243" s="22" t="str">
        <x:f>"55031606000186"</x:f>
        <x:v>55031606000186</x:v>
      </x:c>
      <x:c r="F3243" s="22" t="str">
        <x:f>"143.129.897-29"</x:f>
        <x:v>143.129.897-29</x:v>
      </x:c>
      <x:c r="G3243" s="22" t="str">
        <x:f>"14312989729"</x:f>
        <x:v>14312989729</x:v>
      </x:c>
      <x:c r="H3243" s="23" t="str">
        <x:v>robtrabalho09@gmail.com</x:v>
      </x:c>
      <x:c r="I3243" s="22" t="str">
        <x:f>"21 99905‑2559"</x:f>
        <x:v>21 99905‑2559</x:v>
      </x:c>
      <x:c r="J3243" s="23" t="str">
        <x:v>SPOT</x:v>
      </x:c>
      <x:c r="K3243" s="23" t="str">
        <x:v>favored_only</x:v>
      </x:c>
      <x:c r="L3243" s="24" t="b">
        <x:v>1</x:v>
      </x:c>
      <x:c r="M3243" s="23" t="n">
        <x:v>1</x:v>
      </x:c>
      <x:c r="N3243" s="28" t="n">
        <x:v>46219.812988715275</x:v>
      </x:c>
      <x:c r="O3243" s="28" t="n">
        <x:v>46219.812988715275</x:v>
      </x:c>
      <x:c r="P3243" s="23" t="str">
        <x:v>ITABORAI</x:v>
      </x:c>
      <x:c r="Q3243" s="30" t="n">
        <x:v>35774</x:v>
      </x:c>
      <x:c r="R3243" s="22" t="str">
        <x:f>"269624581"</x:f>
        <x:v>269624581</x:v>
      </x:c>
      <x:c r="S3243" s="23" t="str">
        <x:v>feminino</x:v>
      </x:c>
      <x:c r="T3243" s="22" t="str">
        <x:f>"LRJ8J84"</x:f>
        <x:v>LRJ8J84</x:v>
      </x:c>
      <x:c r="U3243" s="23" t="str">
        <x:v>ROBERTA RODRIGUES DE SOUSA</x:v>
      </x:c>
      <x:c r="V3243" s="22" t="str">
        <x:f>"143.129.897-29"</x:f>
        <x:v>143.129.897-29</x:v>
      </x:c>
      <x:c r="W3243" s="22" t="str">
        <x:f>"14312989729"</x:f>
        <x:v>14312989729</x:v>
      </x:c>
      <x:c r="X3243" s="23" t="str">
        <x:v>robtrabalho09@gmail.com</x:v>
      </x:c>
      <x:c r="Y3243" s="22" t="str">
        <x:f>"21 99905‑2559"</x:f>
        <x:v>21 99905‑2559</x:v>
      </x:c>
      <x:c r="Z3243" s="30" t="n">
        <x:v>46449</x:v>
      </x:c>
    </x:row>
    <x:row r="3244" ht="18" customHeight="1">
      <x:c r="A3244" s="22" t="str">
        <x:f>"613e52b6-538f-4c75-bc9f-84ede1c4bc80"</x:f>
        <x:v>613e52b6-538f-4c75-bc9f-84ede1c4bc80</x:v>
      </x:c>
      <x:c r="B3244" s="23" t="str">
        <x:v>ROBERTH BRYAN ARAUJO</x:v>
      </x:c>
      <x:c r="C3244" s="23" t="str">
        <x:v>roberth bryan araujo</x:v>
      </x:c>
      <x:c r="D3244" s="22" t="str">
        <x:f>"60.599.947/0001-92"</x:f>
        <x:v>60.599.947/0001-92</x:v>
      </x:c>
      <x:c r="E3244" s="22" t="str">
        <x:f>"60599947000192"</x:f>
        <x:v>60599947000192</x:v>
      </x:c>
      <x:c r="F3244" s="22" t="str">
        <x:f>"159.376.106-60"</x:f>
        <x:v>159.376.106-60</x:v>
      </x:c>
      <x:c r="G3244" s="22" t="str">
        <x:f>"15937610660"</x:f>
        <x:v>15937610660</x:v>
      </x:c>
      <x:c r="H3244" s="23" t="str">
        <x:v>roberth.bryan02@gmail.com</x:v>
      </x:c>
      <x:c r="I3244" s="22" t="str">
        <x:f>"33 98466-1507"</x:f>
        <x:v>33 98466-1507</x:v>
      </x:c>
      <x:c r="J3244" s="23" t="str">
        <x:v>SPOT</x:v>
      </x:c>
      <x:c r="K3244" s="23" t="str">
        <x:v>favored_only</x:v>
      </x:c>
      <x:c r="L3244" s="24" t="b">
        <x:v>1</x:v>
      </x:c>
      <x:c r="M3244" s="23" t="n">
        <x:v>2</x:v>
      </x:c>
      <x:c r="N3244" s="28" t="n">
        <x:v>46219.812988715275</x:v>
      </x:c>
      <x:c r="O3244" s="28" t="n">
        <x:v>46219.812988715275</x:v>
      </x:c>
      <x:c r="P3244" s="23" t="str">
        <x:v>TEOFILO OTONI</x:v>
      </x:c>
      <x:c r="Q3244" s="30" t="n">
        <x:v>37377</x:v>
      </x:c>
      <x:c r="R3244" s="22" t="str">
        <x:f>"664088454"</x:f>
        <x:v>664088454</x:v>
      </x:c>
      <x:c r="S3244" s="23" t="str">
        <x:v>masculino</x:v>
      </x:c>
      <x:c r="T3244" s="22" t="str">
        <x:f>"OZQ5G08"</x:f>
        <x:v>OZQ5G08</x:v>
      </x:c>
      <x:c r="U3244" s="23" t="str">
        <x:v>ROBERTH BRYAN ARAUJO</x:v>
      </x:c>
      <x:c r="V3244" s="22" t="str">
        <x:f>"159.376.106-60"</x:f>
        <x:v>159.376.106-60</x:v>
      </x:c>
      <x:c r="W3244" s="22" t="str">
        <x:f>"15937610660"</x:f>
        <x:v>15937610660</x:v>
      </x:c>
      <x:c r="X3244" s="23" t="str">
        <x:v>roberth.bryan02@gmail.com</x:v>
      </x:c>
      <x:c r="Y3244" s="22" t="str">
        <x:f>"33 98466-1507"</x:f>
        <x:v>33 98466-1507</x:v>
      </x:c>
      <x:c r="Z3244" s="30" t="n">
        <x:v>46529</x:v>
      </x:c>
    </x:row>
    <x:row r="3245" ht="18" customHeight="1">
      <x:c r="A3245" s="22" t="str">
        <x:f>"2dafa976-af10-4143-a66a-083ed9a98a8d"</x:f>
        <x:v>2dafa976-af10-4143-a66a-083ed9a98a8d</x:v>
      </x:c>
      <x:c r="B3245" s="23" t="str">
        <x:v>ROBERTH DA SILVA GUNTHER</x:v>
      </x:c>
      <x:c r="C3245" s="23" t="str">
        <x:v>roberth da silva gunther</x:v>
      </x:c>
      <x:c r="D3245" s="22" t="str">
        <x:f>"65.110.970/0001-95"</x:f>
        <x:v>65.110.970/0001-95</x:v>
      </x:c>
      <x:c r="E3245" s="22" t="str">
        <x:f>"65110970000195"</x:f>
        <x:v>65110970000195</x:v>
      </x:c>
      <x:c r="F3245" s="22" t="str">
        <x:f>"148.674.887-20"</x:f>
        <x:v>148.674.887-20</x:v>
      </x:c>
      <x:c r="G3245" s="22" t="str">
        <x:f>"14867488720"</x:f>
        <x:v>14867488720</x:v>
      </x:c>
      <x:c r="H3245" s="23" t="str">
        <x:v>roberth.gunther@outlook.com</x:v>
      </x:c>
      <x:c r="I3245" s="22" t="str">
        <x:f>"21982033505"</x:f>
        <x:v>21982033505</x:v>
      </x:c>
      <x:c r="J3245" s="23" t="str">
        <x:v>SPOT</x:v>
      </x:c>
      <x:c r="K3245" s="23" t="str">
        <x:v>favored_only</x:v>
      </x:c>
      <x:c r="L3245" s="24" t="b">
        <x:v>1</x:v>
      </x:c>
      <x:c r="M3245" s="23" t="n">
        <x:v>1</x:v>
      </x:c>
      <x:c r="N3245" s="28" t="n">
        <x:v>46219.812988715275</x:v>
      </x:c>
      <x:c r="O3245" s="28" t="n">
        <x:v>46219.812988715275</x:v>
      </x:c>
      <x:c r="P3245" s="23" t="str">
        <x:v>CAMPO GRANDE</x:v>
      </x:c>
      <x:c r="Q3245" s="30" t="n">
        <x:v>36031</x:v>
      </x:c>
      <x:c r="R3245" s="22" t="str">
        <x:f>"276770286"</x:f>
        <x:v>276770286</x:v>
      </x:c>
      <x:c r="S3245" s="23" t="str">
        <x:v>masculino</x:v>
      </x:c>
      <x:c r="T3245" s="22" t="str">
        <x:f>"KPH9A57"</x:f>
        <x:v>KPH9A57</x:v>
      </x:c>
      <x:c r="U3245" s="23" t="str">
        <x:v>ROBERTH DA SILVA GUNTHER</x:v>
      </x:c>
      <x:c r="V3245" s="22" t="str">
        <x:f>"148.674.887-20"</x:f>
        <x:v>148.674.887-20</x:v>
      </x:c>
      <x:c r="W3245" s="22" t="str">
        <x:f>"14867488720"</x:f>
        <x:v>14867488720</x:v>
      </x:c>
      <x:c r="X3245" s="23" t="str">
        <x:v>guntherroberth@gmail.com</x:v>
      </x:c>
      <x:c r="Y3245" s="22" t="str">
        <x:f>"21982033505"</x:f>
        <x:v>21982033505</x:v>
      </x:c>
      <x:c r="Z3245" s="30" t="n">
        <x:v>46490</x:v>
      </x:c>
    </x:row>
    <x:row r="3246" ht="18" customHeight="1">
      <x:c r="A3246" s="22" t="str">
        <x:f>"d20b7137-d9fe-4fe4-801d-a81437540ad8"</x:f>
        <x:v>d20b7137-d9fe-4fe4-801d-a81437540ad8</x:v>
      </x:c>
      <x:c r="B3246" s="23" t="str">
        <x:v>ROBERT JUNIO DE RESENDE SOARES</x:v>
      </x:c>
      <x:c r="C3246" s="23" t="str">
        <x:v>robert junio de resende soares</x:v>
      </x:c>
      <x:c r="D3246" s="22" t="str">
        <x:f>"63.381.221/0001-77"</x:f>
        <x:v>63.381.221/0001-77</x:v>
      </x:c>
      <x:c r="E3246" s="22" t="str">
        <x:f>"63381221000177"</x:f>
        <x:v>63381221000177</x:v>
      </x:c>
      <x:c r="F3246" s="22" t="str">
        <x:f>"087.677.796-54"</x:f>
        <x:v>087.677.796-54</x:v>
      </x:c>
      <x:c r="G3246" s="22" t="str">
        <x:f>"08767779654"</x:f>
        <x:v>08767779654</x:v>
      </x:c>
      <x:c r="H3246" s="23" t="str">
        <x:v>Robertunior22@gmail.com</x:v>
      </x:c>
      <x:c r="I3246" s="22" t="str">
        <x:f>"31982892562"</x:f>
        <x:v>31982892562</x:v>
      </x:c>
      <x:c r="J3246" s="23" t="str">
        <x:v>SPOT</x:v>
      </x:c>
      <x:c r="K3246" s="23" t="str">
        <x:v>favored_only</x:v>
      </x:c>
      <x:c r="L3246" s="24" t="b">
        <x:v>1</x:v>
      </x:c>
      <x:c r="M3246" s="23" t="n">
        <x:v>1</x:v>
      </x:c>
      <x:c r="N3246" s="28" t="n">
        <x:v>46219.812988715275</x:v>
      </x:c>
      <x:c r="O3246" s="28" t="n">
        <x:v>46219.812988715275</x:v>
      </x:c>
      <x:c r="P3246" s="23" t="str">
        <x:v>NOVA LIMA</x:v>
      </x:c>
      <x:c r="Q3246" s="30" t="n">
        <x:v>34081</x:v>
      </x:c>
      <x:c r="R3246" s="22" t="str">
        <x:f>"15664504"</x:f>
        <x:v>15664504</x:v>
      </x:c>
      <x:c r="S3246" s="23" t="str">
        <x:v>masculino</x:v>
      </x:c>
      <x:c r="T3246" s="22" t="str">
        <x:f>"RNY4H48"</x:f>
        <x:v>RNY4H48</x:v>
      </x:c>
      <x:c r="U3246" s="23" t="str">
        <x:v>ROBERT JUNIO DE RESENDE SOARES</x:v>
      </x:c>
      <x:c r="V3246" s="22" t="str">
        <x:f>"087.677.796-54"</x:f>
        <x:v>087.677.796-54</x:v>
      </x:c>
      <x:c r="W3246" s="22" t="str">
        <x:f>"08767779654"</x:f>
        <x:v>08767779654</x:v>
      </x:c>
      <x:c r="X3246" s="23" t="str">
        <x:v>Robertunior22@gmail.com</x:v>
      </x:c>
      <x:c r="Y3246" s="22" t="str">
        <x:f>"31982892562"</x:f>
        <x:v>31982892562</x:v>
      </x:c>
      <x:c r="Z3246" s="30" t="n">
        <x:v>46499</x:v>
      </x:c>
    </x:row>
    <x:row r="3247" ht="18" customHeight="1">
      <x:c r="A3247" s="22" t="str">
        <x:f>"77b5847e-dfc0-4c8d-bb52-77517e03425b"</x:f>
        <x:v>77b5847e-dfc0-4c8d-bb52-77517e03425b</x:v>
      </x:c>
      <x:c r="B3247" s="23" t="str">
        <x:v>ROBERTO AGUIAR DOS SANTOS</x:v>
      </x:c>
      <x:c r="C3247" s="23" t="str">
        <x:v>roberto aguiar dos santos</x:v>
      </x:c>
      <x:c r="D3247" s="22" t="str">
        <x:f>"63.733.645/0001-53"</x:f>
        <x:v>63.733.645/0001-53</x:v>
      </x:c>
      <x:c r="E3247" s="22" t="str">
        <x:f>"63733645000153"</x:f>
        <x:v>63733645000153</x:v>
      </x:c>
      <x:c r="F3247" s="22" t="str">
        <x:f>"137.432.696-86"</x:f>
        <x:v>137.432.696-86</x:v>
      </x:c>
      <x:c r="G3247" s="22" t="str">
        <x:f>"13743269686"</x:f>
        <x:v>13743269686</x:v>
      </x:c>
      <x:c r="H3247" s="23" t="str">
        <x:v>roberto_asantos1@outlook.com</x:v>
      </x:c>
      <x:c r="I3247" s="22" t="str">
        <x:f>"31983644230"</x:f>
        <x:v>31983644230</x:v>
      </x:c>
      <x:c r="J3247" s="23" t="str">
        <x:v>SPOT</x:v>
      </x:c>
      <x:c r="K3247" s="23" t="str">
        <x:v>favored_only</x:v>
      </x:c>
      <x:c r="L3247" s="24" t="b">
        <x:v>1</x:v>
      </x:c>
      <x:c r="M3247" s="23" t="n">
        <x:v>1</x:v>
      </x:c>
      <x:c r="N3247" s="28" t="n">
        <x:v>46203.92189965278</x:v>
      </x:c>
      <x:c r="O3247" s="28" t="n">
        <x:v>46219.812988715275</x:v>
      </x:c>
      <x:c r="P3247" s="23" t="str">
        <x:v>CONCEIÇÃO DO MATO DENTRO</x:v>
      </x:c>
      <x:c r="Q3247" s="30" t="n">
        <x:v>35599</x:v>
      </x:c>
      <x:c r="R3247" s="22" t="str">
        <x:f>"MG-20449553"</x:f>
        <x:v>MG-20449553</x:v>
      </x:c>
      <x:c r="S3247" s="23" t="str">
        <x:v>masculino</x:v>
      </x:c>
      <x:c r="T3247" s="22" t="str">
        <x:f>"GFH2D80"</x:f>
        <x:v>GFH2D80</x:v>
      </x:c>
      <x:c r="U3247" s="23" t="str">
        <x:v>ROBERTO AGUIAR DOS SANTOS</x:v>
      </x:c>
      <x:c r="V3247" s="22" t="str">
        <x:f>"137.432.696-86"</x:f>
        <x:v>137.432.696-86</x:v>
      </x:c>
      <x:c r="W3247" s="22" t="str">
        <x:f>"13743269686"</x:f>
        <x:v>13743269686</x:v>
      </x:c>
      <x:c r="X3247" s="23" t="str">
        <x:v>roberto_asantos1@outlook.com</x:v>
      </x:c>
      <x:c r="Y3247" s="22" t="str">
        <x:f>"31983644230"</x:f>
        <x:v>31983644230</x:v>
      </x:c>
      <x:c r="Z3247" s="30" t="n">
        <x:v>46359</x:v>
      </x:c>
    </x:row>
    <x:row r="3248" ht="18" customHeight="1">
      <x:c r="A3248" s="22" t="str">
        <x:f>"85f714cd-ed16-4d01-9309-a05487ea228c"</x:f>
        <x:v>85f714cd-ed16-4d01-9309-a05487ea228c</x:v>
      </x:c>
      <x:c r="B3248" s="23" t="str">
        <x:v>ROBERTO CARLOS DOS SANTOS</x:v>
      </x:c>
      <x:c r="C3248" s="23" t="str">
        <x:v>roberto carlos dos santos</x:v>
      </x:c>
      <x:c r="D3248" s="22" t="str">
        <x:f>"41.160.381/0001-53"</x:f>
        <x:v>41.160.381/0001-53</x:v>
      </x:c>
      <x:c r="E3248" s="22" t="str">
        <x:f>"41160381000153"</x:f>
        <x:v>41160381000153</x:v>
      </x:c>
      <x:c r="F3248" s="22" t="str">
        <x:f>"084.072.417-92"</x:f>
        <x:v>084.072.417-92</x:v>
      </x:c>
      <x:c r="G3248" s="22" t="str">
        <x:f>"08407241792"</x:f>
        <x:v>08407241792</x:v>
      </x:c>
      <x:c r="H3248" s="23" t="str">
        <x:v>31betosantos@gmail.com</x:v>
      </x:c>
      <x:c r="I3248" s="22" t="str">
        <x:f>"21965086873"</x:f>
        <x:v>21965086873</x:v>
      </x:c>
      <x:c r="J3248" s="23" t="str">
        <x:v>SPOT</x:v>
      </x:c>
      <x:c r="K3248" s="23" t="str">
        <x:v>favored_only</x:v>
      </x:c>
      <x:c r="L3248" s="24" t="b">
        <x:v>1</x:v>
      </x:c>
      <x:c r="M3248" s="23" t="n">
        <x:v>1</x:v>
      </x:c>
      <x:c r="N3248" s="28" t="n">
        <x:v>46203.92188238426</x:v>
      </x:c>
      <x:c r="O3248" s="28" t="n">
        <x:v>46219.812988715275</x:v>
      </x:c>
      <x:c r="P3248" s="23" t="str">
        <x:v>CORDOVIL</x:v>
      </x:c>
      <x:c r="Q3248" s="30" t="n">
        <x:v>28733</x:v>
      </x:c>
      <x:c r="R3248" s="22" t="str">
        <x:f>"11146356"</x:f>
        <x:v>11146356</x:v>
      </x:c>
      <x:c r="S3248" s="23" t="str">
        <x:v>masculino</x:v>
      </x:c>
      <x:c r="T3248" s="22" t="str">
        <x:f>"KRW3I66"</x:f>
        <x:v>KRW3I66</x:v>
      </x:c>
      <x:c r="U3248" s="23" t="str">
        <x:v>ROBERTO CARLOS DOS SANTOS</x:v>
      </x:c>
      <x:c r="V3248" s="22" t="str">
        <x:f>"084.072.417-92"</x:f>
        <x:v>084.072.417-92</x:v>
      </x:c>
      <x:c r="W3248" s="22" t="str">
        <x:f>"08407241792"</x:f>
        <x:v>08407241792</x:v>
      </x:c>
      <x:c r="X3248" s="23" t="str">
        <x:v>31betosantos@gmail.com</x:v>
      </x:c>
      <x:c r="Y3248" s="22" t="str">
        <x:f>"21965086873"</x:f>
        <x:v>21965086873</x:v>
      </x:c>
      <x:c r="Z3248" s="30" t="n">
        <x:v>46324</x:v>
      </x:c>
    </x:row>
    <x:row r="3249" ht="18" customHeight="1">
      <x:c r="A3249" s="22" t="str">
        <x:f>"6840848f-082b-4768-96b2-437f9f346885"</x:f>
        <x:v>6840848f-082b-4768-96b2-437f9f346885</x:v>
      </x:c>
      <x:c r="B3249" s="23" t="str">
        <x:v>ROBERTO CRISTIANO BRAGA</x:v>
      </x:c>
      <x:c r="C3249" s="23" t="str">
        <x:v>roberto cristiano braga</x:v>
      </x:c>
      <x:c r="D3249" s="22" t="str">
        <x:f>"61.768.937/0001-04"</x:f>
        <x:v>61.768.937/0001-04</x:v>
      </x:c>
      <x:c r="E3249" s="22" t="str">
        <x:f>"61768937000104"</x:f>
        <x:v>61768937000104</x:v>
      </x:c>
      <x:c r="F3249" s="22" t="str">
        <x:f>"879.117.526-72"</x:f>
        <x:v>879.117.526-72</x:v>
      </x:c>
      <x:c r="G3249" s="22" t="str">
        <x:f>"87911752672"</x:f>
        <x:v>87911752672</x:v>
      </x:c>
      <x:c r="H3249" s="23" t="str">
        <x:v>robertobraga428@gmail.com</x:v>
      </x:c>
      <x:c r="I3249" s="22" t="str">
        <x:f>"33998124791"</x:f>
        <x:v>33998124791</x:v>
      </x:c>
      <x:c r="J3249" s="23" t="str">
        <x:v>SPOT</x:v>
      </x:c>
      <x:c r="K3249" s="23" t="str">
        <x:v>favored_only</x:v>
      </x:c>
      <x:c r="L3249" s="24" t="b">
        <x:v>1</x:v>
      </x:c>
      <x:c r="M3249" s="23" t="n">
        <x:v>1</x:v>
      </x:c>
      <x:c r="N3249" s="28" t="n">
        <x:v>46205.60367467593</x:v>
      </x:c>
      <x:c r="O3249" s="28" t="n">
        <x:v>46219.812988715275</x:v>
      </x:c>
      <x:c r="P3249" s="23" t="str">
        <x:v>CONCEIÇÃO DO MATO DENTRO</x:v>
      </x:c>
      <x:c r="Q3249" s="30" t="n">
        <x:v>26705</x:v>
      </x:c>
      <x:c r="R3249" s="22" t="str">
        <x:f>"6929135"</x:f>
        <x:v>6929135</x:v>
      </x:c>
      <x:c r="S3249" s="23" t="str">
        <x:v>masculino</x:v>
      </x:c>
      <x:c r="T3249" s="22" t="str">
        <x:f>"OWH0C42"</x:f>
        <x:v>OWH0C42</x:v>
      </x:c>
      <x:c r="U3249" s="23" t="str">
        <x:v>MARCILIO PIRES MOURAO</x:v>
      </x:c>
      <x:c r="V3249" s="22" t="str">
        <x:f>"001.633.266-06"</x:f>
        <x:v>001.633.266-06</x:v>
      </x:c>
      <x:c r="W3249" s="22" t="str">
        <x:f>"00163326606"</x:f>
        <x:v>00163326606</x:v>
      </x:c>
      <x:c r="X3249" s="23" t="str">
        <x:v>marcilio.barramansa@hotmail.com</x:v>
      </x:c>
      <x:c r="Y3249" s="22" t="str">
        <x:f>"33-9-8811-3698"</x:f>
        <x:v>33-9-8811-3698</x:v>
      </x:c>
      <x:c r="Z3249" s="30" t="n">
        <x:v>46579</x:v>
      </x:c>
    </x:row>
    <x:row r="3250" ht="18" customHeight="1">
      <x:c r="A3250" s="22" t="str">
        <x:f>"f2d91c76-eb15-431f-8882-369b0b49ea2a"</x:f>
        <x:v>f2d91c76-eb15-431f-8882-369b0b49ea2a</x:v>
      </x:c>
      <x:c r="B3250" s="23" t="str">
        <x:v>ROBERTO DOS SANTOS</x:v>
      </x:c>
      <x:c r="C3250" s="23" t="str">
        <x:v>roberto dos santos</x:v>
      </x:c>
      <x:c r="D3250" s="22" t="str">
        <x:f>"32.266.283/0001-04"</x:f>
        <x:v>32.266.283/0001-04</x:v>
      </x:c>
      <x:c r="E3250" s="22" t="str">
        <x:f>"32266283000104"</x:f>
        <x:v>32266283000104</x:v>
      </x:c>
      <x:c r="F3250" s="22" t="str">
        <x:f>"219.171.288-60"</x:f>
        <x:v>219.171.288-60</x:v>
      </x:c>
      <x:c r="G3250" s="22" t="str">
        <x:f>"21917128860"</x:f>
        <x:v>21917128860</x:v>
      </x:c>
      <x:c r="H3250" s="23" t="str">
        <x:v>titans1251@hotmail.com</x:v>
      </x:c>
      <x:c r="I3250" s="22" t="str">
        <x:f>"11993308644"</x:f>
        <x:v>11993308644</x:v>
      </x:c>
      <x:c r="J3250" s="23" t="str">
        <x:v>RENTAL</x:v>
      </x:c>
      <x:c r="K3250" s="23" t="str">
        <x:v>rental_company</x:v>
      </x:c>
      <x:c r="L3250" s="24" t="b">
        <x:v>1</x:v>
      </x:c>
      <x:c r="M3250" s="23" t="n">
        <x:v>1</x:v>
      </x:c>
      <x:c r="N3250" s="28" t="n">
        <x:v>46219.812988715275</x:v>
      </x:c>
      <x:c r="O3250" s="28" t="n">
        <x:v>46219.812988715275</x:v>
      </x:c>
      <x:c r="P3250" s="23" t="str">
        <x:v>BARUERI</x:v>
      </x:c>
      <x:c r="Q3250" s="30" t="n">
        <x:v>29553</x:v>
      </x:c>
      <x:c r="R3250" s="22" t="str">
        <x:f>"34234913"</x:f>
        <x:v>34234913</x:v>
      </x:c>
      <x:c r="S3250" s="23" t="str">
        <x:v>masculino</x:v>
      </x:c>
      <x:c r="T3250" s="22" t="str"/>
      <x:c r="U3250" s="23" t="str">
        <x:v>ROBERTO DOS SANTOS</x:v>
      </x:c>
      <x:c r="V3250" s="22" t="str">
        <x:f>"219.171.288-60"</x:f>
        <x:v>219.171.288-60</x:v>
      </x:c>
      <x:c r="W3250" s="22" t="str">
        <x:f>"21917128860"</x:f>
        <x:v>21917128860</x:v>
      </x:c>
      <x:c r="X3250" s="23" t="str">
        <x:v>titans1251@hotmail.com</x:v>
      </x:c>
      <x:c r="Y3250" s="22" t="str">
        <x:f>"11993308644"</x:f>
        <x:v>11993308644</x:v>
      </x:c>
      <x:c r="Z3250" s="30" t="n">
        <x:v>46551</x:v>
      </x:c>
    </x:row>
    <x:row r="3251" ht="18" customHeight="1">
      <x:c r="A3251" s="22" t="str">
        <x:f>"b19c6dca-b978-4198-b960-77ea498fb656"</x:f>
        <x:v>b19c6dca-b978-4198-b960-77ea498fb656</x:v>
      </x:c>
      <x:c r="B3251" s="23" t="str">
        <x:v>ROBERTO FABIANO DE JESUS</x:v>
      </x:c>
      <x:c r="C3251" s="23" t="str">
        <x:v>roberto fabiano de jesus</x:v>
      </x:c>
      <x:c r="D3251" s="22" t="str">
        <x:f>"60.807.859/0001-39"</x:f>
        <x:v>60.807.859/0001-39</x:v>
      </x:c>
      <x:c r="E3251" s="22" t="str">
        <x:f>"60807859000139"</x:f>
        <x:v>60807859000139</x:v>
      </x:c>
      <x:c r="F3251" s="22" t="str">
        <x:f>"084.457.387-63"</x:f>
        <x:v>084.457.387-63</x:v>
      </x:c>
      <x:c r="G3251" s="22" t="str">
        <x:f>"08445738763"</x:f>
        <x:v>08445738763</x:v>
      </x:c>
      <x:c r="H3251" s="23" t="str">
        <x:v>roberto.rafa.mengao@gmail.com</x:v>
      </x:c>
      <x:c r="I3251" s="22" t="str">
        <x:f>"21971622272"</x:f>
        <x:v>21971622272</x:v>
      </x:c>
      <x:c r="J3251" s="23" t="str">
        <x:v>SPOT</x:v>
      </x:c>
      <x:c r="K3251" s="23" t="str">
        <x:v>favored_only</x:v>
      </x:c>
      <x:c r="L3251" s="24" t="b">
        <x:v>1</x:v>
      </x:c>
      <x:c r="M3251" s="23" t="n">
        <x:v>1</x:v>
      </x:c>
      <x:c r="N3251" s="28" t="n">
        <x:v>46205.60415943287</x:v>
      </x:c>
      <x:c r="O3251" s="28" t="n">
        <x:v>46219.812988715275</x:v>
      </x:c>
      <x:c r="P3251" s="23" t="str">
        <x:v>QUEIMADOS</x:v>
      </x:c>
      <x:c r="Q3251" s="30" t="n">
        <x:v>28652</x:v>
      </x:c>
      <x:c r="R3251" s="22" t="str">
        <x:f>"102975091"</x:f>
        <x:v>102975091</x:v>
      </x:c>
      <x:c r="S3251" s="23" t="str">
        <x:v>masculino</x:v>
      </x:c>
      <x:c r="T3251" s="22" t="str">
        <x:f>"pyu2f64"</x:f>
        <x:v>pyu2f64</x:v>
      </x:c>
      <x:c r="U3251" s="23" t="str">
        <x:v>CAMILA DOS SANTOS DE JESUS</x:v>
      </x:c>
      <x:c r="V3251" s="22" t="str">
        <x:f>"157.425.427-80"</x:f>
        <x:v>157.425.427-80</x:v>
      </x:c>
      <x:c r="W3251" s="22" t="str">
        <x:f>"15742542780"</x:f>
        <x:v>15742542780</x:v>
      </x:c>
      <x:c r="X3251" s="23" t="str">
        <x:v>Kamile.santtos@gmail.com</x:v>
      </x:c>
      <x:c r="Y3251" s="22" t="str">
        <x:f>"21971622272"</x:f>
        <x:v>21971622272</x:v>
      </x:c>
      <x:c r="Z3251" s="30" t="n">
        <x:v>46260</x:v>
      </x:c>
    </x:row>
    <x:row r="3252" ht="18" customHeight="1">
      <x:c r="A3252" s="22" t="str">
        <x:f>"741b14a2-e939-4742-ba25-6eb1e32654fe"</x:f>
        <x:v>741b14a2-e939-4742-ba25-6eb1e32654fe</x:v>
      </x:c>
      <x:c r="B3252" s="23" t="str">
        <x:v>ROBERTO JESUINO DA COSTA</x:v>
      </x:c>
      <x:c r="C3252" s="23" t="str">
        <x:v>roberto jesuino da costa</x:v>
      </x:c>
      <x:c r="D3252" s="22" t="str">
        <x:f>"46.237.983/0001-85"</x:f>
        <x:v>46.237.983/0001-85</x:v>
      </x:c>
      <x:c r="E3252" s="22" t="str">
        <x:f>"46237983000185"</x:f>
        <x:v>46237983000185</x:v>
      </x:c>
      <x:c r="F3252" s="22" t="str">
        <x:f>"043.418.686-40"</x:f>
        <x:v>043.418.686-40</x:v>
      </x:c>
      <x:c r="G3252" s="22" t="str">
        <x:f>"04341868640"</x:f>
        <x:v>04341868640</x:v>
      </x:c>
      <x:c r="H3252" s="23" t="str">
        <x:v>betorv1010@gmail.com</x:v>
      </x:c>
      <x:c r="I3252" s="22" t="str">
        <x:f>"64992236614"</x:f>
        <x:v>64992236614</x:v>
      </x:c>
      <x:c r="J3252" s="23" t="str">
        <x:v>SPOT</x:v>
      </x:c>
      <x:c r="K3252" s="23" t="str">
        <x:v>favored_only</x:v>
      </x:c>
      <x:c r="L3252" s="24" t="b">
        <x:v>1</x:v>
      </x:c>
      <x:c r="M3252" s="23" t="n">
        <x:v>1</x:v>
      </x:c>
      <x:c r="N3252" s="28" t="n">
        <x:v>46219.812988715275</x:v>
      </x:c>
      <x:c r="O3252" s="28" t="n">
        <x:v>46219.812988715275</x:v>
      </x:c>
      <x:c r="P3252" s="23" t="str">
        <x:v>RIO VERDE</x:v>
      </x:c>
      <x:c r="Q3252" s="30" t="n">
        <x:v>29171</x:v>
      </x:c>
      <x:c r="R3252" s="22" t="str">
        <x:f>"11334006"</x:f>
        <x:v>11334006</x:v>
      </x:c>
      <x:c r="S3252" s="23" t="str">
        <x:v>masculino</x:v>
      </x:c>
      <x:c r="T3252" s="22" t="str">
        <x:f>"IRF7B09"</x:f>
        <x:v>IRF7B09</x:v>
      </x:c>
      <x:c r="U3252" s="23" t="str">
        <x:v>WAGNER FRANK MAGALHAES DE JESUS</x:v>
      </x:c>
      <x:c r="V3252" s="22" t="str">
        <x:f>"034.641.931-01"</x:f>
        <x:v>034.641.931-01</x:v>
      </x:c>
      <x:c r="W3252" s="22" t="str">
        <x:f>"03464193101"</x:f>
        <x:v>03464193101</x:v>
      </x:c>
      <x:c r="X3252" s="23" t="str">
        <x:v>Wagnerfrankrv@live.com</x:v>
      </x:c>
      <x:c r="Y3252" s="22" t="str">
        <x:f>"64992064342"</x:f>
        <x:v>64992064342</x:v>
      </x:c>
      <x:c r="Z3252" s="30" t="n">
        <x:v>46562</x:v>
      </x:c>
    </x:row>
    <x:row r="3253" ht="18" customHeight="1">
      <x:c r="A3253" s="22" t="str">
        <x:f>"ed28506c-89e2-4869-b6e5-cfa51b24cc80"</x:f>
        <x:v>ed28506c-89e2-4869-b6e5-cfa51b24cc80</x:v>
      </x:c>
      <x:c r="B3253" s="23" t="str">
        <x:v>ROBERTO JUNIOR ANDRADE MAGALHAES</x:v>
      </x:c>
      <x:c r="C3253" s="23" t="str">
        <x:v>roberto junior andrade magalhaes</x:v>
      </x:c>
      <x:c r="D3253" s="22" t="str">
        <x:f>"36.970.037/0001-90"</x:f>
        <x:v>36.970.037/0001-90</x:v>
      </x:c>
      <x:c r="E3253" s="22" t="str">
        <x:f>"36970037000190"</x:f>
        <x:v>36970037000190</x:v>
      </x:c>
      <x:c r="F3253" s="22" t="str">
        <x:f>"064.557.881-92"</x:f>
        <x:v>064.557.881-92</x:v>
      </x:c>
      <x:c r="G3253" s="22" t="str">
        <x:f>"06455788192"</x:f>
        <x:v>06455788192</x:v>
      </x:c>
      <x:c r="H3253" s="23" t="str">
        <x:v>robertojunior7226@gmail.com</x:v>
      </x:c>
      <x:c r="I3253" s="22" t="str">
        <x:f>"65992840025"</x:f>
        <x:v>65992840025</x:v>
      </x:c>
      <x:c r="J3253" s="23" t="str">
        <x:v>SPOT</x:v>
      </x:c>
      <x:c r="K3253" s="23" t="str">
        <x:v>favored_only</x:v>
      </x:c>
      <x:c r="L3253" s="24" t="b">
        <x:v>1</x:v>
      </x:c>
      <x:c r="M3253" s="23" t="n">
        <x:v>1</x:v>
      </x:c>
      <x:c r="N3253" s="28" t="n">
        <x:v>46219.812988715275</x:v>
      </x:c>
      <x:c r="O3253" s="28" t="n">
        <x:v>46219.812988715275</x:v>
      </x:c>
      <x:c r="P3253" s="23" t="str">
        <x:v>CUIABA</x:v>
      </x:c>
      <x:c r="Q3253" s="30" t="n">
        <x:v>35597</x:v>
      </x:c>
      <x:c r="R3253" s="22" t="str">
        <x:f>"24480606"</x:f>
        <x:v>24480606</x:v>
      </x:c>
      <x:c r="S3253" s="23" t="str">
        <x:v>masculino</x:v>
      </x:c>
      <x:c r="T3253" s="22" t="str">
        <x:f>"SQA6I31"</x:f>
        <x:v>SQA6I31</x:v>
      </x:c>
      <x:c r="U3253" s="23" t="str">
        <x:v>ROBERTO JUNIOR ANDRADE MAGALHAES</x:v>
      </x:c>
      <x:c r="V3253" s="22" t="str">
        <x:f>"064.557.881-92"</x:f>
        <x:v>064.557.881-92</x:v>
      </x:c>
      <x:c r="W3253" s="22" t="str">
        <x:f>"06455788192"</x:f>
        <x:v>06455788192</x:v>
      </x:c>
      <x:c r="X3253" s="23" t="str">
        <x:v>robertojunior7226@gmail.com</x:v>
      </x:c>
      <x:c r="Y3253" s="22" t="str">
        <x:f>"65992840025"</x:f>
        <x:v>65992840025</x:v>
      </x:c>
      <x:c r="Z3253" s="30" t="n">
        <x:v>46432</x:v>
      </x:c>
    </x:row>
    <x:row r="3254" ht="18" customHeight="1">
      <x:c r="A3254" s="22" t="str">
        <x:f>"e3bb5a9d-1e25-4a68-91f1-da512d61e4d2"</x:f>
        <x:v>e3bb5a9d-1e25-4a68-91f1-da512d61e4d2</x:v>
      </x:c>
      <x:c r="B3254" s="23" t="str">
        <x:v>ROBERTO PEREIRA ALVES</x:v>
      </x:c>
      <x:c r="C3254" s="23" t="str">
        <x:v>roberto pereira alves</x:v>
      </x:c>
      <x:c r="D3254" s="22" t="str">
        <x:f>"546746980001-50"</x:f>
        <x:v>546746980001-50</x:v>
      </x:c>
      <x:c r="E3254" s="22" t="str">
        <x:f>"54674698000150"</x:f>
        <x:v>54674698000150</x:v>
      </x:c>
      <x:c r="F3254" s="22" t="str">
        <x:f>"010465661-13"</x:f>
        <x:v>010465661-13</x:v>
      </x:c>
      <x:c r="G3254" s="22" t="str">
        <x:f>"01046566113"</x:f>
        <x:v>01046566113</x:v>
      </x:c>
      <x:c r="H3254" s="23" t="str">
        <x:v>robertoalvespereira31@hotmail.com</x:v>
      </x:c>
      <x:c r="I3254" s="22" t="str">
        <x:f>"65996614928"</x:f>
        <x:v>65996614928</x:v>
      </x:c>
      <x:c r="J3254" s="23" t="str">
        <x:v>SPOT</x:v>
      </x:c>
      <x:c r="K3254" s="23" t="str">
        <x:v>favored_only</x:v>
      </x:c>
      <x:c r="L3254" s="24" t="b">
        <x:v>1</x:v>
      </x:c>
      <x:c r="M3254" s="23" t="n">
        <x:v>4</x:v>
      </x:c>
      <x:c r="N3254" s="28" t="n">
        <x:v>46203.92183332176</x:v>
      </x:c>
      <x:c r="O3254" s="28" t="n">
        <x:v>46203.92183332176</x:v>
      </x:c>
      <x:c r="P3254" s="23" t="str"/>
      <x:c r="Q3254" s="30" t="str"/>
      <x:c r="R3254" s="22" t="str"/>
      <x:c r="S3254" s="23" t="str"/>
      <x:c r="T3254" s="22" t="str"/>
      <x:c r="U3254" s="23" t="str">
        <x:v>Roberto Pereira Alves</x:v>
      </x:c>
      <x:c r="V3254" s="22" t="str">
        <x:f>"01046566113"</x:f>
        <x:v>01046566113</x:v>
      </x:c>
      <x:c r="W3254" s="22" t="str">
        <x:f>"01046566113"</x:f>
        <x:v>01046566113</x:v>
      </x:c>
      <x:c r="X3254" s="23" t="str">
        <x:v>pereiraalvesroberto5@gmail.com</x:v>
      </x:c>
      <x:c r="Y3254" s="22" t="str">
        <x:f>"65996614928"</x:f>
        <x:v>65996614928</x:v>
      </x:c>
      <x:c r="Z3254" s="30" t="str"/>
    </x:row>
    <x:row r="3255" ht="18" customHeight="1">
      <x:c r="A3255" s="22" t="str">
        <x:f>"eb7ebd67-2250-4c9e-90ae-87a849b8faed"</x:f>
        <x:v>eb7ebd67-2250-4c9e-90ae-87a849b8faed</x:v>
      </x:c>
      <x:c r="B3255" s="23" t="str">
        <x:v>ROBERTO PIRES NOVAES</x:v>
      </x:c>
      <x:c r="C3255" s="23" t="str">
        <x:v>roberto pires novaes</x:v>
      </x:c>
      <x:c r="D3255" s="22" t="str">
        <x:f>"46.117.915/0001-82"</x:f>
        <x:v>46.117.915/0001-82</x:v>
      </x:c>
      <x:c r="E3255" s="22" t="str">
        <x:f>"46117915000182"</x:f>
        <x:v>46117915000182</x:v>
      </x:c>
      <x:c r="F3255" s="22" t="str">
        <x:f>"466.199.248-24"</x:f>
        <x:v>466.199.248-24</x:v>
      </x:c>
      <x:c r="G3255" s="22" t="str">
        <x:f>"46619924824"</x:f>
        <x:v>46619924824</x:v>
      </x:c>
      <x:c r="H3255" s="23" t="str">
        <x:v>piresnovaesr@gmail.com</x:v>
      </x:c>
      <x:c r="I3255" s="22" t="str">
        <x:f>"11984127204"</x:f>
        <x:v>11984127204</x:v>
      </x:c>
      <x:c r="J3255" s="23" t="str">
        <x:v>RENTAL</x:v>
      </x:c>
      <x:c r="K3255" s="23" t="str">
        <x:v>rental_company</x:v>
      </x:c>
      <x:c r="L3255" s="24" t="b">
        <x:v>1</x:v>
      </x:c>
      <x:c r="M3255" s="23" t="n">
        <x:v>1</x:v>
      </x:c>
      <x:c r="N3255" s="28" t="n">
        <x:v>46203.92188238426</x:v>
      </x:c>
      <x:c r="O3255" s="28" t="n">
        <x:v>46219.812988715275</x:v>
      </x:c>
      <x:c r="P3255" s="23" t="str">
        <x:v>MADEIRA MADEIRA</x:v>
      </x:c>
      <x:c r="Q3255" s="30" t="n">
        <x:v>26674</x:v>
      </x:c>
      <x:c r="R3255" s="22" t="str">
        <x:f>"524061002"</x:f>
        <x:v>524061002</x:v>
      </x:c>
      <x:c r="S3255" s="23" t="str">
        <x:v>masculino</x:v>
      </x:c>
      <x:c r="T3255" s="22" t="str"/>
      <x:c r="U3255" s="23" t="str">
        <x:v>ROBERTO PIRES NOVAES</x:v>
      </x:c>
      <x:c r="V3255" s="22" t="str">
        <x:f>"466.199.248-24"</x:f>
        <x:v>466.199.248-24</x:v>
      </x:c>
      <x:c r="W3255" s="22" t="str">
        <x:f>"46619924824"</x:f>
        <x:v>46619924824</x:v>
      </x:c>
      <x:c r="X3255" s="23" t="str">
        <x:v>piresnovaesr@gmail.com</x:v>
      </x:c>
      <x:c r="Y3255" s="22" t="str">
        <x:f>"11984127204"</x:f>
        <x:v>11984127204</x:v>
      </x:c>
      <x:c r="Z3255" s="30" t="n">
        <x:v>46324</x:v>
      </x:c>
    </x:row>
    <x:row r="3256" ht="18" customHeight="1">
      <x:c r="A3256" s="22" t="str">
        <x:f>"2d887e7b-4b01-4426-a9ec-310f087775b0"</x:f>
        <x:v>2d887e7b-4b01-4426-a9ec-310f087775b0</x:v>
      </x:c>
      <x:c r="B3256" s="23" t="str">
        <x:v>ROBERTO SALES DE SOUSA</x:v>
      </x:c>
      <x:c r="C3256" s="23" t="str">
        <x:v>roberto sales de sousa</x:v>
      </x:c>
      <x:c r="D3256" s="22" t="str">
        <x:f>"65.423.572/0001-29"</x:f>
        <x:v>65.423.572/0001-29</x:v>
      </x:c>
      <x:c r="E3256" s="22" t="str">
        <x:f>"65423572000129"</x:f>
        <x:v>65423572000129</x:v>
      </x:c>
      <x:c r="F3256" s="22" t="str">
        <x:f>"165.038.987-62"</x:f>
        <x:v>165.038.987-62</x:v>
      </x:c>
      <x:c r="G3256" s="22" t="str">
        <x:f>"16503898762"</x:f>
        <x:v>16503898762</x:v>
      </x:c>
      <x:c r="H3256" s="23" t="str">
        <x:v>robertosaleseb@gmail.com</x:v>
      </x:c>
      <x:c r="I3256" s="22" t="str">
        <x:f>"21982011436"</x:f>
        <x:v>21982011436</x:v>
      </x:c>
      <x:c r="J3256" s="23" t="str">
        <x:v>SPOT</x:v>
      </x:c>
      <x:c r="K3256" s="23" t="str">
        <x:v>favored_only</x:v>
      </x:c>
      <x:c r="L3256" s="24" t="b">
        <x:v>1</x:v>
      </x:c>
      <x:c r="M3256" s="23" t="n">
        <x:v>1</x:v>
      </x:c>
      <x:c r="N3256" s="28" t="n">
        <x:v>46219.812988715275</x:v>
      </x:c>
      <x:c r="O3256" s="28" t="n">
        <x:v>46219.812988715275</x:v>
      </x:c>
      <x:c r="P3256" s="23" t="str">
        <x:v>CORDOVIL</x:v>
      </x:c>
      <x:c r="Q3256" s="30" t="n">
        <x:v>34742</x:v>
      </x:c>
      <x:c r="R3256" s="22" t="str">
        <x:f>"241163252"</x:f>
        <x:v>241163252</x:v>
      </x:c>
      <x:c r="S3256" s="23" t="str">
        <x:v>masculino</x:v>
      </x:c>
      <x:c r="T3256" s="22" t="str">
        <x:f>"LPN2H66"</x:f>
        <x:v>LPN2H66</x:v>
      </x:c>
      <x:c r="U3256" s="23" t="str">
        <x:v>ROBERTO SALES DE SOUSA</x:v>
      </x:c>
      <x:c r="V3256" s="22" t="str">
        <x:f>"165.038.987-62"</x:f>
        <x:v>165.038.987-62</x:v>
      </x:c>
      <x:c r="W3256" s="22" t="str">
        <x:f>"16503898762"</x:f>
        <x:v>16503898762</x:v>
      </x:c>
      <x:c r="X3256" s="23" t="str">
        <x:v>robertosaleseb@gmail.com</x:v>
      </x:c>
      <x:c r="Y3256" s="22" t="str">
        <x:f>"21982011436"</x:f>
        <x:v>21982011436</x:v>
      </x:c>
      <x:c r="Z3256" s="30" t="n">
        <x:v>46450</x:v>
      </x:c>
    </x:row>
    <x:row r="3257" ht="18" customHeight="1">
      <x:c r="A3257" s="22" t="str">
        <x:f>"5205dabe-67a2-4c49-9d57-f13a52d80072"</x:f>
        <x:v>5205dabe-67a2-4c49-9d57-f13a52d80072</x:v>
      </x:c>
      <x:c r="B3257" s="23" t="str">
        <x:v>ROBERTO SOUSA</x:v>
      </x:c>
      <x:c r="C3257" s="23" t="str">
        <x:v>roberto sousa</x:v>
      </x:c>
      <x:c r="D3257" s="22" t="str">
        <x:f>"37.823.997/0001-90"</x:f>
        <x:v>37.823.997/0001-90</x:v>
      </x:c>
      <x:c r="E3257" s="22" t="str">
        <x:f>"37823997000190"</x:f>
        <x:v>37823997000190</x:v>
      </x:c>
      <x:c r="F3257" s="22" t="str">
        <x:f>"353.692.801-34"</x:f>
        <x:v>353.692.801-34</x:v>
      </x:c>
      <x:c r="G3257" s="22" t="str">
        <x:f>"35369280134"</x:f>
        <x:v>35369280134</x:v>
      </x:c>
      <x:c r="H3257" s="23" t="str">
        <x:v>robertosousa1546@gmail.com</x:v>
      </x:c>
      <x:c r="I3257" s="22" t="str">
        <x:f>"65996248641"</x:f>
        <x:v>65996248641</x:v>
      </x:c>
      <x:c r="J3257" s="23" t="str">
        <x:v>SPOT</x:v>
      </x:c>
      <x:c r="K3257" s="23" t="str">
        <x:v>favored_only</x:v>
      </x:c>
      <x:c r="L3257" s="24" t="b">
        <x:v>1</x:v>
      </x:c>
      <x:c r="M3257" s="23" t="n">
        <x:v>1</x:v>
      </x:c>
      <x:c r="N3257" s="28" t="n">
        <x:v>46205.60382091435</x:v>
      </x:c>
      <x:c r="O3257" s="28" t="n">
        <x:v>46219.812988715275</x:v>
      </x:c>
      <x:c r="P3257" s="23" t="str">
        <x:v>PONTES E LACERDA</x:v>
      </x:c>
      <x:c r="Q3257" s="30" t="n">
        <x:v>23857</x:v>
      </x:c>
      <x:c r="R3257" s="22" t="str">
        <x:f>"9974865"</x:f>
        <x:v>9974865</x:v>
      </x:c>
      <x:c r="S3257" s="23" t="str">
        <x:v>masculino</x:v>
      </x:c>
      <x:c r="T3257" s="22" t="str">
        <x:f>"AQW5B73"</x:f>
        <x:v>AQW5B73</x:v>
      </x:c>
      <x:c r="U3257" s="23" t="str">
        <x:v>DANILLO BACIEL ALMEIDA</x:v>
      </x:c>
      <x:c r="V3257" s="22" t="str">
        <x:f>"962.005.291-91"</x:f>
        <x:v>962.005.291-91</x:v>
      </x:c>
      <x:c r="W3257" s="22" t="str">
        <x:f>"96200529191"</x:f>
        <x:v>96200529191</x:v>
      </x:c>
      <x:c r="X3257" s="23" t="str">
        <x:v>RPT.cargas@gmail.com</x:v>
      </x:c>
      <x:c r="Y3257" s="22" t="str">
        <x:f>"(62) 99661-0607"</x:f>
        <x:v>(62) 99661-0607</x:v>
      </x:c>
      <x:c r="Z3257" s="30" t="n">
        <x:v>46242</x:v>
      </x:c>
    </x:row>
    <x:row r="3258" ht="18" customHeight="1">
      <x:c r="A3258" s="22" t="str">
        <x:f>"7f0ed119-2816-4f1d-8a75-7cec47ef3ae4"</x:f>
        <x:v>7f0ed119-2816-4f1d-8a75-7cec47ef3ae4</x:v>
      </x:c>
      <x:c r="B3258" s="23" t="str">
        <x:v>ROBERTO VILLARES NASCIMENTO</x:v>
      </x:c>
      <x:c r="C3258" s="23" t="str">
        <x:v>roberto villares nascimento</x:v>
      </x:c>
      <x:c r="D3258" s="22" t="str">
        <x:f>"58.691.584/0001-79"</x:f>
        <x:v>58.691.584/0001-79</x:v>
      </x:c>
      <x:c r="E3258" s="22" t="str">
        <x:f>"58691584000179"</x:f>
        <x:v>58691584000179</x:v>
      </x:c>
      <x:c r="F3258" s="22" t="str">
        <x:f>"482.033.618-54"</x:f>
        <x:v>482.033.618-54</x:v>
      </x:c>
      <x:c r="G3258" s="22" t="str">
        <x:f>"48203361854"</x:f>
        <x:v>48203361854</x:v>
      </x:c>
      <x:c r="H3258" s="23" t="str">
        <x:v>rn057465@gmail.com</x:v>
      </x:c>
      <x:c r="I3258" s="22" t="str">
        <x:f>"11 96434-9551"</x:f>
        <x:v>11 96434-9551</x:v>
      </x:c>
      <x:c r="J3258" s="23" t="str">
        <x:v>RENTAL</x:v>
      </x:c>
      <x:c r="K3258" s="23" t="str">
        <x:v>rental_company</x:v>
      </x:c>
      <x:c r="L3258" s="24" t="b">
        <x:v>1</x:v>
      </x:c>
      <x:c r="M3258" s="23" t="n">
        <x:v>1</x:v>
      </x:c>
      <x:c r="N3258" s="28" t="n">
        <x:v>46203.92188238426</x:v>
      </x:c>
      <x:c r="O3258" s="28" t="n">
        <x:v>46219.812988715275</x:v>
      </x:c>
      <x:c r="P3258" s="23" t="str">
        <x:v>BARUERI</x:v>
      </x:c>
      <x:c r="Q3258" s="30" t="n">
        <x:v>35777</x:v>
      </x:c>
      <x:c r="R3258" s="22" t="str">
        <x:f>"50995337"</x:f>
        <x:v>50995337</x:v>
      </x:c>
      <x:c r="S3258" s="23" t="str">
        <x:v>masculino</x:v>
      </x:c>
      <x:c r="T3258" s="22" t="str"/>
      <x:c r="U3258" s="23" t="str">
        <x:v>ROBERTO VILLARES NASCIMENTO</x:v>
      </x:c>
      <x:c r="V3258" s="22" t="str">
        <x:f>"482.033.618-54"</x:f>
        <x:v>482.033.618-54</x:v>
      </x:c>
      <x:c r="W3258" s="22" t="str">
        <x:f>"48203361854"</x:f>
        <x:v>48203361854</x:v>
      </x:c>
      <x:c r="X3258" s="23" t="str">
        <x:v>rn057465@gmail.com</x:v>
      </x:c>
      <x:c r="Y3258" s="22" t="str">
        <x:f>"11 96434-9551"</x:f>
        <x:v>11 96434-9551</x:v>
      </x:c>
      <x:c r="Z3258" s="30" t="n">
        <x:v>46316</x:v>
      </x:c>
    </x:row>
    <x:row r="3259" ht="18" customHeight="1">
      <x:c r="A3259" s="22" t="str">
        <x:f>"58ad5f38-f0b1-4bc5-a072-f5981142c570"</x:f>
        <x:v>58ad5f38-f0b1-4bc5-a072-f5981142c570</x:v>
      </x:c>
      <x:c r="B3259" s="23" t="str">
        <x:v>ROBERT WILLIAM ANDRE DOS SANTOS</x:v>
      </x:c>
      <x:c r="C3259" s="23" t="str">
        <x:v>robert william andre dos santos</x:v>
      </x:c>
      <x:c r="D3259" s="22" t="str">
        <x:f>"49.640.320/0001-03"</x:f>
        <x:v>49.640.320/0001-03</x:v>
      </x:c>
      <x:c r="E3259" s="22" t="str">
        <x:f>"49640320000103"</x:f>
        <x:v>49640320000103</x:v>
      </x:c>
      <x:c r="F3259" s="22" t="str">
        <x:f>"023.118.136-17"</x:f>
        <x:v>023.118.136-17</x:v>
      </x:c>
      <x:c r="G3259" s="22" t="str">
        <x:f>"02311813617"</x:f>
        <x:v>02311813617</x:v>
      </x:c>
      <x:c r="H3259" s="23" t="str">
        <x:v>roberthsanths@gmail.com</x:v>
      </x:c>
      <x:c r="I3259" s="22" t="str">
        <x:f>"(35) 99145-1908"</x:f>
        <x:v>(35) 99145-1908</x:v>
      </x:c>
      <x:c r="J3259" s="23" t="str">
        <x:v>RENTAL</x:v>
      </x:c>
      <x:c r="K3259" s="23" t="str">
        <x:v>rental_company</x:v>
      </x:c>
      <x:c r="L3259" s="24" t="b">
        <x:v>1</x:v>
      </x:c>
      <x:c r="M3259" s="23" t="n">
        <x:v>1</x:v>
      </x:c>
      <x:c r="N3259" s="28" t="n">
        <x:v>46203.921824756944</x:v>
      </x:c>
      <x:c r="O3259" s="28" t="n">
        <x:v>46219.812988715275</x:v>
      </x:c>
      <x:c r="P3259" s="23" t="str">
        <x:v>POUSO ALEGRE</x:v>
      </x:c>
      <x:c r="Q3259" s="30" t="n">
        <x:v>37437</x:v>
      </x:c>
      <x:c r="R3259" s="22" t="str">
        <x:f>"MG17911767 SSP MG"</x:f>
        <x:v>MG17911767 SSP MG</x:v>
      </x:c>
      <x:c r="S3259" s="23" t="str">
        <x:v>masculino</x:v>
      </x:c>
      <x:c r="T3259" s="22" t="str"/>
      <x:c r="U3259" s="23" t="str">
        <x:v>ROBERT WILLIAM ANDRE DOS SANTOS</x:v>
      </x:c>
      <x:c r="V3259" s="22" t="str">
        <x:f>"023.118.136-17"</x:f>
        <x:v>023.118.136-17</x:v>
      </x:c>
      <x:c r="W3259" s="22" t="str">
        <x:f>"02311813617"</x:f>
        <x:v>02311813617</x:v>
      </x:c>
      <x:c r="X3259" s="23" t="str">
        <x:v>roberthsanths@gmail.com</x:v>
      </x:c>
      <x:c r="Y3259" s="22" t="str">
        <x:f>"(35) 99145-1908"</x:f>
        <x:v>(35) 99145-1908</x:v>
      </x:c>
      <x:c r="Z3259" s="30" t="n">
        <x:v>46252</x:v>
      </x:c>
    </x:row>
    <x:row r="3260" ht="18" customHeight="1">
      <x:c r="A3260" s="22" t="str">
        <x:f>"a96c63aa-ec06-48ad-9efe-bf8f97ed7b45"</x:f>
        <x:v>a96c63aa-ec06-48ad-9efe-bf8f97ed7b45</x:v>
      </x:c>
      <x:c r="B3260" s="23" t="str">
        <x:v>ROBERVAL JOSE NONATO SILVEIRA</x:v>
      </x:c>
      <x:c r="C3260" s="23" t="str">
        <x:v>roberval jose nonato silveira</x:v>
      </x:c>
      <x:c r="D3260" s="22" t="str">
        <x:f>"63.750.495/0001-96"</x:f>
        <x:v>63.750.495/0001-96</x:v>
      </x:c>
      <x:c r="E3260" s="22" t="str">
        <x:f>"63750495000196"</x:f>
        <x:v>63750495000196</x:v>
      </x:c>
      <x:c r="F3260" s="22" t="str">
        <x:f>"113.484.646-07"</x:f>
        <x:v>113.484.646-07</x:v>
      </x:c>
      <x:c r="G3260" s="22" t="str">
        <x:f>"11348464607"</x:f>
        <x:v>11348464607</x:v>
      </x:c>
      <x:c r="H3260" s="23" t="str">
        <x:v>silveiraroberval1990@gmail.com</x:v>
      </x:c>
      <x:c r="I3260" s="22" t="str">
        <x:f>"319 8397- 5300"</x:f>
        <x:v>319 8397- 5300</x:v>
      </x:c>
      <x:c r="J3260" s="23" t="str">
        <x:v>SPOT</x:v>
      </x:c>
      <x:c r="K3260" s="23" t="str">
        <x:v>favored_only</x:v>
      </x:c>
      <x:c r="L3260" s="24" t="b">
        <x:v>1</x:v>
      </x:c>
      <x:c r="M3260" s="23" t="n">
        <x:v>1</x:v>
      </x:c>
      <x:c r="N3260" s="28" t="n">
        <x:v>46203.92189965278</x:v>
      </x:c>
      <x:c r="O3260" s="28" t="n">
        <x:v>46219.812988715275</x:v>
      </x:c>
      <x:c r="P3260" s="23" t="str">
        <x:v>VESPASIANO</x:v>
      </x:c>
      <x:c r="Q3260" s="30" t="n">
        <x:v>33203</x:v>
      </x:c>
      <x:c r="R3260" s="22" t="str">
        <x:f>"RG: MG17329314"</x:f>
        <x:v>RG: MG17329314</x:v>
      </x:c>
      <x:c r="S3260" s="23" t="str">
        <x:v>masculino</x:v>
      </x:c>
      <x:c r="T3260" s="22" t="str">
        <x:f>"HLA9795"</x:f>
        <x:v>HLA9795</x:v>
      </x:c>
      <x:c r="U3260" s="23" t="str">
        <x:v>ROBERVAL JOSE NONATO SILVEIRA</x:v>
      </x:c>
      <x:c r="V3260" s="22" t="str">
        <x:f>"113.484.646-07"</x:f>
        <x:v>113.484.646-07</x:v>
      </x:c>
      <x:c r="W3260" s="22" t="str">
        <x:f>"11348464607"</x:f>
        <x:v>11348464607</x:v>
      </x:c>
      <x:c r="X3260" s="23" t="str">
        <x:v>silveiraroberval1990@gmail.com</x:v>
      </x:c>
      <x:c r="Y3260" s="22" t="str">
        <x:f>"319 8397- 5300"</x:f>
        <x:v>319 8397- 5300</x:v>
      </x:c>
      <x:c r="Z3260" s="30" t="n">
        <x:v>46353</x:v>
      </x:c>
    </x:row>
    <x:row r="3261" ht="18" customHeight="1">
      <x:c r="A3261" s="22" t="str">
        <x:f>"0e11af21-4780-419d-8583-969fbd6f58fb"</x:f>
        <x:v>0e11af21-4780-419d-8583-969fbd6f58fb</x:v>
      </x:c>
      <x:c r="B3261" s="23" t="str">
        <x:v>ROBINSON LUIS FERREIRA</x:v>
      </x:c>
      <x:c r="C3261" s="23" t="str">
        <x:v>robinson luis ferreira</x:v>
      </x:c>
      <x:c r="D3261" s="22" t="str">
        <x:f>"41.454.859/0001-58"</x:f>
        <x:v>41.454.859/0001-58</x:v>
      </x:c>
      <x:c r="E3261" s="22" t="str">
        <x:f>"41454859000158"</x:f>
        <x:v>41454859000158</x:v>
      </x:c>
      <x:c r="F3261" s="22" t="str">
        <x:f>"201.056.928-83"</x:f>
        <x:v>201.056.928-83</x:v>
      </x:c>
      <x:c r="G3261" s="22" t="str">
        <x:f>"20105692883"</x:f>
        <x:v>20105692883</x:v>
      </x:c>
      <x:c r="H3261" s="23" t="str">
        <x:v>robinsonsportage@gmail.com</x:v>
      </x:c>
      <x:c r="I3261" s="22" t="str">
        <x:f>"(11)988965208"</x:f>
        <x:v>(11)988965208</x:v>
      </x:c>
      <x:c r="J3261" s="23" t="str">
        <x:v>RENTAL</x:v>
      </x:c>
      <x:c r="K3261" s="23" t="str">
        <x:v>rental_company</x:v>
      </x:c>
      <x:c r="L3261" s="24" t="b">
        <x:v>1</x:v>
      </x:c>
      <x:c r="M3261" s="23" t="n">
        <x:v>1</x:v>
      </x:c>
      <x:c r="N3261" s="28" t="n">
        <x:v>46203.9219084375</x:v>
      </x:c>
      <x:c r="O3261" s="28" t="n">
        <x:v>46219.812988715275</x:v>
      </x:c>
      <x:c r="P3261" s="23" t="str">
        <x:v>MADEIRA MADEIRA</x:v>
      </x:c>
      <x:c r="Q3261" s="30" t="n">
        <x:v>28550</x:v>
      </x:c>
      <x:c r="R3261" s="22" t="str">
        <x:f>"282772170"</x:f>
        <x:v>282772170</x:v>
      </x:c>
      <x:c r="S3261" s="23" t="str">
        <x:v>masculino</x:v>
      </x:c>
      <x:c r="T3261" s="22" t="str"/>
      <x:c r="U3261" s="23" t="str">
        <x:v>ROBINSON LUIS FERREIRA</x:v>
      </x:c>
      <x:c r="V3261" s="22" t="str">
        <x:f>"201.056.928-83"</x:f>
        <x:v>201.056.928-83</x:v>
      </x:c>
      <x:c r="W3261" s="22" t="str">
        <x:f>"20105692883"</x:f>
        <x:v>20105692883</x:v>
      </x:c>
      <x:c r="X3261" s="23" t="str">
        <x:v>robinsonsportage@gmail.com</x:v>
      </x:c>
      <x:c r="Y3261" s="22" t="str">
        <x:f>"(11)988965208"</x:f>
        <x:v>(11)988965208</x:v>
      </x:c>
      <x:c r="Z3261" s="30" t="n">
        <x:v>46393</x:v>
      </x:c>
    </x:row>
    <x:row r="3262" ht="18" customHeight="1">
      <x:c r="A3262" s="22" t="str">
        <x:f>"8d727084-a8be-4bba-89bc-9e04620a3ba9"</x:f>
        <x:v>8d727084-a8be-4bba-89bc-9e04620a3ba9</x:v>
      </x:c>
      <x:c r="B3262" s="23" t="str">
        <x:v>ROBSON ALEIXO DE SOUZA</x:v>
      </x:c>
      <x:c r="C3262" s="23" t="str">
        <x:v>robson aleixo de souza</x:v>
      </x:c>
      <x:c r="D3262" s="22" t="str">
        <x:f>"44.283.592/0001-71"</x:f>
        <x:v>44.283.592/0001-71</x:v>
      </x:c>
      <x:c r="E3262" s="22" t="str">
        <x:f>"44283592000171"</x:f>
        <x:v>44283592000171</x:v>
      </x:c>
      <x:c r="F3262" s="22" t="str">
        <x:f>"013.762.052-70"</x:f>
        <x:v>013.762.052-70</x:v>
      </x:c>
      <x:c r="G3262" s="22" t="str">
        <x:f>"01376205270"</x:f>
        <x:v>01376205270</x:v>
      </x:c>
      <x:c r="H3262" s="23" t="str">
        <x:v>robsonaleixos@gmail.com</x:v>
      </x:c>
      <x:c r="I3262" s="22" t="str">
        <x:f>"5981225712"</x:f>
        <x:v>5981225712</x:v>
      </x:c>
      <x:c r="J3262" s="23" t="str">
        <x:v>RENTAL</x:v>
      </x:c>
      <x:c r="K3262" s="23" t="str">
        <x:v>rental_company</x:v>
      </x:c>
      <x:c r="L3262" s="24" t="b">
        <x:v>1</x:v>
      </x:c>
      <x:c r="M3262" s="23" t="n">
        <x:v>2</x:v>
      </x:c>
      <x:c r="N3262" s="28" t="n">
        <x:v>46203.92186888889</x:v>
      </x:c>
      <x:c r="O3262" s="28" t="n">
        <x:v>46219.812988715275</x:v>
      </x:c>
      <x:c r="P3262" s="23" t="str">
        <x:v>CUIABA</x:v>
      </x:c>
      <x:c r="Q3262" s="30" t="n">
        <x:v>34385</x:v>
      </x:c>
      <x:c r="R3262" s="22" t="str">
        <x:f>"30051541"</x:f>
        <x:v>30051541</x:v>
      </x:c>
      <x:c r="S3262" s="23" t="str">
        <x:v>masculino</x:v>
      </x:c>
      <x:c r="T3262" s="22" t="str"/>
      <x:c r="U3262" s="23" t="str">
        <x:v>ROBSON ALEIXO DE SOUZA</x:v>
      </x:c>
      <x:c r="V3262" s="22" t="str">
        <x:f>"013.762.052-70"</x:f>
        <x:v>013.762.052-70</x:v>
      </x:c>
      <x:c r="W3262" s="22" t="str">
        <x:f>"01376205270"</x:f>
        <x:v>01376205270</x:v>
      </x:c>
      <x:c r="X3262" s="23" t="str">
        <x:v>robsonaleixos@gmail.com</x:v>
      </x:c>
      <x:c r="Y3262" s="22" t="str">
        <x:f>"5981225712"</x:f>
        <x:v>5981225712</x:v>
      </x:c>
      <x:c r="Z3262" s="30" t="n">
        <x:v>46298</x:v>
      </x:c>
    </x:row>
    <x:row r="3263" ht="18" customHeight="1">
      <x:c r="A3263" s="22" t="str">
        <x:f>"c20aa7b8-785f-40d4-b2db-4a3639625814"</x:f>
        <x:v>c20aa7b8-785f-40d4-b2db-4a3639625814</x:v>
      </x:c>
      <x:c r="B3263" s="23" t="str">
        <x:v>ROBSON BARBOSA</x:v>
      </x:c>
      <x:c r="C3263" s="23" t="str">
        <x:v>robson barbosa</x:v>
      </x:c>
      <x:c r="D3263" s="22" t="str">
        <x:f>"53.119.035/0001-00"</x:f>
        <x:v>53.119.035/0001-00</x:v>
      </x:c>
      <x:c r="E3263" s="22" t="str">
        <x:f>"53119035000100"</x:f>
        <x:v>53119035000100</x:v>
      </x:c>
      <x:c r="F3263" s="22" t="str">
        <x:f>"049.049.096-40"</x:f>
        <x:v>049.049.096-40</x:v>
      </x:c>
      <x:c r="G3263" s="22" t="str">
        <x:f>"04904909640"</x:f>
        <x:v>04904909640</x:v>
      </x:c>
      <x:c r="H3263" s="23" t="str">
        <x:v>robson.barbosa2703@gmail.com</x:v>
      </x:c>
      <x:c r="I3263" s="22" t="str">
        <x:f>"33 999578299"</x:f>
        <x:v>33 999578299</x:v>
      </x:c>
      <x:c r="J3263" s="23" t="str">
        <x:v>SPOT</x:v>
      </x:c>
      <x:c r="K3263" s="23" t="str">
        <x:v>favored_only</x:v>
      </x:c>
      <x:c r="L3263" s="24" t="b">
        <x:v>1</x:v>
      </x:c>
      <x:c r="M3263" s="23" t="n">
        <x:v>1</x:v>
      </x:c>
      <x:c r="N3263" s="28" t="n">
        <x:v>46205.604919618054</x:v>
      </x:c>
      <x:c r="O3263" s="28" t="n">
        <x:v>46219.812988715275</x:v>
      </x:c>
      <x:c r="P3263" s="23" t="str">
        <x:v>GUANHAES</x:v>
      </x:c>
      <x:c r="Q3263" s="30" t="n">
        <x:v>29464</x:v>
      </x:c>
      <x:c r="R3263" s="22" t="str">
        <x:f>"10636723"</x:f>
        <x:v>10636723</x:v>
      </x:c>
      <x:c r="S3263" s="23" t="str">
        <x:v>masculino</x:v>
      </x:c>
      <x:c r="T3263" s="22" t="str">
        <x:f>"NYD2B87"</x:f>
        <x:v>NYD2B87</x:v>
      </x:c>
      <x:c r="U3263" s="23" t="str">
        <x:v>ALEX SALVADOR SILVA BARBOSA</x:v>
      </x:c>
      <x:c r="V3263" s="22" t="str">
        <x:f>"109.864.046-09"</x:f>
        <x:v>109.864.046-09</x:v>
      </x:c>
      <x:c r="W3263" s="22" t="str">
        <x:f>"10986404609"</x:f>
        <x:v>10986404609</x:v>
      </x:c>
      <x:c r="X3263" s="23" t="str">
        <x:v>allex4510@gmail.com</x:v>
      </x:c>
      <x:c r="Y3263" s="22" t="str">
        <x:f>"33999136935"</x:f>
        <x:v>33999136935</x:v>
      </x:c>
      <x:c r="Z3263" s="30" t="n">
        <x:v>46303</x:v>
      </x:c>
    </x:row>
    <x:row r="3264" ht="18" customHeight="1">
      <x:c r="A3264" s="22" t="str">
        <x:f>"85814466-60e7-46c4-8434-cacd5d7eebc6"</x:f>
        <x:v>85814466-60e7-46c4-8434-cacd5d7eebc6</x:v>
      </x:c>
      <x:c r="B3264" s="23" t="str">
        <x:v>ROBSON BERNARDES</x:v>
      </x:c>
      <x:c r="C3264" s="23" t="str">
        <x:v>robson bernardes</x:v>
      </x:c>
      <x:c r="D3264" s="22" t="str">
        <x:f>"48.571.358/0001-09"</x:f>
        <x:v>48.571.358/0001-09</x:v>
      </x:c>
      <x:c r="E3264" s="22" t="str">
        <x:f>"48571358000109"</x:f>
        <x:v>48571358000109</x:v>
      </x:c>
      <x:c r="F3264" s="22" t="str">
        <x:f>"772.444.946-53"</x:f>
        <x:v>772.444.946-53</x:v>
      </x:c>
      <x:c r="G3264" s="22" t="str">
        <x:f>"77244494653"</x:f>
        <x:v>77244494653</x:v>
      </x:c>
      <x:c r="H3264" s="23" t="str">
        <x:v>robsonbernardes60@gmail.com</x:v>
      </x:c>
      <x:c r="I3264" s="22" t="str">
        <x:f>"35 99824-1011"</x:f>
        <x:v>35 99824-1011</x:v>
      </x:c>
      <x:c r="J3264" s="23" t="str">
        <x:v>RENTAL</x:v>
      </x:c>
      <x:c r="K3264" s="23" t="str">
        <x:v>rental_company</x:v>
      </x:c>
      <x:c r="L3264" s="24" t="b">
        <x:v>1</x:v>
      </x:c>
      <x:c r="M3264" s="23" t="n">
        <x:v>1</x:v>
      </x:c>
      <x:c r="N3264" s="28" t="n">
        <x:v>46203.921852962965</x:v>
      </x:c>
      <x:c r="O3264" s="28" t="n">
        <x:v>46219.812988715275</x:v>
      </x:c>
      <x:c r="P3264" s="23" t="str">
        <x:v>POUSO ALEGRE</x:v>
      </x:c>
      <x:c r="Q3264" s="30" t="n">
        <x:v>26247</x:v>
      </x:c>
      <x:c r="R3264" s="22" t="str">
        <x:f>"6984351"</x:f>
        <x:v>6984351</x:v>
      </x:c>
      <x:c r="S3264" s="23" t="str">
        <x:v>masculino</x:v>
      </x:c>
      <x:c r="T3264" s="22" t="str"/>
      <x:c r="U3264" s="23" t="str">
        <x:v>ROBSON BERNARDES</x:v>
      </x:c>
      <x:c r="V3264" s="22" t="str">
        <x:f>"772.444.946-53"</x:f>
        <x:v>772.444.946-53</x:v>
      </x:c>
      <x:c r="W3264" s="22" t="str">
        <x:f>"77244494653"</x:f>
        <x:v>77244494653</x:v>
      </x:c>
      <x:c r="X3264" s="23" t="str">
        <x:v>robsonbernardes60@gmail.com</x:v>
      </x:c>
      <x:c r="Y3264" s="22" t="str">
        <x:f>"35 99824-1011"</x:f>
        <x:v>35 99824-1011</x:v>
      </x:c>
      <x:c r="Z3264" s="30" t="n">
        <x:v>46245</x:v>
      </x:c>
    </x:row>
    <x:row r="3265" ht="18" customHeight="1">
      <x:c r="A3265" s="22" t="str">
        <x:f>"33e54f06-8cf1-493a-ab1f-20be9054be40"</x:f>
        <x:v>33e54f06-8cf1-493a-ab1f-20be9054be40</x:v>
      </x:c>
      <x:c r="B3265" s="23" t="str">
        <x:v>ROBSON DA SILVA SOARES DA CRUZ</x:v>
      </x:c>
      <x:c r="C3265" s="23" t="str">
        <x:v>robson da silva soares da cruz</x:v>
      </x:c>
      <x:c r="D3265" s="22" t="str">
        <x:f>"46.869.168/0001-39"</x:f>
        <x:v>46.869.168/0001-39</x:v>
      </x:c>
      <x:c r="E3265" s="22" t="str">
        <x:f>"46869168000139"</x:f>
        <x:v>46869168000139</x:v>
      </x:c>
      <x:c r="F3265" s="22" t="str">
        <x:f>"140.904.417-30"</x:f>
        <x:v>140.904.417-30</x:v>
      </x:c>
      <x:c r="G3265" s="22" t="str">
        <x:f>"14090441730"</x:f>
        <x:v>14090441730</x:v>
      </x:c>
      <x:c r="H3265" s="23" t="str">
        <x:v>robson16demolay@gmail.com</x:v>
      </x:c>
      <x:c r="I3265" s="22" t="str">
        <x:f>"21975598874"</x:f>
        <x:v>21975598874</x:v>
      </x:c>
      <x:c r="J3265" s="23" t="str">
        <x:v>SPOT</x:v>
      </x:c>
      <x:c r="K3265" s="23" t="str">
        <x:v>favored_only</x:v>
      </x:c>
      <x:c r="L3265" s="24" t="b">
        <x:v>1</x:v>
      </x:c>
      <x:c r="M3265" s="23" t="n">
        <x:v>1</x:v>
      </x:c>
      <x:c r="N3265" s="28" t="n">
        <x:v>46219.812988715275</x:v>
      </x:c>
      <x:c r="O3265" s="28" t="n">
        <x:v>46219.812988715275</x:v>
      </x:c>
      <x:c r="P3265" s="23" t="str">
        <x:v>CORDOVIL</x:v>
      </x:c>
      <x:c r="Q3265" s="30" t="n">
        <x:v>36174</x:v>
      </x:c>
      <x:c r="R3265" s="22" t="str">
        <x:f>"267045383"</x:f>
        <x:v>267045383</x:v>
      </x:c>
      <x:c r="S3265" s="23" t="str">
        <x:v>masculino</x:v>
      </x:c>
      <x:c r="T3265" s="22" t="str">
        <x:f>"KWO1I26"</x:f>
        <x:v>KWO1I26</x:v>
      </x:c>
      <x:c r="U3265" s="23" t="str">
        <x:v>ROBSON DA SILVA SOARES DA CRUZ</x:v>
      </x:c>
      <x:c r="V3265" s="22" t="str">
        <x:f>"140.904.417-30"</x:f>
        <x:v>140.904.417-30</x:v>
      </x:c>
      <x:c r="W3265" s="22" t="str">
        <x:f>"14090441730"</x:f>
        <x:v>14090441730</x:v>
      </x:c>
      <x:c r="X3265" s="23" t="str">
        <x:v>robson16demolay@gmail.com</x:v>
      </x:c>
      <x:c r="Y3265" s="22" t="str">
        <x:f>"21975598874"</x:f>
        <x:v>21975598874</x:v>
      </x:c>
      <x:c r="Z3265" s="30" t="n">
        <x:v>46519</x:v>
      </x:c>
    </x:row>
    <x:row r="3266" ht="18" customHeight="1">
      <x:c r="A3266" s="22" t="str">
        <x:f>"5abe6a43-e34f-44a2-b325-0e62374e9c79"</x:f>
        <x:v>5abe6a43-e34f-44a2-b325-0e62374e9c79</x:v>
      </x:c>
      <x:c r="B3266" s="23" t="str">
        <x:v>ROBSON DA SILVA SOUTO</x:v>
      </x:c>
      <x:c r="C3266" s="23" t="str">
        <x:v>robson da silva souto</x:v>
      </x:c>
      <x:c r="D3266" s="22" t="str">
        <x:f>"54.674.698/0001-50"</x:f>
        <x:v>54.674.698/0001-50</x:v>
      </x:c>
      <x:c r="E3266" s="22" t="str">
        <x:f>"54674698000150"</x:f>
        <x:v>54674698000150</x:v>
      </x:c>
      <x:c r="F3266" s="22" t="str">
        <x:f>"732.302.351-34"</x:f>
        <x:v>732.302.351-34</x:v>
      </x:c>
      <x:c r="G3266" s="22" t="str">
        <x:f>"73230235134"</x:f>
        <x:v>73230235134</x:v>
      </x:c>
      <x:c r="H3266" s="23" t="str">
        <x:v>Robsonssouto@gmail.com</x:v>
      </x:c>
      <x:c r="I3266" s="22" t="str">
        <x:f>"65992188094"</x:f>
        <x:v>65992188094</x:v>
      </x:c>
      <x:c r="J3266" s="23" t="str">
        <x:v>SPOT</x:v>
      </x:c>
      <x:c r="K3266" s="23" t="str">
        <x:v>favored_only</x:v>
      </x:c>
      <x:c r="L3266" s="24" t="b">
        <x:v>1</x:v>
      </x:c>
      <x:c r="M3266" s="23" t="n">
        <x:v>1</x:v>
      </x:c>
      <x:c r="N3266" s="28" t="n">
        <x:v>46205.60681334491</x:v>
      </x:c>
      <x:c r="O3266" s="28" t="n">
        <x:v>46219.812988715275</x:v>
      </x:c>
      <x:c r="P3266" s="23" t="str">
        <x:v>CÁCERES</x:v>
      </x:c>
      <x:c r="Q3266" s="30" t="n">
        <x:v>32545</x:v>
      </x:c>
      <x:c r="R3266" s="22" t="str">
        <x:f>"16037715"</x:f>
        <x:v>16037715</x:v>
      </x:c>
      <x:c r="S3266" s="23" t="str">
        <x:v>masculino</x:v>
      </x:c>
      <x:c r="T3266" s="22" t="str">
        <x:f>"RAL3G42"</x:f>
        <x:v>RAL3G42</x:v>
      </x:c>
      <x:c r="U3266" s="23" t="str">
        <x:v>ROBERTO PEREIRA ALVES</x:v>
      </x:c>
      <x:c r="V3266" s="22" t="str">
        <x:f>"54674698000150"</x:f>
        <x:v>54674698000150</x:v>
      </x:c>
      <x:c r="W3266" s="22" t="str">
        <x:f>"54674698000150"</x:f>
        <x:v>54674698000150</x:v>
      </x:c>
      <x:c r="X3266" s="23" t="str">
        <x:v>pereiraalvesroberto5@gmail.com</x:v>
      </x:c>
      <x:c r="Y3266" s="22" t="str">
        <x:f>"65 996614928"</x:f>
        <x:v>65 996614928</x:v>
      </x:c>
      <x:c r="Z3266" s="30" t="n">
        <x:v>46378</x:v>
      </x:c>
    </x:row>
    <x:row r="3267" ht="18" customHeight="1">
      <x:c r="A3267" s="22" t="str">
        <x:f>"0299148e-c33d-4fb3-8ce7-171e580fb503"</x:f>
        <x:v>0299148e-c33d-4fb3-8ce7-171e580fb503</x:v>
      </x:c>
      <x:c r="B3267" s="23" t="str">
        <x:v>ROBSON GOMES FERREIRA</x:v>
      </x:c>
      <x:c r="C3267" s="23" t="str">
        <x:v>robson gomes ferreira</x:v>
      </x:c>
      <x:c r="D3267" s="22" t="str">
        <x:f>"57.883.052/0001-70"</x:f>
        <x:v>57.883.052/0001-70</x:v>
      </x:c>
      <x:c r="E3267" s="22" t="str">
        <x:f>"57883052000170"</x:f>
        <x:v>57883052000170</x:v>
      </x:c>
      <x:c r="F3267" s="22" t="str">
        <x:f>"132.772.666-13"</x:f>
        <x:v>132.772.666-13</x:v>
      </x:c>
      <x:c r="G3267" s="22" t="str">
        <x:f>"13277266613"</x:f>
        <x:v>13277266613</x:v>
      </x:c>
      <x:c r="H3267" s="23" t="str">
        <x:v>farleisousa14@hotmail.com</x:v>
      </x:c>
      <x:c r="I3267" s="22" t="str">
        <x:f>"3398407053"</x:f>
        <x:v>3398407053</x:v>
      </x:c>
      <x:c r="J3267" s="23" t="str">
        <x:v>SPOT</x:v>
      </x:c>
      <x:c r="K3267" s="23" t="str">
        <x:v>favored_only</x:v>
      </x:c>
      <x:c r="L3267" s="24" t="b">
        <x:v>1</x:v>
      </x:c>
      <x:c r="M3267" s="23" t="n">
        <x:v>1</x:v>
      </x:c>
      <x:c r="N3267" s="28" t="n">
        <x:v>46205.601801192126</x:v>
      </x:c>
      <x:c r="O3267" s="28" t="n">
        <x:v>46219.812988715275</x:v>
      </x:c>
      <x:c r="P3267" s="23" t="str">
        <x:v>GUANHAES</x:v>
      </x:c>
      <x:c r="Q3267" s="30" t="n">
        <x:v>34091</x:v>
      </x:c>
      <x:c r="R3267" s="22" t="str">
        <x:f>"19589345"</x:f>
        <x:v>19589345</x:v>
      </x:c>
      <x:c r="S3267" s="23" t="str">
        <x:v>masculino</x:v>
      </x:c>
      <x:c r="T3267" s="22" t="str">
        <x:f>"PZI2F60"</x:f>
        <x:v>PZI2F60</x:v>
      </x:c>
      <x:c r="U3267" s="23" t="str">
        <x:v>FARLEI ALEXANDRE DE SOUSA</x:v>
      </x:c>
      <x:c r="V3267" s="22" t="str">
        <x:f>"114.955.326-07"</x:f>
        <x:v>114.955.326-07</x:v>
      </x:c>
      <x:c r="W3267" s="22" t="str">
        <x:f>"11495532607"</x:f>
        <x:v>11495532607</x:v>
      </x:c>
      <x:c r="X3267" s="23" t="str">
        <x:v>farleisousa14@hotmail.com</x:v>
      </x:c>
      <x:c r="Y3267" s="22" t="str">
        <x:f>"3398407053"</x:f>
        <x:v>3398407053</x:v>
      </x:c>
      <x:c r="Z3267" s="30" t="n">
        <x:v>46526</x:v>
      </x:c>
    </x:row>
    <x:row r="3268" ht="18" customHeight="1">
      <x:c r="A3268" s="22" t="str">
        <x:f>"73b8f84d-e2aa-4807-89ff-781cec3712dc"</x:f>
        <x:v>73b8f84d-e2aa-4807-89ff-781cec3712dc</x:v>
      </x:c>
      <x:c r="B3268" s="23" t="str">
        <x:v>ROBSON LUIS DA SILVA LAZARO</x:v>
      </x:c>
      <x:c r="C3268" s="23" t="str">
        <x:v>robson luis da silva lazaro</x:v>
      </x:c>
      <x:c r="D3268" s="22" t="str">
        <x:f>"61.956.885/0001-91"</x:f>
        <x:v>61.956.885/0001-91</x:v>
      </x:c>
      <x:c r="E3268" s="22" t="str">
        <x:f>"61956885000191"</x:f>
        <x:v>61956885000191</x:v>
      </x:c>
      <x:c r="F3268" s="22" t="str">
        <x:f>"303.896.388-70"</x:f>
        <x:v>303.896.388-70</x:v>
      </x:c>
      <x:c r="G3268" s="22" t="str">
        <x:f>"30389638870"</x:f>
        <x:v>30389638870</x:v>
      </x:c>
      <x:c r="H3268" s="23" t="str">
        <x:v>doispolosautoeletrica@gmail.com</x:v>
      </x:c>
      <x:c r="I3268" s="22" t="str">
        <x:f>"18 99733-1983"</x:f>
        <x:v>18 99733-1983</x:v>
      </x:c>
      <x:c r="J3268" s="23" t="str">
        <x:v>SPOT</x:v>
      </x:c>
      <x:c r="K3268" s="23" t="str">
        <x:v>favored_only</x:v>
      </x:c>
      <x:c r="L3268" s="24" t="b">
        <x:v>1</x:v>
      </x:c>
      <x:c r="M3268" s="23" t="n">
        <x:v>1</x:v>
      </x:c>
      <x:c r="N3268" s="28" t="n">
        <x:v>46203.92184908565</x:v>
      </x:c>
      <x:c r="O3268" s="28" t="n">
        <x:v>46219.812988715275</x:v>
      </x:c>
      <x:c r="P3268" s="23" t="str">
        <x:v>ARAÇATUBA</x:v>
      </x:c>
      <x:c r="Q3268" s="30" t="n">
        <x:v>30661</x:v>
      </x:c>
      <x:c r="R3268" s="22" t="str">
        <x:f>"40600172"</x:f>
        <x:v>40600172</x:v>
      </x:c>
      <x:c r="S3268" s="23" t="str">
        <x:v>masculino</x:v>
      </x:c>
      <x:c r="T3268" s="22" t="str">
        <x:f>"DXY9C84"</x:f>
        <x:v>DXY9C84</x:v>
      </x:c>
      <x:c r="U3268" s="23" t="str">
        <x:v>ROBSON LUIS DA SILVA LAZARO</x:v>
      </x:c>
      <x:c r="V3268" s="22" t="str">
        <x:f>"303.896.388-70"</x:f>
        <x:v>303.896.388-70</x:v>
      </x:c>
      <x:c r="W3268" s="22" t="str">
        <x:f>"30389638870"</x:f>
        <x:v>30389638870</x:v>
      </x:c>
      <x:c r="X3268" s="23" t="str">
        <x:v>doispolosautoeletrica@gmail.com</x:v>
      </x:c>
      <x:c r="Y3268" s="22" t="str">
        <x:f>"18 99733-1983"</x:f>
        <x:v>18 99733-1983</x:v>
      </x:c>
      <x:c r="Z3268" s="30" t="n">
        <x:v>46584</x:v>
      </x:c>
    </x:row>
    <x:row r="3269" ht="18" customHeight="1">
      <x:c r="A3269" s="22" t="str">
        <x:f>"65f53d76-052a-4708-846a-5475a1d8b8ca"</x:f>
        <x:v>65f53d76-052a-4708-846a-5475a1d8b8ca</x:v>
      </x:c>
      <x:c r="B3269" s="23" t="str">
        <x:v>ROBSON MARQUES BARRETO</x:v>
      </x:c>
      <x:c r="C3269" s="23" t="str">
        <x:v>robson marques barreto</x:v>
      </x:c>
      <x:c r="D3269" s="22" t="str">
        <x:f>"64.808.021/0001-10"</x:f>
        <x:v>64.808.021/0001-10</x:v>
      </x:c>
      <x:c r="E3269" s="22" t="str">
        <x:f>"64808021000110"</x:f>
        <x:v>64808021000110</x:v>
      </x:c>
      <x:c r="F3269" s="22" t="str">
        <x:f>"115.665.606-08"</x:f>
        <x:v>115.665.606-08</x:v>
      </x:c>
      <x:c r="G3269" s="22" t="str">
        <x:f>"11566560608"</x:f>
        <x:v>11566560608</x:v>
      </x:c>
      <x:c r="H3269" s="23" t="str">
        <x:v>robinho13572009@hotmail.com</x:v>
      </x:c>
      <x:c r="I3269" s="22" t="str">
        <x:f>"35997559435"</x:f>
        <x:v>35997559435</x:v>
      </x:c>
      <x:c r="J3269" s="23" t="str">
        <x:v>SPOT</x:v>
      </x:c>
      <x:c r="K3269" s="23" t="str">
        <x:v>favored_only</x:v>
      </x:c>
      <x:c r="L3269" s="24" t="b">
        <x:v>1</x:v>
      </x:c>
      <x:c r="M3269" s="23" t="n">
        <x:v>1</x:v>
      </x:c>
      <x:c r="N3269" s="28" t="n">
        <x:v>46219.812988715275</x:v>
      </x:c>
      <x:c r="O3269" s="28" t="n">
        <x:v>46219.812988715275</x:v>
      </x:c>
      <x:c r="P3269" s="23" t="str">
        <x:v>GUAXUPE</x:v>
      </x:c>
      <x:c r="Q3269" s="30" t="n">
        <x:v>33518</x:v>
      </x:c>
      <x:c r="R3269" s="22" t="str">
        <x:f>"17172602"</x:f>
        <x:v>17172602</x:v>
      </x:c>
      <x:c r="S3269" s="23" t="str">
        <x:v>masculino</x:v>
      </x:c>
      <x:c r="T3269" s="22" t="str">
        <x:f>"EYS9D46"</x:f>
        <x:v>EYS9D46</x:v>
      </x:c>
      <x:c r="U3269" s="23" t="str">
        <x:v>JOSE TAVARES DA SILVA NETO</x:v>
      </x:c>
      <x:c r="V3269" s="22" t="str">
        <x:f>"078.985.536-40"</x:f>
        <x:v>078.985.536-40</x:v>
      </x:c>
      <x:c r="W3269" s="22" t="str">
        <x:f>"07898553640"</x:f>
        <x:v>07898553640</x:v>
      </x:c>
      <x:c r="X3269" s="23" t="str">
        <x:v>netogpe@gmail.com</x:v>
      </x:c>
      <x:c r="Y3269" s="22" t="str">
        <x:f>"35999512771"</x:f>
        <x:v>35999512771</x:v>
      </x:c>
      <x:c r="Z3269" s="30" t="n">
        <x:v>46555</x:v>
      </x:c>
    </x:row>
    <x:row r="3270" ht="18" customHeight="1">
      <x:c r="A3270" s="22" t="str">
        <x:f>"77b012c3-8fc6-49f7-aecc-b131bb5f2201"</x:f>
        <x:v>77b012c3-8fc6-49f7-aecc-b131bb5f2201</x:v>
      </x:c>
      <x:c r="B3270" s="23" t="str">
        <x:v>Robson Mendes Tavares</x:v>
      </x:c>
      <x:c r="C3270" s="23" t="str">
        <x:v>robson mendes tavares</x:v>
      </x:c>
      <x:c r="D3270" s="22" t="str">
        <x:f>"24.087.175/0001-46"</x:f>
        <x:v>24.087.175/0001-46</x:v>
      </x:c>
      <x:c r="E3270" s="22" t="str">
        <x:f>"24087175000146"</x:f>
        <x:v>24087175000146</x:v>
      </x:c>
      <x:c r="F3270" s="22" t="str">
        <x:f>"014.877.226-99"</x:f>
        <x:v>014.877.226-99</x:v>
      </x:c>
      <x:c r="G3270" s="22" t="str">
        <x:f>"01487722699"</x:f>
        <x:v>01487722699</x:v>
      </x:c>
      <x:c r="H3270" s="23" t="str">
        <x:v>robsontavares2676@gmail.com</x:v>
      </x:c>
      <x:c r="I3270" s="22" t="str">
        <x:f>"(31)997959621"</x:f>
        <x:v>(31)997959621</x:v>
      </x:c>
      <x:c r="J3270" s="23" t="str">
        <x:v>SPOT</x:v>
      </x:c>
      <x:c r="K3270" s="23" t="str">
        <x:v>favored_only</x:v>
      </x:c>
      <x:c r="L3270" s="24" t="b">
        <x:v>1</x:v>
      </x:c>
      <x:c r="M3270" s="23" t="n">
        <x:v>1</x:v>
      </x:c>
      <x:c r="N3270" s="28" t="n">
        <x:v>46203.921840393516</x:v>
      </x:c>
      <x:c r="O3270" s="28" t="n">
        <x:v>46205.604846180555</x:v>
      </x:c>
      <x:c r="P3270" s="23" t="str">
        <x:v>CONTAGEM</x:v>
      </x:c>
      <x:c r="Q3270" s="30" t="n">
        <x:v>29490</x:v>
      </x:c>
      <x:c r="R3270" s="22" t="str">
        <x:f>"11496868"</x:f>
        <x:v>11496868</x:v>
      </x:c>
      <x:c r="S3270" s="23" t="str">
        <x:v>Masculino</x:v>
      </x:c>
      <x:c r="T3270" s="22" t="str">
        <x:f>"QUP8D87"</x:f>
        <x:v>QUP8D87</x:v>
      </x:c>
      <x:c r="U3270" s="23" t="str">
        <x:v>Robson Mendes Tavares</x:v>
      </x:c>
      <x:c r="V3270" s="22" t="str">
        <x:f>"01487722699"</x:f>
        <x:v>01487722699</x:v>
      </x:c>
      <x:c r="W3270" s="22" t="str">
        <x:f>"01487722699"</x:f>
        <x:v>01487722699</x:v>
      </x:c>
      <x:c r="X3270" s="23" t="str">
        <x:v>robsontavares2676@gmail.com</x:v>
      </x:c>
      <x:c r="Y3270" s="22" t="str">
        <x:f>"(31)997959621"</x:f>
        <x:v>(31)997959621</x:v>
      </x:c>
      <x:c r="Z3270" s="30" t="n">
        <x:v>46214</x:v>
      </x:c>
    </x:row>
    <x:row r="3271" ht="18" customHeight="1">
      <x:c r="A3271" s="22" t="str">
        <x:f>"6f44db74-d7a4-4157-a50b-cf1563e77a00"</x:f>
        <x:v>6f44db74-d7a4-4157-a50b-cf1563e77a00</x:v>
      </x:c>
      <x:c r="B3271" s="23" t="str">
        <x:v>ROBSON MOREIRA DOS ANJOS</x:v>
      </x:c>
      <x:c r="C3271" s="23" t="str">
        <x:v>robson moreira dos anjos</x:v>
      </x:c>
      <x:c r="D3271" s="22" t="str">
        <x:f>"37.823.997/0001-90"</x:f>
        <x:v>37.823.997/0001-90</x:v>
      </x:c>
      <x:c r="E3271" s="22" t="str">
        <x:f>"37823997000190"</x:f>
        <x:v>37823997000190</x:v>
      </x:c>
      <x:c r="F3271" s="22" t="str">
        <x:f>"688.201.271-72"</x:f>
        <x:v>688.201.271-72</x:v>
      </x:c>
      <x:c r="G3271" s="22" t="str">
        <x:f>"68820127172"</x:f>
        <x:v>68820127172</x:v>
      </x:c>
      <x:c r="H3271" s="23" t="str">
        <x:v>robson3anjos@hotmail.com</x:v>
      </x:c>
      <x:c r="I3271" s="22" t="str">
        <x:f>"65 8444-4946"</x:f>
        <x:v>65 8444-4946</x:v>
      </x:c>
      <x:c r="J3271" s="23" t="str">
        <x:v>SPOT</x:v>
      </x:c>
      <x:c r="K3271" s="23" t="str">
        <x:v>favored_only</x:v>
      </x:c>
      <x:c r="L3271" s="24" t="b">
        <x:v>1</x:v>
      </x:c>
      <x:c r="M3271" s="23" t="n">
        <x:v>1</x:v>
      </x:c>
      <x:c r="N3271" s="28" t="n">
        <x:v>46205.60447590278</x:v>
      </x:c>
      <x:c r="O3271" s="28" t="n">
        <x:v>46219.812988715275</x:v>
      </x:c>
      <x:c r="P3271" s="23" t="str">
        <x:v>PONTES E LACERDA</x:v>
      </x:c>
      <x:c r="Q3271" s="30" t="n">
        <x:v>28703</x:v>
      </x:c>
      <x:c r="R3271" s="22" t="str">
        <x:f>"53138 MT"</x:f>
        <x:v>53138 MT</x:v>
      </x:c>
      <x:c r="S3271" s="23" t="str">
        <x:v>masculino</x:v>
      </x:c>
      <x:c r="T3271" s="22" t="str">
        <x:f>"NTY7C67"</x:f>
        <x:v>NTY7C67</x:v>
      </x:c>
      <x:c r="U3271" s="23" t="str">
        <x:v>DANILLO BACIEL ALMEIDA</x:v>
      </x:c>
      <x:c r="V3271" s="22" t="str">
        <x:f>"038.768.901-01"</x:f>
        <x:v>038.768.901-01</x:v>
      </x:c>
      <x:c r="W3271" s="22" t="str">
        <x:f>"03876890101"</x:f>
        <x:v>03876890101</x:v>
      </x:c>
      <x:c r="X3271" s="23" t="str">
        <x:v>rtp.cargas@gmail.com</x:v>
      </x:c>
      <x:c r="Y3271" s="22" t="str">
        <x:f>"62 99127-7279"</x:f>
        <x:v>62 99127-7279</x:v>
      </x:c>
      <x:c r="Z3271" s="30" t="n">
        <x:v>46522</x:v>
      </x:c>
    </x:row>
    <x:row r="3272" ht="18" customHeight="1">
      <x:c r="A3272" s="22" t="str">
        <x:f>"1c312e09-d3a5-40c5-a285-1b0af9b271d6"</x:f>
        <x:v>1c312e09-d3a5-40c5-a285-1b0af9b271d6</x:v>
      </x:c>
      <x:c r="B3272" s="23" t="str">
        <x:v>ROBSON SANTOS DOMINGOS</x:v>
      </x:c>
      <x:c r="C3272" s="23" t="str">
        <x:v>robson santos domingos</x:v>
      </x:c>
      <x:c r="D3272" s="22" t="str">
        <x:f>"40.906.052/0001-46"</x:f>
        <x:v>40.906.052/0001-46</x:v>
      </x:c>
      <x:c r="E3272" s="22" t="str">
        <x:f>"40906052000146"</x:f>
        <x:v>40906052000146</x:v>
      </x:c>
      <x:c r="F3272" s="22" t="str">
        <x:f>"223.316.858-51"</x:f>
        <x:v>223.316.858-51</x:v>
      </x:c>
      <x:c r="G3272" s="22" t="str">
        <x:f>"22331685851"</x:f>
        <x:v>22331685851</x:v>
      </x:c>
      <x:c r="H3272" s="23" t="str">
        <x:v>ignisrobson@gmail.com</x:v>
      </x:c>
      <x:c r="I3272" s="22" t="str">
        <x:f>"17 98122-8077"</x:f>
        <x:v>17 98122-8077</x:v>
      </x:c>
      <x:c r="J3272" s="23" t="str">
        <x:v>RENTAL</x:v>
      </x:c>
      <x:c r="K3272" s="23" t="str">
        <x:v>rental_company</x:v>
      </x:c>
      <x:c r="L3272" s="24" t="b">
        <x:v>1</x:v>
      </x:c>
      <x:c r="M3272" s="23" t="n">
        <x:v>1</x:v>
      </x:c>
      <x:c r="N3272" s="28" t="n">
        <x:v>46219.812988715275</x:v>
      </x:c>
      <x:c r="O3272" s="28" t="n">
        <x:v>46219.812988715275</x:v>
      </x:c>
      <x:c r="P3272" s="23" t="str">
        <x:v>SÃO JOSE DO RIO PRETO</x:v>
      </x:c>
      <x:c r="Q3272" s="30" t="n">
        <x:v>30687</x:v>
      </x:c>
      <x:c r="R3272" s="22" t="str">
        <x:f>"34194715"</x:f>
        <x:v>34194715</x:v>
      </x:c>
      <x:c r="S3272" s="23" t="str">
        <x:v>masculino</x:v>
      </x:c>
      <x:c r="T3272" s="22" t="str"/>
      <x:c r="U3272" s="23" t="str">
        <x:v>ROBSON SANTOS DOMINGOS</x:v>
      </x:c>
      <x:c r="V3272" s="22" t="str">
        <x:f>"223.316.858-51"</x:f>
        <x:v>223.316.858-51</x:v>
      </x:c>
      <x:c r="W3272" s="22" t="str">
        <x:f>"22331685851"</x:f>
        <x:v>22331685851</x:v>
      </x:c>
      <x:c r="X3272" s="23" t="str">
        <x:v>ignisrobson@gmail.com</x:v>
      </x:c>
      <x:c r="Y3272" s="22" t="str">
        <x:f>"17 98122-8077"</x:f>
        <x:v>17 98122-8077</x:v>
      </x:c>
      <x:c r="Z3272" s="30" t="n">
        <x:v>46571</x:v>
      </x:c>
    </x:row>
    <x:row r="3273" ht="18" customHeight="1">
      <x:c r="A3273" s="22" t="str">
        <x:f>"c63e2a60-e6a4-4218-a156-d743e1d77d3c"</x:f>
        <x:v>c63e2a60-e6a4-4218-a156-d743e1d77d3c</x:v>
      </x:c>
      <x:c r="B3273" s="23" t="str">
        <x:v>RODGERS WILD D ANTONIO COSTA</x:v>
      </x:c>
      <x:c r="C3273" s="23" t="str">
        <x:v>rodgers wild d antonio costa</x:v>
      </x:c>
      <x:c r="D3273" s="22" t="str">
        <x:f>"41.200.883/0001-60"</x:f>
        <x:v>41.200.883/0001-60</x:v>
      </x:c>
      <x:c r="E3273" s="22" t="str">
        <x:f>"41200883000160"</x:f>
        <x:v>41200883000160</x:v>
      </x:c>
      <x:c r="F3273" s="22" t="str">
        <x:f>"100.619.536-01"</x:f>
        <x:v>100.619.536-01</x:v>
      </x:c>
      <x:c r="G3273" s="22" t="str">
        <x:f>"10061953601"</x:f>
        <x:v>10061953601</x:v>
      </x:c>
      <x:c r="H3273" s="23" t="str">
        <x:v>Rodgerscosta.engenhariacivil@gmail.com</x:v>
      </x:c>
      <x:c r="I3273" s="22" t="str">
        <x:f>"35 99940-3357"</x:f>
        <x:v>35 99940-3357</x:v>
      </x:c>
      <x:c r="J3273" s="23" t="str">
        <x:v>RENTAL</x:v>
      </x:c>
      <x:c r="K3273" s="23" t="str">
        <x:v>rental_company</x:v>
      </x:c>
      <x:c r="L3273" s="24" t="b">
        <x:v>1</x:v>
      </x:c>
      <x:c r="M3273" s="23" t="n">
        <x:v>1</x:v>
      </x:c>
      <x:c r="N3273" s="28" t="n">
        <x:v>46219.812988715275</x:v>
      </x:c>
      <x:c r="O3273" s="28" t="n">
        <x:v>46219.812988715275</x:v>
      </x:c>
      <x:c r="P3273" s="23" t="str">
        <x:v>POCOS DE CALDAS</x:v>
      </x:c>
      <x:c r="Q3273" s="30" t="n">
        <x:v>32100</x:v>
      </x:c>
      <x:c r="R3273" s="22" t="str">
        <x:f>"17164176"</x:f>
        <x:v>17164176</x:v>
      </x:c>
      <x:c r="S3273" s="23" t="str">
        <x:v>masculino</x:v>
      </x:c>
      <x:c r="T3273" s="22" t="str"/>
      <x:c r="U3273" s="23" t="str">
        <x:v>RODGERS WILD D ANTONIO COSTA</x:v>
      </x:c>
      <x:c r="V3273" s="22" t="str">
        <x:f>"100.619.536-01"</x:f>
        <x:v>100.619.536-01</x:v>
      </x:c>
      <x:c r="W3273" s="22" t="str">
        <x:f>"10061953601"</x:f>
        <x:v>10061953601</x:v>
      </x:c>
      <x:c r="X3273" s="23" t="str">
        <x:v>Rodgerscosta.engenhariacivil@gmail.com</x:v>
      </x:c>
      <x:c r="Y3273" s="22" t="str">
        <x:f>"35 99940-3357"</x:f>
        <x:v>35 99940-3357</x:v>
      </x:c>
      <x:c r="Z3273" s="30" t="n">
        <x:v>46564</x:v>
      </x:c>
    </x:row>
    <x:row r="3274" ht="18" customHeight="1">
      <x:c r="A3274" s="22" t="str">
        <x:f>"378184df-394d-43e0-9a7f-d8f15dbbce1f"</x:f>
        <x:v>378184df-394d-43e0-9a7f-d8f15dbbce1f</x:v>
      </x:c>
      <x:c r="B3274" s="23" t="str">
        <x:v>RODIRLEI CARDOSO DA SILVA</x:v>
      </x:c>
      <x:c r="C3274" s="23" t="str">
        <x:v>rodirlei cardoso da silva</x:v>
      </x:c>
      <x:c r="D3274" s="22" t="str">
        <x:f>"66.819.930/0001-80"</x:f>
        <x:v>66.819.930/0001-80</x:v>
      </x:c>
      <x:c r="E3274" s="22" t="str">
        <x:f>"66819930000180"</x:f>
        <x:v>66819930000180</x:v>
      </x:c>
      <x:c r="F3274" s="22" t="str">
        <x:f>"219.524.688-09"</x:f>
        <x:v>219.524.688-09</x:v>
      </x:c>
      <x:c r="G3274" s="22" t="str">
        <x:f>"21952468809"</x:f>
        <x:v>21952468809</x:v>
      </x:c>
      <x:c r="H3274" s="23" t="str">
        <x:v>rodirleicardoso@gmail.com</x:v>
      </x:c>
      <x:c r="I3274" s="22" t="str">
        <x:f>"11 97112-5673"</x:f>
        <x:v>11 97112-5673</x:v>
      </x:c>
      <x:c r="J3274" s="23" t="str">
        <x:v>SPOT</x:v>
      </x:c>
      <x:c r="K3274" s="23" t="str">
        <x:v>favored_only</x:v>
      </x:c>
      <x:c r="L3274" s="24" t="b">
        <x:v>1</x:v>
      </x:c>
      <x:c r="M3274" s="23" t="n">
        <x:v>1</x:v>
      </x:c>
      <x:c r="N3274" s="28" t="n">
        <x:v>46219.812988715275</x:v>
      </x:c>
      <x:c r="O3274" s="28" t="n">
        <x:v>46219.812988715275</x:v>
      </x:c>
      <x:c r="P3274" s="23" t="str">
        <x:v>SÃO JOSE DO RIO PRETO</x:v>
      </x:c>
      <x:c r="Q3274" s="30" t="n">
        <x:v>29606</x:v>
      </x:c>
      <x:c r="R3274" s="22" t="str">
        <x:f>"30746812"</x:f>
        <x:v>30746812</x:v>
      </x:c>
      <x:c r="S3274" s="23" t="str">
        <x:v>feminino</x:v>
      </x:c>
      <x:c r="T3274" s="22" t="str">
        <x:f>"DZZ9I27"</x:f>
        <x:v>DZZ9I27</x:v>
      </x:c>
      <x:c r="U3274" s="23" t="str">
        <x:v>RODIRLEI CARDOSO DA SILVA</x:v>
      </x:c>
      <x:c r="V3274" s="22" t="str">
        <x:f>"219.524.688-09"</x:f>
        <x:v>219.524.688-09</x:v>
      </x:c>
      <x:c r="W3274" s="22" t="str">
        <x:f>"21952468809"</x:f>
        <x:v>21952468809</x:v>
      </x:c>
      <x:c r="X3274" s="23" t="str">
        <x:v>rodirleicardoso@gmail.com</x:v>
      </x:c>
      <x:c r="Y3274" s="22" t="str">
        <x:f>"11 97112-5673"</x:f>
        <x:v>11 97112-5673</x:v>
      </x:c>
      <x:c r="Z3274" s="30" t="n">
        <x:v>46533</x:v>
      </x:c>
    </x:row>
    <x:row r="3275" ht="18" customHeight="1">
      <x:c r="A3275" s="22" t="str">
        <x:f>"ea98f08d-da5f-4bb3-b56b-5ca9e77dade6"</x:f>
        <x:v>ea98f08d-da5f-4bb3-b56b-5ca9e77dade6</x:v>
      </x:c>
      <x:c r="B3275" s="23" t="str">
        <x:v>RODOLFO DA MATA TOLINTO</x:v>
      </x:c>
      <x:c r="C3275" s="23" t="str">
        <x:v>rodolfo da mata tolinto</x:v>
      </x:c>
      <x:c r="D3275" s="22" t="str">
        <x:f>"54.936.872/0001-95"</x:f>
        <x:v>54.936.872/0001-95</x:v>
      </x:c>
      <x:c r="E3275" s="22" t="str">
        <x:f>"54936872000195"</x:f>
        <x:v>54936872000195</x:v>
      </x:c>
      <x:c r="F3275" s="22" t="str">
        <x:f>"137.463.317-81"</x:f>
        <x:v>137.463.317-81</x:v>
      </x:c>
      <x:c r="G3275" s="22" t="str">
        <x:f>"13746331781"</x:f>
        <x:v>13746331781</x:v>
      </x:c>
      <x:c r="H3275" s="23" t="str">
        <x:v>tolintomata@gmail.com</x:v>
      </x:c>
      <x:c r="I3275" s="22" t="str">
        <x:f>"22998318613"</x:f>
        <x:v>22998318613</x:v>
      </x:c>
      <x:c r="J3275" s="23" t="str">
        <x:v>SPOT</x:v>
      </x:c>
      <x:c r="K3275" s="23" t="str">
        <x:v>favored_only</x:v>
      </x:c>
      <x:c r="L3275" s="24" t="b">
        <x:v>1</x:v>
      </x:c>
      <x:c r="M3275" s="23" t="n">
        <x:v>1</x:v>
      </x:c>
      <x:c r="N3275" s="28" t="n">
        <x:v>46203.92186462963</x:v>
      </x:c>
      <x:c r="O3275" s="28" t="n">
        <x:v>46220.504008159725</x:v>
      </x:c>
      <x:c r="P3275" s="23" t="str">
        <x:v>CAMPOS DOS GOYTACAZES</x:v>
      </x:c>
      <x:c r="Q3275" s="30" t="str"/>
      <x:c r="R3275" s="22" t="str"/>
      <x:c r="S3275" s="23" t="str"/>
      <x:c r="T3275" s="22" t="str"/>
      <x:c r="U3275" s="23" t="str">
        <x:v>RODOLFO DA MATA TOLINTO</x:v>
      </x:c>
      <x:c r="V3275" s="22" t="str">
        <x:f>"137.463.317-81"</x:f>
        <x:v>137.463.317-81</x:v>
      </x:c>
      <x:c r="W3275" s="22" t="str">
        <x:f>"13746331781"</x:f>
        <x:v>13746331781</x:v>
      </x:c>
      <x:c r="X3275" s="23" t="str">
        <x:v>tolintomata@gmail.com</x:v>
      </x:c>
      <x:c r="Y3275" s="22" t="str">
        <x:f>"22998318613"</x:f>
        <x:v>22998318613</x:v>
      </x:c>
      <x:c r="Z3275" s="30" t="str"/>
    </x:row>
    <x:row r="3276" ht="18" customHeight="1">
      <x:c r="A3276" s="22" t="str">
        <x:f>"f52d3914-8f36-4f09-9c2c-b9d73f6a62f0"</x:f>
        <x:v>f52d3914-8f36-4f09-9c2c-b9d73f6a62f0</x:v>
      </x:c>
      <x:c r="B3276" s="23" t="str">
        <x:v>RODOLFO RODRIGO ROCHA</x:v>
      </x:c>
      <x:c r="C3276" s="23" t="str">
        <x:v>rodolfo rodrigo rocha</x:v>
      </x:c>
      <x:c r="D3276" s="22" t="str">
        <x:f>"42.758.959/0001-30"</x:f>
        <x:v>42.758.959/0001-30</x:v>
      </x:c>
      <x:c r="E3276" s="22" t="str">
        <x:f>"42758959000130"</x:f>
        <x:v>42758959000130</x:v>
      </x:c>
      <x:c r="F3276" s="22" t="str">
        <x:f>"351.902.098-06"</x:f>
        <x:v>351.902.098-06</x:v>
      </x:c>
      <x:c r="G3276" s="22" t="str">
        <x:f>"35190209806"</x:f>
        <x:v>35190209806</x:v>
      </x:c>
      <x:c r="H3276" s="23" t="str">
        <x:v>rodolforodrigoryan@gmail.com</x:v>
      </x:c>
      <x:c r="I3276" s="22" t="str">
        <x:f>"14998479740"</x:f>
        <x:v>14998479740</x:v>
      </x:c>
      <x:c r="J3276" s="23" t="str">
        <x:v>RENTAL</x:v>
      </x:c>
      <x:c r="K3276" s="23" t="str">
        <x:v>rental_company</x:v>
      </x:c>
      <x:c r="L3276" s="24" t="b">
        <x:v>1</x:v>
      </x:c>
      <x:c r="M3276" s="23" t="n">
        <x:v>1</x:v>
      </x:c>
      <x:c r="N3276" s="28" t="n">
        <x:v>46203.92183017361</x:v>
      </x:c>
      <x:c r="O3276" s="28" t="n">
        <x:v>46219.812988715275</x:v>
      </x:c>
      <x:c r="P3276" s="23" t="str">
        <x:v>MARILIA</x:v>
      </x:c>
      <x:c r="Q3276" s="30" t="n">
        <x:v>30848</x:v>
      </x:c>
      <x:c r="R3276" s="22" t="str">
        <x:f>"43440268"</x:f>
        <x:v>43440268</x:v>
      </x:c>
      <x:c r="S3276" s="23" t="str">
        <x:v>masculino</x:v>
      </x:c>
      <x:c r="T3276" s="22" t="str"/>
      <x:c r="U3276" s="23" t="str">
        <x:v>RODOLFO RODRIGO ROCHA</x:v>
      </x:c>
      <x:c r="V3276" s="22" t="str">
        <x:f>"351.902.098-06"</x:f>
        <x:v>351.902.098-06</x:v>
      </x:c>
      <x:c r="W3276" s="22" t="str">
        <x:f>"35190209806"</x:f>
        <x:v>35190209806</x:v>
      </x:c>
      <x:c r="X3276" s="23" t="str">
        <x:v>rodolforodrigoryan@gmail.com</x:v>
      </x:c>
      <x:c r="Y3276" s="22" t="str">
        <x:f>"14998479740"</x:f>
        <x:v>14998479740</x:v>
      </x:c>
      <x:c r="Z3276" s="30" t="n">
        <x:v>46269</x:v>
      </x:c>
    </x:row>
    <x:row r="3277" ht="18" customHeight="1">
      <x:c r="A3277" s="22" t="str">
        <x:f>"1cb528da-7fce-4993-b5dc-a512e0b09ff0"</x:f>
        <x:v>1cb528da-7fce-4993-b5dc-a512e0b09ff0</x:v>
      </x:c>
      <x:c r="B3277" s="23" t="str">
        <x:v>RODOLFO XAVIER ORTWEIN</x:v>
      </x:c>
      <x:c r="C3277" s="23" t="str">
        <x:v>rodolfo xavier ortwein</x:v>
      </x:c>
      <x:c r="D3277" s="22" t="str">
        <x:f>"00.010.979/8427-35"</x:f>
        <x:v>00.010.979/8427-35</x:v>
      </x:c>
      <x:c r="E3277" s="22" t="str">
        <x:f>"00010979842735"</x:f>
        <x:v>00010979842735</x:v>
      </x:c>
      <x:c r="F3277" s="22" t="str">
        <x:f>"109.798.427-35"</x:f>
        <x:v>109.798.427-35</x:v>
      </x:c>
      <x:c r="G3277" s="22" t="str">
        <x:f>"10979842735"</x:f>
        <x:v>10979842735</x:v>
      </x:c>
      <x:c r="H3277" s="23" t="str">
        <x:v>Rodolfo.ortwein123@gmail.com</x:v>
      </x:c>
      <x:c r="I3277" s="22" t="str">
        <x:f>"21 999236464"</x:f>
        <x:v>21 999236464</x:v>
      </x:c>
      <x:c r="J3277" s="23" t="str">
        <x:v>SPOT</x:v>
      </x:c>
      <x:c r="K3277" s="23" t="str">
        <x:v>favored_only</x:v>
      </x:c>
      <x:c r="L3277" s="24" t="b">
        <x:v>1</x:v>
      </x:c>
      <x:c r="M3277" s="23" t="n">
        <x:v>1</x:v>
      </x:c>
      <x:c r="N3277" s="28" t="n">
        <x:v>46219.812988715275</x:v>
      </x:c>
      <x:c r="O3277" s="28" t="n">
        <x:v>46219.812988715275</x:v>
      </x:c>
      <x:c r="P3277" s="23" t="str">
        <x:v>CORDOVIL</x:v>
      </x:c>
      <x:c r="Q3277" s="30" t="n">
        <x:v>35680</x:v>
      </x:c>
      <x:c r="R3277" s="22" t="str">
        <x:f>"66980421"</x:f>
        <x:v>66980421</x:v>
      </x:c>
      <x:c r="S3277" s="23" t="str">
        <x:v>masculino</x:v>
      </x:c>
      <x:c r="T3277" s="22" t="str">
        <x:f>"Suh8g94"</x:f>
        <x:v>Suh8g94</x:v>
      </x:c>
      <x:c r="U3277" s="23" t="str">
        <x:v>RODOLFO XAVIER ORTWEIN</x:v>
      </x:c>
      <x:c r="V3277" s="22" t="str">
        <x:f>"109.798.427-35"</x:f>
        <x:v>109.798.427-35</x:v>
      </x:c>
      <x:c r="W3277" s="22" t="str">
        <x:f>"10979842735"</x:f>
        <x:v>10979842735</x:v>
      </x:c>
      <x:c r="X3277" s="23" t="str">
        <x:v>Rodolfo.ortwein123@gmail.com</x:v>
      </x:c>
      <x:c r="Y3277" s="22" t="str">
        <x:f>"21 999236464"</x:f>
        <x:v>21 999236464</x:v>
      </x:c>
      <x:c r="Z3277" s="30" t="n">
        <x:v>46539</x:v>
      </x:c>
    </x:row>
    <x:row r="3278" ht="18" customHeight="1">
      <x:c r="A3278" s="22" t="str">
        <x:f>"6d5fe2a1-1867-405d-acf0-364d1fac07d5"</x:f>
        <x:v>6d5fe2a1-1867-405d-acf0-364d1fac07d5</x:v>
      </x:c>
      <x:c r="B3278" s="23" t="str">
        <x:v>RODOLFO XAVIER ORTWEIN</x:v>
      </x:c>
      <x:c r="C3278" s="23" t="str">
        <x:v>rodolfo xavier ortwein</x:v>
      </x:c>
      <x:c r="D3278" s="22" t="str">
        <x:f>"66.980.421/0001-34"</x:f>
        <x:v>66.980.421/0001-34</x:v>
      </x:c>
      <x:c r="E3278" s="22" t="str">
        <x:f>"66980421000134"</x:f>
        <x:v>66980421000134</x:v>
      </x:c>
      <x:c r="F3278" s="22" t="str">
        <x:f>"109.798.427-35"</x:f>
        <x:v>109.798.427-35</x:v>
      </x:c>
      <x:c r="G3278" s="22" t="str">
        <x:f>"10979842735"</x:f>
        <x:v>10979842735</x:v>
      </x:c>
      <x:c r="H3278" s="23" t="str">
        <x:v>Rodolfo.ortwein123@gmail.com</x:v>
      </x:c>
      <x:c r="I3278" s="22" t="str">
        <x:f>"21 999236464"</x:f>
        <x:v>21 999236464</x:v>
      </x:c>
      <x:c r="J3278" s="23" t="str">
        <x:v>SPOT</x:v>
      </x:c>
      <x:c r="K3278" s="23" t="str">
        <x:v>favored_only</x:v>
      </x:c>
      <x:c r="L3278" s="24" t="b">
        <x:v>1</x:v>
      </x:c>
      <x:c r="M3278" s="23" t="n">
        <x:v>1</x:v>
      </x:c>
      <x:c r="N3278" s="28" t="n">
        <x:v>46219.812988715275</x:v>
      </x:c>
      <x:c r="O3278" s="28" t="n">
        <x:v>46219.812988715275</x:v>
      </x:c>
      <x:c r="P3278" s="23" t="str">
        <x:v>CORDOVIL</x:v>
      </x:c>
      <x:c r="Q3278" s="30" t="n">
        <x:v>35680</x:v>
      </x:c>
      <x:c r="R3278" s="22" t="str">
        <x:f>"264805037"</x:f>
        <x:v>264805037</x:v>
      </x:c>
      <x:c r="S3278" s="23" t="str">
        <x:v>masculino</x:v>
      </x:c>
      <x:c r="T3278" s="22" t="str">
        <x:f>"Suh8g94"</x:f>
        <x:v>Suh8g94</x:v>
      </x:c>
      <x:c r="U3278" s="23" t="str">
        <x:v>RODOLFO XAVIER ORTWEIN</x:v>
      </x:c>
      <x:c r="V3278" s="22" t="str">
        <x:f>"109.798.427-35"</x:f>
        <x:v>109.798.427-35</x:v>
      </x:c>
      <x:c r="W3278" s="22" t="str">
        <x:f>"10979842735"</x:f>
        <x:v>10979842735</x:v>
      </x:c>
      <x:c r="X3278" s="23" t="str">
        <x:v>Rodolfo.ortwein123@gmail.com</x:v>
      </x:c>
      <x:c r="Y3278" s="22" t="str">
        <x:f>"21 999236464"</x:f>
        <x:v>21 999236464</x:v>
      </x:c>
      <x:c r="Z3278" s="30" t="n">
        <x:v>46542</x:v>
      </x:c>
    </x:row>
    <x:row r="3279" ht="18" customHeight="1">
      <x:c r="A3279" s="22" t="str">
        <x:f>"bcc92e4c-f56e-4e6b-8296-23f9f890ce0b"</x:f>
        <x:v>bcc92e4c-f56e-4e6b-8296-23f9f890ce0b</x:v>
      </x:c>
      <x:c r="B3279" s="23" t="str">
        <x:v>RODOLPHO ALBINO GARCIA</x:v>
      </x:c>
      <x:c r="C3279" s="23" t="str">
        <x:v>rodolpho albino garcia</x:v>
      </x:c>
      <x:c r="D3279" s="22" t="str">
        <x:f>"60.783.851/0001-80"</x:f>
        <x:v>60.783.851/0001-80</x:v>
      </x:c>
      <x:c r="E3279" s="22" t="str">
        <x:f>"60783851000180"</x:f>
        <x:v>60783851000180</x:v>
      </x:c>
      <x:c r="F3279" s="22" t="str">
        <x:f>"312.804.678-60"</x:f>
        <x:v>312.804.678-60</x:v>
      </x:c>
      <x:c r="G3279" s="22" t="str">
        <x:f>"31280467860"</x:f>
        <x:v>31280467860</x:v>
      </x:c>
      <x:c r="H3279" s="23" t="str">
        <x:v>r.garcia.a@outlook.com</x:v>
      </x:c>
      <x:c r="I3279" s="22" t="str">
        <x:f>"18 99125-0110"</x:f>
        <x:v>18 99125-0110</x:v>
      </x:c>
      <x:c r="J3279" s="23" t="str">
        <x:v>SPOT</x:v>
      </x:c>
      <x:c r="K3279" s="23" t="str">
        <x:v>favored_only</x:v>
      </x:c>
      <x:c r="L3279" s="24" t="b">
        <x:v>1</x:v>
      </x:c>
      <x:c r="M3279" s="23" t="n">
        <x:v>1</x:v>
      </x:c>
      <x:c r="N3279" s="28" t="n">
        <x:v>46203.92183332176</x:v>
      </x:c>
      <x:c r="O3279" s="28" t="n">
        <x:v>46219.812988715275</x:v>
      </x:c>
      <x:c r="P3279" s="23" t="str">
        <x:v>PRESIDENTE PRUDENTE</x:v>
      </x:c>
      <x:c r="Q3279" s="30" t="n">
        <x:v>31173</x:v>
      </x:c>
      <x:c r="R3279" s="22" t="str">
        <x:f>"40473199"</x:f>
        <x:v>40473199</x:v>
      </x:c>
      <x:c r="S3279" s="23" t="str">
        <x:v>masculino</x:v>
      </x:c>
      <x:c r="T3279" s="22" t="str">
        <x:f>"owy4669"</x:f>
        <x:v>owy4669</x:v>
      </x:c>
      <x:c r="U3279" s="23" t="str">
        <x:v>RODOLPHO ALBINO GARCIA</x:v>
      </x:c>
      <x:c r="V3279" s="22" t="str">
        <x:f>"312.804.678-60"</x:f>
        <x:v>312.804.678-60</x:v>
      </x:c>
      <x:c r="W3279" s="22" t="str">
        <x:f>"31280467860"</x:f>
        <x:v>31280467860</x:v>
      </x:c>
      <x:c r="X3279" s="23" t="str">
        <x:v>r.garcia.a@outlook.com</x:v>
      </x:c>
      <x:c r="Y3279" s="22" t="str">
        <x:f>"18 99125-0110"</x:f>
        <x:v>18 99125-0110</x:v>
      </x:c>
      <x:c r="Z3279" s="30" t="n">
        <x:v>46344</x:v>
      </x:c>
    </x:row>
    <x:row r="3280" ht="18" customHeight="1">
      <x:c r="A3280" s="22" t="str">
        <x:f>"09879eb0-480c-4d5e-998e-f4e08bd84c5b"</x:f>
        <x:v>09879eb0-480c-4d5e-998e-f4e08bd84c5b</x:v>
      </x:c>
      <x:c r="B3280" s="23" t="str">
        <x:v>RODRIGO ADNAR SANTANA</x:v>
      </x:c>
      <x:c r="C3280" s="23" t="str">
        <x:v>rodrigo adnar santana</x:v>
      </x:c>
      <x:c r="D3280" s="22" t="str">
        <x:f>"62.142.296/0001-32"</x:f>
        <x:v>62.142.296/0001-32</x:v>
      </x:c>
      <x:c r="E3280" s="22" t="str">
        <x:f>"62142296000132"</x:f>
        <x:v>62142296000132</x:v>
      </x:c>
      <x:c r="F3280" s="22" t="str">
        <x:f>"065.016.906-92"</x:f>
        <x:v>065.016.906-92</x:v>
      </x:c>
      <x:c r="G3280" s="22" t="str">
        <x:f>"06501690692"</x:f>
        <x:v>06501690692</x:v>
      </x:c>
      <x:c r="H3280" s="23" t="str">
        <x:v>rodrigosantanaadnarsantana@gmail.com</x:v>
      </x:c>
      <x:c r="I3280" s="22" t="str">
        <x:f>"985812697"</x:f>
        <x:v>985812697</x:v>
      </x:c>
      <x:c r="J3280" s="23" t="str">
        <x:v>RENTAL</x:v>
      </x:c>
      <x:c r="K3280" s="23" t="str">
        <x:v>rental_company</x:v>
      </x:c>
      <x:c r="L3280" s="24" t="b">
        <x:v>1</x:v>
      </x:c>
      <x:c r="M3280" s="23" t="n">
        <x:v>1</x:v>
      </x:c>
      <x:c r="N3280" s="28" t="n">
        <x:v>46203.921852962965</x:v>
      </x:c>
      <x:c r="O3280" s="28" t="n">
        <x:v>46219.812988715275</x:v>
      </x:c>
      <x:c r="P3280" s="23" t="str">
        <x:v>VESPASIANO</x:v>
      </x:c>
      <x:c r="Q3280" s="30" t="n">
        <x:v>30519</x:v>
      </x:c>
      <x:c r="R3280" s="22" t="str">
        <x:f>"MG12944561"</x:f>
        <x:v>MG12944561</x:v>
      </x:c>
      <x:c r="S3280" s="23" t="str">
        <x:v>masculino</x:v>
      </x:c>
      <x:c r="T3280" s="22" t="str"/>
      <x:c r="U3280" s="23" t="str">
        <x:v>RODRIGO ADNAR SANTANA</x:v>
      </x:c>
      <x:c r="V3280" s="22" t="str">
        <x:f>"065.016.906-92"</x:f>
        <x:v>065.016.906-92</x:v>
      </x:c>
      <x:c r="W3280" s="22" t="str">
        <x:f>"06501690692"</x:f>
        <x:v>06501690692</x:v>
      </x:c>
      <x:c r="X3280" s="23" t="str">
        <x:v>rodrigosantanaadnarsantana@gmail.com</x:v>
      </x:c>
      <x:c r="Y3280" s="22" t="str">
        <x:f>"985812697"</x:f>
        <x:v>985812697</x:v>
      </x:c>
      <x:c r="Z3280" s="30" t="n">
        <x:v>46245</x:v>
      </x:c>
    </x:row>
    <x:row r="3281" ht="18" customHeight="1">
      <x:c r="A3281" s="22" t="str">
        <x:f>"01afc00a-8c9d-4cfc-891e-c7e30948ac4c"</x:f>
        <x:v>01afc00a-8c9d-4cfc-891e-c7e30948ac4c</x:v>
      </x:c>
      <x:c r="B3281" s="23" t="str">
        <x:v>RODRIGO ALMEIDA DOS ANJOS</x:v>
      </x:c>
      <x:c r="C3281" s="23" t="str">
        <x:v>rodrigo almeida dos anjos</x:v>
      </x:c>
      <x:c r="D3281" s="22" t="str">
        <x:f>"61.005.797/0001-04"</x:f>
        <x:v>61.005.797/0001-04</x:v>
      </x:c>
      <x:c r="E3281" s="22" t="str">
        <x:f>"61005797000104"</x:f>
        <x:v>61005797000104</x:v>
      </x:c>
      <x:c r="F3281" s="22" t="str">
        <x:f>"347.807.618-83"</x:f>
        <x:v>347.807.618-83</x:v>
      </x:c>
      <x:c r="G3281" s="22" t="str">
        <x:f>"34780761883"</x:f>
        <x:v>34780761883</x:v>
      </x:c>
      <x:c r="H3281" s="23" t="str">
        <x:v>JUUNIOR.ALMEIDA24@GMAIL.COM</x:v>
      </x:c>
      <x:c r="I3281" s="22" t="str">
        <x:f>"14991846846"</x:f>
        <x:v>14991846846</x:v>
      </x:c>
      <x:c r="J3281" s="23" t="str">
        <x:v>RENTAL</x:v>
      </x:c>
      <x:c r="K3281" s="23" t="str">
        <x:v>rental_company</x:v>
      </x:c>
      <x:c r="L3281" s="24" t="b">
        <x:v>1</x:v>
      </x:c>
      <x:c r="M3281" s="23" t="n">
        <x:v>1</x:v>
      </x:c>
      <x:c r="N3281" s="28" t="n">
        <x:v>46203.92184908565</x:v>
      </x:c>
      <x:c r="O3281" s="28" t="n">
        <x:v>46205.60514969908</x:v>
      </x:c>
      <x:c r="P3281" s="23" t="str">
        <x:v>MARILIA</x:v>
      </x:c>
      <x:c r="Q3281" s="30" t="n">
        <x:v>31684</x:v>
      </x:c>
      <x:c r="R3281" s="22" t="str">
        <x:f>"40767854"</x:f>
        <x:v>40767854</x:v>
      </x:c>
      <x:c r="S3281" s="23" t="str">
        <x:v>Feminino</x:v>
      </x:c>
      <x:c r="T3281" s="22" t="str"/>
      <x:c r="U3281" s="23" t="str">
        <x:v>RODRIGO ALMEIDA DOS ANJOS</x:v>
      </x:c>
      <x:c r="V3281" s="22" t="str">
        <x:f>"34780761883"</x:f>
        <x:v>34780761883</x:v>
      </x:c>
      <x:c r="W3281" s="22" t="str">
        <x:f>"34780761883"</x:f>
        <x:v>34780761883</x:v>
      </x:c>
      <x:c r="X3281" s="23" t="str">
        <x:v>JUUNIOR.ALMEIDA24@GMAIL.COM</x:v>
      </x:c>
      <x:c r="Y3281" s="22" t="str">
        <x:f>"14991846846"</x:f>
        <x:v>14991846846</x:v>
      </x:c>
      <x:c r="Z3281" s="30" t="n">
        <x:v>46228</x:v>
      </x:c>
    </x:row>
    <x:row r="3282" ht="18" customHeight="1">
      <x:c r="A3282" s="22" t="str">
        <x:f>"69d3adc9-9b6d-4ed2-9acc-d12d1fb3147b"</x:f>
        <x:v>69d3adc9-9b6d-4ed2-9acc-d12d1fb3147b</x:v>
      </x:c>
      <x:c r="B3282" s="23" t="str">
        <x:v>RODRIGO ALVES DA SILVA</x:v>
      </x:c>
      <x:c r="C3282" s="23" t="str">
        <x:v>rodrigo alves da silva</x:v>
      </x:c>
      <x:c r="D3282" s="22" t="str">
        <x:f>"37.823.997/0001-90"</x:f>
        <x:v>37.823.997/0001-90</x:v>
      </x:c>
      <x:c r="E3282" s="22" t="str">
        <x:f>"37823997000190"</x:f>
        <x:v>37823997000190</x:v>
      </x:c>
      <x:c r="F3282" s="22" t="str">
        <x:f>"894.560.411-15"</x:f>
        <x:v>894.560.411-15</x:v>
      </x:c>
      <x:c r="G3282" s="22" t="str">
        <x:f>"89456041115"</x:f>
        <x:v>89456041115</x:v>
      </x:c>
      <x:c r="H3282" s="23" t="str">
        <x:v>rodrigo123chap@gmail.com</x:v>
      </x:c>
      <x:c r="I3282" s="22" t="str">
        <x:f>"6296610607"</x:f>
        <x:v>6296610607</x:v>
      </x:c>
      <x:c r="J3282" s="23" t="str">
        <x:v>SPOT</x:v>
      </x:c>
      <x:c r="K3282" s="23" t="str">
        <x:v>favored_only</x:v>
      </x:c>
      <x:c r="L3282" s="24" t="b">
        <x:v>1</x:v>
      </x:c>
      <x:c r="M3282" s="23" t="n">
        <x:v>1</x:v>
      </x:c>
      <x:c r="N3282" s="28" t="n">
        <x:v>46205.60653557871</x:v>
      </x:c>
      <x:c r="O3282" s="28" t="n">
        <x:v>46219.812988715275</x:v>
      </x:c>
      <x:c r="P3282" s="23" t="str">
        <x:v>CHAPADÃO DO SUL</x:v>
      </x:c>
      <x:c r="Q3282" s="30" t="n">
        <x:v>29231</x:v>
      </x:c>
      <x:c r="R3282" s="22" t="str">
        <x:f>"1179242"</x:f>
        <x:v>1179242</x:v>
      </x:c>
      <x:c r="S3282" s="23" t="str">
        <x:v>masculino</x:v>
      </x:c>
      <x:c r="T3282" s="22" t="str">
        <x:f>"SMJ0I58"</x:f>
        <x:v>SMJ0I58</x:v>
      </x:c>
      <x:c r="U3282" s="23" t="str">
        <x:v>DANILLO BACCIEL</x:v>
      </x:c>
      <x:c r="V3282" s="22" t="str">
        <x:f>"962.005.291-91"</x:f>
        <x:v>962.005.291-91</x:v>
      </x:c>
      <x:c r="W3282" s="22" t="str">
        <x:f>"96200529191"</x:f>
        <x:v>96200529191</x:v>
      </x:c>
      <x:c r="X3282" s="23" t="str">
        <x:v>Rot.cargas@gmail.com</x:v>
      </x:c>
      <x:c r="Y3282" s="22" t="str">
        <x:f>"6296610607"</x:f>
        <x:v>6296610607</x:v>
      </x:c>
      <x:c r="Z3282" s="30" t="n">
        <x:v>46364</x:v>
      </x:c>
    </x:row>
    <x:row r="3283" ht="18" customHeight="1">
      <x:c r="A3283" s="22" t="str">
        <x:f>"f310eb09-8cf9-4b41-b30f-9e3a63637334"</x:f>
        <x:v>f310eb09-8cf9-4b41-b30f-9e3a63637334</x:v>
      </x:c>
      <x:c r="B3283" s="23" t="str">
        <x:v>RODRIGO ALVES DA SILVA</x:v>
      </x:c>
      <x:c r="C3283" s="23" t="str">
        <x:v>rodrigo alves da silva</x:v>
      </x:c>
      <x:c r="D3283" s="22" t="str">
        <x:f>"18.634.323/0001-00"</x:f>
        <x:v>18.634.323/0001-00</x:v>
      </x:c>
      <x:c r="E3283" s="22" t="str">
        <x:f>"18634323000100"</x:f>
        <x:v>18634323000100</x:v>
      </x:c>
      <x:c r="F3283" s="22" t="str">
        <x:f>"894.560.441-15"</x:f>
        <x:v>894.560.441-15</x:v>
      </x:c>
      <x:c r="G3283" s="22" t="str">
        <x:f>"89456044115"</x:f>
        <x:v>89456044115</x:v>
      </x:c>
      <x:c r="H3283" s="23" t="str">
        <x:v>rodrigo123chap@gmail.com</x:v>
      </x:c>
      <x:c r="I3283" s="22" t="str">
        <x:f>"67998425407"</x:f>
        <x:v>67998425407</x:v>
      </x:c>
      <x:c r="J3283" s="23" t="str">
        <x:v>SPOT</x:v>
      </x:c>
      <x:c r="K3283" s="23" t="str">
        <x:v>favored_only</x:v>
      </x:c>
      <x:c r="L3283" s="24" t="b">
        <x:v>1</x:v>
      </x:c>
      <x:c r="M3283" s="23" t="n">
        <x:v>1</x:v>
      </x:c>
      <x:c r="N3283" s="28" t="n">
        <x:v>46219.812988715275</x:v>
      </x:c>
      <x:c r="O3283" s="28" t="n">
        <x:v>46219.812988715275</x:v>
      </x:c>
      <x:c r="P3283" s="23" t="str">
        <x:v>CHAPADÃO DO SUL</x:v>
      </x:c>
      <x:c r="Q3283" s="30" t="n">
        <x:v>29231</x:v>
      </x:c>
      <x:c r="R3283" s="22" t="str">
        <x:f>"1179242"</x:f>
        <x:v>1179242</x:v>
      </x:c>
      <x:c r="S3283" s="23" t="str">
        <x:v>masculino</x:v>
      </x:c>
      <x:c r="T3283" s="22" t="str">
        <x:f>"SMJ0I58"</x:f>
        <x:v>SMJ0I58</x:v>
      </x:c>
      <x:c r="U3283" s="23" t="str">
        <x:v>MONTANARO TRANSPORTES LTDA</x:v>
      </x:c>
      <x:c r="V3283" s="22" t="str">
        <x:f>"782.689.901-04"</x:f>
        <x:v>782.689.901-04</x:v>
      </x:c>
      <x:c r="W3283" s="22" t="str">
        <x:f>"78268990104"</x:f>
        <x:v>78268990104</x:v>
      </x:c>
      <x:c r="X3283" s="23" t="str">
        <x:v>montanaro@hotmail.com.br</x:v>
      </x:c>
      <x:c r="Y3283" s="22" t="str">
        <x:f>"67 9975-2122"</x:f>
        <x:v>67 9975-2122</x:v>
      </x:c>
      <x:c r="Z3283" s="30" t="n">
        <x:v>46582</x:v>
      </x:c>
    </x:row>
    <x:row r="3284" ht="18" customHeight="1">
      <x:c r="A3284" s="22" t="str">
        <x:f>"5c5c9998-bd80-4a87-8c80-c624c29610db"</x:f>
        <x:v>5c5c9998-bd80-4a87-8c80-c624c29610db</x:v>
      </x:c>
      <x:c r="B3284" s="23" t="str">
        <x:v>RODRIGO ALVES DE SOUSA</x:v>
      </x:c>
      <x:c r="C3284" s="23" t="str">
        <x:v>rodrigo alves de sousa</x:v>
      </x:c>
      <x:c r="D3284" s="22" t="str">
        <x:f>"58.998.090/0001-31"</x:f>
        <x:v>58.998.090/0001-31</x:v>
      </x:c>
      <x:c r="E3284" s="22" t="str">
        <x:f>"58998090000131"</x:f>
        <x:v>58998090000131</x:v>
      </x:c>
      <x:c r="F3284" s="22" t="str">
        <x:f>"063.800.241-90"</x:f>
        <x:v>063.800.241-90</x:v>
      </x:c>
      <x:c r="G3284" s="22" t="str">
        <x:f>"06380024190"</x:f>
        <x:v>06380024190</x:v>
      </x:c>
      <x:c r="H3284" s="23" t="str">
        <x:v>verdaorodrigo17@hotmail.com</x:v>
      </x:c>
      <x:c r="I3284" s="22" t="str">
        <x:f>"629984684667"</x:f>
        <x:v>629984684667</x:v>
      </x:c>
      <x:c r="J3284" s="23" t="str">
        <x:v>RENTAL</x:v>
      </x:c>
      <x:c r="K3284" s="23" t="str">
        <x:v>rental_company</x:v>
      </x:c>
      <x:c r="L3284" s="24" t="b">
        <x:v>1</x:v>
      </x:c>
      <x:c r="M3284" s="23" t="n">
        <x:v>1</x:v>
      </x:c>
      <x:c r="N3284" s="28" t="n">
        <x:v>46219.812988715275</x:v>
      </x:c>
      <x:c r="O3284" s="28" t="n">
        <x:v>46219.812988715275</x:v>
      </x:c>
      <x:c r="P3284" s="23" t="str">
        <x:v>GOIANIA</x:v>
      </x:c>
      <x:c r="Q3284" s="30" t="n">
        <x:v>35808</x:v>
      </x:c>
      <x:c r="R3284" s="22" t="str">
        <x:f>"1217411"</x:f>
        <x:v>1217411</x:v>
      </x:c>
      <x:c r="S3284" s="23" t="str">
        <x:v>masculino</x:v>
      </x:c>
      <x:c r="T3284" s="22" t="str"/>
      <x:c r="U3284" s="23" t="str">
        <x:v>RODRIGO ALVES DE SOUSA</x:v>
      </x:c>
      <x:c r="V3284" s="22" t="str">
        <x:f>"063.800.241-90"</x:f>
        <x:v>063.800.241-90</x:v>
      </x:c>
      <x:c r="W3284" s="22" t="str">
        <x:f>"06380024190"</x:f>
        <x:v>06380024190</x:v>
      </x:c>
      <x:c r="X3284" s="23" t="str">
        <x:v>verdaorodrigo17@hotmail.com</x:v>
      </x:c>
      <x:c r="Y3284" s="22" t="str">
        <x:f>"629984684667"</x:f>
        <x:v>629984684667</x:v>
      </x:c>
      <x:c r="Z3284" s="30" t="n">
        <x:v>46575</x:v>
      </x:c>
    </x:row>
    <x:row r="3285" ht="18" customHeight="1">
      <x:c r="A3285" s="22" t="str">
        <x:f>"681a94d5-4eef-4249-9c2a-422a8da91837"</x:f>
        <x:v>681a94d5-4eef-4249-9c2a-422a8da91837</x:v>
      </x:c>
      <x:c r="B3285" s="23" t="str">
        <x:v>RODRIGO BARCELLOS GOMES</x:v>
      </x:c>
      <x:c r="C3285" s="23" t="str">
        <x:v>rodrigo barcellos gomes</x:v>
      </x:c>
      <x:c r="D3285" s="22" t="str">
        <x:f>"60.686.808/0001-04"</x:f>
        <x:v>60.686.808/0001-04</x:v>
      </x:c>
      <x:c r="E3285" s="22" t="str">
        <x:f>"60686808000104"</x:f>
        <x:v>60686808000104</x:v>
      </x:c>
      <x:c r="F3285" s="22" t="str">
        <x:f>"099.631.497-07"</x:f>
        <x:v>099.631.497-07</x:v>
      </x:c>
      <x:c r="G3285" s="22" t="str">
        <x:f>"09963149707"</x:f>
        <x:v>09963149707</x:v>
      </x:c>
      <x:c r="H3285" s="23" t="str">
        <x:v>rodrigo.barcellos@yahoo.com.br</x:v>
      </x:c>
      <x:c r="I3285" s="22" t="str">
        <x:f>"21 981990245"</x:f>
        <x:v>21 981990245</x:v>
      </x:c>
      <x:c r="J3285" s="23" t="str">
        <x:v>SPOT</x:v>
      </x:c>
      <x:c r="K3285" s="23" t="str">
        <x:v>favored_only</x:v>
      </x:c>
      <x:c r="L3285" s="24" t="b">
        <x:v>1</x:v>
      </x:c>
      <x:c r="M3285" s="23" t="n">
        <x:v>1</x:v>
      </x:c>
      <x:c r="N3285" s="28" t="n">
        <x:v>46219.812988715275</x:v>
      </x:c>
      <x:c r="O3285" s="28" t="n">
        <x:v>46219.812988715275</x:v>
      </x:c>
      <x:c r="P3285" s="23" t="str">
        <x:v>CORDOVIL</x:v>
      </x:c>
      <x:c r="Q3285" s="30" t="n">
        <x:v>31072</x:v>
      </x:c>
      <x:c r="R3285" s="22" t="str">
        <x:f>"129154266"</x:f>
        <x:v>129154266</x:v>
      </x:c>
      <x:c r="S3285" s="23" t="str">
        <x:v>masculino</x:v>
      </x:c>
      <x:c r="T3285" s="22" t="str">
        <x:f>"QNY8h12"</x:f>
        <x:v>QNY8h12</x:v>
      </x:c>
      <x:c r="U3285" s="23" t="str">
        <x:v>RODRIGO BARCELLOS GOMES</x:v>
      </x:c>
      <x:c r="V3285" s="22" t="str">
        <x:f>"099.631.497-07"</x:f>
        <x:v>099.631.497-07</x:v>
      </x:c>
      <x:c r="W3285" s="22" t="str">
        <x:f>"09963149707"</x:f>
        <x:v>09963149707</x:v>
      </x:c>
      <x:c r="X3285" s="23" t="str">
        <x:v>rodrigo.barcellos@yahoo.com.br</x:v>
      </x:c>
      <x:c r="Y3285" s="22" t="str">
        <x:f>"21 981990245"</x:f>
        <x:v>21 981990245</x:v>
      </x:c>
      <x:c r="Z3285" s="30" t="n">
        <x:v>46431</x:v>
      </x:c>
    </x:row>
    <x:row r="3286" ht="18" customHeight="1">
      <x:c r="A3286" s="22" t="str">
        <x:f>"938c101d-bbf3-423e-a919-c1ab90bd41b7"</x:f>
        <x:v>938c101d-bbf3-423e-a919-c1ab90bd41b7</x:v>
      </x:c>
      <x:c r="B3286" s="23" t="str">
        <x:v>RODRIGO BATISTA FERREIRA</x:v>
      </x:c>
      <x:c r="C3286" s="23" t="str">
        <x:v>rodrigo batista ferreira</x:v>
      </x:c>
      <x:c r="D3286" s="22" t="str">
        <x:f>"55.856.212/0001-67"</x:f>
        <x:v>55.856.212/0001-67</x:v>
      </x:c>
      <x:c r="E3286" s="22" t="str">
        <x:f>"55856212000167"</x:f>
        <x:v>55856212000167</x:v>
      </x:c>
      <x:c r="F3286" s="22" t="str">
        <x:f>"449.376.578-01"</x:f>
        <x:v>449.376.578-01</x:v>
      </x:c>
      <x:c r="G3286" s="22" t="str">
        <x:f>"44937657801"</x:f>
        <x:v>44937657801</x:v>
      </x:c>
      <x:c r="H3286" s="23" t="str">
        <x:v>Rodrigo.ferreira0803@gmail.com</x:v>
      </x:c>
      <x:c r="I3286" s="22" t="str">
        <x:f>"11996916461"</x:f>
        <x:v>11996916461</x:v>
      </x:c>
      <x:c r="J3286" s="23" t="str">
        <x:v>RENTAL</x:v>
      </x:c>
      <x:c r="K3286" s="23" t="str">
        <x:v>rental_company</x:v>
      </x:c>
      <x:c r="L3286" s="24" t="b">
        <x:v>1</x:v>
      </x:c>
      <x:c r="M3286" s="23" t="n">
        <x:v>1</x:v>
      </x:c>
      <x:c r="N3286" s="28" t="n">
        <x:v>46219.812988715275</x:v>
      </x:c>
      <x:c r="O3286" s="28" t="n">
        <x:v>46219.812988715275</x:v>
      </x:c>
      <x:c r="P3286" s="23" t="str">
        <x:v>BARUERI</x:v>
      </x:c>
      <x:c r="Q3286" s="30" t="n">
        <x:v>34766</x:v>
      </x:c>
      <x:c r="R3286" s="22" t="str">
        <x:f>"452454803"</x:f>
        <x:v>452454803</x:v>
      </x:c>
      <x:c r="S3286" s="23" t="str">
        <x:v>masculino</x:v>
      </x:c>
      <x:c r="T3286" s="22" t="str"/>
      <x:c r="U3286" s="23" t="str">
        <x:v>RODRIGO BATISTA FERREIRA</x:v>
      </x:c>
      <x:c r="V3286" s="22" t="str">
        <x:f>"449.376.578-01"</x:f>
        <x:v>449.376.578-01</x:v>
      </x:c>
      <x:c r="W3286" s="22" t="str">
        <x:f>"44937657801"</x:f>
        <x:v>44937657801</x:v>
      </x:c>
      <x:c r="X3286" s="23" t="str">
        <x:v>Rodrigo.ferreira0803@gmail.com</x:v>
      </x:c>
      <x:c r="Y3286" s="22" t="str">
        <x:f>"11996916461"</x:f>
        <x:v>11996916461</x:v>
      </x:c>
      <x:c r="Z3286" s="30" t="n">
        <x:v>46583</x:v>
      </x:c>
    </x:row>
    <x:row r="3287" ht="18" customHeight="1">
      <x:c r="A3287" s="22" t="str">
        <x:f>"97825543-e148-45df-9922-be4a5e5f334a"</x:f>
        <x:v>97825543-e148-45df-9922-be4a5e5f334a</x:v>
      </x:c>
      <x:c r="B3287" s="23" t="str">
        <x:v>RODRIGO BENTO DE SOUZA</x:v>
      </x:c>
      <x:c r="C3287" s="23" t="str">
        <x:v>rodrigo bento de souza</x:v>
      </x:c>
      <x:c r="D3287" s="22" t="str">
        <x:f>"58.580.460/0001-16"</x:f>
        <x:v>58.580.460/0001-16</x:v>
      </x:c>
      <x:c r="E3287" s="22" t="str">
        <x:f>"58580460000116"</x:f>
        <x:v>58580460000116</x:v>
      </x:c>
      <x:c r="F3287" s="22" t="str">
        <x:f>"042.029.661-12"</x:f>
        <x:v>042.029.661-12</x:v>
      </x:c>
      <x:c r="G3287" s="22" t="str">
        <x:f>"04202966112"</x:f>
        <x:v>04202966112</x:v>
      </x:c>
      <x:c r="H3287" s="23" t="str">
        <x:v>rokline2023@gmail.com</x:v>
      </x:c>
      <x:c r="I3287" s="22" t="str">
        <x:f>"64 99271-8604"</x:f>
        <x:v>64 99271-8604</x:v>
      </x:c>
      <x:c r="J3287" s="23" t="str">
        <x:v>SPOT</x:v>
      </x:c>
      <x:c r="K3287" s="23" t="str">
        <x:v>favored_only</x:v>
      </x:c>
      <x:c r="L3287" s="24" t="b">
        <x:v>1</x:v>
      </x:c>
      <x:c r="M3287" s="23" t="n">
        <x:v>1</x:v>
      </x:c>
      <x:c r="N3287" s="28" t="n">
        <x:v>46205.606155671296</x:v>
      </x:c>
      <x:c r="O3287" s="28" t="n">
        <x:v>46219.812988715275</x:v>
      </x:c>
      <x:c r="P3287" s="23" t="str">
        <x:v>RIO VERDE</x:v>
      </x:c>
      <x:c r="Q3287" s="30" t="n">
        <x:v>34151</x:v>
      </x:c>
      <x:c r="R3287" s="22" t="str">
        <x:f>"1001559"</x:f>
        <x:v>1001559</x:v>
      </x:c>
      <x:c r="S3287" s="23" t="str">
        <x:v>masculino</x:v>
      </x:c>
      <x:c r="T3287" s="22" t="str">
        <x:f>"RBK4A69"</x:f>
        <x:v>RBK4A69</x:v>
      </x:c>
      <x:c r="U3287" s="23" t="str">
        <x:v>ANTONIO LOPES DA SILVA CUNHA</x:v>
      </x:c>
      <x:c r="V3287" s="22" t="str">
        <x:f>"931.587.341-68"</x:f>
        <x:v>931.587.341-68</x:v>
      </x:c>
      <x:c r="W3287" s="22" t="str">
        <x:f>"93158734168"</x:f>
        <x:v>93158734168</x:v>
      </x:c>
      <x:c r="X3287" s="23" t="str">
        <x:v>lopesantoniolopessilvacunha4@gmail.com</x:v>
      </x:c>
      <x:c r="Y3287" s="22" t="str">
        <x:f>"64993157855"</x:f>
        <x:v>64993157855</x:v>
      </x:c>
      <x:c r="Z3287" s="30" t="n">
        <x:v>46346</x:v>
      </x:c>
    </x:row>
    <x:row r="3288" ht="18" customHeight="1">
      <x:c r="A3288" s="22" t="str">
        <x:f>"89ecb08a-96c3-48ab-a77a-11432b99f771"</x:f>
        <x:v>89ecb08a-96c3-48ab-a77a-11432b99f771</x:v>
      </x:c>
      <x:c r="B3288" s="23" t="str">
        <x:v>RODRIGO CARDOSO DE SOUZA</x:v>
      </x:c>
      <x:c r="C3288" s="23" t="str">
        <x:v>rodrigo cardoso de souza</x:v>
      </x:c>
      <x:c r="D3288" s="22" t="str">
        <x:f>"45.523.919/0001-06"</x:f>
        <x:v>45.523.919/0001-06</x:v>
      </x:c>
      <x:c r="E3288" s="22" t="str">
        <x:f>"45523919000106"</x:f>
        <x:v>45523919000106</x:v>
      </x:c>
      <x:c r="F3288" s="22" t="str">
        <x:f>"021.176.211-39"</x:f>
        <x:v>021.176.211-39</x:v>
      </x:c>
      <x:c r="G3288" s="22" t="str">
        <x:f>"02117621139"</x:f>
        <x:v>02117621139</x:v>
      </x:c>
      <x:c r="H3288" s="23" t="str">
        <x:v>rodrigocardoso10@outlook.com</x:v>
      </x:c>
      <x:c r="I3288" s="22" t="str">
        <x:f>"+353 83 019 7193"</x:f>
        <x:v>+353 83 019 7193</x:v>
      </x:c>
      <x:c r="J3288" s="23" t="str">
        <x:v>SPOT</x:v>
      </x:c>
      <x:c r="K3288" s="23" t="str">
        <x:v>favored_only</x:v>
      </x:c>
      <x:c r="L3288" s="24" t="b">
        <x:v>1</x:v>
      </x:c>
      <x:c r="M3288" s="23" t="n">
        <x:v>1</x:v>
      </x:c>
      <x:c r="N3288" s="28" t="n">
        <x:v>46205.606031435185</x:v>
      </x:c>
      <x:c r="O3288" s="28" t="n">
        <x:v>46219.812988715275</x:v>
      </x:c>
      <x:c r="P3288" s="23" t="str">
        <x:v>MOZARLANDIA</x:v>
      </x:c>
      <x:c r="Q3288" s="30" t="n">
        <x:v>33078</x:v>
      </x:c>
      <x:c r="R3288" s="22" t="str">
        <x:f>"2608724 SSP DF"</x:f>
        <x:v>2608724 SSP DF</x:v>
      </x:c>
      <x:c r="S3288" s="23" t="str">
        <x:v>masculino</x:v>
      </x:c>
      <x:c r="T3288" s="22" t="str">
        <x:f>"PAV9867"</x:f>
        <x:v>PAV9867</x:v>
      </x:c>
      <x:c r="U3288" s="23" t="str">
        <x:v>CLEYTON BORGES CARDOSO JUNIOR</x:v>
      </x:c>
      <x:c r="V3288" s="22" t="str">
        <x:f>"064.035.101-85"</x:f>
        <x:v>064.035.101-85</x:v>
      </x:c>
      <x:c r="W3288" s="22" t="str">
        <x:f>"06403510185"</x:f>
        <x:v>06403510185</x:v>
      </x:c>
      <x:c r="X3288" s="23" t="str">
        <x:v>cleytonjunior.com@hotmail.com</x:v>
      </x:c>
      <x:c r="Y3288" s="22" t="str">
        <x:f>"62 9 85749961"</x:f>
        <x:v>62 9 85749961</x:v>
      </x:c>
      <x:c r="Z3288" s="30" t="n">
        <x:v>46340</x:v>
      </x:c>
    </x:row>
    <x:row r="3289" ht="18" customHeight="1">
      <x:c r="A3289" s="22" t="str">
        <x:f>"cf095c23-8834-49e2-8f7f-f4a39e299ee8"</x:f>
        <x:v>cf095c23-8834-49e2-8f7f-f4a39e299ee8</x:v>
      </x:c>
      <x:c r="B3289" s="23" t="str">
        <x:v>RODRIGO CARLOS DE JESUS GRANIMAN</x:v>
      </x:c>
      <x:c r="C3289" s="23" t="str">
        <x:v>rodrigo carlos de jesus graniman</x:v>
      </x:c>
      <x:c r="D3289" s="22" t="str">
        <x:f>"23.130.072/0001-59"</x:f>
        <x:v>23.130.072/0001-59</x:v>
      </x:c>
      <x:c r="E3289" s="22" t="str">
        <x:f>"23130072000159"</x:f>
        <x:v>23130072000159</x:v>
      </x:c>
      <x:c r="F3289" s="22" t="str">
        <x:f>"061.159.361-01"</x:f>
        <x:v>061.159.361-01</x:v>
      </x:c>
      <x:c r="G3289" s="22" t="str">
        <x:f>"06115936101"</x:f>
        <x:v>06115936101</x:v>
      </x:c>
      <x:c r="H3289" s="23" t="str">
        <x:v>rodrigocarloshonda@gmail.com</x:v>
      </x:c>
      <x:c r="I3289" s="22" t="str">
        <x:f>"65 99956-0798"</x:f>
        <x:v>65 99956-0798</x:v>
      </x:c>
      <x:c r="J3289" s="23" t="str">
        <x:v>SPOT</x:v>
      </x:c>
      <x:c r="K3289" s="23" t="str">
        <x:v>favored_only</x:v>
      </x:c>
      <x:c r="L3289" s="24" t="b">
        <x:v>1</x:v>
      </x:c>
      <x:c r="M3289" s="23" t="n">
        <x:v>1</x:v>
      </x:c>
      <x:c r="N3289" s="28" t="n">
        <x:v>46219.812988715275</x:v>
      </x:c>
      <x:c r="O3289" s="28" t="n">
        <x:v>46219.812988715275</x:v>
      </x:c>
      <x:c r="P3289" s="23" t="str">
        <x:v>CUIABA</x:v>
      </x:c>
      <x:c r="Q3289" s="30" t="n">
        <x:v>36004</x:v>
      </x:c>
      <x:c r="R3289" s="22" t="str">
        <x:f>"24746991"</x:f>
        <x:v>24746991</x:v>
      </x:c>
      <x:c r="S3289" s="23" t="str">
        <x:v>masculino</x:v>
      </x:c>
      <x:c r="T3289" s="22" t="str">
        <x:f>"QCL9H92"</x:f>
        <x:v>QCL9H92</x:v>
      </x:c>
      <x:c r="U3289" s="23" t="str">
        <x:v>ROGGER DAYAN GONCALVES BELARDI</x:v>
      </x:c>
      <x:c r="V3289" s="22" t="str">
        <x:f>"048.078.511-28"</x:f>
        <x:v>048.078.511-28</x:v>
      </x:c>
      <x:c r="W3289" s="22" t="str">
        <x:f>"04807851128"</x:f>
        <x:v>04807851128</x:v>
      </x:c>
      <x:c r="X3289" s="23" t="str">
        <x:v>roggerdayan59@gmail.com</x:v>
      </x:c>
      <x:c r="Y3289" s="22" t="str">
        <x:f>"65996787923"</x:f>
        <x:v>65996787923</x:v>
      </x:c>
      <x:c r="Z3289" s="30" t="n">
        <x:v>46415</x:v>
      </x:c>
    </x:row>
    <x:row r="3290" ht="18" customHeight="1">
      <x:c r="A3290" s="22" t="str">
        <x:f>"2d92ba79-ebaa-4293-82bd-86e04e39100a"</x:f>
        <x:v>2d92ba79-ebaa-4293-82bd-86e04e39100a</x:v>
      </x:c>
      <x:c r="B3290" s="23" t="str">
        <x:v>RODRIGO CASTRILLON LARA VEIGA</x:v>
      </x:c>
      <x:c r="C3290" s="23" t="str">
        <x:v>rodrigo castrillon lara veiga</x:v>
      </x:c>
      <x:c r="D3290" s="22" t="str">
        <x:f>"23.853.787/0001-30"</x:f>
        <x:v>23.853.787/0001-30</x:v>
      </x:c>
      <x:c r="E3290" s="22" t="str">
        <x:f>"23853787000130"</x:f>
        <x:v>23853787000130</x:v>
      </x:c>
      <x:c r="F3290" s="22" t="str">
        <x:f>"018.967.361-30"</x:f>
        <x:v>018.967.361-30</x:v>
      </x:c>
      <x:c r="G3290" s="22" t="str">
        <x:f>"01896736130"</x:f>
        <x:v>01896736130</x:v>
      </x:c>
      <x:c r="H3290" s="23" t="str">
        <x:v>castrillon.rodrigo@gmail.com</x:v>
      </x:c>
      <x:c r="I3290" s="22" t="str">
        <x:f>"65-99644-0467"</x:f>
        <x:v>65-99644-0467</x:v>
      </x:c>
      <x:c r="J3290" s="23" t="str">
        <x:v>SPOT</x:v>
      </x:c>
      <x:c r="K3290" s="23" t="str">
        <x:v>favored_only</x:v>
      </x:c>
      <x:c r="L3290" s="24" t="b">
        <x:v>1</x:v>
      </x:c>
      <x:c r="M3290" s="23" t="n">
        <x:v>1</x:v>
      </x:c>
      <x:c r="N3290" s="28" t="n">
        <x:v>46203.92186462963</x:v>
      </x:c>
      <x:c r="O3290" s="28" t="n">
        <x:v>46219.812988715275</x:v>
      </x:c>
      <x:c r="P3290" s="23" t="str">
        <x:v>CÁCERES</x:v>
      </x:c>
      <x:c r="Q3290" s="30" t="n">
        <x:v>31336</x:v>
      </x:c>
      <x:c r="R3290" s="22" t="str">
        <x:f>"10641378"</x:f>
        <x:v>10641378</x:v>
      </x:c>
      <x:c r="S3290" s="23" t="str">
        <x:v>masculino</x:v>
      </x:c>
      <x:c r="T3290" s="22" t="str">
        <x:f>"KAT1A15"</x:f>
        <x:v>KAT1A15</x:v>
      </x:c>
      <x:c r="U3290" s="23" t="str">
        <x:v>RODRIGO CASTRILLON LARA VEIGA</x:v>
      </x:c>
      <x:c r="V3290" s="22" t="str">
        <x:f>"018.967.361-30"</x:f>
        <x:v>018.967.361-30</x:v>
      </x:c>
      <x:c r="W3290" s="22" t="str">
        <x:f>"01896736130"</x:f>
        <x:v>01896736130</x:v>
      </x:c>
      <x:c r="X3290" s="23" t="str">
        <x:v>castrillon.rodrigo@gmail.com</x:v>
      </x:c>
      <x:c r="Y3290" s="22" t="str">
        <x:f>"65-99644-0467"</x:f>
        <x:v>65-99644-0467</x:v>
      </x:c>
      <x:c r="Z3290" s="30" t="n">
        <x:v>46267</x:v>
      </x:c>
    </x:row>
    <x:row r="3291" ht="18" customHeight="1">
      <x:c r="A3291" s="22" t="str">
        <x:f>"c50057ec-a467-4a56-9cad-24c1da0f1c04"</x:f>
        <x:v>c50057ec-a467-4a56-9cad-24c1da0f1c04</x:v>
      </x:c>
      <x:c r="B3291" s="23" t="str">
        <x:v>RODRIGO CLEMENTE ROCHA</x:v>
      </x:c>
      <x:c r="C3291" s="23" t="str">
        <x:v>rodrigo clemente rocha</x:v>
      </x:c>
      <x:c r="D3291" s="22" t="str">
        <x:f>"61.592.004/0001-09"</x:f>
        <x:v>61.592.004/0001-09</x:v>
      </x:c>
      <x:c r="E3291" s="22" t="str">
        <x:f>"61592004000109"</x:f>
        <x:v>61592004000109</x:v>
      </x:c>
      <x:c r="F3291" s="22" t="str">
        <x:f>"121.244.326-80"</x:f>
        <x:v>121.244.326-80</x:v>
      </x:c>
      <x:c r="G3291" s="22" t="str">
        <x:f>"12124432680"</x:f>
        <x:v>12124432680</x:v>
      </x:c>
      <x:c r="H3291" s="23" t="str">
        <x:v>clementer452@gmail.com</x:v>
      </x:c>
      <x:c r="I3291" s="22" t="str">
        <x:f>"3497237031"</x:f>
        <x:v>3497237031</x:v>
      </x:c>
      <x:c r="J3291" s="23" t="str">
        <x:v>SPOT</x:v>
      </x:c>
      <x:c r="K3291" s="23" t="str">
        <x:v>favored_only</x:v>
      </x:c>
      <x:c r="L3291" s="24" t="b">
        <x:v>1</x:v>
      </x:c>
      <x:c r="M3291" s="23" t="n">
        <x:v>1</x:v>
      </x:c>
      <x:c r="N3291" s="28" t="n">
        <x:v>46219.812988715275</x:v>
      </x:c>
      <x:c r="O3291" s="28" t="n">
        <x:v>46219.812988715275</x:v>
      </x:c>
      <x:c r="P3291" s="23" t="str">
        <x:v>PATOS DE MINAS</x:v>
      </x:c>
      <x:c r="Q3291" s="30" t="n">
        <x:v>38017</x:v>
      </x:c>
      <x:c r="R3291" s="22" t="str">
        <x:f>"18475641 PC MG"</x:f>
        <x:v>18475641 PC MG</x:v>
      </x:c>
      <x:c r="S3291" s="23" t="str">
        <x:v>masculino</x:v>
      </x:c>
      <x:c r="T3291" s="22" t="str">
        <x:f>"OLV1G82"</x:f>
        <x:v>OLV1G82</x:v>
      </x:c>
      <x:c r="U3291" s="23" t="str">
        <x:v>RODRIGO CLEMENTE ROCHA</x:v>
      </x:c>
      <x:c r="V3291" s="22" t="str">
        <x:f>"121.244.326-80"</x:f>
        <x:v>121.244.326-80</x:v>
      </x:c>
      <x:c r="W3291" s="22" t="str">
        <x:f>"12124432680"</x:f>
        <x:v>12124432680</x:v>
      </x:c>
      <x:c r="X3291" s="23" t="str">
        <x:v>clementer452@gmail.com</x:v>
      </x:c>
      <x:c r="Y3291" s="22" t="str">
        <x:f>"3497237031"</x:f>
        <x:v>3497237031</x:v>
      </x:c>
      <x:c r="Z3291" s="30" t="n">
        <x:v>46476</x:v>
      </x:c>
    </x:row>
    <x:row r="3292" ht="18" customHeight="1">
      <x:c r="A3292" s="22" t="str">
        <x:f>"8f00ec15-e9cb-427c-8e8d-4525614510d7"</x:f>
        <x:v>8f00ec15-e9cb-427c-8e8d-4525614510d7</x:v>
      </x:c>
      <x:c r="B3292" s="23" t="str">
        <x:v>RODRIGO DA CRUZ FONSECA</x:v>
      </x:c>
      <x:c r="C3292" s="23" t="str">
        <x:v>rodrigo da cruz fonseca</x:v>
      </x:c>
      <x:c r="D3292" s="22" t="str">
        <x:f>"63.282.698/0001-03"</x:f>
        <x:v>63.282.698/0001-03</x:v>
      </x:c>
      <x:c r="E3292" s="22" t="str">
        <x:f>"63282698000103"</x:f>
        <x:v>63282698000103</x:v>
      </x:c>
      <x:c r="F3292" s="22" t="str">
        <x:f>"020.437.581-95"</x:f>
        <x:v>020.437.581-95</x:v>
      </x:c>
      <x:c r="G3292" s="22" t="str">
        <x:f>"02043758195"</x:f>
        <x:v>02043758195</x:v>
      </x:c>
      <x:c r="H3292" s="23" t="str">
        <x:v>rcruzagronomia@gmail.com</x:v>
      </x:c>
      <x:c r="I3292" s="22" t="str">
        <x:f>"65999022851"</x:f>
        <x:v>65999022851</x:v>
      </x:c>
      <x:c r="J3292" s="23" t="str">
        <x:v>SPOT</x:v>
      </x:c>
      <x:c r="K3292" s="23" t="str">
        <x:v>favored_only</x:v>
      </x:c>
      <x:c r="L3292" s="24" t="b">
        <x:v>1</x:v>
      </x:c>
      <x:c r="M3292" s="23" t="n">
        <x:v>1</x:v>
      </x:c>
      <x:c r="N3292" s="28" t="n">
        <x:v>46219.812988715275</x:v>
      </x:c>
      <x:c r="O3292" s="28" t="n">
        <x:v>46219.812988715275</x:v>
      </x:c>
      <x:c r="P3292" s="23" t="str">
        <x:v>CÁCERES</x:v>
      </x:c>
      <x:c r="Q3292" s="30" t="n">
        <x:v>32048</x:v>
      </x:c>
      <x:c r="R3292" s="22" t="str">
        <x:f>"21385726"</x:f>
        <x:v>21385726</x:v>
      </x:c>
      <x:c r="S3292" s="23" t="str">
        <x:v>masculino</x:v>
      </x:c>
      <x:c r="T3292" s="22" t="str">
        <x:f>"GDE1I65"</x:f>
        <x:v>GDE1I65</x:v>
      </x:c>
      <x:c r="U3292" s="23" t="str">
        <x:v>ALISSON TIZIO DE SOUZA</x:v>
      </x:c>
      <x:c r="V3292" s="22" t="str">
        <x:f>"058.808.641-03"</x:f>
        <x:v>058.808.641-03</x:v>
      </x:c>
      <x:c r="W3292" s="22" t="str">
        <x:f>"05880864103"</x:f>
        <x:v>05880864103</x:v>
      </x:c>
      <x:c r="X3292" s="23" t="str">
        <x:v>rcruzagronomia@gmail.com</x:v>
      </x:c>
      <x:c r="Y3292" s="22" t="str">
        <x:f>"65 99902-2851"</x:f>
        <x:v>65 99902-2851</x:v>
      </x:c>
      <x:c r="Z3292" s="30" t="n">
        <x:v>46403</x:v>
      </x:c>
    </x:row>
    <x:row r="3293" ht="18" customHeight="1">
      <x:c r="A3293" s="22" t="str">
        <x:f>"74501c00-aabd-486a-8eb2-a4adab7a94f7"</x:f>
        <x:v>74501c00-aabd-486a-8eb2-a4adab7a94f7</x:v>
      </x:c>
      <x:c r="B3293" s="23" t="str">
        <x:v>RODRIGO DA PAZ MIRANDA</x:v>
      </x:c>
      <x:c r="C3293" s="23" t="str">
        <x:v>rodrigo da paz miranda</x:v>
      </x:c>
      <x:c r="D3293" s="22" t="str">
        <x:f>"66.599.626/0001-74"</x:f>
        <x:v>66.599.626/0001-74</x:v>
      </x:c>
      <x:c r="E3293" s="22" t="str">
        <x:f>"66599626000174"</x:f>
        <x:v>66599626000174</x:v>
      </x:c>
      <x:c r="F3293" s="22" t="str">
        <x:f>"141.440.326-71"</x:f>
        <x:v>141.440.326-71</x:v>
      </x:c>
      <x:c r="G3293" s="22" t="str">
        <x:f>"14144032671"</x:f>
        <x:v>14144032671</x:v>
      </x:c>
      <x:c r="H3293" s="23" t="str">
        <x:v>rodrigomirandda@hotmail.com</x:v>
      </x:c>
      <x:c r="I3293" s="22" t="str">
        <x:f>"33.9 8427-0917"</x:f>
        <x:v>33.9 8427-0917</x:v>
      </x:c>
      <x:c r="J3293" s="23" t="str">
        <x:v>SPOT</x:v>
      </x:c>
      <x:c r="K3293" s="23" t="str">
        <x:v>favored_only</x:v>
      </x:c>
      <x:c r="L3293" s="24" t="b">
        <x:v>1</x:v>
      </x:c>
      <x:c r="M3293" s="23" t="n">
        <x:v>1</x:v>
      </x:c>
      <x:c r="N3293" s="28" t="n">
        <x:v>46219.812988715275</x:v>
      </x:c>
      <x:c r="O3293" s="28" t="n">
        <x:v>46219.812988715275</x:v>
      </x:c>
      <x:c r="P3293" s="23" t="str">
        <x:v>GUANHAES</x:v>
      </x:c>
      <x:c r="Q3293" s="30" t="n">
        <x:v>36039</x:v>
      </x:c>
      <x:c r="R3293" s="22" t="str">
        <x:f>"17325836"</x:f>
        <x:v>17325836</x:v>
      </x:c>
      <x:c r="S3293" s="23" t="str">
        <x:v>masculino</x:v>
      </x:c>
      <x:c r="T3293" s="22" t="str">
        <x:f>"RNK9E01"</x:f>
        <x:v>RNK9E01</x:v>
      </x:c>
      <x:c r="U3293" s="23" t="str">
        <x:v>MARCELA PERCILIANA DA PAZ</x:v>
      </x:c>
      <x:c r="V3293" s="22" t="str">
        <x:f>"052.594.116-92"</x:f>
        <x:v>052.594.116-92</x:v>
      </x:c>
      <x:c r="W3293" s="22" t="str">
        <x:f>"05259411692"</x:f>
        <x:v>05259411692</x:v>
      </x:c>
      <x:c r="X3293" s="23" t="str">
        <x:v>Marceladapaz@hotmail.com</x:v>
      </x:c>
      <x:c r="Y3293" s="22" t="str">
        <x:f>"33.9.8821-7014"</x:f>
        <x:v>33.9.8821-7014</x:v>
      </x:c>
      <x:c r="Z3293" s="30" t="n">
        <x:v>46522</x:v>
      </x:c>
    </x:row>
    <x:row r="3294" ht="18" customHeight="1">
      <x:c r="A3294" s="22" t="str">
        <x:f>"d9fefe75-3b47-40e2-a427-af9c84957eac"</x:f>
        <x:v>d9fefe75-3b47-40e2-a427-af9c84957eac</x:v>
      </x:c>
      <x:c r="B3294" s="23" t="str">
        <x:v>RODRIGO DA SILVA MORAES</x:v>
      </x:c>
      <x:c r="C3294" s="23" t="str">
        <x:v>rodrigo da silva moraes</x:v>
      </x:c>
      <x:c r="D3294" s="22" t="str">
        <x:f>"52.593.075/0001-27"</x:f>
        <x:v>52.593.075/0001-27</x:v>
      </x:c>
      <x:c r="E3294" s="22" t="str">
        <x:f>"52593075000127"</x:f>
        <x:v>52593075000127</x:v>
      </x:c>
      <x:c r="F3294" s="22" t="str">
        <x:f>"940.875.711-49"</x:f>
        <x:v>940.875.711-49</x:v>
      </x:c>
      <x:c r="G3294" s="22" t="str">
        <x:f>"94087571149"</x:f>
        <x:v>94087571149</x:v>
      </x:c>
      <x:c r="H3294" s="23" t="str">
        <x:v>Rmtransportesrv@gmail.com</x:v>
      </x:c>
      <x:c r="I3294" s="22" t="str">
        <x:f>"64 9233-9048"</x:f>
        <x:v>64 9233-9048</x:v>
      </x:c>
      <x:c r="J3294" s="23" t="str">
        <x:v>SPOT</x:v>
      </x:c>
      <x:c r="K3294" s="23" t="str">
        <x:v>favored_only</x:v>
      </x:c>
      <x:c r="L3294" s="24" t="b">
        <x:v>1</x:v>
      </x:c>
      <x:c r="M3294" s="23" t="n">
        <x:v>1</x:v>
      </x:c>
      <x:c r="N3294" s="28" t="n">
        <x:v>46219.812988715275</x:v>
      </x:c>
      <x:c r="O3294" s="28" t="n">
        <x:v>46219.812988715275</x:v>
      </x:c>
      <x:c r="P3294" s="23" t="str">
        <x:v>RIO VERDE</x:v>
      </x:c>
      <x:c r="Q3294" s="30" t="n">
        <x:v>29458</x:v>
      </x:c>
      <x:c r="R3294" s="22" t="str">
        <x:f>"4279359"</x:f>
        <x:v>4279359</x:v>
      </x:c>
      <x:c r="S3294" s="23" t="str">
        <x:v>masculino</x:v>
      </x:c>
      <x:c r="T3294" s="22" t="str">
        <x:f>"QOZ0H07"</x:f>
        <x:v>QOZ0H07</x:v>
      </x:c>
      <x:c r="U3294" s="23" t="str">
        <x:v>RODRIGO DA SILVA MORAES</x:v>
      </x:c>
      <x:c r="V3294" s="22" t="str">
        <x:f>"940.875.711-49"</x:f>
        <x:v>940.875.711-49</x:v>
      </x:c>
      <x:c r="W3294" s="22" t="str">
        <x:f>"94087571149"</x:f>
        <x:v>94087571149</x:v>
      </x:c>
      <x:c r="X3294" s="23" t="str">
        <x:v>Rmtransportesrv@gmail.com</x:v>
      </x:c>
      <x:c r="Y3294" s="22" t="str">
        <x:f>"64 9233-9048"</x:f>
        <x:v>64 9233-9048</x:v>
      </x:c>
      <x:c r="Z3294" s="30" t="n">
        <x:v>46583</x:v>
      </x:c>
    </x:row>
    <x:row r="3295" ht="18" customHeight="1">
      <x:c r="A3295" s="22" t="str">
        <x:f>"a6c5c1e3-b24c-489f-b8bc-782b49efdd20"</x:f>
        <x:v>a6c5c1e3-b24c-489f-b8bc-782b49efdd20</x:v>
      </x:c>
      <x:c r="B3295" s="23" t="str">
        <x:v>RODRIGO DE ALMEIDA DOS ANJOS</x:v>
      </x:c>
      <x:c r="C3295" s="23" t="str">
        <x:v>rodrigo de almeida dos anjos</x:v>
      </x:c>
      <x:c r="D3295" s="22" t="str">
        <x:f>"16.745.453/0001-87"</x:f>
        <x:v>16.745.453/0001-87</x:v>
      </x:c>
      <x:c r="E3295" s="22" t="str">
        <x:f>"16745453000187"</x:f>
        <x:v>16745453000187</x:v>
      </x:c>
      <x:c r="F3295" s="22" t="str">
        <x:f>"347.807.618-83"</x:f>
        <x:v>347.807.618-83</x:v>
      </x:c>
      <x:c r="G3295" s="22" t="str">
        <x:f>"34780761883"</x:f>
        <x:v>34780761883</x:v>
      </x:c>
      <x:c r="H3295" s="23" t="str">
        <x:v>JUUNIOR.ALMEIDA24@GMAIL.COM</x:v>
      </x:c>
      <x:c r="I3295" s="22" t="str">
        <x:f>"14991866846"</x:f>
        <x:v>14991866846</x:v>
      </x:c>
      <x:c r="J3295" s="23" t="str">
        <x:v>RENTAL</x:v>
      </x:c>
      <x:c r="K3295" s="23" t="str">
        <x:v>rental_company</x:v>
      </x:c>
      <x:c r="L3295" s="24" t="b">
        <x:v>1</x:v>
      </x:c>
      <x:c r="M3295" s="23" t="n">
        <x:v>1</x:v>
      </x:c>
      <x:c r="N3295" s="28" t="n">
        <x:v>46203.92184908565</x:v>
      </x:c>
      <x:c r="O3295" s="28" t="n">
        <x:v>46205.605188773145</x:v>
      </x:c>
      <x:c r="P3295" s="23" t="str">
        <x:v>MARILIA</x:v>
      </x:c>
      <x:c r="Q3295" s="30" t="n">
        <x:v>31684</x:v>
      </x:c>
      <x:c r="R3295" s="22" t="str">
        <x:f>"40767854"</x:f>
        <x:v>40767854</x:v>
      </x:c>
      <x:c r="S3295" s="23" t="str">
        <x:v>Masculino</x:v>
      </x:c>
      <x:c r="T3295" s="22" t="str"/>
      <x:c r="U3295" s="23" t="str">
        <x:v>RODRIGO DE ALMEIDA DOS ANJOS</x:v>
      </x:c>
      <x:c r="V3295" s="22" t="str">
        <x:f>"34780761883"</x:f>
        <x:v>34780761883</x:v>
      </x:c>
      <x:c r="W3295" s="22" t="str">
        <x:f>"34780761883"</x:f>
        <x:v>34780761883</x:v>
      </x:c>
      <x:c r="X3295" s="23" t="str">
        <x:v>JUUNIOR.ALMEIDA24@GMAIL.COM</x:v>
      </x:c>
      <x:c r="Y3295" s="22" t="str">
        <x:f>"14991866846"</x:f>
        <x:v>14991866846</x:v>
      </x:c>
      <x:c r="Z3295" s="30" t="n">
        <x:v>46228</x:v>
      </x:c>
    </x:row>
    <x:row r="3296" ht="18" customHeight="1">
      <x:c r="A3296" s="22" t="str">
        <x:f>"019f72e8-0d44-4a42-95ff-f5b4348df242"</x:f>
        <x:v>019f72e8-0d44-4a42-95ff-f5b4348df242</x:v>
      </x:c>
      <x:c r="B3296" s="23" t="str">
        <x:v>RODRIGO DE ANDRADE LOPES</x:v>
      </x:c>
      <x:c r="C3296" s="23" t="str">
        <x:v>rodrigo de andrade lopes</x:v>
      </x:c>
      <x:c r="D3296" s="22" t="str">
        <x:f>"14.967.637/0001-66"</x:f>
        <x:v>14.967.637/0001-66</x:v>
      </x:c>
      <x:c r="E3296" s="22" t="str">
        <x:f>"14967637000166"</x:f>
        <x:v>14967637000166</x:v>
      </x:c>
      <x:c r="F3296" s="22" t="str">
        <x:f>"068.571.906-58"</x:f>
        <x:v>068.571.906-58</x:v>
      </x:c>
      <x:c r="G3296" s="22" t="str">
        <x:f>"06857190658"</x:f>
        <x:v>06857190658</x:v>
      </x:c>
      <x:c r="H3296" s="23" t="str">
        <x:v>rodrigolopesiat@gmail.com</x:v>
      </x:c>
      <x:c r="I3296" s="22" t="str">
        <x:f>"34 9219-9207"</x:f>
        <x:v>34 9219-9207</x:v>
      </x:c>
      <x:c r="J3296" s="23" t="str">
        <x:v>SPOT</x:v>
      </x:c>
      <x:c r="K3296" s="23" t="str">
        <x:v>favored_only</x:v>
      </x:c>
      <x:c r="L3296" s="24" t="b">
        <x:v>1</x:v>
      </x:c>
      <x:c r="M3296" s="23" t="n">
        <x:v>1</x:v>
      </x:c>
      <x:c r="N3296" s="28" t="n">
        <x:v>46203.921904421295</x:v>
      </x:c>
      <x:c r="O3296" s="28" t="n">
        <x:v>46219.812988715275</x:v>
      </x:c>
      <x:c r="P3296" s="23" t="str">
        <x:v>PATOS DE MINAS</x:v>
      </x:c>
      <x:c r="Q3296" s="30" t="n">
        <x:v>30985</x:v>
      </x:c>
      <x:c r="R3296" s="22" t="str">
        <x:f>"MG13971152"</x:f>
        <x:v>MG13971152</x:v>
      </x:c>
      <x:c r="S3296" s="23" t="str">
        <x:v>masculino</x:v>
      </x:c>
      <x:c r="T3296" s="22" t="str">
        <x:f>"OMH7I38"</x:f>
        <x:v>OMH7I38</x:v>
      </x:c>
      <x:c r="U3296" s="23" t="str">
        <x:v>RODRIGO DE ANDRADE LOPES</x:v>
      </x:c>
      <x:c r="V3296" s="22" t="str">
        <x:f>"068.571.906-58"</x:f>
        <x:v>068.571.906-58</x:v>
      </x:c>
      <x:c r="W3296" s="22" t="str">
        <x:f>"06857190658"</x:f>
        <x:v>06857190658</x:v>
      </x:c>
      <x:c r="X3296" s="23" t="str">
        <x:v>rodrigolopesiat@gmail.com</x:v>
      </x:c>
      <x:c r="Y3296" s="22" t="str">
        <x:f>"34 9219-9207"</x:f>
        <x:v>34 9219-9207</x:v>
      </x:c>
      <x:c r="Z3296" s="30" t="n">
        <x:v>46367</x:v>
      </x:c>
    </x:row>
    <x:row r="3297" ht="18" customHeight="1">
      <x:c r="A3297" s="22" t="str">
        <x:f>"22e5b9fc-cf92-48b3-aff8-d2fcb8246b8d"</x:f>
        <x:v>22e5b9fc-cf92-48b3-aff8-d2fcb8246b8d</x:v>
      </x:c>
      <x:c r="B3297" s="23" t="str">
        <x:v>RODRIGO DE ANDRADE LOPES</x:v>
      </x:c>
      <x:c r="C3297" s="23" t="str">
        <x:v>rodrigo de andrade lopes</x:v>
      </x:c>
      <x:c r="D3297" s="22" t="str">
        <x:f>"65.857.172/0001-21"</x:f>
        <x:v>65.857.172/0001-21</x:v>
      </x:c>
      <x:c r="E3297" s="22" t="str">
        <x:f>"65857172000121"</x:f>
        <x:v>65857172000121</x:v>
      </x:c>
      <x:c r="F3297" s="22" t="str">
        <x:f>"068.571.906-58"</x:f>
        <x:v>068.571.906-58</x:v>
      </x:c>
      <x:c r="G3297" s="22" t="str">
        <x:f>"06857190658"</x:f>
        <x:v>06857190658</x:v>
      </x:c>
      <x:c r="H3297" s="23" t="str">
        <x:v>rodrigolopesiat@gmail.com</x:v>
      </x:c>
      <x:c r="I3297" s="22" t="str">
        <x:f>"349219-9207"</x:f>
        <x:v>349219-9207</x:v>
      </x:c>
      <x:c r="J3297" s="23" t="str">
        <x:v>SPOT</x:v>
      </x:c>
      <x:c r="K3297" s="23" t="str">
        <x:v>favored_only</x:v>
      </x:c>
      <x:c r="L3297" s="24" t="b">
        <x:v>1</x:v>
      </x:c>
      <x:c r="M3297" s="23" t="n">
        <x:v>1</x:v>
      </x:c>
      <x:c r="N3297" s="28" t="n">
        <x:v>46219.812988715275</x:v>
      </x:c>
      <x:c r="O3297" s="28" t="n">
        <x:v>46219.812988715275</x:v>
      </x:c>
      <x:c r="P3297" s="23" t="str">
        <x:v>PATOS DE MINAS</x:v>
      </x:c>
      <x:c r="Q3297" s="30" t="n">
        <x:v>30985</x:v>
      </x:c>
      <x:c r="R3297" s="22" t="str">
        <x:f>"MG 13971152"</x:f>
        <x:v>MG 13971152</x:v>
      </x:c>
      <x:c r="S3297" s="23" t="str">
        <x:v>masculino</x:v>
      </x:c>
      <x:c r="T3297" s="22" t="str">
        <x:f>"OMH7I38"</x:f>
        <x:v>OMH7I38</x:v>
      </x:c>
      <x:c r="U3297" s="23" t="str">
        <x:v>RODRIGO DE ANDRADE LOPES</x:v>
      </x:c>
      <x:c r="V3297" s="22" t="str">
        <x:f>"068.571.906-58"</x:f>
        <x:v>068.571.906-58</x:v>
      </x:c>
      <x:c r="W3297" s="22" t="str">
        <x:f>"06857190658"</x:f>
        <x:v>06857190658</x:v>
      </x:c>
      <x:c r="X3297" s="23" t="str">
        <x:v>rodrigolopesiat@gmail.com</x:v>
      </x:c>
      <x:c r="Y3297" s="22" t="str">
        <x:f>"349219-9207"</x:f>
        <x:v>349219-9207</x:v>
      </x:c>
      <x:c r="Z3297" s="30" t="n">
        <x:v>46470</x:v>
      </x:c>
    </x:row>
    <x:row r="3298" ht="18" customHeight="1">
      <x:c r="A3298" s="22" t="str">
        <x:f>"16320a89-fbe4-4532-a07c-6ef8d9a3c2c7"</x:f>
        <x:v>16320a89-fbe4-4532-a07c-6ef8d9a3c2c7</x:v>
      </x:c>
      <x:c r="B3298" s="23" t="str">
        <x:v>RODRIGO DE SIQUEIRA BEDE</x:v>
      </x:c>
      <x:c r="C3298" s="23" t="str">
        <x:v>rodrigo de siqueira bede</x:v>
      </x:c>
      <x:c r="D3298" s="22" t="str">
        <x:f>"58.577.029/0001-10"</x:f>
        <x:v>58.577.029/0001-10</x:v>
      </x:c>
      <x:c r="E3298" s="22" t="str">
        <x:f>"58577029000110"</x:f>
        <x:v>58577029000110</x:v>
      </x:c>
      <x:c r="F3298" s="22" t="str">
        <x:f>"097.766.847-93"</x:f>
        <x:v>097.766.847-93</x:v>
      </x:c>
      <x:c r="G3298" s="22" t="str">
        <x:f>"09776684793"</x:f>
        <x:v>09776684793</x:v>
      </x:c>
      <x:c r="H3298" s="23" t="str">
        <x:v>rodrigodesiqueirabede@gmail.com</x:v>
      </x:c>
      <x:c r="I3298" s="22" t="str">
        <x:f>"(35)98442-8329"</x:f>
        <x:v>(35)98442-8329</x:v>
      </x:c>
      <x:c r="J3298" s="23" t="str">
        <x:v>RENTAL</x:v>
      </x:c>
      <x:c r="K3298" s="23" t="str">
        <x:v>rental_company</x:v>
      </x:c>
      <x:c r="L3298" s="24" t="b">
        <x:v>1</x:v>
      </x:c>
      <x:c r="M3298" s="23" t="n">
        <x:v>1</x:v>
      </x:c>
      <x:c r="N3298" s="28" t="n">
        <x:v>46203.92186462963</x:v>
      </x:c>
      <x:c r="O3298" s="28" t="n">
        <x:v>46219.812988715275</x:v>
      </x:c>
      <x:c r="P3298" s="23" t="str">
        <x:v>POUSO ALEGRE</x:v>
      </x:c>
      <x:c r="Q3298" s="30" t="n">
        <x:v>29761</x:v>
      </x:c>
      <x:c r="R3298" s="22" t="str">
        <x:f>"129205886"</x:f>
        <x:v>129205886</x:v>
      </x:c>
      <x:c r="S3298" s="23" t="str">
        <x:v>masculino</x:v>
      </x:c>
      <x:c r="T3298" s="22" t="str"/>
      <x:c r="U3298" s="23" t="str">
        <x:v>RODRIGO DE SIQUEIRA BEDE</x:v>
      </x:c>
      <x:c r="V3298" s="22" t="str">
        <x:f>"097.766.847-93"</x:f>
        <x:v>097.766.847-93</x:v>
      </x:c>
      <x:c r="W3298" s="22" t="str">
        <x:f>"09776684793"</x:f>
        <x:v>09776684793</x:v>
      </x:c>
      <x:c r="X3298" s="23" t="str">
        <x:v>rodrigodesiqueirabede@gmail.com</x:v>
      </x:c>
      <x:c r="Y3298" s="22" t="str">
        <x:f>"(35)98442-8329"</x:f>
        <x:v>(35)98442-8329</x:v>
      </x:c>
      <x:c r="Z3298" s="30" t="n">
        <x:v>46280</x:v>
      </x:c>
    </x:row>
    <x:row r="3299" ht="18" customHeight="1">
      <x:c r="A3299" s="22" t="str">
        <x:f>"12202d1d-35c0-494d-8cd3-d6bdbd5a9899"</x:f>
        <x:v>12202d1d-35c0-494d-8cd3-d6bdbd5a9899</x:v>
      </x:c>
      <x:c r="B3299" s="23" t="str">
        <x:v>RODRIGO ESTEVES DOS SANTOS</x:v>
      </x:c>
      <x:c r="C3299" s="23" t="str">
        <x:v>rodrigo esteves dos santos</x:v>
      </x:c>
      <x:c r="D3299" s="22" t="str">
        <x:f>"44.810.164/0001-50"</x:f>
        <x:v>44.810.164/0001-50</x:v>
      </x:c>
      <x:c r="E3299" s="22" t="str">
        <x:f>"44810164000150"</x:f>
        <x:v>44810164000150</x:v>
      </x:c>
      <x:c r="F3299" s="22" t="str">
        <x:f>"045.879.406-66"</x:f>
        <x:v>045.879.406-66</x:v>
      </x:c>
      <x:c r="G3299" s="22" t="str">
        <x:f>"04587940666"</x:f>
        <x:v>04587940666</x:v>
      </x:c>
      <x:c r="H3299" s="23" t="str">
        <x:v>rodrigoestevessantos@gmail.com</x:v>
      </x:c>
      <x:c r="I3299" s="22" t="str">
        <x:f>"33 999914359"</x:f>
        <x:v>33 999914359</x:v>
      </x:c>
      <x:c r="J3299" s="23" t="str">
        <x:v>SPOT</x:v>
      </x:c>
      <x:c r="K3299" s="23" t="str">
        <x:v>favored_only</x:v>
      </x:c>
      <x:c r="L3299" s="24" t="b">
        <x:v>1</x:v>
      </x:c>
      <x:c r="M3299" s="23" t="n">
        <x:v>1</x:v>
      </x:c>
      <x:c r="N3299" s="28" t="n">
        <x:v>46203.92183017361</x:v>
      </x:c>
      <x:c r="O3299" s="28" t="n">
        <x:v>46219.812988715275</x:v>
      </x:c>
      <x:c r="P3299" s="23" t="str">
        <x:v>TEOFILO OTONI</x:v>
      </x:c>
      <x:c r="Q3299" s="30" t="n">
        <x:v>28509</x:v>
      </x:c>
      <x:c r="R3299" s="22" t="str">
        <x:f>"10657222"</x:f>
        <x:v>10657222</x:v>
      </x:c>
      <x:c r="S3299" s="23" t="str">
        <x:v>masculino</x:v>
      </x:c>
      <x:c r="T3299" s="22" t="str">
        <x:f>"RVW6I29"</x:f>
        <x:v>RVW6I29</x:v>
      </x:c>
      <x:c r="U3299" s="23" t="str">
        <x:v>RODRIGO ESTEVES DOS SANTOS</x:v>
      </x:c>
      <x:c r="V3299" s="22" t="str">
        <x:f>"045.879.406-66"</x:f>
        <x:v>045.879.406-66</x:v>
      </x:c>
      <x:c r="W3299" s="22" t="str">
        <x:f>"04587940666"</x:f>
        <x:v>04587940666</x:v>
      </x:c>
      <x:c r="X3299" s="23" t="str">
        <x:v>rodrigoestevessantos@gmail.com</x:v>
      </x:c>
      <x:c r="Y3299" s="22" t="str">
        <x:f>"33 999914359"</x:f>
        <x:v>33 999914359</x:v>
      </x:c>
      <x:c r="Z3299" s="30" t="n">
        <x:v>46523</x:v>
      </x:c>
    </x:row>
    <x:row r="3300" ht="18" customHeight="1">
      <x:c r="A3300" s="22" t="str">
        <x:f>"63a25cc5-da9f-4c0e-9d9c-7bb41728565d"</x:f>
        <x:v>63a25cc5-da9f-4c0e-9d9c-7bb41728565d</x:v>
      </x:c>
      <x:c r="B3300" s="23" t="str">
        <x:v>RODRIGO FARIASDE ARAUJO</x:v>
      </x:c>
      <x:c r="C3300" s="23" t="str">
        <x:v>rodrigo fariasde araujo</x:v>
      </x:c>
      <x:c r="D3300" s="22" t="str">
        <x:f>"50.073.217/0001-08"</x:f>
        <x:v>50.073.217/0001-08</x:v>
      </x:c>
      <x:c r="E3300" s="22" t="str">
        <x:f>"50073217000108"</x:f>
        <x:v>50073217000108</x:v>
      </x:c>
      <x:c r="F3300" s="22" t="str">
        <x:f>"014.960.371-11"</x:f>
        <x:v>014.960.371-11</x:v>
      </x:c>
      <x:c r="G3300" s="22" t="str">
        <x:f>"01496037111"</x:f>
        <x:v>01496037111</x:v>
      </x:c>
      <x:c r="H3300" s="23" t="str">
        <x:v>rodrigofdearaujo@gmail.com</x:v>
      </x:c>
      <x:c r="I3300" s="22" t="str">
        <x:f>"65992467522"</x:f>
        <x:v>65992467522</x:v>
      </x:c>
      <x:c r="J3300" s="23" t="str">
        <x:v>SPOT</x:v>
      </x:c>
      <x:c r="K3300" s="23" t="str">
        <x:v>favored_only</x:v>
      </x:c>
      <x:c r="L3300" s="24" t="b">
        <x:v>1</x:v>
      </x:c>
      <x:c r="M3300" s="23" t="n">
        <x:v>1</x:v>
      </x:c>
      <x:c r="N3300" s="28" t="n">
        <x:v>46205.60665260417</x:v>
      </x:c>
      <x:c r="O3300" s="28" t="n">
        <x:v>46219.812988715275</x:v>
      </x:c>
      <x:c r="P3300" s="23" t="str">
        <x:v>CÁCERES</x:v>
      </x:c>
      <x:c r="Q3300" s="30" t="n">
        <x:v>32367</x:v>
      </x:c>
      <x:c r="R3300" s="22" t="str">
        <x:f>"2448637"</x:f>
        <x:v>2448637</x:v>
      </x:c>
      <x:c r="S3300" s="23" t="str">
        <x:v>masculino</x:v>
      </x:c>
      <x:c r="T3300" s="22" t="str">
        <x:f>"OBE6774"</x:f>
        <x:v>OBE6774</x:v>
      </x:c>
      <x:c r="U3300" s="23" t="str">
        <x:v>EVANDRO DE OLIVEIRA LOURENCO</x:v>
      </x:c>
      <x:c r="V3300" s="22" t="str">
        <x:f>"012.957.851-70"</x:f>
        <x:v>012.957.851-70</x:v>
      </x:c>
      <x:c r="W3300" s="22" t="str">
        <x:f>"01295785170"</x:f>
        <x:v>01295785170</x:v>
      </x:c>
      <x:c r="X3300" s="23" t="str">
        <x:v>evandromsoliveira@gmail.com</x:v>
      </x:c>
      <x:c r="Y3300" s="22" t="str">
        <x:f>"65992188094"</x:f>
        <x:v>65992188094</x:v>
      </x:c>
      <x:c r="Z3300" s="30" t="n">
        <x:v>46368</x:v>
      </x:c>
    </x:row>
    <x:row r="3301" ht="18" customHeight="1">
      <x:c r="A3301" s="22" t="str">
        <x:f>"35365154-4cae-4326-8180-9a2ec38c7b51"</x:f>
        <x:v>35365154-4cae-4326-8180-9a2ec38c7b51</x:v>
      </x:c>
      <x:c r="B3301" s="23" t="str">
        <x:v>Rodrigo Gomes Ferreira</x:v>
      </x:c>
      <x:c r="C3301" s="23" t="str">
        <x:v>rodrigo gomes ferreira</x:v>
      </x:c>
      <x:c r="D3301" s="22" t="str">
        <x:f>"37.823.997/0001-90"</x:f>
        <x:v>37.823.997/0001-90</x:v>
      </x:c>
      <x:c r="E3301" s="22" t="str">
        <x:f>"37823997000190"</x:f>
        <x:v>37823997000190</x:v>
      </x:c>
      <x:c r="F3301" s="22" t="str">
        <x:f>"979.958.781-68"</x:f>
        <x:v>979.958.781-68</x:v>
      </x:c>
      <x:c r="G3301" s="22" t="str">
        <x:f>"97995878168"</x:f>
        <x:v>97995878168</x:v>
      </x:c>
      <x:c r="H3301" s="23" t="str">
        <x:v>rodrigaomudanca@gmail.com</x:v>
      </x:c>
      <x:c r="I3301" s="22" t="str">
        <x:f>"64 99292‑3053‬"</x:f>
        <x:v>64 99292‑3053‬</x:v>
      </x:c>
      <x:c r="J3301" s="23" t="str">
        <x:v>SPOT</x:v>
      </x:c>
      <x:c r="K3301" s="23" t="str">
        <x:v>favored_only</x:v>
      </x:c>
      <x:c r="L3301" s="24" t="b">
        <x:v>1</x:v>
      </x:c>
      <x:c r="M3301" s="23" t="n">
        <x:v>1</x:v>
      </x:c>
      <x:c r="N3301" s="28" t="n">
        <x:v>46205.60344119213</x:v>
      </x:c>
      <x:c r="O3301" s="28" t="n">
        <x:v>46205.60498657407</x:v>
      </x:c>
      <x:c r="P3301" s="23" t="str">
        <x:v>RIO VERDE</x:v>
      </x:c>
      <x:c r="Q3301" s="30" t="n">
        <x:v>30020</x:v>
      </x:c>
      <x:c r="R3301" s="22" t="str">
        <x:f>"4550677"</x:f>
        <x:v>4550677</x:v>
      </x:c>
      <x:c r="S3301" s="23" t="str">
        <x:v>Masculino</x:v>
      </x:c>
      <x:c r="T3301" s="22" t="str">
        <x:f>"NKQ7H79"</x:f>
        <x:v>NKQ7H79</x:v>
      </x:c>
      <x:c r="U3301" s="23" t="str">
        <x:v>DANILLO BACIEL ALMEIDA</x:v>
      </x:c>
      <x:c r="V3301" s="22" t="str">
        <x:f>"962.005.291-91"</x:f>
        <x:v>962.005.291-91</x:v>
      </x:c>
      <x:c r="W3301" s="22" t="str">
        <x:f>"96200529191"</x:f>
        <x:v>96200529191</x:v>
      </x:c>
      <x:c r="X3301" s="23" t="str">
        <x:v>RPT.cargas@gmail.com</x:v>
      </x:c>
      <x:c r="Y3301" s="22" t="str">
        <x:f>"(62) 99661-0607"</x:f>
        <x:v>(62) 99661-0607</x:v>
      </x:c>
      <x:c r="Z3301" s="30" t="n">
        <x:v>46220</x:v>
      </x:c>
    </x:row>
    <x:row r="3302" ht="18" customHeight="1">
      <x:c r="A3302" s="22" t="str">
        <x:f>"04c969ab-ee1f-455d-8201-76628af96154"</x:f>
        <x:v>04c969ab-ee1f-455d-8201-76628af96154</x:v>
      </x:c>
      <x:c r="B3302" s="23" t="str">
        <x:v>RODRIGO GOMES VARGAS</x:v>
      </x:c>
      <x:c r="C3302" s="23" t="str">
        <x:v>rodrigo gomes vargas</x:v>
      </x:c>
      <x:c r="D3302" s="22" t="str">
        <x:f>"41.969.701/0001-10"</x:f>
        <x:v>41.969.701/0001-10</x:v>
      </x:c>
      <x:c r="E3302" s="22" t="str">
        <x:f>"41969701000110"</x:f>
        <x:v>41969701000110</x:v>
      </x:c>
      <x:c r="F3302" s="22" t="str">
        <x:f>"735.317.152-91"</x:f>
        <x:v>735.317.152-91</x:v>
      </x:c>
      <x:c r="G3302" s="22" t="str">
        <x:f>"73531715291"</x:f>
        <x:v>73531715291</x:v>
      </x:c>
      <x:c r="H3302" s="23" t="str">
        <x:v>rodrigovargasmecanivo@gmail.com</x:v>
      </x:c>
      <x:c r="I3302" s="22" t="str">
        <x:f>"6291803500"</x:f>
        <x:v>6291803500</x:v>
      </x:c>
      <x:c r="J3302" s="23" t="str">
        <x:v>SPOT</x:v>
      </x:c>
      <x:c r="K3302" s="23" t="str">
        <x:v>favored_only</x:v>
      </x:c>
      <x:c r="L3302" s="24" t="b">
        <x:v>1</x:v>
      </x:c>
      <x:c r="M3302" s="23" t="n">
        <x:v>1</x:v>
      </x:c>
      <x:c r="N3302" s="28" t="n">
        <x:v>46203.92186888889</x:v>
      </x:c>
      <x:c r="O3302" s="28" t="n">
        <x:v>46219.812988715275</x:v>
      </x:c>
      <x:c r="P3302" s="23" t="str">
        <x:v>MOZARLANDIA</x:v>
      </x:c>
      <x:c r="Q3302" s="30" t="n">
        <x:v>30237</x:v>
      </x:c>
      <x:c r="R3302" s="22" t="str">
        <x:f>"4183621 PC PA"</x:f>
        <x:v>4183621 PC PA</x:v>
      </x:c>
      <x:c r="S3302" s="23" t="str">
        <x:v>masculino</x:v>
      </x:c>
      <x:c r="T3302" s="22" t="str">
        <x:f>"HIZ9E15"</x:f>
        <x:v>HIZ9E15</x:v>
      </x:c>
      <x:c r="U3302" s="23" t="str">
        <x:v>RODRIGO GOMES VARGAS</x:v>
      </x:c>
      <x:c r="V3302" s="22" t="str">
        <x:f>"735.317.152-91"</x:f>
        <x:v>735.317.152-91</x:v>
      </x:c>
      <x:c r="W3302" s="22" t="str">
        <x:f>"73531715291"</x:f>
        <x:v>73531715291</x:v>
      </x:c>
      <x:c r="X3302" s="23" t="str">
        <x:v>rodrigovargasmecanivo@gmail.com</x:v>
      </x:c>
      <x:c r="Y3302" s="22" t="str">
        <x:f>"6291803500"</x:f>
        <x:v>6291803500</x:v>
      </x:c>
      <x:c r="Z3302" s="30" t="n">
        <x:v>46291</x:v>
      </x:c>
    </x:row>
    <x:row r="3303" ht="18" customHeight="1">
      <x:c r="A3303" s="22" t="str">
        <x:f>"608bbc57-625d-4118-8ce7-6a2d153285fb"</x:f>
        <x:v>608bbc57-625d-4118-8ce7-6a2d153285fb</x:v>
      </x:c>
      <x:c r="B3303" s="23" t="str">
        <x:v>RODRIGO JOSE DE MENDONCA</x:v>
      </x:c>
      <x:c r="C3303" s="23" t="str">
        <x:v>rodrigo jose de mendonca</x:v>
      </x:c>
      <x:c r="D3303" s="22" t="str">
        <x:f>"60.841.984/0001-65"</x:f>
        <x:v>60.841.984/0001-65</x:v>
      </x:c>
      <x:c r="E3303" s="22" t="str">
        <x:f>"60841984000165"</x:f>
        <x:v>60841984000165</x:v>
      </x:c>
      <x:c r="F3303" s="22" t="str">
        <x:f>"416.731.368-50"</x:f>
        <x:v>416.731.368-50</x:v>
      </x:c>
      <x:c r="G3303" s="22" t="str">
        <x:f>"41673136850"</x:f>
        <x:v>41673136850</x:v>
      </x:c>
      <x:c r="H3303" s="23" t="str">
        <x:v>rodrigo.mendoncaj93@gmail.com</x:v>
      </x:c>
      <x:c r="I3303" s="22" t="str">
        <x:f>"17992439302"</x:f>
        <x:v>17992439302</x:v>
      </x:c>
      <x:c r="J3303" s="23" t="str">
        <x:v>RENTAL</x:v>
      </x:c>
      <x:c r="K3303" s="23" t="str">
        <x:v>rental_company</x:v>
      </x:c>
      <x:c r="L3303" s="24" t="b">
        <x:v>1</x:v>
      </x:c>
      <x:c r="M3303" s="23" t="n">
        <x:v>1</x:v>
      </x:c>
      <x:c r="N3303" s="28" t="n">
        <x:v>46203.92186462963</x:v>
      </x:c>
      <x:c r="O3303" s="28" t="n">
        <x:v>46219.812988715275</x:v>
      </x:c>
      <x:c r="P3303" s="23" t="str">
        <x:v>SÃO JOSE DO RIO PRETO</x:v>
      </x:c>
      <x:c r="Q3303" s="30" t="n">
        <x:v>34156</x:v>
      </x:c>
      <x:c r="R3303" s="22" t="str">
        <x:f>"489813860"</x:f>
        <x:v>489813860</x:v>
      </x:c>
      <x:c r="S3303" s="23" t="str">
        <x:v>masculino</x:v>
      </x:c>
      <x:c r="T3303" s="22" t="str"/>
      <x:c r="U3303" s="23" t="str">
        <x:v>RODRIGO JOSE DE MENDONCA</x:v>
      </x:c>
      <x:c r="V3303" s="22" t="str">
        <x:f>"416.731.368-50"</x:f>
        <x:v>416.731.368-50</x:v>
      </x:c>
      <x:c r="W3303" s="22" t="str">
        <x:f>"41673136850"</x:f>
        <x:v>41673136850</x:v>
      </x:c>
      <x:c r="X3303" s="23" t="str">
        <x:v>rodrigo.mendoncaj93@gmail.com</x:v>
      </x:c>
      <x:c r="Y3303" s="22" t="str">
        <x:f>"17992439302"</x:f>
        <x:v>17992439302</x:v>
      </x:c>
      <x:c r="Z3303" s="30" t="n">
        <x:v>46278</x:v>
      </x:c>
    </x:row>
    <x:row r="3304" ht="18" customHeight="1">
      <x:c r="A3304" s="22" t="str">
        <x:f>"d5b30f20-2df3-49e2-92db-6892f0e8f1b5"</x:f>
        <x:v>d5b30f20-2df3-49e2-92db-6892f0e8f1b5</x:v>
      </x:c>
      <x:c r="B3304" s="23" t="str">
        <x:v>RODRIGO JUNIOR CARVALHO</x:v>
      </x:c>
      <x:c r="C3304" s="23" t="str">
        <x:v>rodrigo junior carvalho</x:v>
      </x:c>
      <x:c r="D3304" s="22" t="str">
        <x:f>"55.538.488/0001-05"</x:f>
        <x:v>55.538.488/0001-05</x:v>
      </x:c>
      <x:c r="E3304" s="22" t="str">
        <x:f>"55538488000105"</x:f>
        <x:v>55538488000105</x:v>
      </x:c>
      <x:c r="F3304" s="22" t="str">
        <x:f>"167.638.736-62"</x:f>
        <x:v>167.638.736-62</x:v>
      </x:c>
      <x:c r="G3304" s="22" t="str">
        <x:f>"16763873662"</x:f>
        <x:v>16763873662</x:v>
      </x:c>
      <x:c r="H3304" s="23" t="str">
        <x:v>Carvalhorodrigo46@icloud.com</x:v>
      </x:c>
      <x:c r="I3304" s="22" t="str">
        <x:f>"(33) 9.99056393"</x:f>
        <x:v>(33) 9.99056393</x:v>
      </x:c>
      <x:c r="J3304" s="23" t="str">
        <x:v>SPOT</x:v>
      </x:c>
      <x:c r="K3304" s="23" t="str">
        <x:v>favored_only</x:v>
      </x:c>
      <x:c r="L3304" s="24" t="b">
        <x:v>1</x:v>
      </x:c>
      <x:c r="M3304" s="23" t="n">
        <x:v>1</x:v>
      </x:c>
      <x:c r="N3304" s="28" t="n">
        <x:v>46219.812988715275</x:v>
      </x:c>
      <x:c r="O3304" s="28" t="n">
        <x:v>46219.812988715275</x:v>
      </x:c>
      <x:c r="P3304" s="23" t="str">
        <x:v>GUANHAES</x:v>
      </x:c>
      <x:c r="Q3304" s="30" t="n">
        <x:v>37671</x:v>
      </x:c>
      <x:c r="R3304" s="22" t="str">
        <x:f>"22716526"</x:f>
        <x:v>22716526</x:v>
      </x:c>
      <x:c r="S3304" s="23" t="str">
        <x:v>masculino</x:v>
      </x:c>
      <x:c r="T3304" s="22" t="str">
        <x:f>"HNB8J08"</x:f>
        <x:v>HNB8J08</x:v>
      </x:c>
      <x:c r="U3304" s="23" t="str">
        <x:v>DANIEL CARLOS ROSA DE MIRANDA</x:v>
      </x:c>
      <x:c r="V3304" s="22" t="str">
        <x:f>"093.695.556-25"</x:f>
        <x:v>093.695.556-25</x:v>
      </x:c>
      <x:c r="W3304" s="22" t="str">
        <x:f>"09369555625"</x:f>
        <x:v>09369555625</x:v>
      </x:c>
      <x:c r="X3304" s="23" t="str">
        <x:v>danielcarlosrmiranda@gmail.com</x:v>
      </x:c>
      <x:c r="Y3304" s="22" t="str">
        <x:f>"33 8879-7520"</x:f>
        <x:v>33 8879-7520</x:v>
      </x:c>
      <x:c r="Z3304" s="30" t="n">
        <x:v>46533</x:v>
      </x:c>
    </x:row>
    <x:row r="3305" ht="18" customHeight="1">
      <x:c r="A3305" s="22" t="str">
        <x:f>"da06a863-b765-45b3-8473-4a90b98ec5e8"</x:f>
        <x:v>da06a863-b765-45b3-8473-4a90b98ec5e8</x:v>
      </x:c>
      <x:c r="B3305" s="23" t="str">
        <x:v>RODRIGO MARINS EGGER</x:v>
      </x:c>
      <x:c r="C3305" s="23" t="str">
        <x:v>rodrigo marins egger</x:v>
      </x:c>
      <x:c r="D3305" s="22" t="str">
        <x:f>"32.245.063/0001-02"</x:f>
        <x:v>32.245.063/0001-02</x:v>
      </x:c>
      <x:c r="E3305" s="22" t="str">
        <x:f>"32245063000102"</x:f>
        <x:v>32245063000102</x:v>
      </x:c>
      <x:c r="F3305" s="22" t="str">
        <x:f>"132.104.477-13"</x:f>
        <x:v>132.104.477-13</x:v>
      </x:c>
      <x:c r="G3305" s="22" t="str">
        <x:f>"13210447713"</x:f>
        <x:v>13210447713</x:v>
      </x:c>
      <x:c r="H3305" s="23" t="str">
        <x:v>rodrigoegger12@gmail.com</x:v>
      </x:c>
      <x:c r="I3305" s="22" t="str">
        <x:f>"21 99517-4799"</x:f>
        <x:v>21 99517-4799</x:v>
      </x:c>
      <x:c r="J3305" s="23" t="str">
        <x:v>SPOT</x:v>
      </x:c>
      <x:c r="K3305" s="23" t="str">
        <x:v>favored_only</x:v>
      </x:c>
      <x:c r="L3305" s="24" t="b">
        <x:v>1</x:v>
      </x:c>
      <x:c r="M3305" s="23" t="n">
        <x:v>2</x:v>
      </x:c>
      <x:c r="N3305" s="28" t="n">
        <x:v>46219.812988715275</x:v>
      </x:c>
      <x:c r="O3305" s="28" t="n">
        <x:v>46219.812988715275</x:v>
      </x:c>
      <x:c r="P3305" s="23" t="str">
        <x:v>ITABORAI</x:v>
      </x:c>
      <x:c r="Q3305" s="30" t="n">
        <x:v>33062</x:v>
      </x:c>
      <x:c r="R3305" s="22" t="str">
        <x:f>"241426238"</x:f>
        <x:v>241426238</x:v>
      </x:c>
      <x:c r="S3305" s="23" t="str">
        <x:v>masculino</x:v>
      </x:c>
      <x:c r="T3305" s="22" t="str">
        <x:f>"KVX9I93"</x:f>
        <x:v>KVX9I93</x:v>
      </x:c>
      <x:c r="U3305" s="23" t="str">
        <x:v>RODRIGO MARINS EGGER</x:v>
      </x:c>
      <x:c r="V3305" s="22" t="str">
        <x:f>"132.104.477-13"</x:f>
        <x:v>132.104.477-13</x:v>
      </x:c>
      <x:c r="W3305" s="22" t="str">
        <x:f>"13210447713"</x:f>
        <x:v>13210447713</x:v>
      </x:c>
      <x:c r="X3305" s="23" t="str">
        <x:v>rodrigoegger12@gmail.com</x:v>
      </x:c>
      <x:c r="Y3305" s="22" t="str">
        <x:f>"21 99517-4799"</x:f>
        <x:v>21 99517-4799</x:v>
      </x:c>
      <x:c r="Z3305" s="30" t="n">
        <x:v>46491</x:v>
      </x:c>
    </x:row>
    <x:row r="3306" ht="18" customHeight="1">
      <x:c r="A3306" s="22" t="str">
        <x:f>"54f88de0-f24a-473d-becb-64ba0df24d69"</x:f>
        <x:v>54f88de0-f24a-473d-becb-64ba0df24d69</x:v>
      </x:c>
      <x:c r="B3306" s="23" t="str">
        <x:v>RODRIGO MARINS NERES DO PRADO</x:v>
      </x:c>
      <x:c r="C3306" s="23" t="str">
        <x:v>rodrigo marins neres do prado</x:v>
      </x:c>
      <x:c r="D3306" s="22" t="str">
        <x:f>"60.031.389/0001-64"</x:f>
        <x:v>60.031.389/0001-64</x:v>
      </x:c>
      <x:c r="E3306" s="22" t="str">
        <x:f>"60031389000164"</x:f>
        <x:v>60031389000164</x:v>
      </x:c>
      <x:c r="F3306" s="22" t="str">
        <x:f>"044.320.011-43"</x:f>
        <x:v>044.320.011-43</x:v>
      </x:c>
      <x:c r="G3306" s="22" t="str">
        <x:f>"04432001143"</x:f>
        <x:v>04432001143</x:v>
      </x:c>
      <x:c r="H3306" s="23" t="str">
        <x:v>rodrigomarins231@gmail.com</x:v>
      </x:c>
      <x:c r="I3306" s="22" t="str">
        <x:f>"65993505413"</x:f>
        <x:v>65993505413</x:v>
      </x:c>
      <x:c r="J3306" s="23" t="str">
        <x:v>RENTAL</x:v>
      </x:c>
      <x:c r="K3306" s="23" t="str">
        <x:v>rental_company</x:v>
      </x:c>
      <x:c r="L3306" s="24" t="b">
        <x:v>1</x:v>
      </x:c>
      <x:c r="M3306" s="23" t="n">
        <x:v>1</x:v>
      </x:c>
      <x:c r="N3306" s="28" t="n">
        <x:v>46203.9219084375</x:v>
      </x:c>
      <x:c r="O3306" s="28" t="n">
        <x:v>46219.812988715275</x:v>
      </x:c>
      <x:c r="P3306" s="23" t="str">
        <x:v>CUIABA</x:v>
      </x:c>
      <x:c r="Q3306" s="30" t="n">
        <x:v>33545</x:v>
      </x:c>
      <x:c r="R3306" s="22" t="str">
        <x:f>"21785694"</x:f>
        <x:v>21785694</x:v>
      </x:c>
      <x:c r="S3306" s="23" t="str">
        <x:v>masculino</x:v>
      </x:c>
      <x:c r="T3306" s="22" t="str"/>
      <x:c r="U3306" s="23" t="str">
        <x:v>RODRIGO MARINS NERES DO PRADO</x:v>
      </x:c>
      <x:c r="V3306" s="22" t="str">
        <x:f>"044.320.011-43"</x:f>
        <x:v>044.320.011-43</x:v>
      </x:c>
      <x:c r="W3306" s="22" t="str">
        <x:f>"04432001143"</x:f>
        <x:v>04432001143</x:v>
      </x:c>
      <x:c r="X3306" s="23" t="str">
        <x:v>rodrigomarins231@gmail.com</x:v>
      </x:c>
      <x:c r="Y3306" s="22" t="str">
        <x:f>"65993505413"</x:f>
        <x:v>65993505413</x:v>
      </x:c>
      <x:c r="Z3306" s="30" t="n">
        <x:v>46389</x:v>
      </x:c>
    </x:row>
    <x:row r="3307" ht="18" customHeight="1">
      <x:c r="A3307" s="22" t="str">
        <x:f>"b37cb2a0-2a53-4ac5-b608-53a185ae6e84"</x:f>
        <x:v>b37cb2a0-2a53-4ac5-b608-53a185ae6e84</x:v>
      </x:c>
      <x:c r="B3307" s="23" t="str">
        <x:v>RODRIGO MARINS NERES DO PRADO</x:v>
      </x:c>
      <x:c r="C3307" s="23" t="str">
        <x:v>rodrigo marins neres do prado</x:v>
      </x:c>
      <x:c r="D3307" s="22" t="str">
        <x:f>"53.264.533/0001-47"</x:f>
        <x:v>53.264.533/0001-47</x:v>
      </x:c>
      <x:c r="E3307" s="22" t="str">
        <x:f>"53264533000147"</x:f>
        <x:v>53264533000147</x:v>
      </x:c>
      <x:c r="F3307" s="22" t="str">
        <x:f>"044.320.011-43"</x:f>
        <x:v>044.320.011-43</x:v>
      </x:c>
      <x:c r="G3307" s="22" t="str">
        <x:f>"04432001143"</x:f>
        <x:v>04432001143</x:v>
      </x:c>
      <x:c r="H3307" s="23" t="str">
        <x:v>rodrigomarins231@gmail.com</x:v>
      </x:c>
      <x:c r="I3307" s="22" t="str">
        <x:f>"65993505413"</x:f>
        <x:v>65993505413</x:v>
      </x:c>
      <x:c r="J3307" s="23" t="str">
        <x:v>SPOT</x:v>
      </x:c>
      <x:c r="K3307" s="23" t="str">
        <x:v>favored_only</x:v>
      </x:c>
      <x:c r="L3307" s="24" t="b">
        <x:v>1</x:v>
      </x:c>
      <x:c r="M3307" s="23" t="n">
        <x:v>1</x:v>
      </x:c>
      <x:c r="N3307" s="28" t="n">
        <x:v>46205.60565224537</x:v>
      </x:c>
      <x:c r="O3307" s="28" t="n">
        <x:v>46219.812988715275</x:v>
      </x:c>
      <x:c r="P3307" s="23" t="str">
        <x:v>CUIABA</x:v>
      </x:c>
      <x:c r="Q3307" s="30" t="n">
        <x:v>33545</x:v>
      </x:c>
      <x:c r="R3307" s="22" t="str">
        <x:f>"21785694"</x:f>
        <x:v>21785694</x:v>
      </x:c>
      <x:c r="S3307" s="23" t="str">
        <x:v>masculino</x:v>
      </x:c>
      <x:c r="T3307" s="22" t="str">
        <x:f>"SPT4B81"</x:f>
        <x:v>SPT4B81</x:v>
      </x:c>
      <x:c r="U3307" s="23" t="str">
        <x:v>LEONIDAS DE PINHO E SILVA</x:v>
      </x:c>
      <x:c r="V3307" s="22" t="str">
        <x:f>"692.451.851-68"</x:f>
        <x:v>692.451.851-68</x:v>
      </x:c>
      <x:c r="W3307" s="22" t="str">
        <x:f>"69245185168"</x:f>
        <x:v>69245185168</x:v>
      </x:c>
      <x:c r="X3307" s="23" t="str">
        <x:v>veloxlogisticamt@gmail.com</x:v>
      </x:c>
      <x:c r="Y3307" s="22" t="str">
        <x:f>"(65) 99632-1030"</x:f>
        <x:v>(65) 99632-1030</x:v>
      </x:c>
      <x:c r="Z3307" s="30" t="n">
        <x:v>46329</x:v>
      </x:c>
    </x:row>
    <x:row r="3308" ht="18" customHeight="1">
      <x:c r="A3308" s="22" t="str">
        <x:f>"e61fb247-f7de-4ed7-9ea9-80f156b8d9d1"</x:f>
        <x:v>e61fb247-f7de-4ed7-9ea9-80f156b8d9d1</x:v>
      </x:c>
      <x:c r="B3308" s="23" t="str">
        <x:v>RODRIGO MELLO DA SILVA</x:v>
      </x:c>
      <x:c r="C3308" s="23" t="str">
        <x:v>rodrigo mello da silva</x:v>
      </x:c>
      <x:c r="D3308" s="22" t="str">
        <x:f>"55.951.629/0001-09"</x:f>
        <x:v>55.951.629/0001-09</x:v>
      </x:c>
      <x:c r="E3308" s="22" t="str">
        <x:f>"55951629000109"</x:f>
        <x:v>55951629000109</x:v>
      </x:c>
      <x:c r="F3308" s="22" t="str">
        <x:f>"116.813.877-94"</x:f>
        <x:v>116.813.877-94</x:v>
      </x:c>
      <x:c r="G3308" s="22" t="str">
        <x:f>"11681387794"</x:f>
        <x:v>11681387794</x:v>
      </x:c>
      <x:c r="H3308" s="23" t="str">
        <x:v>rodrigoxumello@gmail.com</x:v>
      </x:c>
      <x:c r="I3308" s="22" t="str">
        <x:f>"2198737-3087"</x:f>
        <x:v>2198737-3087</x:v>
      </x:c>
      <x:c r="J3308" s="23" t="str">
        <x:v>spot</x:v>
      </x:c>
      <x:c r="K3308" s="23" t="str">
        <x:v>favored_only</x:v>
      </x:c>
      <x:c r="L3308" s="24" t="b">
        <x:v>1</x:v>
      </x:c>
      <x:c r="M3308" s="23" t="n">
        <x:v>1</x:v>
      </x:c>
      <x:c r="N3308" s="28" t="n">
        <x:v>46219.812988715275</x:v>
      </x:c>
      <x:c r="O3308" s="28" t="n">
        <x:v>46219.812988715275</x:v>
      </x:c>
      <x:c r="P3308" s="23" t="str">
        <x:v>CAMPO GRANDE</x:v>
      </x:c>
      <x:c r="Q3308" s="30" t="n">
        <x:v>31348</x:v>
      </x:c>
      <x:c r="R3308" s="22" t="str">
        <x:f>"214098956"</x:f>
        <x:v>214098956</x:v>
      </x:c>
      <x:c r="S3308" s="23" t="str">
        <x:v>masculino</x:v>
      </x:c>
      <x:c r="T3308" s="22" t="str">
        <x:f>"LSG6I89"</x:f>
        <x:v>LSG6I89</x:v>
      </x:c>
      <x:c r="U3308" s="23" t="str">
        <x:v>RODRIGO MELLO DA SILVA</x:v>
      </x:c>
      <x:c r="V3308" s="22" t="str">
        <x:f>"116.813.877-94"</x:f>
        <x:v>116.813.877-94</x:v>
      </x:c>
      <x:c r="W3308" s="22" t="str">
        <x:f>"11681387794"</x:f>
        <x:v>11681387794</x:v>
      </x:c>
      <x:c r="X3308" s="23" t="str">
        <x:v>rodrigoxumello@gmail.com</x:v>
      </x:c>
      <x:c r="Y3308" s="22" t="str">
        <x:f>"2198737-3087"</x:f>
        <x:v>2198737-3087</x:v>
      </x:c>
      <x:c r="Z3308" s="30" t="n">
        <x:v>46565</x:v>
      </x:c>
    </x:row>
    <x:row r="3309" ht="18" customHeight="1">
      <x:c r="A3309" s="22" t="str">
        <x:f>"0d9b0496-cd99-44fe-8ca6-4b50f2e2ffd4"</x:f>
        <x:v>0d9b0496-cd99-44fe-8ca6-4b50f2e2ffd4</x:v>
      </x:c>
      <x:c r="B3309" s="23" t="str">
        <x:v>RODRIGO MENDES LUCIANO</x:v>
      </x:c>
      <x:c r="C3309" s="23" t="str">
        <x:v>rodrigo mendes luciano</x:v>
      </x:c>
      <x:c r="D3309" s="22" t="str">
        <x:f>"55.746.122/0001-13"</x:f>
        <x:v>55.746.122/0001-13</x:v>
      </x:c>
      <x:c r="E3309" s="22" t="str">
        <x:f>"55746122000113"</x:f>
        <x:v>55746122000113</x:v>
      </x:c>
      <x:c r="F3309" s="22" t="str">
        <x:f>"066.297.166-39"</x:f>
        <x:v>066.297.166-39</x:v>
      </x:c>
      <x:c r="G3309" s="22" t="str">
        <x:f>"06629716639"</x:f>
        <x:v>06629716639</x:v>
      </x:c>
      <x:c r="H3309" s="23" t="str">
        <x:v>rm.luciano123@gmail.com</x:v>
      </x:c>
      <x:c r="I3309" s="22" t="str">
        <x:f>"(35) 99838-5010"</x:f>
        <x:v>(35) 99838-5010</x:v>
      </x:c>
      <x:c r="J3309" s="23" t="str">
        <x:v>RENTAL</x:v>
      </x:c>
      <x:c r="K3309" s="23" t="str">
        <x:v>rental_company</x:v>
      </x:c>
      <x:c r="L3309" s="24" t="b">
        <x:v>1</x:v>
      </x:c>
      <x:c r="M3309" s="23" t="n">
        <x:v>1</x:v>
      </x:c>
      <x:c r="N3309" s="28" t="n">
        <x:v>46219.812988715275</x:v>
      </x:c>
      <x:c r="O3309" s="28" t="n">
        <x:v>46219.812988715275</x:v>
      </x:c>
      <x:c r="P3309" s="23" t="str">
        <x:v>POUSO ALEGRE</x:v>
      </x:c>
      <x:c r="Q3309" s="30" t="n">
        <x:v>30970</x:v>
      </x:c>
      <x:c r="R3309" s="22" t="str">
        <x:f>"MG13898829 SSP MG"</x:f>
        <x:v>MG13898829 SSP MG</x:v>
      </x:c>
      <x:c r="S3309" s="23" t="str">
        <x:v>masculino</x:v>
      </x:c>
      <x:c r="T3309" s="22" t="str"/>
      <x:c r="U3309" s="23" t="str">
        <x:v>RODRIGO MENDES LUCIANO</x:v>
      </x:c>
      <x:c r="V3309" s="22" t="str">
        <x:f>"066.297.166-39"</x:f>
        <x:v>066.297.166-39</x:v>
      </x:c>
      <x:c r="W3309" s="22" t="str">
        <x:f>"06629716639"</x:f>
        <x:v>06629716639</x:v>
      </x:c>
      <x:c r="X3309" s="23" t="str">
        <x:v>rm.luciano123@gmail.com</x:v>
      </x:c>
      <x:c r="Y3309" s="22" t="str">
        <x:f>"(35) 99838-5010"</x:f>
        <x:v>(35) 99838-5010</x:v>
      </x:c>
      <x:c r="Z3309" s="30" t="n">
        <x:v>46570</x:v>
      </x:c>
    </x:row>
    <x:row r="3310" ht="18" customHeight="1">
      <x:c r="A3310" s="22" t="str">
        <x:f>"93608505-929b-49a5-9fff-544a87cc1006"</x:f>
        <x:v>93608505-929b-49a5-9fff-544a87cc1006</x:v>
      </x:c>
      <x:c r="B3310" s="23" t="str">
        <x:v>RODRIGO MOTA DIAS FERREIRA</x:v>
      </x:c>
      <x:c r="C3310" s="23" t="str">
        <x:v>rodrigo mota dias ferreira</x:v>
      </x:c>
      <x:c r="D3310" s="22" t="str">
        <x:f>"60.321.454/0001-96"</x:f>
        <x:v>60.321.454/0001-96</x:v>
      </x:c>
      <x:c r="E3310" s="22" t="str">
        <x:f>"60321454000196"</x:f>
        <x:v>60321454000196</x:v>
      </x:c>
      <x:c r="F3310" s="22" t="str">
        <x:f>"531.850.001-90"</x:f>
        <x:v>531.850.001-90</x:v>
      </x:c>
      <x:c r="G3310" s="22" t="str">
        <x:f>"53185000190"</x:f>
        <x:v>53185000190</x:v>
      </x:c>
      <x:c r="H3310" s="23" t="str">
        <x:v>ro.mdfe@gmail.com</x:v>
      </x:c>
      <x:c r="I3310" s="22" t="str">
        <x:f>"65 9.9635-6437"</x:f>
        <x:v>65 9.9635-6437</x:v>
      </x:c>
      <x:c r="J3310" s="23" t="str">
        <x:v>SPOT</x:v>
      </x:c>
      <x:c r="K3310" s="23" t="str">
        <x:v>favored_only</x:v>
      </x:c>
      <x:c r="L3310" s="24" t="b">
        <x:v>1</x:v>
      </x:c>
      <x:c r="M3310" s="23" t="n">
        <x:v>1</x:v>
      </x:c>
      <x:c r="N3310" s="28" t="n">
        <x:v>46219.812988715275</x:v>
      </x:c>
      <x:c r="O3310" s="28" t="n">
        <x:v>46219.812988715275</x:v>
      </x:c>
      <x:c r="P3310" s="23" t="str">
        <x:v>PONTES E LACERDA</x:v>
      </x:c>
      <x:c r="Q3310" s="30" t="n">
        <x:v>35272</x:v>
      </x:c>
      <x:c r="R3310" s="22" t="str">
        <x:f>"22711538"</x:f>
        <x:v>22711538</x:v>
      </x:c>
      <x:c r="S3310" s="23" t="str">
        <x:v>masculino</x:v>
      </x:c>
      <x:c r="T3310" s="22" t="str">
        <x:f>"RTV1J58"</x:f>
        <x:v>RTV1J58</x:v>
      </x:c>
      <x:c r="U3310" s="23" t="str">
        <x:v>RODRIGO MOTA DIAS FERREIRA</x:v>
      </x:c>
      <x:c r="V3310" s="22" t="str">
        <x:f>"531.850.001-90"</x:f>
        <x:v>531.850.001-90</x:v>
      </x:c>
      <x:c r="W3310" s="22" t="str">
        <x:f>"53185000190"</x:f>
        <x:v>53185000190</x:v>
      </x:c>
      <x:c r="X3310" s="23" t="str">
        <x:v>ro.mdfe@gmail.com</x:v>
      </x:c>
      <x:c r="Y3310" s="22" t="str">
        <x:f>"65 9.9635-6437"</x:f>
        <x:v>65 9.9635-6437</x:v>
      </x:c>
      <x:c r="Z3310" s="30" t="n">
        <x:v>46457</x:v>
      </x:c>
    </x:row>
    <x:row r="3311" ht="18" customHeight="1">
      <x:c r="A3311" s="22" t="str">
        <x:f>"9ac3fc09-869c-495d-b863-0daeb76486ac"</x:f>
        <x:v>9ac3fc09-869c-495d-b863-0daeb76486ac</x:v>
      </x:c>
      <x:c r="B3311" s="23" t="str">
        <x:v>RODRIGO NUNES LOBREGATE</x:v>
      </x:c>
      <x:c r="C3311" s="23" t="str">
        <x:v>rodrigo nunes lobregate</x:v>
      </x:c>
      <x:c r="D3311" s="22" t="str">
        <x:f>"48.153.546/0001-09"</x:f>
        <x:v>48.153.546/0001-09</x:v>
      </x:c>
      <x:c r="E3311" s="22" t="str">
        <x:f>"48153546000109"</x:f>
        <x:v>48153546000109</x:v>
      </x:c>
      <x:c r="F3311" s="22" t="str">
        <x:f>"233.342.778-79"</x:f>
        <x:v>233.342.778-79</x:v>
      </x:c>
      <x:c r="G3311" s="22" t="str">
        <x:f>"23334277879"</x:f>
        <x:v>23334277879</x:v>
      </x:c>
      <x:c r="H3311" s="23" t="str">
        <x:v>rodrigonuneslobregate1985@gmail.com</x:v>
      </x:c>
      <x:c r="I3311" s="22" t="str">
        <x:f>"11973885416"</x:f>
        <x:v>11973885416</x:v>
      </x:c>
      <x:c r="J3311" s="23" t="str">
        <x:v>RENTAL</x:v>
      </x:c>
      <x:c r="K3311" s="23" t="str">
        <x:v>rental_company</x:v>
      </x:c>
      <x:c r="L3311" s="24" t="b">
        <x:v>1</x:v>
      </x:c>
      <x:c r="M3311" s="23" t="n">
        <x:v>1</x:v>
      </x:c>
      <x:c r="N3311" s="28" t="n">
        <x:v>46203.9219084375</x:v>
      </x:c>
      <x:c r="O3311" s="28" t="n">
        <x:v>46219.812988715275</x:v>
      </x:c>
      <x:c r="P3311" s="23" t="str">
        <x:v>BARUERI</x:v>
      </x:c>
      <x:c r="Q3311" s="30" t="n">
        <x:v>31329</x:v>
      </x:c>
      <x:c r="R3311" s="22" t="str">
        <x:f>"408737232"</x:f>
        <x:v>408737232</x:v>
      </x:c>
      <x:c r="S3311" s="23" t="str">
        <x:v>masculino</x:v>
      </x:c>
      <x:c r="T3311" s="22" t="str"/>
      <x:c r="U3311" s="23" t="str">
        <x:v>RODRIGO NUNES LOBREGATE</x:v>
      </x:c>
      <x:c r="V3311" s="22" t="str">
        <x:f>"233.342.778-79"</x:f>
        <x:v>233.342.778-79</x:v>
      </x:c>
      <x:c r="W3311" s="22" t="str">
        <x:f>"23334277879"</x:f>
        <x:v>23334277879</x:v>
      </x:c>
      <x:c r="X3311" s="23" t="str">
        <x:v>rodrigonuneslobregate1985@gmail.com</x:v>
      </x:c>
      <x:c r="Y3311" s="22" t="str">
        <x:f>"11973885416"</x:f>
        <x:v>11973885416</x:v>
      </x:c>
      <x:c r="Z3311" s="30" t="n">
        <x:v>46396</x:v>
      </x:c>
    </x:row>
    <x:row r="3312" ht="18" customHeight="1">
      <x:c r="A3312" s="22" t="str">
        <x:f>"0f605b83-f2dc-4d24-8ebf-f2d79103bc7a"</x:f>
        <x:v>0f605b83-f2dc-4d24-8ebf-f2d79103bc7a</x:v>
      </x:c>
      <x:c r="B3312" s="23" t="str">
        <x:v>RODRIGO OLIVEIRA DA SILVA</x:v>
      </x:c>
      <x:c r="C3312" s="23" t="str">
        <x:v>rodrigo oliveira da silva</x:v>
      </x:c>
      <x:c r="D3312" s="22" t="str">
        <x:f>"66.150.476/0001-71"</x:f>
        <x:v>66.150.476/0001-71</x:v>
      </x:c>
      <x:c r="E3312" s="22" t="str">
        <x:f>"66150476000171"</x:f>
        <x:v>66150476000171</x:v>
      </x:c>
      <x:c r="F3312" s="22" t="str">
        <x:f>"875.841.660-91"</x:f>
        <x:v>875.841.660-91</x:v>
      </x:c>
      <x:c r="G3312" s="22" t="str">
        <x:f>"87584166091"</x:f>
        <x:v>87584166091</x:v>
      </x:c>
      <x:c r="H3312" s="23" t="str">
        <x:v>Rdoliveiradd@gmail.com</x:v>
      </x:c>
      <x:c r="I3312" s="22" t="str">
        <x:f>"+55 51 8055-2469"</x:f>
        <x:v>+55 51 8055-2469</x:v>
      </x:c>
      <x:c r="J3312" s="23" t="str">
        <x:v>SPOT</x:v>
      </x:c>
      <x:c r="K3312" s="23" t="str">
        <x:v>favored_only</x:v>
      </x:c>
      <x:c r="L3312" s="24" t="b">
        <x:v>1</x:v>
      </x:c>
      <x:c r="M3312" s="23" t="n">
        <x:v>1</x:v>
      </x:c>
      <x:c r="N3312" s="28" t="n">
        <x:v>46219.812988715275</x:v>
      </x:c>
      <x:c r="O3312" s="28" t="n">
        <x:v>46219.812988715275</x:v>
      </x:c>
      <x:c r="P3312" s="23" t="str">
        <x:v>PONTES E LACERDA</x:v>
      </x:c>
      <x:c r="Q3312" s="30" t="n">
        <x:v>35432</x:v>
      </x:c>
      <x:c r="R3312" s="22" t="str">
        <x:f>"87584166091"</x:f>
        <x:v>87584166091</x:v>
      </x:c>
      <x:c r="S3312" s="23" t="str">
        <x:v>masculino</x:v>
      </x:c>
      <x:c r="T3312" s="22" t="str">
        <x:f>"ITL3E13"</x:f>
        <x:v>ITL3E13</x:v>
      </x:c>
      <x:c r="U3312" s="23" t="str">
        <x:v>RODRIGO OLIVEIRA DA SILVA</x:v>
      </x:c>
      <x:c r="V3312" s="22" t="str">
        <x:f>"875.841.660-91"</x:f>
        <x:v>875.841.660-91</x:v>
      </x:c>
      <x:c r="W3312" s="22" t="str">
        <x:f>"87584166091"</x:f>
        <x:v>87584166091</x:v>
      </x:c>
      <x:c r="X3312" s="23" t="str">
        <x:v>Rdoliveiradd@gmail.com</x:v>
      </x:c>
      <x:c r="Y3312" s="22" t="str">
        <x:f>"+55 51 8055-2469"</x:f>
        <x:v>+55 51 8055-2469</x:v>
      </x:c>
      <x:c r="Z3312" s="30" t="n">
        <x:v>46486</x:v>
      </x:c>
    </x:row>
    <x:row r="3313" ht="18" customHeight="1">
      <x:c r="A3313" s="22" t="str">
        <x:f>"d481108a-6881-412f-9b89-6c9e43e76278"</x:f>
        <x:v>d481108a-6881-412f-9b89-6c9e43e76278</x:v>
      </x:c>
      <x:c r="B3313" s="23" t="str">
        <x:v>RODRIGO OLIVEIRA DA SILVA</x:v>
      </x:c>
      <x:c r="C3313" s="23" t="str">
        <x:v>rodrigo oliveira da silva</x:v>
      </x:c>
      <x:c r="D3313" s="22" t="str">
        <x:f>"66.150.476/0001-17"</x:f>
        <x:v>66.150.476/0001-17</x:v>
      </x:c>
      <x:c r="E3313" s="22" t="str">
        <x:f>"66150476000117"</x:f>
        <x:v>66150476000117</x:v>
      </x:c>
      <x:c r="F3313" s="22" t="str">
        <x:f>"875.741.660-90"</x:f>
        <x:v>875.741.660-90</x:v>
      </x:c>
      <x:c r="G3313" s="22" t="str">
        <x:f>"87574166090"</x:f>
        <x:v>87574166090</x:v>
      </x:c>
      <x:c r="H3313" s="23" t="str">
        <x:v>Rdoliveiradd@gmail.com</x:v>
      </x:c>
      <x:c r="I3313" s="22" t="str">
        <x:f>"+55 51 8055-2469"</x:f>
        <x:v>+55 51 8055-2469</x:v>
      </x:c>
      <x:c r="J3313" s="23" t="str">
        <x:v>SPOT</x:v>
      </x:c>
      <x:c r="K3313" s="23" t="str">
        <x:v>favored_only</x:v>
      </x:c>
      <x:c r="L3313" s="24" t="b">
        <x:v>1</x:v>
      </x:c>
      <x:c r="M3313" s="23" t="n">
        <x:v>1</x:v>
      </x:c>
      <x:c r="N3313" s="28" t="n">
        <x:v>46219.812988715275</x:v>
      </x:c>
      <x:c r="O3313" s="28" t="n">
        <x:v>46219.812988715275</x:v>
      </x:c>
      <x:c r="P3313" s="23" t="str">
        <x:v>PONTES E LACERDA</x:v>
      </x:c>
      <x:c r="Q3313" s="30" t="n">
        <x:v>35432</x:v>
      </x:c>
      <x:c r="R3313" s="22" t="str">
        <x:f>"87584166091"</x:f>
        <x:v>87584166091</x:v>
      </x:c>
      <x:c r="S3313" s="23" t="str">
        <x:v>masculino</x:v>
      </x:c>
      <x:c r="T3313" s="22" t="str">
        <x:f>"itl3e13"</x:f>
        <x:v>itl3e13</x:v>
      </x:c>
      <x:c r="U3313" s="23" t="str">
        <x:v>RODRIGO OLIVEIRA DA SILVA</x:v>
      </x:c>
      <x:c r="V3313" s="22" t="str">
        <x:f>"875.741.660-90"</x:f>
        <x:v>875.741.660-90</x:v>
      </x:c>
      <x:c r="W3313" s="22" t="str">
        <x:f>"87574166090"</x:f>
        <x:v>87574166090</x:v>
      </x:c>
      <x:c r="X3313" s="23" t="str">
        <x:v>Rdoliveiradd@gmail.com</x:v>
      </x:c>
      <x:c r="Y3313" s="22" t="str">
        <x:f>"+55 51 8055-2469"</x:f>
        <x:v>+55 51 8055-2469</x:v>
      </x:c>
      <x:c r="Z3313" s="30" t="n">
        <x:v>46486</x:v>
      </x:c>
    </x:row>
    <x:row r="3314" ht="18" customHeight="1">
      <x:c r="A3314" s="22" t="str">
        <x:f>"923f46d4-3cd8-4bd0-bc25-12c6b8509664"</x:f>
        <x:v>923f46d4-3cd8-4bd0-bc25-12c6b8509664</x:v>
      </x:c>
      <x:c r="B3314" s="23" t="str">
        <x:v>RODRIGO OTREIRA RODRIGUES</x:v>
      </x:c>
      <x:c r="C3314" s="23" t="str">
        <x:v>rodrigo otreira rodrigues</x:v>
      </x:c>
      <x:c r="D3314" s="22" t="str">
        <x:f>"52.886.303/0001-57"</x:f>
        <x:v>52.886.303/0001-57</x:v>
      </x:c>
      <x:c r="E3314" s="22" t="str">
        <x:f>"52886303000157"</x:f>
        <x:v>52886303000157</x:v>
      </x:c>
      <x:c r="F3314" s="22" t="str">
        <x:f>"145.726.638-58"</x:f>
        <x:v>145.726.638-58</x:v>
      </x:c>
      <x:c r="G3314" s="22" t="str">
        <x:f>"14572663858"</x:f>
        <x:v>14572663858</x:v>
      </x:c>
      <x:c r="H3314" s="23" t="str">
        <x:v>rodrigootreira@icloud.com</x:v>
      </x:c>
      <x:c r="I3314" s="22" t="str">
        <x:f>"+55 14 99793-9001"</x:f>
        <x:v>+55 14 99793-9001</x:v>
      </x:c>
      <x:c r="J3314" s="23" t="str">
        <x:v>SPOT</x:v>
      </x:c>
      <x:c r="K3314" s="23" t="str">
        <x:v>favored_only</x:v>
      </x:c>
      <x:c r="L3314" s="24" t="b">
        <x:v>1</x:v>
      </x:c>
      <x:c r="M3314" s="23" t="n">
        <x:v>1</x:v>
      </x:c>
      <x:c r="N3314" s="28" t="n">
        <x:v>46219.812988715275</x:v>
      </x:c>
      <x:c r="O3314" s="28" t="n">
        <x:v>46219.812988715275</x:v>
      </x:c>
      <x:c r="P3314" s="23" t="str">
        <x:v>MARILIA</x:v>
      </x:c>
      <x:c r="Q3314" s="30" t="n">
        <x:v>29898</x:v>
      </x:c>
      <x:c r="R3314" s="22" t="str">
        <x:f>"27781965"</x:f>
        <x:v>27781965</x:v>
      </x:c>
      <x:c r="S3314" s="23" t="str">
        <x:v>masculino</x:v>
      </x:c>
      <x:c r="T3314" s="22" t="str">
        <x:f>"EJC7F37"</x:f>
        <x:v>EJC7F37</x:v>
      </x:c>
      <x:c r="U3314" s="23" t="str">
        <x:v>OTREIRA RESTAURANTE E PIZZARIA LTDA</x:v>
      </x:c>
      <x:c r="V3314" s="22" t="str">
        <x:f>"145.726.638-58"</x:f>
        <x:v>145.726.638-58</x:v>
      </x:c>
      <x:c r="W3314" s="22" t="str">
        <x:f>"14572663858"</x:f>
        <x:v>14572663858</x:v>
      </x:c>
      <x:c r="X3314" s="23" t="str">
        <x:v>rodrigootreira@icloud.com</x:v>
      </x:c>
      <x:c r="Y3314" s="22" t="str">
        <x:f>"+55 14 99793-9001"</x:f>
        <x:v>+55 14 99793-9001</x:v>
      </x:c>
      <x:c r="Z3314" s="30" t="n">
        <x:v>46567</x:v>
      </x:c>
    </x:row>
    <x:row r="3315" ht="18" customHeight="1">
      <x:c r="A3315" s="22" t="str">
        <x:f>"8fc21396-dd07-4700-b35e-370b4dd5a035"</x:f>
        <x:v>8fc21396-dd07-4700-b35e-370b4dd5a035</x:v>
      </x:c>
      <x:c r="B3315" s="23" t="str">
        <x:v>RODRIGO RANGEL DE OLIVEIRA</x:v>
      </x:c>
      <x:c r="C3315" s="23" t="str">
        <x:v>rodrigo rangel de oliveira</x:v>
      </x:c>
      <x:c r="D3315" s="22" t="str">
        <x:f>"47.133.840/0001-96"</x:f>
        <x:v>47.133.840/0001-96</x:v>
      </x:c>
      <x:c r="E3315" s="22" t="str">
        <x:f>"47133840000196"</x:f>
        <x:v>47133840000196</x:v>
      </x:c>
      <x:c r="F3315" s="22" t="str">
        <x:f>"346.784.648-32"</x:f>
        <x:v>346.784.648-32</x:v>
      </x:c>
      <x:c r="G3315" s="22" t="str">
        <x:f>"34678464832"</x:f>
        <x:v>34678464832</x:v>
      </x:c>
      <x:c r="H3315" s="23" t="str">
        <x:v>rangel.rr52@gmail.com</x:v>
      </x:c>
      <x:c r="I3315" s="22" t="str">
        <x:f>"11947631952"</x:f>
        <x:v>11947631952</x:v>
      </x:c>
      <x:c r="J3315" s="23" t="str">
        <x:v>SPOT</x:v>
      </x:c>
      <x:c r="K3315" s="23" t="str">
        <x:v>favored_only</x:v>
      </x:c>
      <x:c r="L3315" s="24" t="b">
        <x:v>1</x:v>
      </x:c>
      <x:c r="M3315" s="23" t="n">
        <x:v>1</x:v>
      </x:c>
      <x:c r="N3315" s="28" t="n">
        <x:v>46203.92186462963</x:v>
      </x:c>
      <x:c r="O3315" s="28" t="n">
        <x:v>46219.812988715275</x:v>
      </x:c>
      <x:c r="P3315" s="23" t="str">
        <x:v>BARUERI</x:v>
      </x:c>
      <x:c r="Q3315" s="30" t="n">
        <x:v>31301</x:v>
      </x:c>
      <x:c r="R3315" s="22" t="str">
        <x:f>"43545867"</x:f>
        <x:v>43545867</x:v>
      </x:c>
      <x:c r="S3315" s="23" t="str">
        <x:v>masculino</x:v>
      </x:c>
      <x:c r="T3315" s="22" t="str">
        <x:f>"RMK0H00"</x:f>
        <x:v>RMK0H00</x:v>
      </x:c>
      <x:c r="U3315" s="23" t="str">
        <x:v>RODRIGO RANGEL DE OLIVEIRA</x:v>
      </x:c>
      <x:c r="V3315" s="22" t="str">
        <x:f>"346.784.648-32"</x:f>
        <x:v>346.784.648-32</x:v>
      </x:c>
      <x:c r="W3315" s="22" t="str">
        <x:f>"34678464832"</x:f>
        <x:v>34678464832</x:v>
      </x:c>
      <x:c r="X3315" s="23" t="str">
        <x:v>rangel.rr52@gmail.com</x:v>
      </x:c>
      <x:c r="Y3315" s="22" t="str">
        <x:f>"11947631952"</x:f>
        <x:v>11947631952</x:v>
      </x:c>
      <x:c r="Z3315" s="30" t="n">
        <x:v>46270</x:v>
      </x:c>
    </x:row>
    <x:row r="3316" ht="18" customHeight="1">
      <x:c r="A3316" s="22" t="str">
        <x:f>"7c53e597-76d5-4e41-8982-7c80e8e629f3"</x:f>
        <x:v>7c53e597-76d5-4e41-8982-7c80e8e629f3</x:v>
      </x:c>
      <x:c r="B3316" s="23" t="str">
        <x:v>RODRIGO RIBEIRO DE ARAUJO</x:v>
      </x:c>
      <x:c r="C3316" s="23" t="str">
        <x:v>rodrigo ribeiro de araujo</x:v>
      </x:c>
      <x:c r="D3316" s="22" t="str">
        <x:f>"55.946.377/0001-20"</x:f>
        <x:v>55.946.377/0001-20</x:v>
      </x:c>
      <x:c r="E3316" s="22" t="str">
        <x:f>"55946377000120"</x:f>
        <x:v>55946377000120</x:v>
      </x:c>
      <x:c r="F3316" s="22" t="str">
        <x:f>"328.057.918-00"</x:f>
        <x:v>328.057.918-00</x:v>
      </x:c>
      <x:c r="G3316" s="22" t="str">
        <x:f>"32805791800"</x:f>
        <x:v>32805791800</x:v>
      </x:c>
      <x:c r="H3316" s="23" t="str">
        <x:v>baribeiro@hotmail.com</x:v>
      </x:c>
      <x:c r="I3316" s="22" t="str">
        <x:f>"17-99723-5432"</x:f>
        <x:v>17-99723-5432</x:v>
      </x:c>
      <x:c r="J3316" s="23" t="str">
        <x:v>SPOT</x:v>
      </x:c>
      <x:c r="K3316" s="23" t="str">
        <x:v>favored_only</x:v>
      </x:c>
      <x:c r="L3316" s="24" t="b">
        <x:v>1</x:v>
      </x:c>
      <x:c r="M3316" s="23" t="n">
        <x:v>1</x:v>
      </x:c>
      <x:c r="N3316" s="28" t="n">
        <x:v>46219.812988715275</x:v>
      </x:c>
      <x:c r="O3316" s="28" t="n">
        <x:v>46219.812988715275</x:v>
      </x:c>
      <x:c r="P3316" s="23" t="str">
        <x:v>JALES</x:v>
      </x:c>
      <x:c r="Q3316" s="30" t="n">
        <x:v>31255</x:v>
      </x:c>
      <x:c r="R3316" s="22" t="str">
        <x:f>"30658891"</x:f>
        <x:v>30658891</x:v>
      </x:c>
      <x:c r="S3316" s="23" t="str">
        <x:v>masculino</x:v>
      </x:c>
      <x:c r="T3316" s="22" t="str">
        <x:f>"FBC7F89"</x:f>
        <x:v>FBC7F89</x:v>
      </x:c>
      <x:c r="U3316" s="23" t="str">
        <x:v>RODRIGO RIBEIRO DE ARAUJO</x:v>
      </x:c>
      <x:c r="V3316" s="22" t="str">
        <x:f>"328.057.918-00"</x:f>
        <x:v>328.057.918-00</x:v>
      </x:c>
      <x:c r="W3316" s="22" t="str">
        <x:f>"32805791800"</x:f>
        <x:v>32805791800</x:v>
      </x:c>
      <x:c r="X3316" s="23" t="str">
        <x:v>baribeiro@hotmail.com</x:v>
      </x:c>
      <x:c r="Y3316" s="22" t="str">
        <x:f>"17-99723-5432"</x:f>
        <x:v>17-99723-5432</x:v>
      </x:c>
      <x:c r="Z3316" s="30" t="n">
        <x:v>46547</x:v>
      </x:c>
    </x:row>
    <x:row r="3317" ht="18" customHeight="1">
      <x:c r="A3317" s="22" t="str">
        <x:f>"445b0a0e-4775-47ee-91a3-91d6184c5848"</x:f>
        <x:v>445b0a0e-4775-47ee-91a3-91d6184c5848</x:v>
      </x:c>
      <x:c r="B3317" s="23" t="str">
        <x:v>RODRIGO ROBERT CIPRIANO</x:v>
      </x:c>
      <x:c r="C3317" s="23" t="str">
        <x:v>rodrigo robert cipriano</x:v>
      </x:c>
      <x:c r="D3317" s="22" t="str">
        <x:f>"55.026.738/0001-10"</x:f>
        <x:v>55.026.738/0001-10</x:v>
      </x:c>
      <x:c r="E3317" s="22" t="str">
        <x:f>"55026738000110"</x:f>
        <x:v>55026738000110</x:v>
      </x:c>
      <x:c r="F3317" s="22" t="str">
        <x:f>"045.759.786-04"</x:f>
        <x:v>045.759.786-04</x:v>
      </x:c>
      <x:c r="G3317" s="22" t="str">
        <x:f>"04575978604"</x:f>
        <x:v>04575978604</x:v>
      </x:c>
      <x:c r="H3317" s="23" t="str">
        <x:v>rodrigorobertcipriano33@gmail.com</x:v>
      </x:c>
      <x:c r="I3317" s="22" t="str">
        <x:f>"(34) 99661-6957"</x:f>
        <x:v>(34) 99661-6957</x:v>
      </x:c>
      <x:c r="J3317" s="23" t="str">
        <x:v>RENTAL</x:v>
      </x:c>
      <x:c r="K3317" s="23" t="str">
        <x:v>rental_company</x:v>
      </x:c>
      <x:c r="L3317" s="24" t="b">
        <x:v>1</x:v>
      </x:c>
      <x:c r="M3317" s="23" t="n">
        <x:v>1</x:v>
      </x:c>
      <x:c r="N3317" s="28" t="n">
        <x:v>46203.921824756944</x:v>
      </x:c>
      <x:c r="O3317" s="28" t="n">
        <x:v>46219.812988715275</x:v>
      </x:c>
      <x:c r="P3317" s="23" t="str">
        <x:v>UBERABA</x:v>
      </x:c>
      <x:c r="Q3317" s="30" t="n">
        <x:v>28849</x:v>
      </x:c>
      <x:c r="R3317" s="22" t="str">
        <x:f>"MG11775465"</x:f>
        <x:v>MG11775465</x:v>
      </x:c>
      <x:c r="S3317" s="23" t="str">
        <x:v>masculino</x:v>
      </x:c>
      <x:c r="T3317" s="22" t="str"/>
      <x:c r="U3317" s="23" t="str">
        <x:v>RODRIGO ROBERT CIPRIANO</x:v>
      </x:c>
      <x:c r="V3317" s="22" t="str">
        <x:f>"055.026.738-04"</x:f>
        <x:v>055.026.738-04</x:v>
      </x:c>
      <x:c r="W3317" s="22" t="str">
        <x:f>"05502673804"</x:f>
        <x:v>05502673804</x:v>
      </x:c>
      <x:c r="X3317" s="23" t="str">
        <x:v>rodrigorobertcipriano33@gmail.com</x:v>
      </x:c>
      <x:c r="Y3317" s="22" t="str">
        <x:f>"(34) 99661-6957045474"</x:f>
        <x:v>(34) 99661-6957045474</x:v>
      </x:c>
      <x:c r="Z3317" s="30" t="n">
        <x:v>46344</x:v>
      </x:c>
    </x:row>
    <x:row r="3318" ht="18" customHeight="1">
      <x:c r="A3318" s="22" t="str">
        <x:f>"c9257ce9-2020-4b49-b897-b7e21146ec1c"</x:f>
        <x:v>c9257ce9-2020-4b49-b897-b7e21146ec1c</x:v>
      </x:c>
      <x:c r="B3318" s="23" t="str">
        <x:v>RODRIGO RODRIGUES DA SILVA</x:v>
      </x:c>
      <x:c r="C3318" s="23" t="str">
        <x:v>rodrigo rodrigues da silva</x:v>
      </x:c>
      <x:c r="D3318" s="22" t="str">
        <x:f>"65.927.341/0001-52"</x:f>
        <x:v>65.927.341/0001-52</x:v>
      </x:c>
      <x:c r="E3318" s="22" t="str">
        <x:f>"65927341000152"</x:f>
        <x:v>65927341000152</x:v>
      </x:c>
      <x:c r="F3318" s="22" t="str">
        <x:f>"825.689.441-53"</x:f>
        <x:v>825.689.441-53</x:v>
      </x:c>
      <x:c r="G3318" s="22" t="str">
        <x:f>"82568944153"</x:f>
        <x:v>82568944153</x:v>
      </x:c>
      <x:c r="H3318" s="23" t="str">
        <x:v>rrs3129@gmail.com</x:v>
      </x:c>
      <x:c r="I3318" s="22" t="str">
        <x:f>"65 99266 1781"</x:f>
        <x:v>65 99266 1781</x:v>
      </x:c>
      <x:c r="J3318" s="23" t="str">
        <x:v>SPOT</x:v>
      </x:c>
      <x:c r="K3318" s="23" t="str">
        <x:v>favored_only</x:v>
      </x:c>
      <x:c r="L3318" s="24" t="b">
        <x:v>1</x:v>
      </x:c>
      <x:c r="M3318" s="23" t="n">
        <x:v>1</x:v>
      </x:c>
      <x:c r="N3318" s="28" t="n">
        <x:v>46219.812988715275</x:v>
      </x:c>
      <x:c r="O3318" s="28" t="n">
        <x:v>46219.812988715275</x:v>
      </x:c>
      <x:c r="P3318" s="23" t="str">
        <x:v>CUIABA</x:v>
      </x:c>
      <x:c r="Q3318" s="30" t="n">
        <x:v>45016</x:v>
      </x:c>
      <x:c r="R3318" s="22" t="str">
        <x:f>"1148857 3"</x:f>
        <x:v>1148857 3</x:v>
      </x:c>
      <x:c r="S3318" s="23" t="str">
        <x:v>masculino</x:v>
      </x:c>
      <x:c r="T3318" s="22" t="str">
        <x:f>"QBZ2B41"</x:f>
        <x:v>QBZ2B41</x:v>
      </x:c>
      <x:c r="U3318" s="23" t="str">
        <x:v>RODRIGO RODRIGUES DA SILVA</x:v>
      </x:c>
      <x:c r="V3318" s="22" t="str">
        <x:f>"825.689.441-53"</x:f>
        <x:v>825.689.441-53</x:v>
      </x:c>
      <x:c r="W3318" s="22" t="str">
        <x:f>"82568944153"</x:f>
        <x:v>82568944153</x:v>
      </x:c>
      <x:c r="X3318" s="23" t="str">
        <x:v>rrs3129@gmail.com</x:v>
      </x:c>
      <x:c r="Y3318" s="22" t="str">
        <x:f>"65 99266 1781"</x:f>
        <x:v>65 99266 1781</x:v>
      </x:c>
      <x:c r="Z3318" s="30" t="n">
        <x:v>46474</x:v>
      </x:c>
    </x:row>
    <x:row r="3319" ht="18" customHeight="1">
      <x:c r="A3319" s="22" t="str">
        <x:f>"7bb4306e-1422-45ed-85ea-5545bac117c8"</x:f>
        <x:v>7bb4306e-1422-45ed-85ea-5545bac117c8</x:v>
      </x:c>
      <x:c r="B3319" s="23" t="str">
        <x:v>RODRIGO SEVERO FERREIRA</x:v>
      </x:c>
      <x:c r="C3319" s="23" t="str">
        <x:v>rodrigo severo ferreira</x:v>
      </x:c>
      <x:c r="D3319" s="22" t="str">
        <x:f>"37.204.343/0001-88"</x:f>
        <x:v>37.204.343/0001-88</x:v>
      </x:c>
      <x:c r="E3319" s="22" t="str">
        <x:f>"37204343000188"</x:f>
        <x:v>37204343000188</x:v>
      </x:c>
      <x:c r="F3319" s="22" t="str">
        <x:f>"112.032.137-94"</x:f>
        <x:v>112.032.137-94</x:v>
      </x:c>
      <x:c r="G3319" s="22" t="str">
        <x:f>"11203213794"</x:f>
        <x:v>11203213794</x:v>
      </x:c>
      <x:c r="H3319" s="23" t="str">
        <x:v>r.severo1986@gmail.com</x:v>
      </x:c>
      <x:c r="I3319" s="22" t="str">
        <x:f>"(21)99777-2233"</x:f>
        <x:v>(21)99777-2233</x:v>
      </x:c>
      <x:c r="J3319" s="23" t="str">
        <x:v>SPOT</x:v>
      </x:c>
      <x:c r="K3319" s="23" t="str">
        <x:v>favored_only</x:v>
      </x:c>
      <x:c r="L3319" s="24" t="b">
        <x:v>1</x:v>
      </x:c>
      <x:c r="M3319" s="23" t="n">
        <x:v>1</x:v>
      </x:c>
      <x:c r="N3319" s="28" t="n">
        <x:v>46219.812988715275</x:v>
      </x:c>
      <x:c r="O3319" s="28" t="n">
        <x:v>46219.812988715275</x:v>
      </x:c>
      <x:c r="P3319" s="23" t="str">
        <x:v>CORDOVIL</x:v>
      </x:c>
      <x:c r="Q3319" s="30" t="n">
        <x:v>31551</x:v>
      </x:c>
      <x:c r="R3319" s="22" t="str">
        <x:f>"21.172.481-0"</x:f>
        <x:v>21.172.481-0</x:v>
      </x:c>
      <x:c r="S3319" s="23" t="str">
        <x:v>masculino</x:v>
      </x:c>
      <x:c r="T3319" s="22" t="str">
        <x:f>"QOF2H02"</x:f>
        <x:v>QOF2H02</x:v>
      </x:c>
      <x:c r="U3319" s="23" t="str">
        <x:v>RODRIGO SEVERO FERREIRA</x:v>
      </x:c>
      <x:c r="V3319" s="22" t="str">
        <x:f>"112.032.137-94"</x:f>
        <x:v>112.032.137-94</x:v>
      </x:c>
      <x:c r="W3319" s="22" t="str">
        <x:f>"11203213794"</x:f>
        <x:v>11203213794</x:v>
      </x:c>
      <x:c r="X3319" s="23" t="str">
        <x:v>r.severo1986@gmail.com</x:v>
      </x:c>
      <x:c r="Y3319" s="22" t="str">
        <x:f>"(21)99777-2233"</x:f>
        <x:v>(21)99777-2233</x:v>
      </x:c>
      <x:c r="Z3319" s="30" t="n">
        <x:v>46564</x:v>
      </x:c>
    </x:row>
    <x:row r="3320" ht="18" customHeight="1">
      <x:c r="A3320" s="22" t="str">
        <x:f>"c00f212d-9b20-423e-be57-855924b2f3ee"</x:f>
        <x:v>c00f212d-9b20-423e-be57-855924b2f3ee</x:v>
      </x:c>
      <x:c r="B3320" s="23" t="str">
        <x:v>RODRIGO SILVA BENHOSSI</x:v>
      </x:c>
      <x:c r="C3320" s="23" t="str">
        <x:v>rodrigo silva benhossi</x:v>
      </x:c>
      <x:c r="D3320" s="22" t="str">
        <x:f>"55.901.154/0001-46"</x:f>
        <x:v>55.901.154/0001-46</x:v>
      </x:c>
      <x:c r="E3320" s="22" t="str">
        <x:f>"55901154000146"</x:f>
        <x:v>55901154000146</x:v>
      </x:c>
      <x:c r="F3320" s="22" t="str">
        <x:f>"455.601.848-02"</x:f>
        <x:v>455.601.848-02</x:v>
      </x:c>
      <x:c r="G3320" s="22" t="str">
        <x:f>"45560184802"</x:f>
        <x:v>45560184802</x:v>
      </x:c>
      <x:c r="H3320" s="23" t="str">
        <x:v>rsb7644@gmail.com</x:v>
      </x:c>
      <x:c r="I3320" s="22" t="str">
        <x:f>"17997660542"</x:f>
        <x:v>17997660542</x:v>
      </x:c>
      <x:c r="J3320" s="23" t="str">
        <x:v>SPOT</x:v>
      </x:c>
      <x:c r="K3320" s="23" t="str">
        <x:v>favored_only</x:v>
      </x:c>
      <x:c r="L3320" s="24" t="b">
        <x:v>1</x:v>
      </x:c>
      <x:c r="M3320" s="23" t="n">
        <x:v>1</x:v>
      </x:c>
      <x:c r="N3320" s="28" t="n">
        <x:v>46219.812988715275</x:v>
      </x:c>
      <x:c r="O3320" s="28" t="n">
        <x:v>46219.812988715275</x:v>
      </x:c>
      <x:c r="P3320" s="23" t="str">
        <x:v>JALES</x:v>
      </x:c>
      <x:c r="Q3320" s="30" t="n">
        <x:v>35571</x:v>
      </x:c>
      <x:c r="R3320" s="22" t="str">
        <x:f>"56.483.343-5"</x:f>
        <x:v>56.483.343-5</x:v>
      </x:c>
      <x:c r="S3320" s="23" t="str">
        <x:v>masculino</x:v>
      </x:c>
      <x:c r="T3320" s="22" t="str">
        <x:f>"FWP3F12"</x:f>
        <x:v>FWP3F12</x:v>
      </x:c>
      <x:c r="U3320" s="23" t="str">
        <x:v>RODRIGO SILVA BENHOSSI</x:v>
      </x:c>
      <x:c r="V3320" s="22" t="str">
        <x:f>"455.601.848-02"</x:f>
        <x:v>455.601.848-02</x:v>
      </x:c>
      <x:c r="W3320" s="22" t="str">
        <x:f>"45560184802"</x:f>
        <x:v>45560184802</x:v>
      </x:c>
      <x:c r="X3320" s="23" t="str">
        <x:v>rsb7644@gmail.com</x:v>
      </x:c>
      <x:c r="Y3320" s="22" t="str">
        <x:f>"17997660542"</x:f>
        <x:v>17997660542</x:v>
      </x:c>
      <x:c r="Z3320" s="30" t="n">
        <x:v>46521</x:v>
      </x:c>
    </x:row>
    <x:row r="3321" ht="18" customHeight="1">
      <x:c r="A3321" s="22" t="str">
        <x:f>"e2386cc7-5096-47cb-8f9b-ef1abad0d802"</x:f>
        <x:v>e2386cc7-5096-47cb-8f9b-ef1abad0d802</x:v>
      </x:c>
      <x:c r="B3321" s="23" t="str">
        <x:v>RODRIGO SILVINO VEIGA</x:v>
      </x:c>
      <x:c r="C3321" s="23" t="str">
        <x:v>rodrigo silvino veiga</x:v>
      </x:c>
      <x:c r="D3321" s="22" t="str">
        <x:f>"62.968.438/0001-15"</x:f>
        <x:v>62.968.438/0001-15</x:v>
      </x:c>
      <x:c r="E3321" s="22" t="str">
        <x:f>"62968438000115"</x:f>
        <x:v>62968438000115</x:v>
      </x:c>
      <x:c r="F3321" s="22" t="str">
        <x:f>"153.689.017-04"</x:f>
        <x:v>153.689.017-04</x:v>
      </x:c>
      <x:c r="G3321" s="22" t="str">
        <x:f>"15368901704"</x:f>
        <x:v>15368901704</x:v>
      </x:c>
      <x:c r="H3321" s="23" t="str">
        <x:v>rdveiga57@gmail.com</x:v>
      </x:c>
      <x:c r="I3321" s="22" t="str">
        <x:f>"21989885572"</x:f>
        <x:v>21989885572</x:v>
      </x:c>
      <x:c r="J3321" s="23" t="str">
        <x:v>SPOT</x:v>
      </x:c>
      <x:c r="K3321" s="23" t="str">
        <x:v>favored_only</x:v>
      </x:c>
      <x:c r="L3321" s="24" t="b">
        <x:v>1</x:v>
      </x:c>
      <x:c r="M3321" s="23" t="n">
        <x:v>1</x:v>
      </x:c>
      <x:c r="N3321" s="28" t="n">
        <x:v>46219.812988715275</x:v>
      </x:c>
      <x:c r="O3321" s="28" t="n">
        <x:v>46219.812988715275</x:v>
      </x:c>
      <x:c r="P3321" s="23" t="str">
        <x:v>ITABORAI</x:v>
      </x:c>
      <x:c r="Q3321" s="30" t="n">
        <x:v>34142</x:v>
      </x:c>
      <x:c r="R3321" s="22" t="str">
        <x:f>"256147422"</x:f>
        <x:v>256147422</x:v>
      </x:c>
      <x:c r="S3321" s="23" t="str">
        <x:v>masculino</x:v>
      </x:c>
      <x:c r="T3321" s="22" t="str">
        <x:f>"kyr6260"</x:f>
        <x:v>kyr6260</x:v>
      </x:c>
      <x:c r="U3321" s="23" t="str">
        <x:v>RODRIGO SILVINO VEIGA</x:v>
      </x:c>
      <x:c r="V3321" s="22" t="str">
        <x:f>"153.689.017-04"</x:f>
        <x:v>153.689.017-04</x:v>
      </x:c>
      <x:c r="W3321" s="22" t="str">
        <x:f>"15368901704"</x:f>
        <x:v>15368901704</x:v>
      </x:c>
      <x:c r="X3321" s="23" t="str">
        <x:v>rdveiga57@gmail.com</x:v>
      </x:c>
      <x:c r="Y3321" s="22" t="str">
        <x:f>"21989885572"</x:f>
        <x:v>21989885572</x:v>
      </x:c>
      <x:c r="Z3321" s="30" t="n">
        <x:v>46445</x:v>
      </x:c>
    </x:row>
    <x:row r="3322" ht="18" customHeight="1">
      <x:c r="A3322" s="22" t="str">
        <x:f>"8bfe2be5-366a-42f9-a733-da83b7e93292"</x:f>
        <x:v>8bfe2be5-366a-42f9-a733-da83b7e93292</x:v>
      </x:c>
      <x:c r="B3322" s="23" t="str">
        <x:v>RODRIGO WAGNER DOS SANTOS</x:v>
      </x:c>
      <x:c r="C3322" s="23" t="str">
        <x:v>rodrigo wagner dos santos</x:v>
      </x:c>
      <x:c r="D3322" s="22" t="str">
        <x:f>"59.960.917/0001-80"</x:f>
        <x:v>59.960.917/0001-80</x:v>
      </x:c>
      <x:c r="E3322" s="22" t="str">
        <x:f>"59960917000180"</x:f>
        <x:v>59960917000180</x:v>
      </x:c>
      <x:c r="F3322" s="22" t="str">
        <x:f>"086.572.436-95"</x:f>
        <x:v>086.572.436-95</x:v>
      </x:c>
      <x:c r="G3322" s="22" t="str">
        <x:f>"08657243695"</x:f>
        <x:v>08657243695</x:v>
      </x:c>
      <x:c r="H3322" s="23" t="str">
        <x:v>rodw306@gmail.com</x:v>
      </x:c>
      <x:c r="I3322" s="22" t="str">
        <x:f>"31995133672"</x:f>
        <x:v>31995133672</x:v>
      </x:c>
      <x:c r="J3322" s="23" t="str">
        <x:v>SPOT</x:v>
      </x:c>
      <x:c r="K3322" s="23" t="str">
        <x:v>favored_only</x:v>
      </x:c>
      <x:c r="L3322" s="24" t="b">
        <x:v>1</x:v>
      </x:c>
      <x:c r="M3322" s="23" t="n">
        <x:v>1</x:v>
      </x:c>
      <x:c r="N3322" s="28" t="n">
        <x:v>46203.92184908565</x:v>
      </x:c>
      <x:c r="O3322" s="28" t="n">
        <x:v>46219.812988715275</x:v>
      </x:c>
      <x:c r="P3322" s="23" t="str">
        <x:v>VESPASIANO</x:v>
      </x:c>
      <x:c r="Q3322" s="30" t="n">
        <x:v>32557</x:v>
      </x:c>
      <x:c r="R3322" s="22" t="str">
        <x:f>"mg15342741"</x:f>
        <x:v>mg15342741</x:v>
      </x:c>
      <x:c r="S3322" s="23" t="str">
        <x:v>masculino</x:v>
      </x:c>
      <x:c r="T3322" s="22" t="str">
        <x:f>"OLQ4B34"</x:f>
        <x:v>OLQ4B34</x:v>
      </x:c>
      <x:c r="U3322" s="23" t="str">
        <x:v>RODRIGO WAGNER DOS SANTOS</x:v>
      </x:c>
      <x:c r="V3322" s="22" t="str">
        <x:f>"086.572.436-95"</x:f>
        <x:v>086.572.436-95</x:v>
      </x:c>
      <x:c r="W3322" s="22" t="str">
        <x:f>"08657243695"</x:f>
        <x:v>08657243695</x:v>
      </x:c>
      <x:c r="X3322" s="23" t="str">
        <x:v>rodw306@gmail.com</x:v>
      </x:c>
      <x:c r="Y3322" s="22" t="str">
        <x:f>"31995133672"</x:f>
        <x:v>31995133672</x:v>
      </x:c>
      <x:c r="Z3322" s="30" t="n">
        <x:v>46494</x:v>
      </x:c>
    </x:row>
    <x:row r="3323" ht="18" customHeight="1">
      <x:c r="A3323" s="22" t="str">
        <x:f>"216143a4-c201-4c84-932f-2d43dc5dfee8"</x:f>
        <x:v>216143a4-c201-4c84-932f-2d43dc5dfee8</x:v>
      </x:c>
      <x:c r="B3323" s="23" t="str">
        <x:v>RODRIGO WALLACE DA SILVA ASSIS</x:v>
      </x:c>
      <x:c r="C3323" s="23" t="str">
        <x:v>rodrigo wallace da silva assis</x:v>
      </x:c>
      <x:c r="D3323" s="22" t="str">
        <x:f>"54.996.198/0001-34"</x:f>
        <x:v>54.996.198/0001-34</x:v>
      </x:c>
      <x:c r="E3323" s="22" t="str">
        <x:f>"54996198000134"</x:f>
        <x:v>54996198000134</x:v>
      </x:c>
      <x:c r="F3323" s="22" t="str">
        <x:f>"157.138.207-00"</x:f>
        <x:v>157.138.207-00</x:v>
      </x:c>
      <x:c r="G3323" s="22" t="str">
        <x:f>"15713820700"</x:f>
        <x:v>15713820700</x:v>
      </x:c>
      <x:c r="H3323" s="23" t="str">
        <x:v>rdassis917@gmail.com</x:v>
      </x:c>
      <x:c r="I3323" s="22" t="str">
        <x:f>"(65) 99307-4929"</x:f>
        <x:v>(65) 99307-4929</x:v>
      </x:c>
      <x:c r="J3323" s="23" t="str">
        <x:v>SPOT</x:v>
      </x:c>
      <x:c r="K3323" s="23" t="str">
        <x:v>favored_only</x:v>
      </x:c>
      <x:c r="L3323" s="24" t="b">
        <x:v>1</x:v>
      </x:c>
      <x:c r="M3323" s="23" t="n">
        <x:v>1</x:v>
      </x:c>
      <x:c r="N3323" s="28" t="n">
        <x:v>46205.60714584491</x:v>
      </x:c>
      <x:c r="O3323" s="28" t="n">
        <x:v>46219.812988715275</x:v>
      </x:c>
      <x:c r="P3323" s="23" t="str">
        <x:v>PONTES E LACERDA</x:v>
      </x:c>
      <x:c r="Q3323" s="30" t="n">
        <x:v>35690</x:v>
      </x:c>
      <x:c r="R3323" s="22" t="str">
        <x:f>"28.543.332-2"</x:f>
        <x:v>28.543.332-2</x:v>
      </x:c>
      <x:c r="S3323" s="23" t="str">
        <x:v>masculino</x:v>
      </x:c>
      <x:c r="T3323" s="22" t="str">
        <x:f>"QBN3B36"</x:f>
        <x:v>QBN3B36</x:v>
      </x:c>
      <x:c r="U3323" s="23" t="str">
        <x:v>TAMIRES QUIRINO MENDES ABREU</x:v>
      </x:c>
      <x:c r="V3323" s="22" t="str">
        <x:f>"064.584.541-80"</x:f>
        <x:v>064.584.541-80</x:v>
      </x:c>
      <x:c r="W3323" s="22" t="str">
        <x:f>"06458454180"</x:f>
        <x:v>06458454180</x:v>
      </x:c>
      <x:c r="X3323" s="23" t="str">
        <x:v>Tamiresqs01@gmail.com</x:v>
      </x:c>
      <x:c r="Y3323" s="22" t="str">
        <x:f>"67 9321-2876"</x:f>
        <x:v>67 9321-2876</x:v>
      </x:c>
      <x:c r="Z3323" s="30" t="n">
        <x:v>46401</x:v>
      </x:c>
    </x:row>
    <x:row r="3324" ht="18" customHeight="1">
      <x:c r="A3324" s="22" t="str">
        <x:f>"4e6763b0-6178-4d6c-a6dd-d5db83c9cdcd"</x:f>
        <x:v>4e6763b0-6178-4d6c-a6dd-d5db83c9cdcd</x:v>
      </x:c>
      <x:c r="B3324" s="23" t="str">
        <x:v>RODRIGUES DA SILVA</x:v>
      </x:c>
      <x:c r="C3324" s="23" t="str">
        <x:v>rodrigues da silva</x:v>
      </x:c>
      <x:c r="D3324" s="22" t="str">
        <x:f>"59.289.663/0001-10"</x:f>
        <x:v>59.289.663/0001-10</x:v>
      </x:c>
      <x:c r="E3324" s="22" t="str">
        <x:f>"59289663000110"</x:f>
        <x:v>59289663000110</x:v>
      </x:c>
      <x:c r="F3324" s="22" t="str">
        <x:f>"474.226.808-30"</x:f>
        <x:v>474.226.808-30</x:v>
      </x:c>
      <x:c r="G3324" s="22" t="str">
        <x:f>"47422680830"</x:f>
        <x:v>47422680830</x:v>
      </x:c>
      <x:c r="H3324" s="23" t="str">
        <x:v>wander_francisco@hotmail.com</x:v>
      </x:c>
      <x:c r="I3324" s="22" t="str">
        <x:f>"11977579255"</x:f>
        <x:v>11977579255</x:v>
      </x:c>
      <x:c r="J3324" s="23" t="str">
        <x:v>RENTAL</x:v>
      </x:c>
      <x:c r="K3324" s="23" t="str">
        <x:v>rental_company</x:v>
      </x:c>
      <x:c r="L3324" s="24" t="b">
        <x:v>1</x:v>
      </x:c>
      <x:c r="M3324" s="23" t="n">
        <x:v>1</x:v>
      </x:c>
      <x:c r="N3324" s="28" t="n">
        <x:v>46219.812988715275</x:v>
      </x:c>
      <x:c r="O3324" s="28" t="n">
        <x:v>46219.812988715275</x:v>
      </x:c>
      <x:c r="P3324" s="23" t="str">
        <x:v>BARUERI</x:v>
      </x:c>
      <x:c r="Q3324" s="30" t="n">
        <x:v>37173</x:v>
      </x:c>
      <x:c r="R3324" s="22" t="str">
        <x:f>"389448606"</x:f>
        <x:v>389448606</x:v>
      </x:c>
      <x:c r="S3324" s="23" t="str">
        <x:v>masculino</x:v>
      </x:c>
      <x:c r="T3324" s="22" t="str"/>
      <x:c r="U3324" s="23" t="str">
        <x:v>RODRIGUES DA SILVA</x:v>
      </x:c>
      <x:c r="V3324" s="22" t="str">
        <x:f>"474.226.808-30"</x:f>
        <x:v>474.226.808-30</x:v>
      </x:c>
      <x:c r="W3324" s="22" t="str">
        <x:f>"47422680830"</x:f>
        <x:v>47422680830</x:v>
      </x:c>
      <x:c r="X3324" s="23" t="str">
        <x:v>wander_francisco@hotmail.com</x:v>
      </x:c>
      <x:c r="Y3324" s="22" t="str">
        <x:f>"11977579255"</x:f>
        <x:v>11977579255</x:v>
      </x:c>
      <x:c r="Z3324" s="30" t="n">
        <x:v>46578</x:v>
      </x:c>
    </x:row>
    <x:row r="3325" ht="18" customHeight="1">
      <x:c r="A3325" s="22" t="str">
        <x:f>"53627167-07f3-4e2c-9266-340415ced653"</x:f>
        <x:v>53627167-07f3-4e2c-9266-340415ced653</x:v>
      </x:c>
      <x:c r="B3325" s="23" t="str">
        <x:v>ROGERIO AQUINO DE OLIVEIRA</x:v>
      </x:c>
      <x:c r="C3325" s="23" t="str">
        <x:v>rogerio aquino de oliveira</x:v>
      </x:c>
      <x:c r="D3325" s="22" t="str">
        <x:f>"65.782.885/0001-73"</x:f>
        <x:v>65.782.885/0001-73</x:v>
      </x:c>
      <x:c r="E3325" s="22" t="str">
        <x:f>"65782885000173"</x:f>
        <x:v>65782885000173</x:v>
      </x:c>
      <x:c r="F3325" s="22" t="str">
        <x:f>"344.450.118-86"</x:f>
        <x:v>344.450.118-86</x:v>
      </x:c>
      <x:c r="G3325" s="22" t="str">
        <x:f>"34445011886"</x:f>
        <x:v>34445011886</x:v>
      </x:c>
      <x:c r="H3325" s="23" t="str">
        <x:v>rogerioaquinooliveira@gmail.com</x:v>
      </x:c>
      <x:c r="I3325" s="22" t="str">
        <x:f>"18997253698"</x:f>
        <x:v>18997253698</x:v>
      </x:c>
      <x:c r="J3325" s="23" t="str">
        <x:v>RENTAL</x:v>
      </x:c>
      <x:c r="K3325" s="23" t="str">
        <x:v>rental_company</x:v>
      </x:c>
      <x:c r="L3325" s="24" t="b">
        <x:v>1</x:v>
      </x:c>
      <x:c r="M3325" s="23" t="n">
        <x:v>1</x:v>
      </x:c>
      <x:c r="N3325" s="28" t="n">
        <x:v>46219.812988715275</x:v>
      </x:c>
      <x:c r="O3325" s="28" t="n">
        <x:v>46219.812988715275</x:v>
      </x:c>
      <x:c r="P3325" s="23" t="str">
        <x:v>PRESIDENTE PRUDENTE</x:v>
      </x:c>
      <x:c r="Q3325" s="30" t="n">
        <x:v>31208</x:v>
      </x:c>
      <x:c r="R3325" s="22" t="str">
        <x:f>"417592917"</x:f>
        <x:v>417592917</x:v>
      </x:c>
      <x:c r="S3325" s="23" t="str">
        <x:v>masculino</x:v>
      </x:c>
      <x:c r="T3325" s="22" t="str"/>
      <x:c r="U3325" s="23" t="str">
        <x:v>ROGERIO AQUINO DE OLIVEIRA</x:v>
      </x:c>
      <x:c r="V3325" s="22" t="str">
        <x:f>"344.450.118-86"</x:f>
        <x:v>344.450.118-86</x:v>
      </x:c>
      <x:c r="W3325" s="22" t="str">
        <x:f>"34445011886"</x:f>
        <x:v>34445011886</x:v>
      </x:c>
      <x:c r="X3325" s="23" t="str">
        <x:v>rogerioaquinooliveira@gmail.com</x:v>
      </x:c>
      <x:c r="Y3325" s="22" t="str">
        <x:f>"18997253698"</x:f>
        <x:v>18997253698</x:v>
      </x:c>
      <x:c r="Z3325" s="30" t="n">
        <x:v>46469</x:v>
      </x:c>
    </x:row>
    <x:row r="3326" ht="18" customHeight="1">
      <x:c r="A3326" s="22" t="str">
        <x:f>"99bdea27-7797-41c9-9cf9-8ad938d9ad85"</x:f>
        <x:v>99bdea27-7797-41c9-9cf9-8ad938d9ad85</x:v>
      </x:c>
      <x:c r="B3326" s="23" t="str">
        <x:v>ROGERIO CONCEICAO DA SILVA</x:v>
      </x:c>
      <x:c r="C3326" s="23" t="str">
        <x:v>rogerio conceicao da silva</x:v>
      </x:c>
      <x:c r="D3326" s="22" t="str">
        <x:f>"66.942.766/0001-01"</x:f>
        <x:v>66.942.766/0001-01</x:v>
      </x:c>
      <x:c r="E3326" s="22" t="str">
        <x:f>"66942766000101"</x:f>
        <x:v>66942766000101</x:v>
      </x:c>
      <x:c r="F3326" s="22" t="str">
        <x:f>"024.131.175-63"</x:f>
        <x:v>024.131.175-63</x:v>
      </x:c>
      <x:c r="G3326" s="22" t="str">
        <x:f>"02413117563"</x:f>
        <x:v>02413117563</x:v>
      </x:c>
      <x:c r="H3326" s="23" t="str">
        <x:v>soulbass.guitar@gmail.com</x:v>
      </x:c>
      <x:c r="I3326" s="22" t="str">
        <x:f>"(11) 9 9344-6334"</x:f>
        <x:v>(11) 9 9344-6334</x:v>
      </x:c>
      <x:c r="J3326" s="23" t="str">
        <x:v>RENTAL</x:v>
      </x:c>
      <x:c r="K3326" s="23" t="str">
        <x:v>rental_company</x:v>
      </x:c>
      <x:c r="L3326" s="24" t="b">
        <x:v>1</x:v>
      </x:c>
      <x:c r="M3326" s="23" t="n">
        <x:v>1</x:v>
      </x:c>
      <x:c r="N3326" s="28" t="n">
        <x:v>46219.812988715275</x:v>
      </x:c>
      <x:c r="O3326" s="28" t="n">
        <x:v>46219.812988715275</x:v>
      </x:c>
      <x:c r="P3326" s="23" t="str">
        <x:v>BARUERI</x:v>
      </x:c>
      <x:c r="Q3326" s="30" t="n">
        <x:v>31148</x:v>
      </x:c>
      <x:c r="R3326" s="22" t="str">
        <x:f>"397790995"</x:f>
        <x:v>397790995</x:v>
      </x:c>
      <x:c r="S3326" s="23" t="str">
        <x:v>masculino</x:v>
      </x:c>
      <x:c r="T3326" s="22" t="str"/>
      <x:c r="U3326" s="23" t="str">
        <x:v>ROGERIO CONCEICAO DA SILVA</x:v>
      </x:c>
      <x:c r="V3326" s="22" t="str">
        <x:f>"024.131.175-63"</x:f>
        <x:v>024.131.175-63</x:v>
      </x:c>
      <x:c r="W3326" s="22" t="str">
        <x:f>"02413117563"</x:f>
        <x:v>02413117563</x:v>
      </x:c>
      <x:c r="X3326" s="23" t="str">
        <x:v>soulbass.guitar@gmail.com</x:v>
      </x:c>
      <x:c r="Y3326" s="22" t="str">
        <x:f>"(11) 9 9344-6334"</x:f>
        <x:v>(11) 9 9344-6334</x:v>
      </x:c>
      <x:c r="Z3326" s="30" t="n">
        <x:v>46530</x:v>
      </x:c>
    </x:row>
    <x:row r="3327" ht="18" customHeight="1">
      <x:c r="A3327" s="22" t="str">
        <x:f>"1ea11ea0-3db1-4005-af1b-e7082d22678f"</x:f>
        <x:v>1ea11ea0-3db1-4005-af1b-e7082d22678f</x:v>
      </x:c>
      <x:c r="B3327" s="23" t="str">
        <x:v>ROGERIO DA SILVA</x:v>
      </x:c>
      <x:c r="C3327" s="23" t="str">
        <x:v>rogerio da silva</x:v>
      </x:c>
      <x:c r="D3327" s="22" t="str">
        <x:f>"55.335.990/0001-00"</x:f>
        <x:v>55.335.990/0001-00</x:v>
      </x:c>
      <x:c r="E3327" s="22" t="str">
        <x:f>"55335990000100"</x:f>
        <x:v>55335990000100</x:v>
      </x:c>
      <x:c r="F3327" s="22" t="str">
        <x:f>"078.395.227-93"</x:f>
        <x:v>078.395.227-93</x:v>
      </x:c>
      <x:c r="G3327" s="22" t="str">
        <x:f>"07839522793"</x:f>
        <x:v>07839522793</x:v>
      </x:c>
      <x:c r="H3327" s="23" t="str">
        <x:v>rogerio_silva1977@hotmail.com</x:v>
      </x:c>
      <x:c r="I3327" s="22" t="str">
        <x:f>"21983714173"</x:f>
        <x:v>21983714173</x:v>
      </x:c>
      <x:c r="J3327" s="23" t="str">
        <x:v>SPOT</x:v>
      </x:c>
      <x:c r="K3327" s="23" t="str">
        <x:v>favored_only</x:v>
      </x:c>
      <x:c r="L3327" s="24" t="b">
        <x:v>1</x:v>
      </x:c>
      <x:c r="M3327" s="23" t="n">
        <x:v>2</x:v>
      </x:c>
      <x:c r="N3327" s="28" t="n">
        <x:v>46203.92189965278</x:v>
      </x:c>
      <x:c r="O3327" s="28" t="n">
        <x:v>46219.812988715275</x:v>
      </x:c>
      <x:c r="P3327" s="23" t="str">
        <x:v>CORDOVIL</x:v>
      </x:c>
      <x:c r="Q3327" s="30" t="n">
        <x:v>28179</x:v>
      </x:c>
      <x:c r="R3327" s="22" t="str">
        <x:f>"107324428"</x:f>
        <x:v>107324428</x:v>
      </x:c>
      <x:c r="S3327" s="23" t="str">
        <x:v>masculino</x:v>
      </x:c>
      <x:c r="T3327" s="22" t="str">
        <x:f>"KXI8F82"</x:f>
        <x:v>KXI8F82</x:v>
      </x:c>
      <x:c r="U3327" s="23" t="str">
        <x:v>ROGERIO DA SILVA</x:v>
      </x:c>
      <x:c r="V3327" s="22" t="str">
        <x:f>"078.395.227-93"</x:f>
        <x:v>078.395.227-93</x:v>
      </x:c>
      <x:c r="W3327" s="22" t="str">
        <x:f>"07839522793"</x:f>
        <x:v>07839522793</x:v>
      </x:c>
      <x:c r="X3327" s="23" t="str">
        <x:v>rogerio_silva1977@hotmail.com</x:v>
      </x:c>
      <x:c r="Y3327" s="22" t="str">
        <x:f>"21983714173"</x:f>
        <x:v>21983714173</x:v>
      </x:c>
      <x:c r="Z3327" s="30" t="n">
        <x:v>46448</x:v>
      </x:c>
    </x:row>
    <x:row r="3328" ht="18" customHeight="1">
      <x:c r="A3328" s="22" t="str">
        <x:f>"a88ba590-8dc4-45ed-95b0-75296bb90d11"</x:f>
        <x:v>a88ba590-8dc4-45ed-95b0-75296bb90d11</x:v>
      </x:c>
      <x:c r="B3328" s="23" t="str">
        <x:v>ROGERIO DA SILVA</x:v>
      </x:c>
      <x:c r="C3328" s="23" t="str">
        <x:v>rogerio da silva</x:v>
      </x:c>
      <x:c r="D3328" s="22" t="str">
        <x:f>"66.020.799/0001-96"</x:f>
        <x:v>66.020.799/0001-96</x:v>
      </x:c>
      <x:c r="E3328" s="22" t="str">
        <x:f>"66020799000196"</x:f>
        <x:v>66020799000196</x:v>
      </x:c>
      <x:c r="F3328" s="22" t="str">
        <x:f>"041.379.886-09"</x:f>
        <x:v>041.379.886-09</x:v>
      </x:c>
      <x:c r="G3328" s="22" t="str">
        <x:f>"04137988609"</x:f>
        <x:v>04137988609</x:v>
      </x:c>
      <x:c r="H3328" s="23" t="str">
        <x:v>rogersilva3236@gmail.com</x:v>
      </x:c>
      <x:c r="I3328" s="22" t="str">
        <x:f>"(35)98441-3091"</x:f>
        <x:v>(35)98441-3091</x:v>
      </x:c>
      <x:c r="J3328" s="23" t="str">
        <x:v>RENTAL</x:v>
      </x:c>
      <x:c r="K3328" s="23" t="str">
        <x:v>rental_company</x:v>
      </x:c>
      <x:c r="L3328" s="24" t="b">
        <x:v>1</x:v>
      </x:c>
      <x:c r="M3328" s="23" t="n">
        <x:v>1</x:v>
      </x:c>
      <x:c r="N3328" s="28" t="n">
        <x:v>46219.812988715275</x:v>
      </x:c>
      <x:c r="O3328" s="28" t="n">
        <x:v>46219.812988715275</x:v>
      </x:c>
      <x:c r="P3328" s="23" t="str">
        <x:v>POUSO ALEGRE</x:v>
      </x:c>
      <x:c r="Q3328" s="30" t="n">
        <x:v>29111</x:v>
      </x:c>
      <x:c r="R3328" s="22" t="str">
        <x:f>"MG11516912 SSP MG"</x:f>
        <x:v>MG11516912 SSP MG</x:v>
      </x:c>
      <x:c r="S3328" s="23" t="str">
        <x:v>masculino</x:v>
      </x:c>
      <x:c r="T3328" s="22" t="str"/>
      <x:c r="U3328" s="23" t="str">
        <x:v>ROGERIO DA SILVA</x:v>
      </x:c>
      <x:c r="V3328" s="22" t="str">
        <x:f>"041.379.886-09"</x:f>
        <x:v>041.379.886-09</x:v>
      </x:c>
      <x:c r="W3328" s="22" t="str">
        <x:f>"04137988609"</x:f>
        <x:v>04137988609</x:v>
      </x:c>
      <x:c r="X3328" s="23" t="str">
        <x:v>rogersilva3236@gmail.com</x:v>
      </x:c>
      <x:c r="Y3328" s="22" t="str">
        <x:f>"(35)98441-3091"</x:f>
        <x:v>(35)98441-3091</x:v>
      </x:c>
      <x:c r="Z3328" s="30" t="n">
        <x:v>46536</x:v>
      </x:c>
    </x:row>
    <x:row r="3329" ht="18" customHeight="1">
      <x:c r="A3329" s="22" t="str">
        <x:f>"beee6dd4-ef1c-49a5-9ef2-e91d7cf7225f"</x:f>
        <x:v>beee6dd4-ef1c-49a5-9ef2-e91d7cf7225f</x:v>
      </x:c>
      <x:c r="B3329" s="23" t="str">
        <x:v>ROGERIO DE MENDONCA OLIVEIRA</x:v>
      </x:c>
      <x:c r="C3329" s="23" t="str">
        <x:v>rogerio de mendonca oliveira</x:v>
      </x:c>
      <x:c r="D3329" s="22" t="str">
        <x:f>"07.397.360/0001-18"</x:f>
        <x:v>07.397.360/0001-18</x:v>
      </x:c>
      <x:c r="E3329" s="22" t="str">
        <x:f>"07397360000118"</x:f>
        <x:v>07397360000118</x:v>
      </x:c>
      <x:c r="F3329" s="22" t="str">
        <x:f>"052.081.047-33"</x:f>
        <x:v>052.081.047-33</x:v>
      </x:c>
      <x:c r="G3329" s="22" t="str">
        <x:f>"05208104733"</x:f>
        <x:v>05208104733</x:v>
      </x:c>
      <x:c r="H3329" s="23" t="str">
        <x:v>rmo_express@hotmail.com</x:v>
      </x:c>
      <x:c r="I3329" s="22" t="str">
        <x:f>"965526327"</x:f>
        <x:v>965526327</x:v>
      </x:c>
      <x:c r="J3329" s="23" t="str">
        <x:v>SPOT</x:v>
      </x:c>
      <x:c r="K3329" s="23" t="str">
        <x:v>favored_only</x:v>
      </x:c>
      <x:c r="L3329" s="24" t="b">
        <x:v>1</x:v>
      </x:c>
      <x:c r="M3329" s="23" t="n">
        <x:v>1</x:v>
      </x:c>
      <x:c r="N3329" s="28" t="n">
        <x:v>46203.92189349537</x:v>
      </x:c>
      <x:c r="O3329" s="28" t="n">
        <x:v>46219.812988715275</x:v>
      </x:c>
      <x:c r="P3329" s="23" t="str">
        <x:v>CORDOVIL</x:v>
      </x:c>
      <x:c r="Q3329" s="30" t="n">
        <x:v>27809</x:v>
      </x:c>
      <x:c r="R3329" s="22" t="str">
        <x:f>"104635370"</x:f>
        <x:v>104635370</x:v>
      </x:c>
      <x:c r="S3329" s="23" t="str">
        <x:v>masculino</x:v>
      </x:c>
      <x:c r="T3329" s="22" t="str">
        <x:f>"RJW0E33"</x:f>
        <x:v>RJW0E33</x:v>
      </x:c>
      <x:c r="U3329" s="23" t="str">
        <x:v>ROGERIO DE MENDONCA OLIVEIRA</x:v>
      </x:c>
      <x:c r="V3329" s="22" t="str">
        <x:f>"052.081.047-33"</x:f>
        <x:v>052.081.047-33</x:v>
      </x:c>
      <x:c r="W3329" s="22" t="str">
        <x:f>"05208104733"</x:f>
        <x:v>05208104733</x:v>
      </x:c>
      <x:c r="X3329" s="23" t="str">
        <x:v>rmo_express@hotmail.com</x:v>
      </x:c>
      <x:c r="Y3329" s="22" t="str">
        <x:f>"965526327"</x:f>
        <x:v>965526327</x:v>
      </x:c>
      <x:c r="Z3329" s="30" t="n">
        <x:v>46336</x:v>
      </x:c>
    </x:row>
    <x:row r="3330" ht="18" customHeight="1">
      <x:c r="A3330" s="22" t="str">
        <x:f>"aebc697d-a58e-4e24-9fea-5473a291cc0a"</x:f>
        <x:v>aebc697d-a58e-4e24-9fea-5473a291cc0a</x:v>
      </x:c>
      <x:c r="B3330" s="23" t="str">
        <x:v>ROGERIO DO NASCIMENTO MACHADO</x:v>
      </x:c>
      <x:c r="C3330" s="23" t="str">
        <x:v>rogerio do nascimento machado</x:v>
      </x:c>
      <x:c r="D3330" s="22" t="str">
        <x:f>"50.379.105/0001-71"</x:f>
        <x:v>50.379.105/0001-71</x:v>
      </x:c>
      <x:c r="E3330" s="22" t="str">
        <x:f>"50379105000171"</x:f>
        <x:v>50379105000171</x:v>
      </x:c>
      <x:c r="F3330" s="22" t="str">
        <x:f>"311.651.498-42"</x:f>
        <x:v>311.651.498-42</x:v>
      </x:c>
      <x:c r="G3330" s="22" t="str">
        <x:f>"31165149842"</x:f>
        <x:v>31165149842</x:v>
      </x:c>
      <x:c r="H3330" s="23" t="str">
        <x:v>rogerion969@gmail.com</x:v>
      </x:c>
      <x:c r="I3330" s="22" t="str">
        <x:f>"11 932954343"</x:f>
        <x:v>11 932954343</x:v>
      </x:c>
      <x:c r="J3330" s="23" t="str">
        <x:v>spot</x:v>
      </x:c>
      <x:c r="K3330" s="23" t="str">
        <x:v>favored_only</x:v>
      </x:c>
      <x:c r="L3330" s="24" t="b">
        <x:v>1</x:v>
      </x:c>
      <x:c r="M3330" s="23" t="n">
        <x:v>1</x:v>
      </x:c>
      <x:c r="N3330" s="28" t="n">
        <x:v>46219.812988715275</x:v>
      </x:c>
      <x:c r="O3330" s="28" t="n">
        <x:v>46219.812988715275</x:v>
      </x:c>
      <x:c r="P3330" s="23" t="str">
        <x:v>BARUERI</x:v>
      </x:c>
      <x:c r="Q3330" s="30" t="n">
        <x:v>30782</x:v>
      </x:c>
      <x:c r="R3330" s="22" t="str">
        <x:f>"41917446"</x:f>
        <x:v>41917446</x:v>
      </x:c>
      <x:c r="S3330" s="23" t="str">
        <x:v>masculino</x:v>
      </x:c>
      <x:c r="T3330" s="22" t="str">
        <x:f>"SIW0B55"</x:f>
        <x:v>SIW0B55</x:v>
      </x:c>
      <x:c r="U3330" s="23" t="str">
        <x:v>ROGERIO DO NASCIMENTO MACHADO</x:v>
      </x:c>
      <x:c r="V3330" s="22" t="str">
        <x:f>"311.651.498-42"</x:f>
        <x:v>311.651.498-42</x:v>
      </x:c>
      <x:c r="W3330" s="22" t="str">
        <x:f>"31165149842"</x:f>
        <x:v>31165149842</x:v>
      </x:c>
      <x:c r="X3330" s="23" t="str">
        <x:v>rogerion969@gmail.com</x:v>
      </x:c>
      <x:c r="Y3330" s="22" t="str">
        <x:f>"11 932954343"</x:f>
        <x:v>11 932954343</x:v>
      </x:c>
      <x:c r="Z3330" s="30" t="n">
        <x:v>46564</x:v>
      </x:c>
    </x:row>
    <x:row r="3331" ht="18" customHeight="1">
      <x:c r="A3331" s="22" t="str">
        <x:f>"1d9f879b-373d-46d3-ae86-1feea16c0a05"</x:f>
        <x:v>1d9f879b-373d-46d3-ae86-1feea16c0a05</x:v>
      </x:c>
      <x:c r="B3331" s="23" t="str">
        <x:v>ROGERIO FIDELIX DOS SANTOS</x:v>
      </x:c>
      <x:c r="C3331" s="23" t="str">
        <x:v>rogerio fidelix dos santos</x:v>
      </x:c>
      <x:c r="D3331" s="22" t="str">
        <x:f>"51.357.789/0001-73"</x:f>
        <x:v>51.357.789/0001-73</x:v>
      </x:c>
      <x:c r="E3331" s="22" t="str">
        <x:f>"51357789000173"</x:f>
        <x:v>51357789000173</x:v>
      </x:c>
      <x:c r="F3331" s="22" t="str">
        <x:f>"031.213.776-12"</x:f>
        <x:v>031.213.776-12</x:v>
      </x:c>
      <x:c r="G3331" s="22" t="str">
        <x:f>"03121377612"</x:f>
        <x:v>03121377612</x:v>
      </x:c>
      <x:c r="H3331" s="23" t="str">
        <x:v>fidelixrogerio704@gmail.com</x:v>
      </x:c>
      <x:c r="I3331" s="22" t="str">
        <x:f>"31 99577-9738"</x:f>
        <x:v>31 99577-9738</x:v>
      </x:c>
      <x:c r="J3331" s="23" t="str">
        <x:v>RENTAL</x:v>
      </x:c>
      <x:c r="K3331" s="23" t="str">
        <x:v>rental_company</x:v>
      </x:c>
      <x:c r="L3331" s="24" t="b">
        <x:v>1</x:v>
      </x:c>
      <x:c r="M3331" s="23" t="n">
        <x:v>1</x:v>
      </x:c>
      <x:c r="N3331" s="28" t="n">
        <x:v>46219.812988715275</x:v>
      </x:c>
      <x:c r="O3331" s="28" t="n">
        <x:v>46219.812988715275</x:v>
      </x:c>
      <x:c r="P3331" s="23" t="str">
        <x:v>NOVA LIMA</x:v>
      </x:c>
      <x:c r="Q3331" s="30" t="n">
        <x:v>28538</x:v>
      </x:c>
      <x:c r="R3331" s="22" t="str">
        <x:f>"M7817196"</x:f>
        <x:v>M7817196</x:v>
      </x:c>
      <x:c r="S3331" s="23" t="str">
        <x:v>masculino</x:v>
      </x:c>
      <x:c r="T3331" s="22" t="str"/>
      <x:c r="U3331" s="23" t="str">
        <x:v>ROGERIO FIDELIX DOS SANTOS</x:v>
      </x:c>
      <x:c r="V3331" s="22" t="str">
        <x:f>"031.213.776-12"</x:f>
        <x:v>031.213.776-12</x:v>
      </x:c>
      <x:c r="W3331" s="22" t="str">
        <x:f>"03121377612"</x:f>
        <x:v>03121377612</x:v>
      </x:c>
      <x:c r="X3331" s="23" t="str">
        <x:v>fidelixrogerio704@gmail.com</x:v>
      </x:c>
      <x:c r="Y3331" s="22" t="str">
        <x:f>"31 99577-9738"</x:f>
        <x:v>31 99577-9738</x:v>
      </x:c>
      <x:c r="Z3331" s="30" t="n">
        <x:v>46376</x:v>
      </x:c>
    </x:row>
    <x:row r="3332" ht="18" customHeight="1">
      <x:c r="A3332" s="22" t="str">
        <x:f>"1bd46a2e-7c9e-4af2-a6de-f5c40df10503"</x:f>
        <x:v>1bd46a2e-7c9e-4af2-a6de-f5c40df10503</x:v>
      </x:c>
      <x:c r="B3332" s="23" t="str">
        <x:v>ROGERIO MARQUES ROCHA</x:v>
      </x:c>
      <x:c r="C3332" s="23" t="str">
        <x:v>rogerio marques rocha</x:v>
      </x:c>
      <x:c r="D3332" s="22" t="str">
        <x:f>"62.714.818/0001-23"</x:f>
        <x:v>62.714.818/0001-23</x:v>
      </x:c>
      <x:c r="E3332" s="22" t="str">
        <x:f>"62714818000123"</x:f>
        <x:v>62714818000123</x:v>
      </x:c>
      <x:c r="F3332" s="22" t="str">
        <x:f>"002.748.716-45"</x:f>
        <x:v>002.748.716-45</x:v>
      </x:c>
      <x:c r="G3332" s="22" t="str">
        <x:f>"00274871645"</x:f>
        <x:v>00274871645</x:v>
      </x:c>
      <x:c r="H3332" s="23" t="str">
        <x:v>alrsilva0501@gmail.com</x:v>
      </x:c>
      <x:c r="I3332" s="22" t="str">
        <x:f>"(34) 9 9199 3770"</x:f>
        <x:v>(34) 9 9199 3770</x:v>
      </x:c>
      <x:c r="J3332" s="23" t="str">
        <x:v>SPOT</x:v>
      </x:c>
      <x:c r="K3332" s="23" t="str">
        <x:v>favored_only</x:v>
      </x:c>
      <x:c r="L3332" s="24" t="b">
        <x:v>1</x:v>
      </x:c>
      <x:c r="M3332" s="23" t="n">
        <x:v>1</x:v>
      </x:c>
      <x:c r="N3332" s="28" t="n">
        <x:v>46219.812988715275</x:v>
      </x:c>
      <x:c r="O3332" s="28" t="n">
        <x:v>46219.812988715275</x:v>
      </x:c>
      <x:c r="P3332" s="23" t="str">
        <x:v>UBERABA</x:v>
      </x:c>
      <x:c r="Q3332" s="30" t="n">
        <x:v>29061</x:v>
      </x:c>
      <x:c r="R3332" s="22" t="str">
        <x:f>"8336214"</x:f>
        <x:v>8336214</x:v>
      </x:c>
      <x:c r="S3332" s="23" t="str">
        <x:v>masculino</x:v>
      </x:c>
      <x:c r="T3332" s="22" t="str">
        <x:f>"EAA9296"</x:f>
        <x:v>EAA9296</x:v>
      </x:c>
      <x:c r="U3332" s="23" t="str">
        <x:v>ROGERIO MARQUES ROCHA</x:v>
      </x:c>
      <x:c r="V3332" s="22" t="str">
        <x:f>"002.748.716-45"</x:f>
        <x:v>002.748.716-45</x:v>
      </x:c>
      <x:c r="W3332" s="22" t="str">
        <x:f>"00274871645"</x:f>
        <x:v>00274871645</x:v>
      </x:c>
      <x:c r="X3332" s="23" t="str">
        <x:v>rogeriomrocha79@gmail.com</x:v>
      </x:c>
      <x:c r="Y3332" s="22" t="str">
        <x:f>"(34) 9 9199 3770"</x:f>
        <x:v>(34) 9 9199 3770</x:v>
      </x:c>
      <x:c r="Z3332" s="30" t="n">
        <x:v>46438</x:v>
      </x:c>
    </x:row>
    <x:row r="3333" ht="18" customHeight="1">
      <x:c r="A3333" s="22" t="str">
        <x:f>"b61d7a03-294d-414f-b271-a7dcbb3f4d8a"</x:f>
        <x:v>b61d7a03-294d-414f-b271-a7dcbb3f4d8a</x:v>
      </x:c>
      <x:c r="B3333" s="23" t="str">
        <x:v>ROGERIO MARQUES ROCHA</x:v>
      </x:c>
      <x:c r="C3333" s="23" t="str">
        <x:v>rogerio marques rocha</x:v>
      </x:c>
      <x:c r="D3333" s="22" t="str">
        <x:f>"38.412.604/0001-18"</x:f>
        <x:v>38.412.604/0001-18</x:v>
      </x:c>
      <x:c r="E3333" s="22" t="str">
        <x:f>"38412604000118"</x:f>
        <x:v>38412604000118</x:v>
      </x:c>
      <x:c r="F3333" s="22" t="str">
        <x:f>"002.748.716-45"</x:f>
        <x:v>002.748.716-45</x:v>
      </x:c>
      <x:c r="G3333" s="22" t="str">
        <x:f>"00274871645"</x:f>
        <x:v>00274871645</x:v>
      </x:c>
      <x:c r="H3333" s="23" t="str">
        <x:v>rogeriomrocha79@gmail.com</x:v>
      </x:c>
      <x:c r="I3333" s="22" t="str">
        <x:f>"34 9199-3770"</x:f>
        <x:v>34 9199-3770</x:v>
      </x:c>
      <x:c r="J3333" s="23" t="str">
        <x:v>SPOT</x:v>
      </x:c>
      <x:c r="K3333" s="23" t="str">
        <x:v>favored_only</x:v>
      </x:c>
      <x:c r="L3333" s="24" t="b">
        <x:v>1</x:v>
      </x:c>
      <x:c r="M3333" s="23" t="n">
        <x:v>2</x:v>
      </x:c>
      <x:c r="N3333" s="28" t="n">
        <x:v>46205.60118783565</x:v>
      </x:c>
      <x:c r="O3333" s="28" t="n">
        <x:v>46219.812988715275</x:v>
      </x:c>
      <x:c r="P3333" s="23" t="str">
        <x:v>ARAXÁ</x:v>
      </x:c>
      <x:c r="Q3333" s="30" t="n">
        <x:v>29061</x:v>
      </x:c>
      <x:c r="R3333" s="22" t="str">
        <x:f>"M8336214"</x:f>
        <x:v>M8336214</x:v>
      </x:c>
      <x:c r="S3333" s="23" t="str">
        <x:v>masculino</x:v>
      </x:c>
      <x:c r="T3333" s="22" t="str">
        <x:f>"OPB6450"</x:f>
        <x:v>OPB6450</x:v>
      </x:c>
      <x:c r="U3333" s="23" t="str">
        <x:v>AGNALUCIA ROSA SILVA</x:v>
      </x:c>
      <x:c r="V3333" s="22" t="str">
        <x:f>"050.690.436-92"</x:f>
        <x:v>050.690.436-92</x:v>
      </x:c>
      <x:c r="W3333" s="22" t="str">
        <x:f>"05069043692"</x:f>
        <x:v>05069043692</x:v>
      </x:c>
      <x:c r="X3333" s="23" t="str">
        <x:v>agna_mg@hotmail.com</x:v>
      </x:c>
      <x:c r="Y3333" s="22" t="str">
        <x:f>"34 996757006"</x:f>
        <x:v>34 996757006</x:v>
      </x:c>
      <x:c r="Z3333" s="30" t="n">
        <x:v>46571</x:v>
      </x:c>
    </x:row>
    <x:row r="3334" ht="18" customHeight="1">
      <x:c r="A3334" s="22" t="str">
        <x:f>"b9c7364b-9093-4a65-93fe-a01c1a6928cf"</x:f>
        <x:v>b9c7364b-9093-4a65-93fe-a01c1a6928cf</x:v>
      </x:c>
      <x:c r="B3334" s="23" t="str">
        <x:v>ROGERIO MENDES DA SILVA</x:v>
      </x:c>
      <x:c r="C3334" s="23" t="str">
        <x:v>rogerio mendes da silva</x:v>
      </x:c>
      <x:c r="D3334" s="22" t="str">
        <x:f>"61.773.640/0001-29"</x:f>
        <x:v>61.773.640/0001-29</x:v>
      </x:c>
      <x:c r="E3334" s="22" t="str">
        <x:f>"61773640000129"</x:f>
        <x:v>61773640000129</x:v>
      </x:c>
      <x:c r="F3334" s="22" t="str">
        <x:f>"450.928.548-55"</x:f>
        <x:v>450.928.548-55</x:v>
      </x:c>
      <x:c r="G3334" s="22" t="str">
        <x:f>"45092854855"</x:f>
        <x:v>45092854855</x:v>
      </x:c>
      <x:c r="H3334" s="23" t="str">
        <x:v>rogeriomendes013@gmail.com</x:v>
      </x:c>
      <x:c r="I3334" s="22" t="str">
        <x:f>"(11)96499-1035"</x:f>
        <x:v>(11)96499-1035</x:v>
      </x:c>
      <x:c r="J3334" s="23" t="str">
        <x:v>SPOT</x:v>
      </x:c>
      <x:c r="K3334" s="23" t="str">
        <x:v>favored_only</x:v>
      </x:c>
      <x:c r="L3334" s="24" t="b">
        <x:v>1</x:v>
      </x:c>
      <x:c r="M3334" s="23" t="n">
        <x:v>1</x:v>
      </x:c>
      <x:c r="N3334" s="28" t="n">
        <x:v>46219.812988715275</x:v>
      </x:c>
      <x:c r="O3334" s="28" t="n">
        <x:v>46219.812988715275</x:v>
      </x:c>
      <x:c r="P3334" s="23" t="str">
        <x:v>BARUERI</x:v>
      </x:c>
      <x:c r="Q3334" s="30" t="n">
        <x:v>34974</x:v>
      </x:c>
      <x:c r="R3334" s="22" t="str">
        <x:f>"41918359"</x:f>
        <x:v>41918359</x:v>
      </x:c>
      <x:c r="S3334" s="23" t="str">
        <x:v>masculino</x:v>
      </x:c>
      <x:c r="T3334" s="22" t="str">
        <x:f>"GJV0H67"</x:f>
        <x:v>GJV0H67</x:v>
      </x:c>
      <x:c r="U3334" s="23" t="str">
        <x:v>ROGERIO MENDES DA SILVA</x:v>
      </x:c>
      <x:c r="V3334" s="22" t="str">
        <x:f>"450.928.548-55"</x:f>
        <x:v>450.928.548-55</x:v>
      </x:c>
      <x:c r="W3334" s="22" t="str">
        <x:f>"45092854855"</x:f>
        <x:v>45092854855</x:v>
      </x:c>
      <x:c r="X3334" s="23" t="str">
        <x:v>rogeriomendes013@gmail.com</x:v>
      </x:c>
      <x:c r="Y3334" s="22" t="str">
        <x:f>"(11)96499-1035"</x:f>
        <x:v>(11)96499-1035</x:v>
      </x:c>
      <x:c r="Z3334" s="30" t="n">
        <x:v>46564</x:v>
      </x:c>
    </x:row>
    <x:row r="3335" ht="18" customHeight="1">
      <x:c r="A3335" s="22" t="str">
        <x:f>"e028a379-c107-40c2-89f2-213cce83a3c2"</x:f>
        <x:v>e028a379-c107-40c2-89f2-213cce83a3c2</x:v>
      </x:c>
      <x:c r="B3335" s="23" t="str">
        <x:v>ROGERIO NICOLATO DA SILVA</x:v>
      </x:c>
      <x:c r="C3335" s="23" t="str">
        <x:v>rogerio nicolato da silva</x:v>
      </x:c>
      <x:c r="D3335" s="22" t="str">
        <x:f>"32.789.804/0001-08"</x:f>
        <x:v>32.789.804/0001-08</x:v>
      </x:c>
      <x:c r="E3335" s="22" t="str">
        <x:f>"32789804000108"</x:f>
        <x:v>32789804000108</x:v>
      </x:c>
      <x:c r="F3335" s="22" t="str">
        <x:f>"311.692.128-83"</x:f>
        <x:v>311.692.128-83</x:v>
      </x:c>
      <x:c r="G3335" s="22" t="str">
        <x:f>"31169212883"</x:f>
        <x:v>31169212883</x:v>
      </x:c>
      <x:c r="H3335" s="23" t="str">
        <x:v>rogerio25n22@gmail.com</x:v>
      </x:c>
      <x:c r="I3335" s="22" t="str">
        <x:f>"35 9947-2380"</x:f>
        <x:v>35 9947-2380</x:v>
      </x:c>
      <x:c r="J3335" s="23" t="str">
        <x:v>SPOT</x:v>
      </x:c>
      <x:c r="K3335" s="23" t="str">
        <x:v>favored_only</x:v>
      </x:c>
      <x:c r="L3335" s="24" t="b">
        <x:v>1</x:v>
      </x:c>
      <x:c r="M3335" s="23" t="n">
        <x:v>1</x:v>
      </x:c>
      <x:c r="N3335" s="28" t="n">
        <x:v>46205.60405447917</x:v>
      </x:c>
      <x:c r="O3335" s="28" t="n">
        <x:v>46219.812988715275</x:v>
      </x:c>
      <x:c r="P3335" s="23" t="str">
        <x:v>GUAXUPE</x:v>
      </x:c>
      <x:c r="Q3335" s="30" t="n">
        <x:v>30631</x:v>
      </x:c>
      <x:c r="R3335" s="22" t="str">
        <x:f>"410648541"</x:f>
        <x:v>410648541</x:v>
      </x:c>
      <x:c r="S3335" s="23" t="str">
        <x:v>masculino</x:v>
      </x:c>
      <x:c r="T3335" s="22" t="str">
        <x:f>"PUO2A05"</x:f>
        <x:v>PUO2A05</x:v>
      </x:c>
      <x:c r="U3335" s="23" t="str">
        <x:v>ALEX DUTRA VIEIRA</x:v>
      </x:c>
      <x:c r="V3335" s="22" t="str">
        <x:f>"114.948.956-17"</x:f>
        <x:v>114.948.956-17</x:v>
      </x:c>
      <x:c r="W3335" s="22" t="str">
        <x:f>"11494895617"</x:f>
        <x:v>11494895617</x:v>
      </x:c>
      <x:c r="X3335" s="23" t="str">
        <x:v>alexdutra166.ad@gmail.com</x:v>
      </x:c>
      <x:c r="Y3335" s="22" t="str">
        <x:f>"35 9276-1663"</x:f>
        <x:v>35 9276-1663</x:v>
      </x:c>
      <x:c r="Z3335" s="30" t="n">
        <x:v>46255</x:v>
      </x:c>
    </x:row>
    <x:row r="3336" ht="18" customHeight="1">
      <x:c r="A3336" s="22" t="str">
        <x:f>"b29c4c3b-fce0-48c0-ac73-49b7711f4a6c"</x:f>
        <x:v>b29c4c3b-fce0-48c0-ac73-49b7711f4a6c</x:v>
      </x:c>
      <x:c r="B3336" s="23" t="str">
        <x:v>ROGERIO QUEIROZ DA SILVA GOULART</x:v>
      </x:c>
      <x:c r="C3336" s="23" t="str">
        <x:v>rogerio queiroz da silva goulart</x:v>
      </x:c>
      <x:c r="D3336" s="22" t="str">
        <x:f>"37.823.997/0001-90"</x:f>
        <x:v>37.823.997/0001-90</x:v>
      </x:c>
      <x:c r="E3336" s="22" t="str">
        <x:f>"37823997000190"</x:f>
        <x:v>37823997000190</x:v>
      </x:c>
      <x:c r="F3336" s="22" t="str">
        <x:f>"819.379.971-20"</x:f>
        <x:v>819.379.971-20</x:v>
      </x:c>
      <x:c r="G3336" s="22" t="str">
        <x:f>"81937997120"</x:f>
        <x:v>81937997120</x:v>
      </x:c>
      <x:c r="H3336" s="23" t="str">
        <x:v>rogerioqueirozs@gmail.com</x:v>
      </x:c>
      <x:c r="I3336" s="22" t="str">
        <x:f>"62 984471273"</x:f>
        <x:v>62 984471273</x:v>
      </x:c>
      <x:c r="J3336" s="23" t="str">
        <x:v>SPOT</x:v>
      </x:c>
      <x:c r="K3336" s="23" t="str">
        <x:v>favored_only</x:v>
      </x:c>
      <x:c r="L3336" s="24" t="b">
        <x:v>1</x:v>
      </x:c>
      <x:c r="M3336" s="23" t="n">
        <x:v>1</x:v>
      </x:c>
      <x:c r="N3336" s="28" t="n">
        <x:v>46205.604455266206</x:v>
      </x:c>
      <x:c r="O3336" s="28" t="n">
        <x:v>46219.812988715275</x:v>
      </x:c>
      <x:c r="P3336" s="23" t="str">
        <x:v>GOIANIA</x:v>
      </x:c>
      <x:c r="Q3336" s="30" t="n">
        <x:v>28127</x:v>
      </x:c>
      <x:c r="R3336" s="22" t="str">
        <x:f>"3471823"</x:f>
        <x:v>3471823</x:v>
      </x:c>
      <x:c r="S3336" s="23" t="str">
        <x:v>masculino</x:v>
      </x:c>
      <x:c r="T3336" s="22" t="str">
        <x:f>"RCJ3A29"</x:f>
        <x:v>RCJ3A29</x:v>
      </x:c>
      <x:c r="U3336" s="23" t="str">
        <x:v>DANILLO BACCIEL ALMEIDA</x:v>
      </x:c>
      <x:c r="V3336" s="22" t="str">
        <x:f>"019.928.911-50"</x:f>
        <x:v>019.928.911-50</x:v>
      </x:c>
      <x:c r="W3336" s="22" t="str">
        <x:f>"01992891150"</x:f>
        <x:v>01992891150</x:v>
      </x:c>
      <x:c r="X3336" s="23" t="str">
        <x:v>rtp.cargas@gmail.com</x:v>
      </x:c>
      <x:c r="Y3336" s="22" t="str">
        <x:f>"62 9661-0607"</x:f>
        <x:v>62 9661-0607</x:v>
      </x:c>
      <x:c r="Z3336" s="30" t="n">
        <x:v>46276</x:v>
      </x:c>
    </x:row>
    <x:row r="3337" ht="18" customHeight="1">
      <x:c r="A3337" s="22" t="str">
        <x:f>"b9d6b22d-ab7c-420f-a46d-3ca15fbfb434"</x:f>
        <x:v>b9d6b22d-ab7c-420f-a46d-3ca15fbfb434</x:v>
      </x:c>
      <x:c r="B3337" s="23" t="str">
        <x:v>ROGERIO REZENDE JUNIOR</x:v>
      </x:c>
      <x:c r="C3337" s="23" t="str">
        <x:v>rogerio rezende junior</x:v>
      </x:c>
      <x:c r="D3337" s="22" t="str">
        <x:f>"62.430.138/0001-88"</x:f>
        <x:v>62.430.138/0001-88</x:v>
      </x:c>
      <x:c r="E3337" s="22" t="str">
        <x:f>"62430138000188"</x:f>
        <x:v>62430138000188</x:v>
      </x:c>
      <x:c r="F3337" s="22" t="str">
        <x:f>"414.213.718-20"</x:f>
        <x:v>414.213.718-20</x:v>
      </x:c>
      <x:c r="G3337" s="22" t="str">
        <x:f>"41421371820"</x:f>
        <x:v>41421371820</x:v>
      </x:c>
      <x:c r="H3337" s="23" t="str">
        <x:v>ROGERIOREZENDEJR@GMAIL.COM</x:v>
      </x:c>
      <x:c r="I3337" s="22" t="str">
        <x:f>"14998851024"</x:f>
        <x:v>14998851024</x:v>
      </x:c>
      <x:c r="J3337" s="23" t="str">
        <x:v>RENTAL</x:v>
      </x:c>
      <x:c r="K3337" s="23" t="str">
        <x:v>rental_company</x:v>
      </x:c>
      <x:c r="L3337" s="24" t="b">
        <x:v>1</x:v>
      </x:c>
      <x:c r="M3337" s="23" t="n">
        <x:v>2</x:v>
      </x:c>
      <x:c r="N3337" s="28" t="n">
        <x:v>46203.92186462963</x:v>
      </x:c>
      <x:c r="O3337" s="28" t="n">
        <x:v>46219.812988715275</x:v>
      </x:c>
      <x:c r="P3337" s="23" t="str">
        <x:v>MARILIA</x:v>
      </x:c>
      <x:c r="Q3337" s="30" t="n">
        <x:v>33469</x:v>
      </x:c>
      <x:c r="R3337" s="22" t="str">
        <x:f>"360003254"</x:f>
        <x:v>360003254</x:v>
      </x:c>
      <x:c r="S3337" s="23" t="str">
        <x:v>masculino</x:v>
      </x:c>
      <x:c r="T3337" s="22" t="str"/>
      <x:c r="U3337" s="23" t="str">
        <x:v>ROGERIO REZENDE JUNIOR</x:v>
      </x:c>
      <x:c r="V3337" s="22" t="str">
        <x:f>"414.213.718-20"</x:f>
        <x:v>414.213.718-20</x:v>
      </x:c>
      <x:c r="W3337" s="22" t="str">
        <x:f>"41421371820"</x:f>
        <x:v>41421371820</x:v>
      </x:c>
      <x:c r="X3337" s="23" t="str">
        <x:v>ROGERIOREZENDEJR@GMAIL.COM</x:v>
      </x:c>
      <x:c r="Y3337" s="22" t="str">
        <x:f>"14998851024"</x:f>
        <x:v>14998851024</x:v>
      </x:c>
      <x:c r="Z3337" s="30" t="n">
        <x:v>46275</x:v>
      </x:c>
    </x:row>
    <x:row r="3338" ht="18" customHeight="1">
      <x:c r="A3338" s="22" t="str">
        <x:f>"56da0be9-6cec-48ed-9ce3-edd2f2a8f73b"</x:f>
        <x:v>56da0be9-6cec-48ed-9ce3-edd2f2a8f73b</x:v>
      </x:c>
      <x:c r="B3338" s="23" t="str">
        <x:v>ROGERIO SAGGIORO DA SILVA</x:v>
      </x:c>
      <x:c r="C3338" s="23" t="str">
        <x:v>rogerio saggioro da silva</x:v>
      </x:c>
      <x:c r="D3338" s="22" t="str">
        <x:f>"58.840.066/0001-70"</x:f>
        <x:v>58.840.066/0001-70</x:v>
      </x:c>
      <x:c r="E3338" s="22" t="str">
        <x:f>"58840066000170"</x:f>
        <x:v>58840066000170</x:v>
      </x:c>
      <x:c r="F3338" s="22" t="str">
        <x:f>"413.442.188-81"</x:f>
        <x:v>413.442.188-81</x:v>
      </x:c>
      <x:c r="G3338" s="22" t="str">
        <x:f>"41344218881"</x:f>
        <x:v>41344218881</x:v>
      </x:c>
      <x:c r="H3338" s="23" t="str">
        <x:v>rogesaggioro@gmail.com</x:v>
      </x:c>
      <x:c r="I3338" s="22" t="str">
        <x:f>"14997072701"</x:f>
        <x:v>14997072701</x:v>
      </x:c>
      <x:c r="J3338" s="23" t="str">
        <x:v>RENTAL</x:v>
      </x:c>
      <x:c r="K3338" s="23" t="str">
        <x:v>rental_company</x:v>
      </x:c>
      <x:c r="L3338" s="24" t="b">
        <x:v>1</x:v>
      </x:c>
      <x:c r="M3338" s="23" t="n">
        <x:v>1</x:v>
      </x:c>
      <x:c r="N3338" s="28" t="n">
        <x:v>46203.92183017361</x:v>
      </x:c>
      <x:c r="O3338" s="28" t="n">
        <x:v>46219.812988715275</x:v>
      </x:c>
      <x:c r="P3338" s="23" t="str">
        <x:v>BAURU</x:v>
      </x:c>
      <x:c r="Q3338" s="30" t="n">
        <x:v>33996</x:v>
      </x:c>
      <x:c r="R3338" s="22" t="str">
        <x:f>"488403868"</x:f>
        <x:v>488403868</x:v>
      </x:c>
      <x:c r="S3338" s="23" t="str">
        <x:v>masculino</x:v>
      </x:c>
      <x:c r="T3338" s="22" t="str"/>
      <x:c r="U3338" s="23" t="str">
        <x:v>ROGERIO SAGGIORO DA SILVA</x:v>
      </x:c>
      <x:c r="V3338" s="22" t="str">
        <x:f>"413.442.188-81"</x:f>
        <x:v>413.442.188-81</x:v>
      </x:c>
      <x:c r="W3338" s="22" t="str">
        <x:f>"41344218881"</x:f>
        <x:v>41344218881</x:v>
      </x:c>
      <x:c r="X3338" s="23" t="str">
        <x:v>rogesaggioro@gmail.com</x:v>
      </x:c>
      <x:c r="Y3338" s="22" t="str">
        <x:f>"14997072701"</x:f>
        <x:v>14997072701</x:v>
      </x:c>
      <x:c r="Z3338" s="30" t="n">
        <x:v>46375</x:v>
      </x:c>
    </x:row>
    <x:row r="3339" ht="18" customHeight="1">
      <x:c r="A3339" s="22" t="str">
        <x:f>"c248d5b8-31fe-4e7f-9c28-87708f2a05a3"</x:f>
        <x:v>c248d5b8-31fe-4e7f-9c28-87708f2a05a3</x:v>
      </x:c>
      <x:c r="B3339" s="23" t="str">
        <x:v>ROGER JUNIOR SOUZA PAIVA</x:v>
      </x:c>
      <x:c r="C3339" s="23" t="str">
        <x:v>roger junior souza paiva</x:v>
      </x:c>
      <x:c r="D3339" s="22" t="str">
        <x:f>"66.943.852/0001-20"</x:f>
        <x:v>66.943.852/0001-20</x:v>
      </x:c>
      <x:c r="E3339" s="22" t="str">
        <x:f>"66943852000120"</x:f>
        <x:v>66943852000120</x:v>
      </x:c>
      <x:c r="F3339" s="22" t="str">
        <x:f>"701.226.426-86"</x:f>
        <x:v>701.226.426-86</x:v>
      </x:c>
      <x:c r="G3339" s="22" t="str">
        <x:f>"70122642686"</x:f>
        <x:v>70122642686</x:v>
      </x:c>
      <x:c r="H3339" s="23" t="str">
        <x:v>rogerpaiva1208@gmail.com</x:v>
      </x:c>
      <x:c r="I3339" s="22" t="str">
        <x:f>"31997270513"</x:f>
        <x:v>31997270513</x:v>
      </x:c>
      <x:c r="J3339" s="23" t="str">
        <x:v>RENTAL</x:v>
      </x:c>
      <x:c r="K3339" s="23" t="str">
        <x:v>rental_company</x:v>
      </x:c>
      <x:c r="L3339" s="24" t="b">
        <x:v>1</x:v>
      </x:c>
      <x:c r="M3339" s="23" t="n">
        <x:v>1</x:v>
      </x:c>
      <x:c r="N3339" s="28" t="n">
        <x:v>46219.812988715275</x:v>
      </x:c>
      <x:c r="O3339" s="28" t="n">
        <x:v>46219.812988715275</x:v>
      </x:c>
      <x:c r="P3339" s="23" t="str">
        <x:v>CONTAGEM</x:v>
      </x:c>
      <x:c r="Q3339" s="30" t="n">
        <x:v>39002</x:v>
      </x:c>
      <x:c r="R3339" s="22" t="str">
        <x:f>"21376417"</x:f>
        <x:v>21376417</x:v>
      </x:c>
      <x:c r="S3339" s="23" t="str">
        <x:v>masculino</x:v>
      </x:c>
      <x:c r="T3339" s="22" t="str"/>
      <x:c r="U3339" s="23" t="str">
        <x:v>ROGER JUNIOR SOUZA PAIVA</x:v>
      </x:c>
      <x:c r="V3339" s="22" t="str">
        <x:f>"701.226.426-86"</x:f>
        <x:v>701.226.426-86</x:v>
      </x:c>
      <x:c r="W3339" s="22" t="str">
        <x:f>"70122642686"</x:f>
        <x:v>70122642686</x:v>
      </x:c>
      <x:c r="X3339" s="23" t="str">
        <x:v>rogerpaiva1208@gmail.com</x:v>
      </x:c>
      <x:c r="Y3339" s="22" t="str">
        <x:f>"31997270513"</x:f>
        <x:v>31997270513</x:v>
      </x:c>
      <x:c r="Z3339" s="30" t="n">
        <x:v>46569</x:v>
      </x:c>
    </x:row>
    <x:row r="3340" ht="18" customHeight="1">
      <x:c r="A3340" s="22" t="str">
        <x:f>"8842cec1-82a9-4505-aaa5-e8305521e592"</x:f>
        <x:v>8842cec1-82a9-4505-aaa5-e8305521e592</x:v>
      </x:c>
      <x:c r="B3340" s="23" t="str">
        <x:v>ROGER MENDES DO NASCIMENTO</x:v>
      </x:c>
      <x:c r="C3340" s="23" t="str">
        <x:v>roger mendes do nascimento</x:v>
      </x:c>
      <x:c r="D3340" s="22" t="str">
        <x:f>"67.090.502/0001-21"</x:f>
        <x:v>67.090.502/0001-21</x:v>
      </x:c>
      <x:c r="E3340" s="22" t="str">
        <x:f>"67090502000121"</x:f>
        <x:v>67090502000121</x:v>
      </x:c>
      <x:c r="F3340" s="22" t="str">
        <x:f>"018.912.056-84"</x:f>
        <x:v>018.912.056-84</x:v>
      </x:c>
      <x:c r="G3340" s="22" t="str">
        <x:f>"01891205684"</x:f>
        <x:v>01891205684</x:v>
      </x:c>
      <x:c r="H3340" s="23" t="str">
        <x:v>rogermendesdonascimento2812@gmail.com</x:v>
      </x:c>
      <x:c r="I3340" s="22" t="str">
        <x:f>"3499130-8320"</x:f>
        <x:v>3499130-8320</x:v>
      </x:c>
      <x:c r="J3340" s="23" t="str">
        <x:v>RENTAL</x:v>
      </x:c>
      <x:c r="K3340" s="23" t="str">
        <x:v>rental_company</x:v>
      </x:c>
      <x:c r="L3340" s="24" t="b">
        <x:v>1</x:v>
      </x:c>
      <x:c r="M3340" s="23" t="n">
        <x:v>1</x:v>
      </x:c>
      <x:c r="N3340" s="28" t="n">
        <x:v>46219.812988715275</x:v>
      </x:c>
      <x:c r="O3340" s="28" t="n">
        <x:v>46219.812988715275</x:v>
      </x:c>
      <x:c r="P3340" s="23" t="str">
        <x:v>UBERLANDIA</x:v>
      </x:c>
      <x:c r="Q3340" s="30" t="n">
        <x:v>37619</x:v>
      </x:c>
      <x:c r="R3340" s="22" t="str">
        <x:f>"19530688"</x:f>
        <x:v>19530688</x:v>
      </x:c>
      <x:c r="S3340" s="23" t="str">
        <x:v>masculino</x:v>
      </x:c>
      <x:c r="T3340" s="22" t="str"/>
      <x:c r="U3340" s="23" t="str">
        <x:v>ROGER MENDES DO NASCIMENTO</x:v>
      </x:c>
      <x:c r="V3340" s="22" t="str">
        <x:f>"018.912.056-84"</x:f>
        <x:v>018.912.056-84</x:v>
      </x:c>
      <x:c r="W3340" s="22" t="str">
        <x:f>"01891205684"</x:f>
        <x:v>01891205684</x:v>
      </x:c>
      <x:c r="X3340" s="23" t="str">
        <x:v>rogermendesdonascimento2812@gmail.com</x:v>
      </x:c>
      <x:c r="Y3340" s="22" t="str">
        <x:f>"3499130-8320"</x:f>
        <x:v>3499130-8320</x:v>
      </x:c>
      <x:c r="Z3340" s="30" t="n">
        <x:v>46539</x:v>
      </x:c>
    </x:row>
    <x:row r="3341" ht="18" customHeight="1">
      <x:c r="A3341" s="22" t="str">
        <x:f>"45f510a0-fe0f-480e-a1fa-c5ddf4e42008"</x:f>
        <x:v>45f510a0-fe0f-480e-a1fa-c5ddf4e42008</x:v>
      </x:c>
      <x:c r="B3341" s="23" t="str">
        <x:v>ROGERS NASCIMENTO CATALAO</x:v>
      </x:c>
      <x:c r="C3341" s="23" t="str">
        <x:v>rogers nascimento catalao</x:v>
      </x:c>
      <x:c r="D3341" s="22" t="str">
        <x:f>"66.195.442/0001-49"</x:f>
        <x:v>66.195.442/0001-49</x:v>
      </x:c>
      <x:c r="E3341" s="22" t="str">
        <x:f>"66195442000149"</x:f>
        <x:v>66195442000149</x:v>
      </x:c>
      <x:c r="F3341" s="22" t="str">
        <x:f>"114.331.867-64"</x:f>
        <x:v>114.331.867-64</x:v>
      </x:c>
      <x:c r="G3341" s="22" t="str">
        <x:f>"11433186764"</x:f>
        <x:v>11433186764</x:v>
      </x:c>
      <x:c r="H3341" s="23" t="str">
        <x:v>rogerscatalao44@gmail.com</x:v>
      </x:c>
      <x:c r="I3341" s="22" t="str">
        <x:f>"21964361632"</x:f>
        <x:v>21964361632</x:v>
      </x:c>
      <x:c r="J3341" s="23" t="str">
        <x:v>SPOT</x:v>
      </x:c>
      <x:c r="K3341" s="23" t="str">
        <x:v>favored_only</x:v>
      </x:c>
      <x:c r="L3341" s="24" t="b">
        <x:v>1</x:v>
      </x:c>
      <x:c r="M3341" s="23" t="n">
        <x:v>1</x:v>
      </x:c>
      <x:c r="N3341" s="28" t="n">
        <x:v>46219.812988715275</x:v>
      </x:c>
      <x:c r="O3341" s="28" t="n">
        <x:v>46219.812988715275</x:v>
      </x:c>
      <x:c r="P3341" s="23" t="str">
        <x:v>SÃO JOAO DE MERITI</x:v>
      </x:c>
      <x:c r="Q3341" s="30" t="n">
        <x:v>31283</x:v>
      </x:c>
      <x:c r="R3341" s="22" t="str">
        <x:f>"206879231"</x:f>
        <x:v>206879231</x:v>
      </x:c>
      <x:c r="S3341" s="23" t="str">
        <x:v>masculino</x:v>
      </x:c>
      <x:c r="T3341" s="22" t="str">
        <x:f>"SIT5D47"</x:f>
        <x:v>SIT5D47</x:v>
      </x:c>
      <x:c r="U3341" s="23" t="str">
        <x:v>ROGERS NASCIMENTO CATALAO</x:v>
      </x:c>
      <x:c r="V3341" s="22" t="str">
        <x:f>"114.331.867-64"</x:f>
        <x:v>114.331.867-64</x:v>
      </x:c>
      <x:c r="W3341" s="22" t="str">
        <x:f>"11433186764"</x:f>
        <x:v>11433186764</x:v>
      </x:c>
      <x:c r="X3341" s="23" t="str">
        <x:v>rogerscatalao44@gmail.com</x:v>
      </x:c>
      <x:c r="Y3341" s="22" t="str">
        <x:f>"21964361632"</x:f>
        <x:v>21964361632</x:v>
      </x:c>
      <x:c r="Z3341" s="30" t="n">
        <x:v>46492</x:v>
      </x:c>
    </x:row>
    <x:row r="3342" ht="18" customHeight="1">
      <x:c r="A3342" s="22" t="str">
        <x:f>"2ecff4db-28a2-4bb7-8fe6-0f29462ebca1"</x:f>
        <x:v>2ecff4db-28a2-4bb7-8fe6-0f29462ebca1</x:v>
      </x:c>
      <x:c r="B3342" s="23" t="str">
        <x:v>ROGGER DAYAN GONCALVES BELARDI</x:v>
      </x:c>
      <x:c r="C3342" s="23" t="str">
        <x:v>rogger dayan goncalves belardi</x:v>
      </x:c>
      <x:c r="D3342" s="22" t="str">
        <x:f>"23.130.072/0001-59"</x:f>
        <x:v>23.130.072/0001-59</x:v>
      </x:c>
      <x:c r="E3342" s="22" t="str">
        <x:f>"23130072000159"</x:f>
        <x:v>23130072000159</x:v>
      </x:c>
      <x:c r="F3342" s="22" t="str">
        <x:f>"048.078.511-28"</x:f>
        <x:v>048.078.511-28</x:v>
      </x:c>
      <x:c r="G3342" s="22" t="str">
        <x:f>"04807851128"</x:f>
        <x:v>04807851128</x:v>
      </x:c>
      <x:c r="H3342" s="23" t="str">
        <x:v>roggerdayan59@gmail.com</x:v>
      </x:c>
      <x:c r="I3342" s="22" t="str">
        <x:f>"65996787923"</x:f>
        <x:v>65996787923</x:v>
      </x:c>
      <x:c r="J3342" s="23" t="str">
        <x:v>SPOT</x:v>
      </x:c>
      <x:c r="K3342" s="23" t="str">
        <x:v>favored_only</x:v>
      </x:c>
      <x:c r="L3342" s="24" t="b">
        <x:v>1</x:v>
      </x:c>
      <x:c r="M3342" s="23" t="n">
        <x:v>2</x:v>
      </x:c>
      <x:c r="N3342" s="28" t="n">
        <x:v>46203.92188238426</x:v>
      </x:c>
      <x:c r="O3342" s="28" t="n">
        <x:v>46219.812988715275</x:v>
      </x:c>
      <x:c r="P3342" s="23" t="str">
        <x:v>CUIABA</x:v>
      </x:c>
      <x:c r="Q3342" s="30" t="n">
        <x:v>33997</x:v>
      </x:c>
      <x:c r="R3342" s="22" t="str">
        <x:f>"8966144"</x:f>
        <x:v>8966144</x:v>
      </x:c>
      <x:c r="S3342" s="23" t="str">
        <x:v>masculino</x:v>
      </x:c>
      <x:c r="T3342" s="22" t="str">
        <x:f>"RRO1A89"</x:f>
        <x:v>RRO1A89</x:v>
      </x:c>
      <x:c r="U3342" s="23" t="str">
        <x:v>ROGGER DAYAN GONCALVES BELARDI</x:v>
      </x:c>
      <x:c r="V3342" s="22" t="str">
        <x:f>"048.078.511-28"</x:f>
        <x:v>048.078.511-28</x:v>
      </x:c>
      <x:c r="W3342" s="22" t="str">
        <x:f>"04807851128"</x:f>
        <x:v>04807851128</x:v>
      </x:c>
      <x:c r="X3342" s="23" t="str">
        <x:v>roggerdayan59@gmail.com</x:v>
      </x:c>
      <x:c r="Y3342" s="22" t="str">
        <x:f>"65996787923"</x:f>
        <x:v>65996787923</x:v>
      </x:c>
      <x:c r="Z3342" s="30" t="n">
        <x:v>46394</x:v>
      </x:c>
    </x:row>
    <x:row r="3343" ht="18" customHeight="1">
      <x:c r="A3343" s="22" t="str">
        <x:f>"de390cc8-d5f0-4bce-994a-add54888b044"</x:f>
        <x:v>de390cc8-d5f0-4bce-994a-add54888b044</x:v>
      </x:c>
      <x:c r="B3343" s="23" t="str">
        <x:v>ROGGERS DE SOUZA RODRIGUES</x:v>
      </x:c>
      <x:c r="C3343" s="23" t="str">
        <x:v>roggers de souza rodrigues</x:v>
      </x:c>
      <x:c r="D3343" s="22" t="str">
        <x:f>"31.014.523/0001-10"</x:f>
        <x:v>31.014.523/0001-10</x:v>
      </x:c>
      <x:c r="E3343" s="22" t="str">
        <x:f>"31014523000110"</x:f>
        <x:v>31014523000110</x:v>
      </x:c>
      <x:c r="F3343" s="22" t="str">
        <x:f>"221.234.638-76"</x:f>
        <x:v>221.234.638-76</x:v>
      </x:c>
      <x:c r="G3343" s="22" t="str">
        <x:f>"22123463876"</x:f>
        <x:v>22123463876</x:v>
      </x:c>
      <x:c r="H3343" s="23" t="str">
        <x:v>roggersdesouzarodrigues7@gmail.com</x:v>
      </x:c>
      <x:c r="I3343" s="22" t="str">
        <x:f>"11917681222"</x:f>
        <x:v>11917681222</x:v>
      </x:c>
      <x:c r="J3343" s="23" t="str">
        <x:v>RENTALS</x:v>
      </x:c>
      <x:c r="K3343" s="23" t="str">
        <x:v>favored_only</x:v>
      </x:c>
      <x:c r="L3343" s="24" t="b">
        <x:v>1</x:v>
      </x:c>
      <x:c r="M3343" s="23" t="n">
        <x:v>2</x:v>
      </x:c>
      <x:c r="N3343" s="28" t="n">
        <x:v>46219.79396105324</x:v>
      </x:c>
      <x:c r="O3343" s="28" t="n">
        <x:v>46219.812988715275</x:v>
      </x:c>
      <x:c r="P3343" s="23" t="str">
        <x:v>BARUERI</x:v>
      </x:c>
      <x:c r="Q3343" s="30" t="n">
        <x:v>30259</x:v>
      </x:c>
      <x:c r="R3343" s="22" t="str">
        <x:f>"41735742"</x:f>
        <x:v>41735742</x:v>
      </x:c>
      <x:c r="S3343" s="23" t="str">
        <x:v>masculino</x:v>
      </x:c>
      <x:c r="T3343" s="22" t="str">
        <x:f>"FNL8I01"</x:f>
        <x:v>FNL8I01</x:v>
      </x:c>
      <x:c r="U3343" s="23" t="str">
        <x:v>ROGGERS DE SOUZA RODRIGUES</x:v>
      </x:c>
      <x:c r="V3343" s="22" t="str">
        <x:f>"221.234.638-76"</x:f>
        <x:v>221.234.638-76</x:v>
      </x:c>
      <x:c r="W3343" s="22" t="str">
        <x:f>"22123463876"</x:f>
        <x:v>22123463876</x:v>
      </x:c>
      <x:c r="X3343" s="23" t="str">
        <x:v>roggersdesouzarodrigues7@gmail.com</x:v>
      </x:c>
      <x:c r="Y3343" s="22" t="str">
        <x:f>"11917681222"</x:f>
        <x:v>11917681222</x:v>
      </x:c>
      <x:c r="Z3343" s="30" t="n">
        <x:v>46553</x:v>
      </x:c>
    </x:row>
    <x:row r="3344" ht="18" customHeight="1">
      <x:c r="A3344" s="22" t="str">
        <x:f>"067bb9fb-397a-474b-938c-c06417f21a80"</x:f>
        <x:v>067bb9fb-397a-474b-938c-c06417f21a80</x:v>
      </x:c>
      <x:c r="B3344" s="23" t="str">
        <x:v>ROGIMAR DE SOUSA</x:v>
      </x:c>
      <x:c r="C3344" s="23" t="str">
        <x:v>rogimar de sousa</x:v>
      </x:c>
      <x:c r="D3344" s="22" t="str">
        <x:f>"62.495.751/0001-83"</x:f>
        <x:v>62.495.751/0001-83</x:v>
      </x:c>
      <x:c r="E3344" s="22" t="str">
        <x:f>"62495751000183"</x:f>
        <x:v>62495751000183</x:v>
      </x:c>
      <x:c r="F3344" s="22" t="str">
        <x:f>"461.551.708-43"</x:f>
        <x:v>461.551.708-43</x:v>
      </x:c>
      <x:c r="G3344" s="22" t="str">
        <x:f>"46155170843"</x:f>
        <x:v>46155170843</x:v>
      </x:c>
      <x:c r="H3344" s="23" t="str">
        <x:v>Thaylloroger@gmail.com</x:v>
      </x:c>
      <x:c r="I3344" s="22" t="str">
        <x:f>"11976566213"</x:f>
        <x:v>11976566213</x:v>
      </x:c>
      <x:c r="J3344" s="23" t="str">
        <x:v>SPOT</x:v>
      </x:c>
      <x:c r="K3344" s="23" t="str">
        <x:v>favored_only</x:v>
      </x:c>
      <x:c r="L3344" s="24" t="b">
        <x:v>1</x:v>
      </x:c>
      <x:c r="M3344" s="23" t="n">
        <x:v>1</x:v>
      </x:c>
      <x:c r="N3344" s="28" t="n">
        <x:v>46205.60508204861</x:v>
      </x:c>
      <x:c r="O3344" s="28" t="n">
        <x:v>46219.812988715275</x:v>
      </x:c>
      <x:c r="P3344" s="23" t="str">
        <x:v>BARUERI</x:v>
      </x:c>
      <x:c r="Q3344" s="30" t="n">
        <x:v>35248</x:v>
      </x:c>
      <x:c r="R3344" s="22" t="str">
        <x:f>"53848751"</x:f>
        <x:v>53848751</x:v>
      </x:c>
      <x:c r="S3344" s="23" t="str">
        <x:v>masculino</x:v>
      </x:c>
      <x:c r="T3344" s="22" t="str">
        <x:f>"EVP5E25"</x:f>
        <x:v>EVP5E25</x:v>
      </x:c>
      <x:c r="U3344" s="23" t="str">
        <x:v>ROSANGELA RONAILVA ALVES DE VASCONCELOS</x:v>
      </x:c>
      <x:c r="V3344" s="22" t="str">
        <x:f>"259.313.238-80"</x:f>
        <x:v>259.313.238-80</x:v>
      </x:c>
      <x:c r="W3344" s="22" t="str">
        <x:f>"25931323880"</x:f>
        <x:v>25931323880</x:v>
      </x:c>
      <x:c r="X3344" s="23" t="str">
        <x:v>montana.power25@gmail.com</x:v>
      </x:c>
      <x:c r="Y3344" s="22" t="str">
        <x:f>"11911282358"</x:f>
        <x:v>11911282358</x:v>
      </x:c>
      <x:c r="Z3344" s="30" t="n">
        <x:v>46310</x:v>
      </x:c>
    </x:row>
    <x:row r="3345" ht="18" customHeight="1">
      <x:c r="A3345" s="22" t="str">
        <x:f>"92e333a6-bcdd-4c24-b419-0ae5b052ab76"</x:f>
        <x:v>92e333a6-bcdd-4c24-b419-0ae5b052ab76</x:v>
      </x:c>
      <x:c r="B3345" s="23" t="str">
        <x:v>ROLAND SCHUENKEL LUCIANO</x:v>
      </x:c>
      <x:c r="C3345" s="23" t="str">
        <x:v>roland schuenkel luciano</x:v>
      </x:c>
      <x:c r="D3345" s="22" t="str">
        <x:f>"28.034.893/0001-05"</x:f>
        <x:v>28.034.893/0001-05</x:v>
      </x:c>
      <x:c r="E3345" s="22" t="str">
        <x:f>"28034893000105"</x:f>
        <x:v>28034893000105</x:v>
      </x:c>
      <x:c r="F3345" s="22" t="str">
        <x:f>"110.497.087-25"</x:f>
        <x:v>110.497.087-25</x:v>
      </x:c>
      <x:c r="G3345" s="22" t="str">
        <x:f>"11049708725"</x:f>
        <x:v>11049708725</x:v>
      </x:c>
      <x:c r="H3345" s="23" t="str">
        <x:v>rolandschuenkelluciano@gmail.com</x:v>
      </x:c>
      <x:c r="I3345" s="22" t="str">
        <x:f>"21 973416135"</x:f>
        <x:v>21 973416135</x:v>
      </x:c>
      <x:c r="J3345" s="23" t="str">
        <x:v>spot</x:v>
      </x:c>
      <x:c r="K3345" s="23" t="str">
        <x:v>favored_only</x:v>
      </x:c>
      <x:c r="L3345" s="24" t="b">
        <x:v>1</x:v>
      </x:c>
      <x:c r="M3345" s="23" t="n">
        <x:v>1</x:v>
      </x:c>
      <x:c r="N3345" s="28" t="n">
        <x:v>46219.812988715275</x:v>
      </x:c>
      <x:c r="O3345" s="28" t="n">
        <x:v>46219.812988715275</x:v>
      </x:c>
      <x:c r="P3345" s="23" t="str">
        <x:v>ITABORAI</x:v>
      </x:c>
      <x:c r="Q3345" s="30" t="n">
        <x:v>28409</x:v>
      </x:c>
      <x:c r="R3345" s="22" t="str">
        <x:f>"126190347"</x:f>
        <x:v>126190347</x:v>
      </x:c>
      <x:c r="S3345" s="23" t="str">
        <x:v>masculino</x:v>
      </x:c>
      <x:c r="T3345" s="22" t="str">
        <x:f>"SIH2G27"</x:f>
        <x:v>SIH2G27</x:v>
      </x:c>
      <x:c r="U3345" s="23" t="str">
        <x:v>ROLAND SCHUENKEL LUCIANO</x:v>
      </x:c>
      <x:c r="V3345" s="22" t="str">
        <x:f>"110.497.087-25"</x:f>
        <x:v>110.497.087-25</x:v>
      </x:c>
      <x:c r="W3345" s="22" t="str">
        <x:f>"11049708725"</x:f>
        <x:v>11049708725</x:v>
      </x:c>
      <x:c r="X3345" s="23" t="str">
        <x:v>rolandschuenkelluciano@gmail.com</x:v>
      </x:c>
      <x:c r="Y3345" s="22" t="str">
        <x:f>"21 973416135"</x:f>
        <x:v>21 973416135</x:v>
      </x:c>
      <x:c r="Z3345" s="30" t="n">
        <x:v>46514</x:v>
      </x:c>
    </x:row>
    <x:row r="3346" ht="18" customHeight="1">
      <x:c r="A3346" s="22" t="str">
        <x:f>"724f70ea-d3b0-434d-a5d0-c9cf9e9204e5"</x:f>
        <x:v>724f70ea-d3b0-434d-a5d0-c9cf9e9204e5</x:v>
      </x:c>
      <x:c r="B3346" s="23" t="str">
        <x:v>ROMARIO AZEREDO FRAGA</x:v>
      </x:c>
      <x:c r="C3346" s="23" t="str">
        <x:v>romario azeredo fraga</x:v>
      </x:c>
      <x:c r="D3346" s="22" t="str">
        <x:f>"65.085.380/0001-50"</x:f>
        <x:v>65.085.380/0001-50</x:v>
      </x:c>
      <x:c r="E3346" s="22" t="str">
        <x:f>"65085380000150"</x:f>
        <x:v>65085380000150</x:v>
      </x:c>
      <x:c r="F3346" s="22" t="str">
        <x:f>"141.887.277-64"</x:f>
        <x:v>141.887.277-64</x:v>
      </x:c>
      <x:c r="G3346" s="22" t="str">
        <x:f>"14188727764"</x:f>
        <x:v>14188727764</x:v>
      </x:c>
      <x:c r="H3346" s="23" t="str">
        <x:v>romariofraga1996@gmail.com</x:v>
      </x:c>
      <x:c r="I3346" s="22" t="str">
        <x:f>"21960185003"</x:f>
        <x:v>21960185003</x:v>
      </x:c>
      <x:c r="J3346" s="23" t="str">
        <x:v>SPOT</x:v>
      </x:c>
      <x:c r="K3346" s="23" t="str">
        <x:v>favored_only</x:v>
      </x:c>
      <x:c r="L3346" s="24" t="b">
        <x:v>1</x:v>
      </x:c>
      <x:c r="M3346" s="23" t="n">
        <x:v>1</x:v>
      </x:c>
      <x:c r="N3346" s="28" t="n">
        <x:v>46219.812988715275</x:v>
      </x:c>
      <x:c r="O3346" s="28" t="n">
        <x:v>46219.812988715275</x:v>
      </x:c>
      <x:c r="P3346" s="23" t="str">
        <x:v>CAMPO GRANDE</x:v>
      </x:c>
      <x:c r="Q3346" s="30" t="n">
        <x:v>35406</x:v>
      </x:c>
      <x:c r="R3346" s="22" t="str">
        <x:f>"267796613"</x:f>
        <x:v>267796613</x:v>
      </x:c>
      <x:c r="S3346" s="23" t="str">
        <x:v>masculino</x:v>
      </x:c>
      <x:c r="T3346" s="22" t="str">
        <x:f>"KZK9846"</x:f>
        <x:v>KZK9846</x:v>
      </x:c>
      <x:c r="U3346" s="23" t="str">
        <x:v>ROMARIO AZEREDO FRAGA</x:v>
      </x:c>
      <x:c r="V3346" s="22" t="str">
        <x:f>"141.887.277-64"</x:f>
        <x:v>141.887.277-64</x:v>
      </x:c>
      <x:c r="W3346" s="22" t="str">
        <x:f>"14188727764"</x:f>
        <x:v>14188727764</x:v>
      </x:c>
      <x:c r="X3346" s="23" t="str">
        <x:v>romariofraga1996@gmail.com</x:v>
      </x:c>
      <x:c r="Y3346" s="22" t="str">
        <x:f>"21960185003"</x:f>
        <x:v>21960185003</x:v>
      </x:c>
      <x:c r="Z3346" s="30" t="n">
        <x:v>46472</x:v>
      </x:c>
    </x:row>
    <x:row r="3347" ht="18" customHeight="1">
      <x:c r="A3347" s="22" t="str">
        <x:f>"df7ba1c2-6782-4dbe-bd52-d89c42a47d51"</x:f>
        <x:v>df7ba1c2-6782-4dbe-bd52-d89c42a47d51</x:v>
      </x:c>
      <x:c r="B3347" s="23" t="str">
        <x:v>ROMARIO BARREIROS VERDEIROS</x:v>
      </x:c>
      <x:c r="C3347" s="23" t="str">
        <x:v>romario barreiros verdeiros</x:v>
      </x:c>
      <x:c r="D3347" s="22" t="str">
        <x:f>"61.782.765/0001-15"</x:f>
        <x:v>61.782.765/0001-15</x:v>
      </x:c>
      <x:c r="E3347" s="22" t="str">
        <x:f>"61782765000115"</x:f>
        <x:v>61782765000115</x:v>
      </x:c>
      <x:c r="F3347" s="22" t="str">
        <x:f>"134.524.046-50"</x:f>
        <x:v>134.524.046-50</x:v>
      </x:c>
      <x:c r="G3347" s="22" t="str">
        <x:f>"13452404650"</x:f>
        <x:v>13452404650</x:v>
      </x:c>
      <x:c r="H3347" s="23" t="str">
        <x:v>rb.verdeiros@gmail.com</x:v>
      </x:c>
      <x:c r="I3347" s="22" t="str">
        <x:f>"33 8466-6357"</x:f>
        <x:v>33 8466-6357</x:v>
      </x:c>
      <x:c r="J3347" s="23" t="str">
        <x:v>SPOT</x:v>
      </x:c>
      <x:c r="K3347" s="23" t="str">
        <x:v>favored_only</x:v>
      </x:c>
      <x:c r="L3347" s="24" t="b">
        <x:v>1</x:v>
      </x:c>
      <x:c r="M3347" s="23" t="n">
        <x:v>1</x:v>
      </x:c>
      <x:c r="N3347" s="28" t="n">
        <x:v>46219.812988715275</x:v>
      </x:c>
      <x:c r="O3347" s="28" t="n">
        <x:v>46219.812988715275</x:v>
      </x:c>
      <x:c r="P3347" s="23" t="str">
        <x:v>TEOFILO OTONI</x:v>
      </x:c>
      <x:c r="Q3347" s="30" t="n">
        <x:v>34574</x:v>
      </x:c>
      <x:c r="R3347" s="22" t="str">
        <x:f>"1975073"</x:f>
        <x:v>1975073</x:v>
      </x:c>
      <x:c r="S3347" s="23" t="str">
        <x:v>masculino</x:v>
      </x:c>
      <x:c r="T3347" s="22" t="str">
        <x:f>"OWV7E33"</x:f>
        <x:v>OWV7E33</x:v>
      </x:c>
      <x:c r="U3347" s="23" t="str">
        <x:v>AVENIDA TRANSPORTES</x:v>
      </x:c>
      <x:c r="V3347" s="22" t="str">
        <x:f>"118.908.666-28"</x:f>
        <x:v>118.908.666-28</x:v>
      </x:c>
      <x:c r="W3347" s="22" t="str">
        <x:f>"11890866628"</x:f>
        <x:v>11890866628</x:v>
      </x:c>
      <x:c r="X3347" s="23" t="str">
        <x:v>grupoavenidacatuji@gmail.com</x:v>
      </x:c>
      <x:c r="Y3347" s="22" t="str">
        <x:f>"33 9133-6298"</x:f>
        <x:v>33 9133-6298</x:v>
      </x:c>
      <x:c r="Z3347" s="30" t="n">
        <x:v>46561</x:v>
      </x:c>
    </x:row>
    <x:row r="3348" ht="18" customHeight="1">
      <x:c r="A3348" s="22" t="str">
        <x:f>"63512a3b-03eb-4bc4-a5fa-2a0fc6bbac24"</x:f>
        <x:v>63512a3b-03eb-4bc4-a5fa-2a0fc6bbac24</x:v>
      </x:c>
      <x:c r="B3348" s="23" t="str">
        <x:v>ROMARIO PEGORA DA SILVA</x:v>
      </x:c>
      <x:c r="C3348" s="23" t="str">
        <x:v>romario pegora da silva</x:v>
      </x:c>
      <x:c r="D3348" s="22" t="str">
        <x:f>"50.139.486/0001-11"</x:f>
        <x:v>50.139.486/0001-11</x:v>
      </x:c>
      <x:c r="E3348" s="22" t="str">
        <x:f>"50139486000111"</x:f>
        <x:v>50139486000111</x:v>
      </x:c>
      <x:c r="F3348" s="22" t="str">
        <x:f>"018.235.111-47"</x:f>
        <x:v>018.235.111-47</x:v>
      </x:c>
      <x:c r="G3348" s="22" t="str">
        <x:f>"01823511147"</x:f>
        <x:v>01823511147</x:v>
      </x:c>
      <x:c r="H3348" s="23" t="str">
        <x:v>romariopegora1208@gmail.com</x:v>
      </x:c>
      <x:c r="I3348" s="22" t="str">
        <x:f>"6291784096"</x:f>
        <x:v>6291784096</x:v>
      </x:c>
      <x:c r="J3348" s="23" t="str">
        <x:v>SPOT</x:v>
      </x:c>
      <x:c r="K3348" s="23" t="str">
        <x:v>favored_only</x:v>
      </x:c>
      <x:c r="L3348" s="24" t="b">
        <x:v>1</x:v>
      </x:c>
      <x:c r="M3348" s="23" t="n">
        <x:v>1</x:v>
      </x:c>
      <x:c r="N3348" s="28" t="n">
        <x:v>46205.60610275463</x:v>
      </x:c>
      <x:c r="O3348" s="28" t="n">
        <x:v>46219.812988715275</x:v>
      </x:c>
      <x:c r="P3348" s="23" t="str">
        <x:v>MOZARLANDIA</x:v>
      </x:c>
      <x:c r="Q3348" s="30" t="n">
        <x:v>32001</x:v>
      </x:c>
      <x:c r="R3348" s="22" t="str">
        <x:f>"18531067 SSP MT"</x:f>
        <x:v>18531067 SSP MT</x:v>
      </x:c>
      <x:c r="S3348" s="23" t="str">
        <x:v>masculino</x:v>
      </x:c>
      <x:c r="T3348" s="22" t="str">
        <x:f>"OGU2B36"</x:f>
        <x:v>OGU2B36</x:v>
      </x:c>
      <x:c r="U3348" s="23" t="str">
        <x:v>ALEXANDRE PEGORA DA SILVA AMARAL</x:v>
      </x:c>
      <x:c r="V3348" s="22" t="str">
        <x:f>"052.945.951-50"</x:f>
        <x:v>052.945.951-50</x:v>
      </x:c>
      <x:c r="W3348" s="22" t="str">
        <x:f>"05294595150"</x:f>
        <x:v>05294595150</x:v>
      </x:c>
      <x:c r="X3348" s="23" t="str">
        <x:v>xandypegora@outlook.com</x:v>
      </x:c>
      <x:c r="Y3348" s="22" t="str">
        <x:f>"6295658535"</x:f>
        <x:v>6295658535</x:v>
      </x:c>
      <x:c r="Z3348" s="30" t="n">
        <x:v>46343</x:v>
      </x:c>
    </x:row>
    <x:row r="3349" ht="18" customHeight="1">
      <x:c r="A3349" s="22" t="str">
        <x:f>"649acf79-5e7b-498d-859d-0ba1d375da76"</x:f>
        <x:v>649acf79-5e7b-498d-859d-0ba1d375da76</x:v>
      </x:c>
      <x:c r="B3349" s="23" t="str">
        <x:v>ROMARIO PEREIRA DA SILVA</x:v>
      </x:c>
      <x:c r="C3349" s="23" t="str">
        <x:v>romario pereira da silva</x:v>
      </x:c>
      <x:c r="D3349" s="22" t="str">
        <x:f>"53.264.533/0001-47"</x:f>
        <x:v>53.264.533/0001-47</x:v>
      </x:c>
      <x:c r="E3349" s="22" t="str">
        <x:f>"53264533000147"</x:f>
        <x:v>53264533000147</x:v>
      </x:c>
      <x:c r="F3349" s="22" t="str">
        <x:f>"041.626.002-01"</x:f>
        <x:v>041.626.002-01</x:v>
      </x:c>
      <x:c r="G3349" s="22" t="str">
        <x:f>"04162600201"</x:f>
        <x:v>04162600201</x:v>
      </x:c>
      <x:c r="H3349" s="23" t="str">
        <x:v>rms6581226175@gmail.com</x:v>
      </x:c>
      <x:c r="I3349" s="22" t="str">
        <x:f>"65 8151-3248"</x:f>
        <x:v>65 8151-3248</x:v>
      </x:c>
      <x:c r="J3349" s="23" t="str">
        <x:v>SPOT</x:v>
      </x:c>
      <x:c r="K3349" s="23" t="str">
        <x:v>favored_only</x:v>
      </x:c>
      <x:c r="L3349" s="24" t="b">
        <x:v>1</x:v>
      </x:c>
      <x:c r="M3349" s="23" t="n">
        <x:v>1</x:v>
      </x:c>
      <x:c r="N3349" s="28" t="n">
        <x:v>46205.60430853009</x:v>
      </x:c>
      <x:c r="O3349" s="28" t="n">
        <x:v>46219.812988715275</x:v>
      </x:c>
      <x:c r="P3349" s="23" t="str">
        <x:v>CUIABA</x:v>
      </x:c>
      <x:c r="Q3349" s="30" t="n">
        <x:v>35199</x:v>
      </x:c>
      <x:c r="R3349" s="22" t="str">
        <x:f>"30917999"</x:f>
        <x:v>30917999</x:v>
      </x:c>
      <x:c r="S3349" s="23" t="str">
        <x:v>masculino</x:v>
      </x:c>
      <x:c r="T3349" s="22" t="str">
        <x:f>"SPT4B81"</x:f>
        <x:v>SPT4B81</x:v>
      </x:c>
      <x:c r="U3349" s="23" t="str">
        <x:v>LEONIDAS DE PINHO E SILVA</x:v>
      </x:c>
      <x:c r="V3349" s="22" t="str">
        <x:f>"692.451.851-68"</x:f>
        <x:v>692.451.851-68</x:v>
      </x:c>
      <x:c r="W3349" s="22" t="str">
        <x:f>"69245185168"</x:f>
        <x:v>69245185168</x:v>
      </x:c>
      <x:c r="X3349" s="23" t="str">
        <x:v>veloxlogisticamt@gmail.com</x:v>
      </x:c>
      <x:c r="Y3349" s="22" t="str">
        <x:f>"(65) 99632-1030"</x:f>
        <x:v>(65) 99632-1030</x:v>
      </x:c>
      <x:c r="Z3349" s="30" t="n">
        <x:v>46267</x:v>
      </x:c>
    </x:row>
    <x:row r="3350" ht="18" customHeight="1">
      <x:c r="A3350" s="22" t="str">
        <x:f>"25187f45-301b-4acf-aef2-4afe1b3688dd"</x:f>
        <x:v>25187f45-301b-4acf-aef2-4afe1b3688dd</x:v>
      </x:c>
      <x:c r="B3350" s="23" t="str">
        <x:v>ROMERIO LUIZ MENDES</x:v>
      </x:c>
      <x:c r="C3350" s="23" t="str">
        <x:v>romerio luiz mendes</x:v>
      </x:c>
      <x:c r="D3350" s="22" t="str">
        <x:f>"57.782.620/0001-47"</x:f>
        <x:v>57.782.620/0001-47</x:v>
      </x:c>
      <x:c r="E3350" s="22" t="str">
        <x:f>"57782620000147"</x:f>
        <x:v>57782620000147</x:v>
      </x:c>
      <x:c r="F3350" s="22" t="str">
        <x:f>"131.601.948-92"</x:f>
        <x:v>131.601.948-92</x:v>
      </x:c>
      <x:c r="G3350" s="22" t="str">
        <x:f>"13160194892"</x:f>
        <x:v>13160194892</x:v>
      </x:c>
      <x:c r="H3350" s="23" t="str">
        <x:v>romerio.luiz@gmsil.xom</x:v>
      </x:c>
      <x:c r="I3350" s="22" t="str">
        <x:f>"31 991524113"</x:f>
        <x:v>31 991524113</x:v>
      </x:c>
      <x:c r="J3350" s="23" t="str">
        <x:v>SPOT</x:v>
      </x:c>
      <x:c r="K3350" s="23" t="str">
        <x:v>favored_only</x:v>
      </x:c>
      <x:c r="L3350" s="24" t="b">
        <x:v>1</x:v>
      </x:c>
      <x:c r="M3350" s="23" t="n">
        <x:v>1</x:v>
      </x:c>
      <x:c r="N3350" s="28" t="n">
        <x:v>46203.921858726855</x:v>
      </x:c>
      <x:c r="O3350" s="28" t="n">
        <x:v>46219.812988715275</x:v>
      </x:c>
      <x:c r="P3350" s="23" t="str">
        <x:v>CONTAGEM</x:v>
      </x:c>
      <x:c r="Q3350" s="30" t="n">
        <x:v>25541</x:v>
      </x:c>
      <x:c r="R3350" s="22" t="str">
        <x:f>"17038733"</x:f>
        <x:v>17038733</x:v>
      </x:c>
      <x:c r="S3350" s="23" t="str">
        <x:v>masculino</x:v>
      </x:c>
      <x:c r="T3350" s="22" t="str">
        <x:f>"GCS4A73"</x:f>
        <x:v>GCS4A73</x:v>
      </x:c>
      <x:c r="U3350" s="23" t="str">
        <x:v>ROMERIO LUIZ MENDES</x:v>
      </x:c>
      <x:c r="V3350" s="22" t="str">
        <x:f>"131.601.948-92"</x:f>
        <x:v>131.601.948-92</x:v>
      </x:c>
      <x:c r="W3350" s="22" t="str">
        <x:f>"13160194892"</x:f>
        <x:v>13160194892</x:v>
      </x:c>
      <x:c r="X3350" s="23" t="str">
        <x:v>romerio.luiz@gmsil.xom</x:v>
      </x:c>
      <x:c r="Y3350" s="22" t="str">
        <x:f>"31 991524113"</x:f>
        <x:v>31 991524113</x:v>
      </x:c>
      <x:c r="Z3350" s="30" t="n">
        <x:v>46263</x:v>
      </x:c>
    </x:row>
    <x:row r="3351" ht="18" customHeight="1">
      <x:c r="A3351" s="22" t="str">
        <x:f>"5fd98d37-a44f-4751-b343-e90760f2f33c"</x:f>
        <x:v>5fd98d37-a44f-4751-b343-e90760f2f33c</x:v>
      </x:c>
      <x:c r="B3351" s="23" t="str">
        <x:v>ROMERO DE MAGALHAES LIMA</x:v>
      </x:c>
      <x:c r="C3351" s="23" t="str">
        <x:v>romero de magalhaes lima</x:v>
      </x:c>
      <x:c r="D3351" s="22" t="str">
        <x:f>"67.090.574/0001-79"</x:f>
        <x:v>67.090.574/0001-79</x:v>
      </x:c>
      <x:c r="E3351" s="22" t="str">
        <x:f>"67090574000179"</x:f>
        <x:v>67090574000179</x:v>
      </x:c>
      <x:c r="F3351" s="22" t="str">
        <x:f>"036.883.736-00"</x:f>
        <x:v>036.883.736-00</x:v>
      </x:c>
      <x:c r="G3351" s="22" t="str">
        <x:f>"03688373600"</x:f>
        <x:v>03688373600</x:v>
      </x:c>
      <x:c r="H3351" s="23" t="str">
        <x:v>romeromagalhaes.lima@gmail.com</x:v>
      </x:c>
      <x:c r="I3351" s="22" t="str">
        <x:f>"31985011515"</x:f>
        <x:v>31985011515</x:v>
      </x:c>
      <x:c r="J3351" s="23" t="str">
        <x:v>RENTAL</x:v>
      </x:c>
      <x:c r="K3351" s="23" t="str">
        <x:v>rental_company</x:v>
      </x:c>
      <x:c r="L3351" s="24" t="b">
        <x:v>1</x:v>
      </x:c>
      <x:c r="M3351" s="23" t="n">
        <x:v>2</x:v>
      </x:c>
      <x:c r="N3351" s="28" t="n">
        <x:v>46219.812988715275</x:v>
      </x:c>
      <x:c r="O3351" s="28" t="n">
        <x:v>46219.812988715275</x:v>
      </x:c>
      <x:c r="P3351" s="23" t="str">
        <x:v>IPATINGA</x:v>
      </x:c>
      <x:c r="Q3351" s="30" t="n">
        <x:v>28604</x:v>
      </x:c>
      <x:c r="R3351" s="22" t="str">
        <x:f>"M8627395 SSP MG"</x:f>
        <x:v>M8627395 SSP MG</x:v>
      </x:c>
      <x:c r="S3351" s="23" t="str">
        <x:v>masculino</x:v>
      </x:c>
      <x:c r="T3351" s="22" t="str"/>
      <x:c r="U3351" s="23" t="str">
        <x:v>ROMERO DE MAGALHAES LIMA</x:v>
      </x:c>
      <x:c r="V3351" s="22" t="str">
        <x:f>"036.883.736-00"</x:f>
        <x:v>036.883.736-00</x:v>
      </x:c>
      <x:c r="W3351" s="22" t="str">
        <x:f>"03688373600"</x:f>
        <x:v>03688373600</x:v>
      </x:c>
      <x:c r="X3351" s="23" t="str">
        <x:v>romeromagalhaes.lima@gmail.com</x:v>
      </x:c>
      <x:c r="Y3351" s="22" t="str">
        <x:f>"31985011515"</x:f>
        <x:v>31985011515</x:v>
      </x:c>
      <x:c r="Z3351" s="30" t="n">
        <x:v>46553</x:v>
      </x:c>
    </x:row>
    <x:row r="3352" ht="18" customHeight="1">
      <x:c r="A3352" s="22" t="str">
        <x:f>"dccc5cc6-757d-42f5-ae83-186fa9d1372a"</x:f>
        <x:v>dccc5cc6-757d-42f5-ae83-186fa9d1372a</x:v>
      </x:c>
      <x:c r="B3352" s="23" t="str">
        <x:v>ROMERO DIAS SANTOS SOUSA</x:v>
      </x:c>
      <x:c r="C3352" s="23" t="str">
        <x:v>romero dias santos sousa</x:v>
      </x:c>
      <x:c r="D3352" s="22" t="str">
        <x:f>"60.513.376/0001-21"</x:f>
        <x:v>60.513.376/0001-21</x:v>
      </x:c>
      <x:c r="E3352" s="22" t="str">
        <x:f>"60513376000121"</x:f>
        <x:v>60513376000121</x:v>
      </x:c>
      <x:c r="F3352" s="22" t="str">
        <x:f>"110.562.436-60"</x:f>
        <x:v>110.562.436-60</x:v>
      </x:c>
      <x:c r="G3352" s="22" t="str">
        <x:f>"11056243660"</x:f>
        <x:v>11056243660</x:v>
      </x:c>
      <x:c r="H3352" s="23" t="str">
        <x:v>darlanetatinha2@gmail.com</x:v>
      </x:c>
      <x:c r="I3352" s="22" t="str">
        <x:f>"(31)97357-7403"</x:f>
        <x:v>(31)97357-7403</x:v>
      </x:c>
      <x:c r="J3352" s="23" t="str">
        <x:v>SPOT</x:v>
      </x:c>
      <x:c r="K3352" s="23" t="str">
        <x:v>favored_only</x:v>
      </x:c>
      <x:c r="L3352" s="24" t="b">
        <x:v>1</x:v>
      </x:c>
      <x:c r="M3352" s="23" t="n">
        <x:v>1</x:v>
      </x:c>
      <x:c r="N3352" s="28" t="n">
        <x:v>46219.812988715275</x:v>
      </x:c>
      <x:c r="O3352" s="28" t="n">
        <x:v>46219.812988715275</x:v>
      </x:c>
      <x:c r="P3352" s="23" t="str">
        <x:v>VESPASIANO</x:v>
      </x:c>
      <x:c r="Q3352" s="30" t="n">
        <x:v>33449</x:v>
      </x:c>
      <x:c r="R3352" s="22" t="str">
        <x:f>"MG 17541629"</x:f>
        <x:v>MG 17541629</x:v>
      </x:c>
      <x:c r="S3352" s="23" t="str">
        <x:v>masculino</x:v>
      </x:c>
      <x:c r="T3352" s="22" t="str">
        <x:f>"FXZ7J11"</x:f>
        <x:v>FXZ7J11</x:v>
      </x:c>
      <x:c r="U3352" s="23" t="str">
        <x:v>ROMERO DIAS SANTOS SOUSA</x:v>
      </x:c>
      <x:c r="V3352" s="22" t="str">
        <x:f>"110.562.436-60"</x:f>
        <x:v>110.562.436-60</x:v>
      </x:c>
      <x:c r="W3352" s="22" t="str">
        <x:f>"11056243660"</x:f>
        <x:v>11056243660</x:v>
      </x:c>
      <x:c r="X3352" s="23" t="str">
        <x:v>darlanetatinha2@gmail.com</x:v>
      </x:c>
      <x:c r="Y3352" s="22" t="str">
        <x:f>"(31)97357-7403"</x:f>
        <x:v>(31)97357-7403</x:v>
      </x:c>
      <x:c r="Z3352" s="30" t="n">
        <x:v>46540</x:v>
      </x:c>
    </x:row>
    <x:row r="3353" ht="18" customHeight="1">
      <x:c r="A3353" s="22" t="str">
        <x:f>"a1be9763-ab0a-4dad-8137-348bbaea7f07"</x:f>
        <x:v>a1be9763-ab0a-4dad-8137-348bbaea7f07</x:v>
      </x:c>
      <x:c r="B3353" s="23" t="str">
        <x:v>ROMILDO APARECIDO DOS SANTOS</x:v>
      </x:c>
      <x:c r="C3353" s="23" t="str">
        <x:v>romildo aparecido dos santos</x:v>
      </x:c>
      <x:c r="D3353" s="22" t="str">
        <x:f>"56.889.859/0001-58"</x:f>
        <x:v>56.889.859/0001-58</x:v>
      </x:c>
      <x:c r="E3353" s="22" t="str">
        <x:f>"56889859000158"</x:f>
        <x:v>56889859000158</x:v>
      </x:c>
      <x:c r="F3353" s="22" t="str">
        <x:f>"058.821.058-70"</x:f>
        <x:v>058.821.058-70</x:v>
      </x:c>
      <x:c r="G3353" s="22" t="str">
        <x:f>"05882105870"</x:f>
        <x:v>05882105870</x:v>
      </x:c>
      <x:c r="H3353" s="23" t="str">
        <x:v>romildo64679@gmail.com</x:v>
      </x:c>
      <x:c r="I3353" s="22" t="str">
        <x:f>"18996861004"</x:f>
        <x:v>18996861004</x:v>
      </x:c>
      <x:c r="J3353" s="23" t="str">
        <x:v>RENTAL</x:v>
      </x:c>
      <x:c r="K3353" s="23" t="str">
        <x:v>rental_company</x:v>
      </x:c>
      <x:c r="L3353" s="24" t="b">
        <x:v>1</x:v>
      </x:c>
      <x:c r="M3353" s="23" t="n">
        <x:v>1</x:v>
      </x:c>
      <x:c r="N3353" s="28" t="n">
        <x:v>46203.92189349537</x:v>
      </x:c>
      <x:c r="O3353" s="28" t="n">
        <x:v>46219.812988715275</x:v>
      </x:c>
      <x:c r="P3353" s="23" t="str">
        <x:v>PRESIDENTE PRUDENTE</x:v>
      </x:c>
      <x:c r="Q3353" s="30" t="n">
        <x:v>24985</x:v>
      </x:c>
      <x:c r="R3353" s="22" t="str">
        <x:f>"18821224-3"</x:f>
        <x:v>18821224-3</x:v>
      </x:c>
      <x:c r="S3353" s="23" t="str">
        <x:v>masculino</x:v>
      </x:c>
      <x:c r="T3353" s="22" t="str"/>
      <x:c r="U3353" s="23" t="str">
        <x:v>ROMILDO APARECIDO DOS SANTOS</x:v>
      </x:c>
      <x:c r="V3353" s="22" t="str">
        <x:f>"058.821.058-70"</x:f>
        <x:v>058.821.058-70</x:v>
      </x:c>
      <x:c r="W3353" s="22" t="str">
        <x:f>"05882105870"</x:f>
        <x:v>05882105870</x:v>
      </x:c>
      <x:c r="X3353" s="23" t="str">
        <x:v>romildo64679@gmail.com</x:v>
      </x:c>
      <x:c r="Y3353" s="22" t="str">
        <x:f>"18996861004"</x:f>
        <x:v>18996861004</x:v>
      </x:c>
      <x:c r="Z3353" s="30" t="n">
        <x:v>46343</x:v>
      </x:c>
    </x:row>
    <x:row r="3354" ht="18" customHeight="1">
      <x:c r="A3354" s="22" t="str">
        <x:f>"1068a4d1-4099-4eb5-8615-4aa40095a0e2"</x:f>
        <x:v>1068a4d1-4099-4eb5-8615-4aa40095a0e2</x:v>
      </x:c>
      <x:c r="B3354" s="23" t="str">
        <x:v>ROMILDO SILVEIRA DE MEDEIROS JUNIOR</x:v>
      </x:c>
      <x:c r="C3354" s="23" t="str">
        <x:v>romildo silveira de medeiros junior</x:v>
      </x:c>
      <x:c r="D3354" s="22" t="str">
        <x:f>"51.068.190/0001-10"</x:f>
        <x:v>51.068.190/0001-10</x:v>
      </x:c>
      <x:c r="E3354" s="22" t="str">
        <x:f>"51068190000110"</x:f>
        <x:v>51068190000110</x:v>
      </x:c>
      <x:c r="F3354" s="22" t="str">
        <x:f>"044.515.806-92"</x:f>
        <x:v>044.515.806-92</x:v>
      </x:c>
      <x:c r="G3354" s="22" t="str">
        <x:f>"04451580692"</x:f>
        <x:v>04451580692</x:v>
      </x:c>
      <x:c r="H3354" s="23" t="str">
        <x:v>romildosilveira@yahoo.com.br</x:v>
      </x:c>
      <x:c r="I3354" s="22" t="str">
        <x:f>"22 99705-0343"</x:f>
        <x:v>22 99705-0343</x:v>
      </x:c>
      <x:c r="J3354" s="23" t="str">
        <x:v>SPOT</x:v>
      </x:c>
      <x:c r="K3354" s="23" t="str">
        <x:v>favored_only</x:v>
      </x:c>
      <x:c r="L3354" s="24" t="b">
        <x:v>1</x:v>
      </x:c>
      <x:c r="M3354" s="23" t="n">
        <x:v>1</x:v>
      </x:c>
      <x:c r="N3354" s="28" t="n">
        <x:v>46205.60724706019</x:v>
      </x:c>
      <x:c r="O3354" s="28" t="n">
        <x:v>46219.812988715275</x:v>
      </x:c>
      <x:c r="P3354" s="23" t="str">
        <x:v>CAMPOS DOS GOYTACAZES</x:v>
      </x:c>
      <x:c r="Q3354" s="30" t="n">
        <x:v>29893</x:v>
      </x:c>
      <x:c r="R3354" s="22" t="str">
        <x:f>"11379923"</x:f>
        <x:v>11379923</x:v>
      </x:c>
      <x:c r="S3354" s="23" t="str">
        <x:v>masculino</x:v>
      </x:c>
      <x:c r="T3354" s="22" t="str">
        <x:f>"QNC5H35"</x:f>
        <x:v>QNC5H35</x:v>
      </x:c>
      <x:c r="U3354" s="23" t="str">
        <x:v>PATRICIA TARDEM DOS SANTOS</x:v>
      </x:c>
      <x:c r="V3354" s="22" t="str">
        <x:f>"096.525.857-26"</x:f>
        <x:v>096.525.857-26</x:v>
      </x:c>
      <x:c r="W3354" s="22" t="str">
        <x:f>"09652585726"</x:f>
        <x:v>09652585726</x:v>
      </x:c>
      <x:c r="X3354" s="23" t="str">
        <x:v>patriciatardem0110@gmail.com</x:v>
      </x:c>
      <x:c r="Y3354" s="22" t="str">
        <x:f>"22 981211070"</x:f>
        <x:v>22 981211070</x:v>
      </x:c>
      <x:c r="Z3354" s="30" t="n">
        <x:v>46337</x:v>
      </x:c>
    </x:row>
    <x:row r="3355" ht="18" customHeight="1">
      <x:c r="A3355" s="22" t="str">
        <x:f>"52d23cb6-0925-4ea9-a674-06bc3c7dd395"</x:f>
        <x:v>52d23cb6-0925-4ea9-a674-06bc3c7dd395</x:v>
      </x:c>
      <x:c r="B3355" s="23" t="str">
        <x:v>ROMUALDO GARCIA DA SILVA</x:v>
      </x:c>
      <x:c r="C3355" s="23" t="str">
        <x:v>romualdo garcia da silva</x:v>
      </x:c>
      <x:c r="D3355" s="22" t="str">
        <x:f>"50.503.046/0001-00"</x:f>
        <x:v>50.503.046/0001-00</x:v>
      </x:c>
      <x:c r="E3355" s="22" t="str">
        <x:f>"50503046000100"</x:f>
        <x:v>50503046000100</x:v>
      </x:c>
      <x:c r="F3355" s="22" t="str">
        <x:f>"041.277.466-61"</x:f>
        <x:v>041.277.466-61</x:v>
      </x:c>
      <x:c r="G3355" s="22" t="str">
        <x:f>"04127746661"</x:f>
        <x:v>04127746661</x:v>
      </x:c>
      <x:c r="H3355" s="23" t="str">
        <x:v>romualdog430@gmail.com</x:v>
      </x:c>
      <x:c r="I3355" s="22" t="str">
        <x:f>"18996275853"</x:f>
        <x:v>18996275853</x:v>
      </x:c>
      <x:c r="J3355" s="23" t="str">
        <x:v>RENTAL</x:v>
      </x:c>
      <x:c r="K3355" s="23" t="str">
        <x:v>rental_company</x:v>
      </x:c>
      <x:c r="L3355" s="24" t="b">
        <x:v>1</x:v>
      </x:c>
      <x:c r="M3355" s="23" t="n">
        <x:v>1</x:v>
      </x:c>
      <x:c r="N3355" s="28" t="n">
        <x:v>46219.812988715275</x:v>
      </x:c>
      <x:c r="O3355" s="28" t="n">
        <x:v>46219.812988715275</x:v>
      </x:c>
      <x:c r="P3355" s="23" t="str">
        <x:v>PRESIDENTE PRUDENTE</x:v>
      </x:c>
      <x:c r="Q3355" s="30" t="n">
        <x:v>29507</x:v>
      </x:c>
      <x:c r="R3355" s="22" t="str">
        <x:f>"10089498"</x:f>
        <x:v>10089498</x:v>
      </x:c>
      <x:c r="S3355" s="23" t="str">
        <x:v>masculino</x:v>
      </x:c>
      <x:c r="T3355" s="22" t="str"/>
      <x:c r="U3355" s="23" t="str">
        <x:v>ROMUALDO GARCIA DA SILVA</x:v>
      </x:c>
      <x:c r="V3355" s="22" t="str">
        <x:f>"041.277.466-61"</x:f>
        <x:v>041.277.466-61</x:v>
      </x:c>
      <x:c r="W3355" s="22" t="str">
        <x:f>"04127746661"</x:f>
        <x:v>04127746661</x:v>
      </x:c>
      <x:c r="X3355" s="23" t="str">
        <x:v>romualdog430@gmail.com</x:v>
      </x:c>
      <x:c r="Y3355" s="22" t="str">
        <x:f>"18996275853"</x:f>
        <x:v>18996275853</x:v>
      </x:c>
      <x:c r="Z3355" s="30" t="n">
        <x:v>46518</x:v>
      </x:c>
    </x:row>
    <x:row r="3356" ht="18" customHeight="1">
      <x:c r="A3356" s="22" t="str">
        <x:f>"a4f7b64d-0cd0-4d32-8cf9-899a3999b98e"</x:f>
        <x:v>a4f7b64d-0cd0-4d32-8cf9-899a3999b98e</x:v>
      </x:c>
      <x:c r="B3356" s="23" t="str">
        <x:v>ROMULO HENRIQUE SOARES LOTERIO</x:v>
      </x:c>
      <x:c r="C3356" s="23" t="str">
        <x:v>romulo henrique soares loterio</x:v>
      </x:c>
      <x:c r="D3356" s="22" t="str">
        <x:f>"63.686.708/0001-68"</x:f>
        <x:v>63.686.708/0001-68</x:v>
      </x:c>
      <x:c r="E3356" s="22" t="str">
        <x:f>"63686708000168"</x:f>
        <x:v>63686708000168</x:v>
      </x:c>
      <x:c r="F3356" s="22" t="str">
        <x:f>"140.205.297-95"</x:f>
        <x:v>140.205.297-95</x:v>
      </x:c>
      <x:c r="G3356" s="22" t="str">
        <x:f>"14020529795"</x:f>
        <x:v>14020529795</x:v>
      </x:c>
      <x:c r="H3356" s="23" t="str">
        <x:v>Romulorhsl@gmail.com</x:v>
      </x:c>
      <x:c r="I3356" s="22" t="str">
        <x:f>"21 96865-1053"</x:f>
        <x:v>21 96865-1053</x:v>
      </x:c>
      <x:c r="J3356" s="23" t="str">
        <x:v>DESCONHECIDO</x:v>
      </x:c>
      <x:c r="K3356" s="23" t="str">
        <x:v>favored_only</x:v>
      </x:c>
      <x:c r="L3356" s="24" t="b">
        <x:v>1</x:v>
      </x:c>
      <x:c r="M3356" s="23" t="n">
        <x:v>1</x:v>
      </x:c>
      <x:c r="N3356" s="28" t="n">
        <x:v>46203.921904421295</x:v>
      </x:c>
      <x:c r="O3356" s="28" t="n">
        <x:v>46219.812988715275</x:v>
      </x:c>
      <x:c r="P3356" s="23" t="str">
        <x:v>CAMPO GRANDE</x:v>
      </x:c>
      <x:c r="Q3356" s="30" t="str"/>
      <x:c r="R3356" s="22" t="str">
        <x:f>"264392473"</x:f>
        <x:v>264392473</x:v>
      </x:c>
      <x:c r="S3356" s="23" t="str">
        <x:v>masculino</x:v>
      </x:c>
      <x:c r="T3356" s="22" t="str">
        <x:f>"KVN8F86"</x:f>
        <x:v>KVN8F86</x:v>
      </x:c>
      <x:c r="U3356" s="23" t="str">
        <x:v>ROMULO HENRIQUE SOARES LOTERIO</x:v>
      </x:c>
      <x:c r="V3356" s="22" t="str">
        <x:f>"140.205.297-95"</x:f>
        <x:v>140.205.297-95</x:v>
      </x:c>
      <x:c r="W3356" s="22" t="str">
        <x:f>"14020529795"</x:f>
        <x:v>14020529795</x:v>
      </x:c>
      <x:c r="X3356" s="23" t="str">
        <x:v>Romulorhsl@gmail.com</x:v>
      </x:c>
      <x:c r="Y3356" s="22" t="str">
        <x:f>"21 96865-1053"</x:f>
        <x:v>21 96865-1053</x:v>
      </x:c>
      <x:c r="Z3356" s="30" t="n">
        <x:v>46360</x:v>
      </x:c>
    </x:row>
    <x:row r="3357" ht="18" customHeight="1">
      <x:c r="A3357" s="22" t="str">
        <x:f>"9f6148bf-5814-4315-b31f-a4d28c1dbecd"</x:f>
        <x:v>9f6148bf-5814-4315-b31f-a4d28c1dbecd</x:v>
      </x:c>
      <x:c r="B3357" s="23" t="str">
        <x:v>ROMULO LEOCADIO CARVALHO</x:v>
      </x:c>
      <x:c r="C3357" s="23" t="str">
        <x:v>romulo leocadio carvalho</x:v>
      </x:c>
      <x:c r="D3357" s="22" t="str">
        <x:f>"46.105.578/0001-03"</x:f>
        <x:v>46.105.578/0001-03</x:v>
      </x:c>
      <x:c r="E3357" s="22" t="str">
        <x:f>"46105578000103"</x:f>
        <x:v>46105578000103</x:v>
      </x:c>
      <x:c r="F3357" s="22" t="str">
        <x:f>"132.779.837-90"</x:f>
        <x:v>132.779.837-90</x:v>
      </x:c>
      <x:c r="G3357" s="22" t="str">
        <x:f>"13277983790"</x:f>
        <x:v>13277983790</x:v>
      </x:c>
      <x:c r="H3357" s="23" t="str">
        <x:v>rominholeocadiocarvalho@yahoo.com</x:v>
      </x:c>
      <x:c r="I3357" s="22" t="str">
        <x:f>"(21) 99916-6573"</x:f>
        <x:v>(21) 99916-6573</x:v>
      </x:c>
      <x:c r="J3357" s="23" t="str">
        <x:v>SPOT</x:v>
      </x:c>
      <x:c r="K3357" s="23" t="str">
        <x:v>favored_only</x:v>
      </x:c>
      <x:c r="L3357" s="24" t="b">
        <x:v>1</x:v>
      </x:c>
      <x:c r="M3357" s="23" t="n">
        <x:v>1</x:v>
      </x:c>
      <x:c r="N3357" s="28" t="n">
        <x:v>46219.812988715275</x:v>
      </x:c>
      <x:c r="O3357" s="28" t="n">
        <x:v>46219.812988715275</x:v>
      </x:c>
      <x:c r="P3357" s="23" t="str">
        <x:v>ITABORAI</x:v>
      </x:c>
      <x:c r="Q3357" s="30" t="n">
        <x:v>33353</x:v>
      </x:c>
      <x:c r="R3357" s="22" t="str">
        <x:f>"257744169"</x:f>
        <x:v>257744169</x:v>
      </x:c>
      <x:c r="S3357" s="23" t="str">
        <x:v>masculino</x:v>
      </x:c>
      <x:c r="T3357" s="22" t="str">
        <x:f>"fgg3b58"</x:f>
        <x:v>fgg3b58</x:v>
      </x:c>
      <x:c r="U3357" s="23" t="str">
        <x:v>ROMULO LEOCADIO CARVALHO</x:v>
      </x:c>
      <x:c r="V3357" s="22" t="str">
        <x:f>"132.779.837-90"</x:f>
        <x:v>132.779.837-90</x:v>
      </x:c>
      <x:c r="W3357" s="22" t="str">
        <x:f>"13277983790"</x:f>
        <x:v>13277983790</x:v>
      </x:c>
      <x:c r="X3357" s="23" t="str">
        <x:v>rominholeocadiocarvalho@yahoo.com</x:v>
      </x:c>
      <x:c r="Y3357" s="22" t="str">
        <x:f>"(21) 99916-6573"</x:f>
        <x:v>(21) 99916-6573</x:v>
      </x:c>
      <x:c r="Z3357" s="30" t="n">
        <x:v>46445</x:v>
      </x:c>
    </x:row>
    <x:row r="3358" ht="18" customHeight="1">
      <x:c r="A3358" s="22" t="str">
        <x:f>"a6ec4b49-3aad-48db-85dd-e231d3cee0f6"</x:f>
        <x:v>a6ec4b49-3aad-48db-85dd-e231d3cee0f6</x:v>
      </x:c>
      <x:c r="B3358" s="23" t="str">
        <x:v>ROMULO SILVA GARCIA</x:v>
      </x:c>
      <x:c r="C3358" s="23" t="str">
        <x:v>romulo silva garcia</x:v>
      </x:c>
      <x:c r="D3358" s="22" t="str">
        <x:f>"62.068.504/0001-09"</x:f>
        <x:v>62.068.504/0001-09</x:v>
      </x:c>
      <x:c r="E3358" s="22" t="str">
        <x:f>"62068504000109"</x:f>
        <x:v>62068504000109</x:v>
      </x:c>
      <x:c r="F3358" s="22" t="str">
        <x:f>"014.450.411-11"</x:f>
        <x:v>014.450.411-11</x:v>
      </x:c>
      <x:c r="G3358" s="22" t="str">
        <x:f>"01445041111"</x:f>
        <x:v>01445041111</x:v>
      </x:c>
      <x:c r="H3358" s="23" t="str">
        <x:v>romuloferreiragarcia@gmail.com</x:v>
      </x:c>
      <x:c r="I3358" s="22" t="str">
        <x:f>"6299541-9315"</x:f>
        <x:v>6299541-9315</x:v>
      </x:c>
      <x:c r="J3358" s="23" t="str">
        <x:v>SPOT</x:v>
      </x:c>
      <x:c r="K3358" s="23" t="str">
        <x:v>favored_only</x:v>
      </x:c>
      <x:c r="L3358" s="24" t="b">
        <x:v>1</x:v>
      </x:c>
      <x:c r="M3358" s="23" t="n">
        <x:v>1</x:v>
      </x:c>
      <x:c r="N3358" s="28" t="n">
        <x:v>46203.921852962965</x:v>
      </x:c>
      <x:c r="O3358" s="28" t="n">
        <x:v>46219.812988715275</x:v>
      </x:c>
      <x:c r="P3358" s="23" t="str">
        <x:v>GOIANIA</x:v>
      </x:c>
      <x:c r="Q3358" s="30" t="n">
        <x:v>31414</x:v>
      </x:c>
      <x:c r="R3358" s="22" t="str">
        <x:f>"718481"</x:f>
        <x:v>718481</x:v>
      </x:c>
      <x:c r="S3358" s="23" t="str">
        <x:v>masculino</x:v>
      </x:c>
      <x:c r="T3358" s="22" t="str">
        <x:f>"OGQ2G85"</x:f>
        <x:v>OGQ2G85</x:v>
      </x:c>
      <x:c r="U3358" s="23" t="str">
        <x:v>ROMULO SILVA GARCIA</x:v>
      </x:c>
      <x:c r="V3358" s="22" t="str">
        <x:f>"014.450.411-11"</x:f>
        <x:v>014.450.411-11</x:v>
      </x:c>
      <x:c r="W3358" s="22" t="str">
        <x:f>"01445041111"</x:f>
        <x:v>01445041111</x:v>
      </x:c>
      <x:c r="X3358" s="23" t="str">
        <x:v>romuloferreiragarcia@gmail.com</x:v>
      </x:c>
      <x:c r="Y3358" s="22" t="str">
        <x:f>"6299541-9315"</x:f>
        <x:v>6299541-9315</x:v>
      </x:c>
      <x:c r="Z3358" s="30" t="n">
        <x:v>46249</x:v>
      </x:c>
    </x:row>
    <x:row r="3359" ht="18" customHeight="1">
      <x:c r="A3359" s="22" t="str">
        <x:f>"16137988-b7e4-4c4b-82fd-bef45caa0178"</x:f>
        <x:v>16137988-b7e4-4c4b-82fd-bef45caa0178</x:v>
      </x:c>
      <x:c r="B3359" s="23" t="str">
        <x:v>RONAIR LOURENCO DA SILVA</x:v>
      </x:c>
      <x:c r="C3359" s="23" t="str">
        <x:v>ronair lourenco da silva</x:v>
      </x:c>
      <x:c r="D3359" s="22" t="str">
        <x:f>"37.823.997/0001-90"</x:f>
        <x:v>37.823.997/0001-90</x:v>
      </x:c>
      <x:c r="E3359" s="22" t="str">
        <x:f>"37823997000190"</x:f>
        <x:v>37823997000190</x:v>
      </x:c>
      <x:c r="F3359" s="22" t="str">
        <x:f>"004.263.491-13"</x:f>
        <x:v>004.263.491-13</x:v>
      </x:c>
      <x:c r="G3359" s="22" t="str">
        <x:f>"00426349113"</x:f>
        <x:v>00426349113</x:v>
      </x:c>
      <x:c r="H3359" s="23" t="str">
        <x:v>ronairlourenco8@gmail.com</x:v>
      </x:c>
      <x:c r="I3359" s="22" t="str">
        <x:f>"67 8153-7525"</x:f>
        <x:v>67 8153-7525</x:v>
      </x:c>
      <x:c r="J3359" s="23" t="str">
        <x:v>SPOT</x:v>
      </x:c>
      <x:c r="K3359" s="23" t="str">
        <x:v>favored_only</x:v>
      </x:c>
      <x:c r="L3359" s="24" t="b">
        <x:v>1</x:v>
      </x:c>
      <x:c r="M3359" s="23" t="n">
        <x:v>1</x:v>
      </x:c>
      <x:c r="N3359" s="28" t="n">
        <x:v>46219.812988715275</x:v>
      </x:c>
      <x:c r="O3359" s="28" t="n">
        <x:v>46219.812988715275</x:v>
      </x:c>
      <x:c r="P3359" s="23" t="str">
        <x:v>CHAPADÃO DO SUL</x:v>
      </x:c>
      <x:c r="Q3359" s="30" t="n">
        <x:v>31381</x:v>
      </x:c>
      <x:c r="R3359" s="22" t="str">
        <x:f>"1415441"</x:f>
        <x:v>1415441</x:v>
      </x:c>
      <x:c r="S3359" s="23" t="str">
        <x:v>masculino</x:v>
      </x:c>
      <x:c r="T3359" s="22" t="str">
        <x:f>"OAY2J21"</x:f>
        <x:v>OAY2J21</x:v>
      </x:c>
      <x:c r="U3359" s="23" t="str">
        <x:v>RODOPRIME TRANSPORTES E CARGAS LTDA</x:v>
      </x:c>
      <x:c r="V3359" s="22" t="str">
        <x:f>"038.768.901-01"</x:f>
        <x:v>038.768.901-01</x:v>
      </x:c>
      <x:c r="W3359" s="22" t="str">
        <x:f>"03876890101"</x:f>
        <x:v>03876890101</x:v>
      </x:c>
      <x:c r="X3359" s="23" t="str">
        <x:v>rtp.cargas@gmail.com</x:v>
      </x:c>
      <x:c r="Y3359" s="22" t="str">
        <x:f>"62991277279"</x:f>
        <x:v>62991277279</x:v>
      </x:c>
      <x:c r="Z3359" s="30" t="n">
        <x:v>46487</x:v>
      </x:c>
    </x:row>
    <x:row r="3360" ht="18" customHeight="1">
      <x:c r="A3360" s="22" t="str">
        <x:f>"fb4d119c-015f-466e-9659-a42c5b4cb6c8"</x:f>
        <x:v>fb4d119c-015f-466e-9659-a42c5b4cb6c8</x:v>
      </x:c>
      <x:c r="B3360" s="23" t="str">
        <x:v>RONALD DA COSTA SOARES</x:v>
      </x:c>
      <x:c r="C3360" s="23" t="str">
        <x:v>ronald da costa soares</x:v>
      </x:c>
      <x:c r="D3360" s="22" t="str">
        <x:f>"55.175.925/0001-65"</x:f>
        <x:v>55.175.925/0001-65</x:v>
      </x:c>
      <x:c r="E3360" s="22" t="str">
        <x:f>"55175925000165"</x:f>
        <x:v>55175925000165</x:v>
      </x:c>
      <x:c r="F3360" s="22" t="str">
        <x:f>"125.275.927-40"</x:f>
        <x:v>125.275.927-40</x:v>
      </x:c>
      <x:c r="G3360" s="22" t="str">
        <x:f>"12527592740"</x:f>
        <x:v>12527592740</x:v>
      </x:c>
      <x:c r="H3360" s="23" t="str">
        <x:v>ronaldsoares.rj@gmail.com</x:v>
      </x:c>
      <x:c r="I3360" s="22" t="str">
        <x:f>"21991436270"</x:f>
        <x:v>21991436270</x:v>
      </x:c>
      <x:c r="J3360" s="23" t="str">
        <x:v>SPOT</x:v>
      </x:c>
      <x:c r="K3360" s="23" t="str">
        <x:v>favored_only</x:v>
      </x:c>
      <x:c r="L3360" s="24" t="b">
        <x:v>1</x:v>
      </x:c>
      <x:c r="M3360" s="23" t="n">
        <x:v>1</x:v>
      </x:c>
      <x:c r="N3360" s="28" t="n">
        <x:v>46219.812988715275</x:v>
      </x:c>
      <x:c r="O3360" s="28" t="n">
        <x:v>46219.812988715275</x:v>
      </x:c>
      <x:c r="P3360" s="23" t="str">
        <x:v>SÃO JOAO DE MERITI</x:v>
      </x:c>
      <x:c r="Q3360" s="30" t="n">
        <x:v>35915</x:v>
      </x:c>
      <x:c r="R3360" s="22" t="str">
        <x:f>"127532224"</x:f>
        <x:v>127532224</x:v>
      </x:c>
      <x:c r="S3360" s="23" t="str">
        <x:v>masculino</x:v>
      </x:c>
      <x:c r="T3360" s="22" t="str">
        <x:f>"LQZ6A84"</x:f>
        <x:v>LQZ6A84</x:v>
      </x:c>
      <x:c r="U3360" s="23" t="str">
        <x:v>RONALD DA COSTA SOARES</x:v>
      </x:c>
      <x:c r="V3360" s="22" t="str">
        <x:f>"125.275.927-40"</x:f>
        <x:v>125.275.927-40</x:v>
      </x:c>
      <x:c r="W3360" s="22" t="str">
        <x:f>"12527592740"</x:f>
        <x:v>12527592740</x:v>
      </x:c>
      <x:c r="X3360" s="23" t="str">
        <x:v>ronaldsoares.rj@gmail.com</x:v>
      </x:c>
      <x:c r="Y3360" s="22" t="str">
        <x:f>"12527592740"</x:f>
        <x:v>12527592740</x:v>
      </x:c>
      <x:c r="Z3360" s="30" t="n">
        <x:v>46431</x:v>
      </x:c>
    </x:row>
    <x:row r="3361" ht="18" customHeight="1">
      <x:c r="A3361" s="22" t="str">
        <x:f>"3f275a73-9485-4a92-858a-3751bb06f9e2"</x:f>
        <x:v>3f275a73-9485-4a92-858a-3751bb06f9e2</x:v>
      </x:c>
      <x:c r="B3361" s="23" t="str">
        <x:v>RONALDO BENTO DA SILVA SANTOS</x:v>
      </x:c>
      <x:c r="C3361" s="23" t="str">
        <x:v>ronaldo bento da silva santos</x:v>
      </x:c>
      <x:c r="D3361" s="22" t="str">
        <x:f>"61.085.046/0001-45"</x:f>
        <x:v>61.085.046/0001-45</x:v>
      </x:c>
      <x:c r="E3361" s="22" t="str">
        <x:f>"61085046000145"</x:f>
        <x:v>61085046000145</x:v>
      </x:c>
      <x:c r="F3361" s="22" t="str">
        <x:f>"402.106.328-52"</x:f>
        <x:v>402.106.328-52</x:v>
      </x:c>
      <x:c r="G3361" s="22" t="str">
        <x:f>"40210632852"</x:f>
        <x:v>40210632852</x:v>
      </x:c>
      <x:c r="H3361" s="23" t="str">
        <x:v>ronaldo.ss2011@gmail.com</x:v>
      </x:c>
      <x:c r="I3361" s="22" t="str">
        <x:f>"17 99622-8217"</x:f>
        <x:v>17 99622-8217</x:v>
      </x:c>
      <x:c r="J3361" s="23" t="str">
        <x:v>SPOT</x:v>
      </x:c>
      <x:c r="K3361" s="23" t="str">
        <x:v>favored_only</x:v>
      </x:c>
      <x:c r="L3361" s="24" t="b">
        <x:v>1</x:v>
      </x:c>
      <x:c r="M3361" s="23" t="n">
        <x:v>1</x:v>
      </x:c>
      <x:c r="N3361" s="28" t="n">
        <x:v>46203.92186888889</x:v>
      </x:c>
      <x:c r="O3361" s="28" t="n">
        <x:v>46219.812988715275</x:v>
      </x:c>
      <x:c r="P3361" s="23" t="str">
        <x:v>BARRETOS</x:v>
      </x:c>
      <x:c r="Q3361" s="30" t="n">
        <x:v>34252</x:v>
      </x:c>
      <x:c r="R3361" s="22" t="str">
        <x:f>"110589786"</x:f>
        <x:v>110589786</x:v>
      </x:c>
      <x:c r="S3361" s="23" t="str">
        <x:v>masculino</x:v>
      </x:c>
      <x:c r="T3361" s="22" t="str">
        <x:f>"FLO2E51"</x:f>
        <x:v>FLO2E51</x:v>
      </x:c>
      <x:c r="U3361" s="23" t="str">
        <x:v>RONALDO BENTO DA SILVA SANTOS</x:v>
      </x:c>
      <x:c r="V3361" s="22" t="str">
        <x:f>"402.106.328-52"</x:f>
        <x:v>402.106.328-52</x:v>
      </x:c>
      <x:c r="W3361" s="22" t="str">
        <x:f>"40210632852"</x:f>
        <x:v>40210632852</x:v>
      </x:c>
      <x:c r="X3361" s="23" t="str">
        <x:v>ronaldo.ss2011@gmail.com</x:v>
      </x:c>
      <x:c r="Y3361" s="22" t="str">
        <x:f>"17 99622-8217"</x:f>
        <x:v>17 99622-8217</x:v>
      </x:c>
      <x:c r="Z3361" s="30" t="n">
        <x:v>46296</x:v>
      </x:c>
    </x:row>
    <x:row r="3362" ht="18" customHeight="1">
      <x:c r="A3362" s="22" t="str">
        <x:f>"cb7f3f57-d57e-46d2-8c9e-10ec7013132d"</x:f>
        <x:v>cb7f3f57-d57e-46d2-8c9e-10ec7013132d</x:v>
      </x:c>
      <x:c r="B3362" s="23" t="str">
        <x:v>RONALDO DE ANDRADE LIMA</x:v>
      </x:c>
      <x:c r="C3362" s="23" t="str">
        <x:v>ronaldo de andrade lima</x:v>
      </x:c>
      <x:c r="D3362" s="22" t="str">
        <x:f>"49.985.460/0001-05"</x:f>
        <x:v>49.985.460/0001-05</x:v>
      </x:c>
      <x:c r="E3362" s="22" t="str">
        <x:f>"49985460000105"</x:f>
        <x:v>49985460000105</x:v>
      </x:c>
      <x:c r="F3362" s="22" t="str">
        <x:f>"409.674.628-27"</x:f>
        <x:v>409.674.628-27</x:v>
      </x:c>
      <x:c r="G3362" s="22" t="str">
        <x:f>"40967462827"</x:f>
        <x:v>40967462827</x:v>
      </x:c>
      <x:c r="H3362" s="23" t="str">
        <x:v>ronaldodea.lima92@gmail.com</x:v>
      </x:c>
      <x:c r="I3362" s="22" t="str">
        <x:f>"11980505327"</x:f>
        <x:v>11980505327</x:v>
      </x:c>
      <x:c r="J3362" s="23" t="str">
        <x:v>RENTAL</x:v>
      </x:c>
      <x:c r="K3362" s="23" t="str">
        <x:v>rental_company</x:v>
      </x:c>
      <x:c r="L3362" s="24" t="b">
        <x:v>1</x:v>
      </x:c>
      <x:c r="M3362" s="23" t="n">
        <x:v>1</x:v>
      </x:c>
      <x:c r="N3362" s="28" t="n">
        <x:v>46203.921904421295</x:v>
      </x:c>
      <x:c r="O3362" s="28" t="n">
        <x:v>46219.812988715275</x:v>
      </x:c>
      <x:c r="P3362" s="23" t="str">
        <x:v>BARUERI</x:v>
      </x:c>
      <x:c r="Q3362" s="30" t="n">
        <x:v>33628</x:v>
      </x:c>
      <x:c r="R3362" s="22" t="str">
        <x:f>"48000958"</x:f>
        <x:v>48000958</x:v>
      </x:c>
      <x:c r="S3362" s="23" t="str">
        <x:v>masculino</x:v>
      </x:c>
      <x:c r="T3362" s="22" t="str"/>
      <x:c r="U3362" s="23" t="str">
        <x:v>RONALDO DE ANDRADE LIMA</x:v>
      </x:c>
      <x:c r="V3362" s="22" t="str">
        <x:f>"409.674.628-27"</x:f>
        <x:v>409.674.628-27</x:v>
      </x:c>
      <x:c r="W3362" s="22" t="str">
        <x:f>"40967462827"</x:f>
        <x:v>40967462827</x:v>
      </x:c>
      <x:c r="X3362" s="23" t="str">
        <x:v>ronaldodea.lima92@gmail.com</x:v>
      </x:c>
      <x:c r="Y3362" s="22" t="str">
        <x:f>"11980505327"</x:f>
        <x:v>11980505327</x:v>
      </x:c>
      <x:c r="Z3362" s="30" t="n">
        <x:v>46364</x:v>
      </x:c>
    </x:row>
    <x:row r="3363" ht="18" customHeight="1">
      <x:c r="A3363" s="22" t="str">
        <x:f>"3b217b91-f9d7-41a6-91b8-4b2d70dd733a"</x:f>
        <x:v>3b217b91-f9d7-41a6-91b8-4b2d70dd733a</x:v>
      </x:c>
      <x:c r="B3363" s="23" t="str">
        <x:v>RONALD PABLO REIS DE ALMEIDA</x:v>
      </x:c>
      <x:c r="C3363" s="23" t="str">
        <x:v>ronald pablo reis de almeida</x:v>
      </x:c>
      <x:c r="D3363" s="22" t="str">
        <x:f>"46.936.178/0001-40"</x:f>
        <x:v>46.936.178/0001-40</x:v>
      </x:c>
      <x:c r="E3363" s="22" t="str">
        <x:f>"46936178000140"</x:f>
        <x:v>46936178000140</x:v>
      </x:c>
      <x:c r="F3363" s="22" t="str">
        <x:f>"126.567.366-76"</x:f>
        <x:v>126.567.366-76</x:v>
      </x:c>
      <x:c r="G3363" s="22" t="str">
        <x:f>"12656736676"</x:f>
        <x:v>12656736676</x:v>
      </x:c>
      <x:c r="H3363" s="23" t="str">
        <x:v>ronaldpabloreis11@gmail.com</x:v>
      </x:c>
      <x:c r="I3363" s="22" t="str">
        <x:f>"31 98208-5227"</x:f>
        <x:v>31 98208-5227</x:v>
      </x:c>
      <x:c r="J3363" s="23" t="str">
        <x:v>SPOT</x:v>
      </x:c>
      <x:c r="K3363" s="23" t="str">
        <x:v>favored_only</x:v>
      </x:c>
      <x:c r="L3363" s="24" t="b">
        <x:v>1</x:v>
      </x:c>
      <x:c r="M3363" s="23" t="n">
        <x:v>1</x:v>
      </x:c>
      <x:c r="N3363" s="28" t="n">
        <x:v>46205.60475946759</x:v>
      </x:c>
      <x:c r="O3363" s="28" t="n">
        <x:v>46219.812988715275</x:v>
      </x:c>
      <x:c r="P3363" s="23" t="str">
        <x:v>CONCEIÇÃO DO MATO DENTRO</x:v>
      </x:c>
      <x:c r="Q3363" s="30" t="n">
        <x:v>38257</x:v>
      </x:c>
      <x:c r="R3363" s="22" t="str">
        <x:f>"MG-23869139"</x:f>
        <x:v>MG-23869139</x:v>
      </x:c>
      <x:c r="S3363" s="23" t="str">
        <x:v>masculino</x:v>
      </x:c>
      <x:c r="T3363" s="22" t="str">
        <x:f>"PWU8D33"</x:f>
        <x:v>PWU8D33</x:v>
      </x:c>
      <x:c r="U3363" s="23" t="str">
        <x:v>LEONARDO PEREIRA SALDANHA</x:v>
      </x:c>
      <x:c r="V3363" s="22" t="str">
        <x:f>"501.235.108-80"</x:f>
        <x:v>501.235.108-80</x:v>
      </x:c>
      <x:c r="W3363" s="22" t="str">
        <x:f>"50123510880"</x:f>
        <x:v>50123510880</x:v>
      </x:c>
      <x:c r="X3363" s="23" t="str">
        <x:v>leonardo.lps2001@gmail.com</x:v>
      </x:c>
      <x:c r="Y3363" s="22" t="str">
        <x:f>"31984460359"</x:f>
        <x:v>31984460359</x:v>
      </x:c>
      <x:c r="Z3363" s="30" t="n">
        <x:v>46295</x:v>
      </x:c>
    </x:row>
    <x:row r="3364" ht="18" customHeight="1">
      <x:c r="A3364" s="22" t="str">
        <x:f>"7a70bdd0-832d-4d01-a1d5-e6527d4a2c64"</x:f>
        <x:v>7a70bdd0-832d-4d01-a1d5-e6527d4a2c64</x:v>
      </x:c>
      <x:c r="B3364" s="23" t="str">
        <x:v>RONALD SILVA SOARES</x:v>
      </x:c>
      <x:c r="C3364" s="23" t="str">
        <x:v>ronald silva soares</x:v>
      </x:c>
      <x:c r="D3364" s="22" t="str">
        <x:f>"64.246.031/0001-00"</x:f>
        <x:v>64.246.031/0001-00</x:v>
      </x:c>
      <x:c r="E3364" s="22" t="str">
        <x:f>"64246031000100"</x:f>
        <x:v>64246031000100</x:v>
      </x:c>
      <x:c r="F3364" s="22" t="str">
        <x:f>"114.612.164-43"</x:f>
        <x:v>114.612.164-43</x:v>
      </x:c>
      <x:c r="G3364" s="22" t="str">
        <x:f>"11461216443"</x:f>
        <x:v>11461216443</x:v>
      </x:c>
      <x:c r="H3364" s="23" t="str">
        <x:v>ronald93soares@gmail.com</x:v>
      </x:c>
      <x:c r="I3364" s="22" t="str">
        <x:f>"18998098540"</x:f>
        <x:v>18998098540</x:v>
      </x:c>
      <x:c r="J3364" s="23" t="str">
        <x:v>RENTAL</x:v>
      </x:c>
      <x:c r="K3364" s="23" t="str">
        <x:v>rental_company</x:v>
      </x:c>
      <x:c r="L3364" s="24" t="b">
        <x:v>1</x:v>
      </x:c>
      <x:c r="M3364" s="23" t="n">
        <x:v>1</x:v>
      </x:c>
      <x:c r="N3364" s="28" t="n">
        <x:v>46203.9219084375</x:v>
      </x:c>
      <x:c r="O3364" s="28" t="n">
        <x:v>46219.812988715275</x:v>
      </x:c>
      <x:c r="P3364" s="23" t="str">
        <x:v>PRESIDENTE PRUDENTE</x:v>
      </x:c>
      <x:c r="Q3364" s="30" t="n">
        <x:v>33999</x:v>
      </x:c>
      <x:c r="R3364" s="22" t="str">
        <x:f>"689682451"</x:f>
        <x:v>689682451</x:v>
      </x:c>
      <x:c r="S3364" s="23" t="str">
        <x:v>masculino</x:v>
      </x:c>
      <x:c r="T3364" s="22" t="str"/>
      <x:c r="U3364" s="23" t="str">
        <x:v>RONALD SILVA SOARES</x:v>
      </x:c>
      <x:c r="V3364" s="22" t="str">
        <x:f>"114.612.164-43"</x:f>
        <x:v>114.612.164-43</x:v>
      </x:c>
      <x:c r="W3364" s="22" t="str">
        <x:f>"11461216443"</x:f>
        <x:v>11461216443</x:v>
      </x:c>
      <x:c r="X3364" s="23" t="str">
        <x:v>ronald93soares@gmail.com</x:v>
      </x:c>
      <x:c r="Y3364" s="22" t="str">
        <x:f>"18998098540"</x:f>
        <x:v>18998098540</x:v>
      </x:c>
      <x:c r="Z3364" s="30" t="n">
        <x:v>46392</x:v>
      </x:c>
    </x:row>
    <x:row r="3365" ht="18" customHeight="1">
      <x:c r="A3365" s="22" t="str">
        <x:f>"c5b5e9d2-ab57-4682-a93e-bccf810c46e0"</x:f>
        <x:v>c5b5e9d2-ab57-4682-a93e-bccf810c46e0</x:v>
      </x:c>
      <x:c r="B3365" s="23" t="str">
        <x:v>RONALD SOARES GONCALVES DA SILVA</x:v>
      </x:c>
      <x:c r="C3365" s="23" t="str">
        <x:v>ronald soares goncalves da silva</x:v>
      </x:c>
      <x:c r="D3365" s="22" t="str">
        <x:f>"33.245.649/0001-21"</x:f>
        <x:v>33.245.649/0001-21</x:v>
      </x:c>
      <x:c r="E3365" s="22" t="str">
        <x:f>"33245649000121"</x:f>
        <x:v>33245649000121</x:v>
      </x:c>
      <x:c r="F3365" s="22" t="str">
        <x:f>"152.584.507-16"</x:f>
        <x:v>152.584.507-16</x:v>
      </x:c>
      <x:c r="G3365" s="22" t="str">
        <x:f>"15258450716"</x:f>
        <x:v>15258450716</x:v>
      </x:c>
      <x:c r="H3365" s="23" t="str">
        <x:v>ronaldsilva6120931@gmail.com</x:v>
      </x:c>
      <x:c r="I3365" s="22" t="str">
        <x:f>"22 99864-4949"</x:f>
        <x:v>22 99864-4949</x:v>
      </x:c>
      <x:c r="J3365" s="23" t="str">
        <x:v>RENTAL</x:v>
      </x:c>
      <x:c r="K3365" s="23" t="str">
        <x:v>rental_company</x:v>
      </x:c>
      <x:c r="L3365" s="24" t="b">
        <x:v>1</x:v>
      </x:c>
      <x:c r="M3365" s="23" t="n">
        <x:v>1</x:v>
      </x:c>
      <x:c r="N3365" s="28" t="n">
        <x:v>46203.921824756944</x:v>
      </x:c>
      <x:c r="O3365" s="28" t="n">
        <x:v>46219.812988715275</x:v>
      </x:c>
      <x:c r="P3365" s="23" t="str">
        <x:v>CAMPOS DOS GOYTACAZES</x:v>
      </x:c>
      <x:c r="Q3365" s="30" t="n">
        <x:v>33495</x:v>
      </x:c>
      <x:c r="R3365" s="22" t="str">
        <x:f>"6093944"</x:f>
        <x:v>6093944</x:v>
      </x:c>
      <x:c r="S3365" s="23" t="str">
        <x:v>masculino</x:v>
      </x:c>
      <x:c r="T3365" s="22" t="str"/>
      <x:c r="U3365" s="23" t="str">
        <x:v>RONALD SOARES GONCALVES DA SILVA</x:v>
      </x:c>
      <x:c r="V3365" s="22" t="str">
        <x:f>"152.584.507-16"</x:f>
        <x:v>152.584.507-16</x:v>
      </x:c>
      <x:c r="W3365" s="22" t="str">
        <x:f>"15258450716"</x:f>
        <x:v>15258450716</x:v>
      </x:c>
      <x:c r="X3365" s="23" t="str">
        <x:v>ronaldsilva6120931@gmail.com</x:v>
      </x:c>
      <x:c r="Y3365" s="22" t="str">
        <x:f>"22 99864-4949"</x:f>
        <x:v>22 99864-4949</x:v>
      </x:c>
      <x:c r="Z3365" s="30" t="n">
        <x:v>46374</x:v>
      </x:c>
    </x:row>
    <x:row r="3366" ht="18" customHeight="1">
      <x:c r="A3366" s="22" t="str">
        <x:f>"9e7c4ce8-3767-4ff2-8a0a-6b06745bfa81"</x:f>
        <x:v>9e7c4ce8-3767-4ff2-8a0a-6b06745bfa81</x:v>
      </x:c>
      <x:c r="B3366" s="23" t="str">
        <x:v>RONI DA CRUZ MARQUES</x:v>
      </x:c>
      <x:c r="C3366" s="23" t="str">
        <x:v>roni da cruz marques</x:v>
      </x:c>
      <x:c r="D3366" s="22" t="str">
        <x:f>"62.200.072/0001-30"</x:f>
        <x:v>62.200.072/0001-30</x:v>
      </x:c>
      <x:c r="E3366" s="22" t="str">
        <x:f>"62200072000130"</x:f>
        <x:v>62200072000130</x:v>
      </x:c>
      <x:c r="F3366" s="22" t="str">
        <x:f>"119.305.616-01"</x:f>
        <x:v>119.305.616-01</x:v>
      </x:c>
      <x:c r="G3366" s="22" t="str">
        <x:f>"11930561601"</x:f>
        <x:v>11930561601</x:v>
      </x:c>
      <x:c r="H3366" s="23" t="str">
        <x:v>roninhotc@outlook.com</x:v>
      </x:c>
      <x:c r="I3366" s="22" t="str">
        <x:f>"35 9 91484323"</x:f>
        <x:v>35 9 91484323</x:v>
      </x:c>
      <x:c r="J3366" s="23" t="str">
        <x:v>RENTAL</x:v>
      </x:c>
      <x:c r="K3366" s="23" t="str">
        <x:v>rental_company</x:v>
      </x:c>
      <x:c r="L3366" s="24" t="b">
        <x:v>1</x:v>
      </x:c>
      <x:c r="M3366" s="23" t="n">
        <x:v>1</x:v>
      </x:c>
      <x:c r="N3366" s="28" t="n">
        <x:v>46203.921852962965</x:v>
      </x:c>
      <x:c r="O3366" s="28" t="n">
        <x:v>46219.812988715275</x:v>
      </x:c>
      <x:c r="P3366" s="23" t="str">
        <x:v>POUSO ALEGRE</x:v>
      </x:c>
      <x:c r="Q3366" s="30" t="n">
        <x:v>33862</x:v>
      </x:c>
      <x:c r="R3366" s="22" t="str">
        <x:f>"18277532"</x:f>
        <x:v>18277532</x:v>
      </x:c>
      <x:c r="S3366" s="23" t="str">
        <x:v>masculino</x:v>
      </x:c>
      <x:c r="T3366" s="22" t="str"/>
      <x:c r="U3366" s="23" t="str">
        <x:v>RONI DA CRUZ MARQUES</x:v>
      </x:c>
      <x:c r="V3366" s="22" t="str">
        <x:f>"119.305.616-01"</x:f>
        <x:v>119.305.616-01</x:v>
      </x:c>
      <x:c r="W3366" s="22" t="str">
        <x:f>"11930561601"</x:f>
        <x:v>11930561601</x:v>
      </x:c>
      <x:c r="X3366" s="23" t="str">
        <x:v>roninhotc@outlook.com</x:v>
      </x:c>
      <x:c r="Y3366" s="22" t="str">
        <x:f>"35 9 91484323"</x:f>
        <x:v>35 9 91484323</x:v>
      </x:c>
      <x:c r="Z3366" s="30" t="n">
        <x:v>46253</x:v>
      </x:c>
    </x:row>
    <x:row r="3367" ht="18" customHeight="1">
      <x:c r="A3367" s="22" t="str">
        <x:f>"2653048f-7ff8-46c7-9df3-82252b54c29c"</x:f>
        <x:v>2653048f-7ff8-46c7-9df3-82252b54c29c</x:v>
      </x:c>
      <x:c r="B3367" s="23" t="str">
        <x:v>RONI DOS SANTOS RODRIGUES</x:v>
      </x:c>
      <x:c r="C3367" s="23" t="str">
        <x:v>roni dos santos rodrigues</x:v>
      </x:c>
      <x:c r="D3367" s="22" t="str">
        <x:f>"46.207.181/0001-22"</x:f>
        <x:v>46.207.181/0001-22</x:v>
      </x:c>
      <x:c r="E3367" s="22" t="str">
        <x:f>"46207181000122"</x:f>
        <x:v>46207181000122</x:v>
      </x:c>
      <x:c r="F3367" s="22" t="str">
        <x:f>"404.239.908-88"</x:f>
        <x:v>404.239.908-88</x:v>
      </x:c>
      <x:c r="G3367" s="22" t="str">
        <x:f>"40423990888"</x:f>
        <x:v>40423990888</x:v>
      </x:c>
      <x:c r="H3367" s="23" t="str">
        <x:v>jessy.rony.livia@gmail.com</x:v>
      </x:c>
      <x:c r="I3367" s="22" t="str">
        <x:f>"1799761-7357"</x:f>
        <x:v>1799761-7357</x:v>
      </x:c>
      <x:c r="J3367" s="23" t="str">
        <x:v>RENTAL</x:v>
      </x:c>
      <x:c r="K3367" s="23" t="str">
        <x:v>rental_company</x:v>
      </x:c>
      <x:c r="L3367" s="24" t="b">
        <x:v>1</x:v>
      </x:c>
      <x:c r="M3367" s="23" t="n">
        <x:v>1</x:v>
      </x:c>
      <x:c r="N3367" s="28" t="n">
        <x:v>46219.812988715275</x:v>
      </x:c>
      <x:c r="O3367" s="28" t="n">
        <x:v>46219.812988715275</x:v>
      </x:c>
      <x:c r="P3367" s="23" t="str">
        <x:v>BARRETOS</x:v>
      </x:c>
      <x:c r="Q3367" s="30" t="n">
        <x:v>33873</x:v>
      </x:c>
      <x:c r="R3367" s="22" t="str">
        <x:f>"48461583"</x:f>
        <x:v>48461583</x:v>
      </x:c>
      <x:c r="S3367" s="23" t="str">
        <x:v>masculino</x:v>
      </x:c>
      <x:c r="T3367" s="22" t="str"/>
      <x:c r="U3367" s="23" t="str">
        <x:v>RONI DOS SANTOS RODRIGUES</x:v>
      </x:c>
      <x:c r="V3367" s="22" t="str">
        <x:f>"404.239.908-88"</x:f>
        <x:v>404.239.908-88</x:v>
      </x:c>
      <x:c r="W3367" s="22" t="str">
        <x:f>"40423990888"</x:f>
        <x:v>40423990888</x:v>
      </x:c>
      <x:c r="X3367" s="23" t="str">
        <x:v>jessy.rony.livia@gmail.com</x:v>
      </x:c>
      <x:c r="Y3367" s="22" t="str">
        <x:f>"1799761-7357"</x:f>
        <x:v>1799761-7357</x:v>
      </x:c>
      <x:c r="Z3367" s="30" t="n">
        <x:v>46535</x:v>
      </x:c>
    </x:row>
    <x:row r="3368" ht="18" customHeight="1">
      <x:c r="A3368" s="22" t="str">
        <x:f>"d0b9ee3e-067a-4937-8b76-8de08ad73cae"</x:f>
        <x:v>d0b9ee3e-067a-4937-8b76-8de08ad73cae</x:v>
      </x:c>
      <x:c r="B3368" s="23" t="str">
        <x:v>RONILDO DA SILVA</x:v>
      </x:c>
      <x:c r="C3368" s="23" t="str">
        <x:v>ronildo da silva</x:v>
      </x:c>
      <x:c r="D3368" s="22" t="str">
        <x:f>"63.471.834/0001-03"</x:f>
        <x:v>63.471.834/0001-03</x:v>
      </x:c>
      <x:c r="E3368" s="22" t="str">
        <x:f>"63471834000103"</x:f>
        <x:v>63471834000103</x:v>
      </x:c>
      <x:c r="F3368" s="22" t="str">
        <x:f>"331.862.983-93"</x:f>
        <x:v>331.862.983-93</x:v>
      </x:c>
      <x:c r="G3368" s="22" t="str">
        <x:f>"33186298393"</x:f>
        <x:v>33186298393</x:v>
      </x:c>
      <x:c r="H3368" s="23" t="str">
        <x:v>transportesronildo@gmail.com</x:v>
      </x:c>
      <x:c r="I3368" s="22" t="str">
        <x:f>"18996691184"</x:f>
        <x:v>18996691184</x:v>
      </x:c>
      <x:c r="J3368" s="23" t="str">
        <x:v>RENTAL</x:v>
      </x:c>
      <x:c r="K3368" s="23" t="str">
        <x:v>rental_company</x:v>
      </x:c>
      <x:c r="L3368" s="24" t="b">
        <x:v>1</x:v>
      </x:c>
      <x:c r="M3368" s="23" t="n">
        <x:v>2</x:v>
      </x:c>
      <x:c r="N3368" s="28" t="n">
        <x:v>46203.92189349537</x:v>
      </x:c>
      <x:c r="O3368" s="28" t="n">
        <x:v>46219.812988715275</x:v>
      </x:c>
      <x:c r="P3368" s="23" t="str">
        <x:v>PRESIDENTE PRUDENTE</x:v>
      </x:c>
      <x:c r="Q3368" s="30" t="n">
        <x:v>30526</x:v>
      </x:c>
      <x:c r="R3368" s="22" t="str">
        <x:f>"27.727.017-0"</x:f>
        <x:v>27.727.017-0</x:v>
      </x:c>
      <x:c r="S3368" s="23" t="str">
        <x:v>masculino</x:v>
      </x:c>
      <x:c r="T3368" s="22" t="str"/>
      <x:c r="U3368" s="23" t="str">
        <x:v>RONILDO DA SILVA</x:v>
      </x:c>
      <x:c r="V3368" s="22" t="str">
        <x:f>"331.862.983-93"</x:f>
        <x:v>331.862.983-93</x:v>
      </x:c>
      <x:c r="W3368" s="22" t="str">
        <x:f>"33186298393"</x:f>
        <x:v>33186298393</x:v>
      </x:c>
      <x:c r="X3368" s="23" t="str">
        <x:v>transportesronildo@gmail.com</x:v>
      </x:c>
      <x:c r="Y3368" s="22" t="str">
        <x:f>"18996691184"</x:f>
        <x:v>18996691184</x:v>
      </x:c>
      <x:c r="Z3368" s="30" t="n">
        <x:v>46339</x:v>
      </x:c>
    </x:row>
    <x:row r="3369" ht="18" customHeight="1">
      <x:c r="A3369" s="22" t="str">
        <x:f>"67ef773b-0ec9-47b2-9141-6cbf22fafae0"</x:f>
        <x:v>67ef773b-0ec9-47b2-9141-6cbf22fafae0</x:v>
      </x:c>
      <x:c r="B3369" s="23" t="str">
        <x:v>RONILTON FERREIRA DA SILVA</x:v>
      </x:c>
      <x:c r="C3369" s="23" t="str">
        <x:v>ronilton ferreira da silva</x:v>
      </x:c>
      <x:c r="D3369" s="22" t="str">
        <x:f>"50.010.756/0001-90"</x:f>
        <x:v>50.010.756/0001-90</x:v>
      </x:c>
      <x:c r="E3369" s="22" t="str">
        <x:f>"50010756000190"</x:f>
        <x:v>50010756000190</x:v>
      </x:c>
      <x:c r="F3369" s="22" t="str">
        <x:f>"537.565.415-68"</x:f>
        <x:v>537.565.415-68</x:v>
      </x:c>
      <x:c r="G3369" s="22" t="str">
        <x:f>"53756541568"</x:f>
        <x:v>53756541568</x:v>
      </x:c>
      <x:c r="H3369" s="23" t="str">
        <x:v>ronypolpas@gmail.com</x:v>
      </x:c>
      <x:c r="I3369" s="22" t="str">
        <x:f>"33987080880"</x:f>
        <x:v>33987080880</x:v>
      </x:c>
      <x:c r="J3369" s="23" t="str">
        <x:v>SPOT</x:v>
      </x:c>
      <x:c r="K3369" s="23" t="str">
        <x:v>favored_only</x:v>
      </x:c>
      <x:c r="L3369" s="24" t="b">
        <x:v>1</x:v>
      </x:c>
      <x:c r="M3369" s="23" t="n">
        <x:v>1</x:v>
      </x:c>
      <x:c r="N3369" s="28" t="n">
        <x:v>46219.812988715275</x:v>
      </x:c>
      <x:c r="O3369" s="28" t="n">
        <x:v>46219.812988715275</x:v>
      </x:c>
      <x:c r="P3369" s="23" t="str">
        <x:v>TEOFILO OTONI</x:v>
      </x:c>
      <x:c r="Q3369" s="30" t="n">
        <x:v>25074</x:v>
      </x:c>
      <x:c r="R3369" s="22" t="str">
        <x:f>"655803548"</x:f>
        <x:v>655803548</x:v>
      </x:c>
      <x:c r="S3369" s="23" t="str">
        <x:v>masculino</x:v>
      </x:c>
      <x:c r="T3369" s="22" t="str">
        <x:f>"EQM2E18"</x:f>
        <x:v>EQM2E18</x:v>
      </x:c>
      <x:c r="U3369" s="23" t="str">
        <x:v>ELIZABETE FERNANDES DOS SANTOS LEMOS</x:v>
      </x:c>
      <x:c r="V3369" s="22" t="str">
        <x:f>"976.131.426-04"</x:f>
        <x:v>976.131.426-04</x:v>
      </x:c>
      <x:c r="W3369" s="22" t="str">
        <x:f>"97613142604"</x:f>
        <x:v>97613142604</x:v>
      </x:c>
      <x:c r="X3369" s="23" t="str">
        <x:v>ronypolpas@gmail.com</x:v>
      </x:c>
      <x:c r="Y3369" s="22" t="str">
        <x:f>"33987080880"</x:f>
        <x:v>33987080880</x:v>
      </x:c>
      <x:c r="Z3369" s="30" t="n">
        <x:v>46436</x:v>
      </x:c>
    </x:row>
    <x:row r="3370" ht="18" customHeight="1">
      <x:c r="A3370" s="22" t="str">
        <x:f>"d37fa326-1d0d-45c1-acb0-5e8fe6eed3dc"</x:f>
        <x:v>d37fa326-1d0d-45c1-acb0-5e8fe6eed3dc</x:v>
      </x:c>
      <x:c r="B3370" s="23" t="str">
        <x:v>RONIVALDO SILVA ANDRADE</x:v>
      </x:c>
      <x:c r="C3370" s="23" t="str">
        <x:v>ronivaldo silva andrade</x:v>
      </x:c>
      <x:c r="D3370" s="22" t="str">
        <x:f>"65.237.388/0001-94"</x:f>
        <x:v>65.237.388/0001-94</x:v>
      </x:c>
      <x:c r="E3370" s="22" t="str">
        <x:f>"65237388000194"</x:f>
        <x:v>65237388000194</x:v>
      </x:c>
      <x:c r="F3370" s="22" t="str">
        <x:f>"615.844.281-04"</x:f>
        <x:v>615.844.281-04</x:v>
      </x:c>
      <x:c r="G3370" s="22" t="str">
        <x:f>"61584428104"</x:f>
        <x:v>61584428104</x:v>
      </x:c>
      <x:c r="H3370" s="23" t="str">
        <x:v>spuehrc@gmail.com</x:v>
      </x:c>
      <x:c r="I3370" s="22" t="str">
        <x:f>"65 99285-0073"</x:f>
        <x:v>65 99285-0073</x:v>
      </x:c>
      <x:c r="J3370" s="23" t="str">
        <x:v>SPOT</x:v>
      </x:c>
      <x:c r="K3370" s="23" t="str">
        <x:v>favored_only</x:v>
      </x:c>
      <x:c r="L3370" s="24" t="b">
        <x:v>1</x:v>
      </x:c>
      <x:c r="M3370" s="23" t="n">
        <x:v>1</x:v>
      </x:c>
      <x:c r="N3370" s="28" t="n">
        <x:v>46219.812988715275</x:v>
      </x:c>
      <x:c r="O3370" s="28" t="n">
        <x:v>46219.812988715275</x:v>
      </x:c>
      <x:c r="P3370" s="23" t="str">
        <x:v>CÁCERES</x:v>
      </x:c>
      <x:c r="Q3370" s="30" t="n">
        <x:v>27581</x:v>
      </x:c>
      <x:c r="R3370" s="22" t="str">
        <x:f>"1584428104"</x:f>
        <x:v>1584428104</x:v>
      </x:c>
      <x:c r="S3370" s="23" t="str">
        <x:v>masculino</x:v>
      </x:c>
      <x:c r="T3370" s="22" t="str">
        <x:f>"QCP3D19"</x:f>
        <x:v>QCP3D19</x:v>
      </x:c>
      <x:c r="U3370" s="23" t="str">
        <x:v>RONIVALDO SILVA ANDRADE</x:v>
      </x:c>
      <x:c r="V3370" s="22" t="str">
        <x:f>"615.844.281-04"</x:f>
        <x:v>615.844.281-04</x:v>
      </x:c>
      <x:c r="W3370" s="22" t="str">
        <x:f>"61584428104"</x:f>
        <x:v>61584428104</x:v>
      </x:c>
      <x:c r="X3370" s="23" t="str">
        <x:v>spuehrc@gmail.com</x:v>
      </x:c>
      <x:c r="Y3370" s="22" t="str">
        <x:f>"65 99285-0073"</x:f>
        <x:v>65 99285-0073</x:v>
      </x:c>
      <x:c r="Z3370" s="30" t="n">
        <x:v>46441</x:v>
      </x:c>
    </x:row>
    <x:row r="3371" ht="18" customHeight="1">
      <x:c r="A3371" s="22" t="str">
        <x:f>"dd6db107-1cdf-4c9b-9b23-7d90b3768630"</x:f>
        <x:v>dd6db107-1cdf-4c9b-9b23-7d90b3768630</x:v>
      </x:c>
      <x:c r="B3371" s="23" t="str">
        <x:v>Ronnycleiton Munhoz Silva</x:v>
      </x:c>
      <x:c r="C3371" s="23" t="str">
        <x:v>ronnycleiton munhoz silva</x:v>
      </x:c>
      <x:c r="D3371" s="22" t="str">
        <x:f>"61.328.526/0001-90"</x:f>
        <x:v>61.328.526/0001-90</x:v>
      </x:c>
      <x:c r="E3371" s="22" t="str">
        <x:f>"61328526000190"</x:f>
        <x:v>61328526000190</x:v>
      </x:c>
      <x:c r="F3371" s="22" t="str">
        <x:f>"032.746.191-83"</x:f>
        <x:v>032.746.191-83</x:v>
      </x:c>
      <x:c r="G3371" s="22" t="str">
        <x:f>"03274619183"</x:f>
        <x:v>03274619183</x:v>
      </x:c>
      <x:c r="H3371" s="23" t="str">
        <x:v>munhoz.silva9@gmail.com</x:v>
      </x:c>
      <x:c r="I3371" s="22" t="str">
        <x:f>"65 99671-9003"</x:f>
        <x:v>65 99671-9003</x:v>
      </x:c>
      <x:c r="J3371" s="23" t="str">
        <x:v>SPOT</x:v>
      </x:c>
      <x:c r="K3371" s="23" t="str">
        <x:v>favored_only</x:v>
      </x:c>
      <x:c r="L3371" s="24" t="b">
        <x:v>1</x:v>
      </x:c>
      <x:c r="M3371" s="23" t="n">
        <x:v>1</x:v>
      </x:c>
      <x:c r="N3371" s="28" t="n">
        <x:v>46203.92184908565</x:v>
      </x:c>
      <x:c r="O3371" s="28" t="n">
        <x:v>46203.92184908565</x:v>
      </x:c>
      <x:c r="P3371" s="23" t="str"/>
      <x:c r="Q3371" s="30" t="str"/>
      <x:c r="R3371" s="22" t="str"/>
      <x:c r="S3371" s="23" t="str"/>
      <x:c r="T3371" s="22" t="str"/>
      <x:c r="U3371" s="23" t="str">
        <x:v>Ronnycleiton Munhoz Silva</x:v>
      </x:c>
      <x:c r="V3371" s="22" t="str">
        <x:f>"032.746.191-83"</x:f>
        <x:v>032.746.191-83</x:v>
      </x:c>
      <x:c r="W3371" s="22" t="str">
        <x:f>"03274619183"</x:f>
        <x:v>03274619183</x:v>
      </x:c>
      <x:c r="X3371" s="23" t="str">
        <x:v>munhoz.silva9@gmail.com</x:v>
      </x:c>
      <x:c r="Y3371" s="22" t="str">
        <x:f>"65 99671-9003"</x:f>
        <x:v>65 99671-9003</x:v>
      </x:c>
      <x:c r="Z3371" s="30" t="str"/>
    </x:row>
    <x:row r="3372" ht="18" customHeight="1">
      <x:c r="A3372" s="22" t="str">
        <x:f>"b938be79-598d-4947-b3e5-f9876ed812ca"</x:f>
        <x:v>b938be79-598d-4947-b3e5-f9876ed812ca</x:v>
      </x:c>
      <x:c r="B3372" s="23" t="str">
        <x:v>RONY CHARLES DA ROSA</x:v>
      </x:c>
      <x:c r="C3372" s="23" t="str">
        <x:v>rony charles da rosa</x:v>
      </x:c>
      <x:c r="D3372" s="22" t="str">
        <x:f>"57.383.389/0001-19"</x:f>
        <x:v>57.383.389/0001-19</x:v>
      </x:c>
      <x:c r="E3372" s="22" t="str">
        <x:f>"57383389000119"</x:f>
        <x:v>57383389000119</x:v>
      </x:c>
      <x:c r="F3372" s="22" t="str">
        <x:f>"130.168.946-70"</x:f>
        <x:v>130.168.946-70</x:v>
      </x:c>
      <x:c r="G3372" s="22" t="str">
        <x:f>"13016894670"</x:f>
        <x:v>13016894670</x:v>
      </x:c>
      <x:c r="H3372" s="23" t="str">
        <x:v>ronycharles365@gmail.com</x:v>
      </x:c>
      <x:c r="I3372" s="22" t="str">
        <x:f>"(35)99762-9533"</x:f>
        <x:v>(35)99762-9533</x:v>
      </x:c>
      <x:c r="J3372" s="23" t="str">
        <x:v>RENTAL</x:v>
      </x:c>
      <x:c r="K3372" s="23" t="str">
        <x:v>rental_company</x:v>
      </x:c>
      <x:c r="L3372" s="24" t="b">
        <x:v>1</x:v>
      </x:c>
      <x:c r="M3372" s="23" t="n">
        <x:v>1</x:v>
      </x:c>
      <x:c r="N3372" s="28" t="n">
        <x:v>46219.812988715275</x:v>
      </x:c>
      <x:c r="O3372" s="28" t="n">
        <x:v>46219.812988715275</x:v>
      </x:c>
      <x:c r="P3372" s="23" t="str">
        <x:v>POUSO ALEGRE</x:v>
      </x:c>
      <x:c r="Q3372" s="30" t="n">
        <x:v>34997</x:v>
      </x:c>
      <x:c r="R3372" s="22" t="str">
        <x:f>"572600690"</x:f>
        <x:v>572600690</x:v>
      </x:c>
      <x:c r="S3372" s="23" t="str">
        <x:v>masculino</x:v>
      </x:c>
      <x:c r="T3372" s="22" t="str"/>
      <x:c r="U3372" s="23" t="str">
        <x:v>RONY CHARLES DA ROSA</x:v>
      </x:c>
      <x:c r="V3372" s="22" t="str">
        <x:f>"130.168.946-70"</x:f>
        <x:v>130.168.946-70</x:v>
      </x:c>
      <x:c r="W3372" s="22" t="str">
        <x:f>"13016894670"</x:f>
        <x:v>13016894670</x:v>
      </x:c>
      <x:c r="X3372" s="23" t="str">
        <x:v>ronycharles365@gmail.com</x:v>
      </x:c>
      <x:c r="Y3372" s="22" t="str">
        <x:f>"(35)99762-9533"</x:f>
        <x:v>(35)99762-9533</x:v>
      </x:c>
      <x:c r="Z3372" s="30" t="n">
        <x:v>46345</x:v>
      </x:c>
    </x:row>
    <x:row r="3373" ht="18" customHeight="1">
      <x:c r="A3373" s="22" t="str">
        <x:f>"e9d1c4ff-419c-41bd-b6db-f08ae6e1ace9"</x:f>
        <x:v>e9d1c4ff-419c-41bd-b6db-f08ae6e1ace9</x:v>
      </x:c>
      <x:c r="B3373" s="23" t="str">
        <x:v>RONY DA SILVA MOTTA</x:v>
      </x:c>
      <x:c r="C3373" s="23" t="str">
        <x:v>rony da silva motta</x:v>
      </x:c>
      <x:c r="D3373" s="22" t="str">
        <x:f>"54.800.010/0001-30"</x:f>
        <x:v>54.800.010/0001-30</x:v>
      </x:c>
      <x:c r="E3373" s="22" t="str">
        <x:f>"54800010000130"</x:f>
        <x:v>54800010000130</x:v>
      </x:c>
      <x:c r="F3373" s="22" t="str">
        <x:f>"146.597.177-71"</x:f>
        <x:v>146.597.177-71</x:v>
      </x:c>
      <x:c r="G3373" s="22" t="str">
        <x:f>"14659717771"</x:f>
        <x:v>14659717771</x:v>
      </x:c>
      <x:c r="H3373" s="23" t="str">
        <x:v>Rony75874909@gmail.com</x:v>
      </x:c>
      <x:c r="I3373" s="22" t="str">
        <x:f>"21975874909"</x:f>
        <x:v>21975874909</x:v>
      </x:c>
      <x:c r="J3373" s="23" t="str">
        <x:v>SPOT</x:v>
      </x:c>
      <x:c r="K3373" s="23" t="str">
        <x:v>favored_only</x:v>
      </x:c>
      <x:c r="L3373" s="24" t="b">
        <x:v>1</x:v>
      </x:c>
      <x:c r="M3373" s="23" t="n">
        <x:v>1</x:v>
      </x:c>
      <x:c r="N3373" s="28" t="n">
        <x:v>46203.9218771875</x:v>
      </x:c>
      <x:c r="O3373" s="28" t="n">
        <x:v>46219.812988715275</x:v>
      </x:c>
      <x:c r="P3373" s="23" t="str">
        <x:v>QUEIMADOS</x:v>
      </x:c>
      <x:c r="Q3373" s="30" t="n">
        <x:v>33473</x:v>
      </x:c>
      <x:c r="R3373" s="22" t="str">
        <x:f>"271159444"</x:f>
        <x:v>271159444</x:v>
      </x:c>
      <x:c r="S3373" s="23" t="str">
        <x:v>masculino</x:v>
      </x:c>
      <x:c r="T3373" s="22" t="str">
        <x:f>"KYS3C57"</x:f>
        <x:v>KYS3C57</x:v>
      </x:c>
      <x:c r="U3373" s="23" t="str">
        <x:v>RONY DA SILVA MOTTA</x:v>
      </x:c>
      <x:c r="V3373" s="22" t="str">
        <x:f>"146.597.177-71"</x:f>
        <x:v>146.597.177-71</x:v>
      </x:c>
      <x:c r="W3373" s="22" t="str">
        <x:f>"14659717771"</x:f>
        <x:v>14659717771</x:v>
      </x:c>
      <x:c r="X3373" s="23" t="str">
        <x:v>Rony75874909@gmail.com</x:v>
      </x:c>
      <x:c r="Y3373" s="22" t="str">
        <x:f>"21975874909"</x:f>
        <x:v>21975874909</x:v>
      </x:c>
      <x:c r="Z3373" s="30" t="n">
        <x:v>46309</x:v>
      </x:c>
    </x:row>
    <x:row r="3374" ht="18" customHeight="1">
      <x:c r="A3374" s="22" t="str">
        <x:f>"0eb96593-86f1-4c7b-8f57-30ca343107c9"</x:f>
        <x:v>0eb96593-86f1-4c7b-8f57-30ca343107c9</x:v>
      </x:c>
      <x:c r="B3374" s="23" t="str">
        <x:v>RONY HEITOR PEREIRA DIAS</x:v>
      </x:c>
      <x:c r="C3374" s="23" t="str">
        <x:v>rony heitor pereira dias</x:v>
      </x:c>
      <x:c r="D3374" s="22" t="str">
        <x:f>"37.823.997/0001-90"</x:f>
        <x:v>37.823.997/0001-90</x:v>
      </x:c>
      <x:c r="E3374" s="22" t="str">
        <x:f>"37823997000190"</x:f>
        <x:v>37823997000190</x:v>
      </x:c>
      <x:c r="F3374" s="22" t="str">
        <x:f>"053.054.721-05"</x:f>
        <x:v>053.054.721-05</x:v>
      </x:c>
      <x:c r="G3374" s="22" t="str">
        <x:f>"05305472105"</x:f>
        <x:v>05305472105</x:v>
      </x:c>
      <x:c r="H3374" s="23" t="str">
        <x:v>Heitordias.teste@gmail.com</x:v>
      </x:c>
      <x:c r="I3374" s="22" t="str">
        <x:f>"65 98133-4365"</x:f>
        <x:v>65 98133-4365</x:v>
      </x:c>
      <x:c r="J3374" s="23" t="str">
        <x:v>SPOT</x:v>
      </x:c>
      <x:c r="K3374" s="23" t="str">
        <x:v>favored_only</x:v>
      </x:c>
      <x:c r="L3374" s="24" t="b">
        <x:v>1</x:v>
      </x:c>
      <x:c r="M3374" s="23" t="n">
        <x:v>1</x:v>
      </x:c>
      <x:c r="N3374" s="28" t="n">
        <x:v>46219.812988715275</x:v>
      </x:c>
      <x:c r="O3374" s="28" t="n">
        <x:v>46219.812988715275</x:v>
      </x:c>
      <x:c r="P3374" s="23" t="str">
        <x:v>PONTES E LACERDA</x:v>
      </x:c>
      <x:c r="Q3374" s="30" t="n">
        <x:v>35398</x:v>
      </x:c>
      <x:c r="R3374" s="22" t="str">
        <x:f>"19727925"</x:f>
        <x:v>19727925</x:v>
      </x:c>
      <x:c r="S3374" s="23" t="str">
        <x:v>masculino</x:v>
      </x:c>
      <x:c r="T3374" s="22" t="str">
        <x:f>"nty7c67"</x:f>
        <x:v>nty7c67</x:v>
      </x:c>
      <x:c r="U3374" s="23" t="str">
        <x:v>RODOPRIME TRANSPORTES E CARGAS LTDA</x:v>
      </x:c>
      <x:c r="V3374" s="22" t="str">
        <x:f>"038.768.901-01"</x:f>
        <x:v>038.768.901-01</x:v>
      </x:c>
      <x:c r="W3374" s="22" t="str">
        <x:f>"03876890101"</x:f>
        <x:v>03876890101</x:v>
      </x:c>
      <x:c r="X3374" s="23" t="str">
        <x:v>rtp.cargas@gmail.com</x:v>
      </x:c>
      <x:c r="Y3374" s="22" t="str">
        <x:f>"62991277279"</x:f>
        <x:v>62991277279</x:v>
      </x:c>
      <x:c r="Z3374" s="30" t="n">
        <x:v>46582</x:v>
      </x:c>
    </x:row>
    <x:row r="3375" ht="18" customHeight="1">
      <x:c r="A3375" s="22" t="str">
        <x:f>"4eb37af1-0ed6-465d-904a-4d4e1c9e6e2c"</x:f>
        <x:v>4eb37af1-0ed6-465d-904a-4d4e1c9e6e2c</x:v>
      </x:c>
      <x:c r="B3375" s="23" t="str">
        <x:v>ROSANGELA APARECIDA DA SILVA</x:v>
      </x:c>
      <x:c r="C3375" s="23" t="str">
        <x:v>rosangela aparecida da silva</x:v>
      </x:c>
      <x:c r="D3375" s="22" t="str">
        <x:f>"46.249.417/0001-93"</x:f>
        <x:v>46.249.417/0001-93</x:v>
      </x:c>
      <x:c r="E3375" s="22" t="str">
        <x:f>"46249417000193"</x:f>
        <x:v>46249417000193</x:v>
      </x:c>
      <x:c r="F3375" s="22" t="str">
        <x:f>"181.028.738-33"</x:f>
        <x:v>181.028.738-33</x:v>
      </x:c>
      <x:c r="G3375" s="22" t="str">
        <x:f>"18102873833"</x:f>
        <x:v>18102873833</x:v>
      </x:c>
      <x:c r="H3375" s="23" t="str">
        <x:v>nascimentomiguelfreitas@gmail.com</x:v>
      </x:c>
      <x:c r="I3375" s="22" t="str">
        <x:f>"62 9 8233-3910"</x:f>
        <x:v>62 9 8233-3910</x:v>
      </x:c>
      <x:c r="J3375" s="23" t="str">
        <x:v>SPOT</x:v>
      </x:c>
      <x:c r="K3375" s="23" t="str">
        <x:v>favored_only</x:v>
      </x:c>
      <x:c r="L3375" s="24" t="b">
        <x:v>1</x:v>
      </x:c>
      <x:c r="M3375" s="23" t="n">
        <x:v>1</x:v>
      </x:c>
      <x:c r="N3375" s="28" t="n">
        <x:v>46203.92191240741</x:v>
      </x:c>
      <x:c r="O3375" s="28" t="n">
        <x:v>46203.92191240741</x:v>
      </x:c>
      <x:c r="P3375" s="23" t="str"/>
      <x:c r="Q3375" s="30" t="str"/>
      <x:c r="R3375" s="22" t="str"/>
      <x:c r="S3375" s="23" t="str"/>
      <x:c r="T3375" s="22" t="str"/>
      <x:c r="U3375" s="23" t="str">
        <x:v>ROSANGELA APARECIDA DA SILVA</x:v>
      </x:c>
      <x:c r="V3375" s="22" t="str">
        <x:f>"181.028.738-33"</x:f>
        <x:v>181.028.738-33</x:v>
      </x:c>
      <x:c r="W3375" s="22" t="str">
        <x:f>"18102873833"</x:f>
        <x:v>18102873833</x:v>
      </x:c>
      <x:c r="X3375" s="23" t="str">
        <x:v>nascimentomiguelfreitas@gmail.com</x:v>
      </x:c>
      <x:c r="Y3375" s="22" t="str">
        <x:f>"62 9 8233-3910"</x:f>
        <x:v>62 9 8233-3910</x:v>
      </x:c>
      <x:c r="Z3375" s="30" t="str"/>
    </x:row>
    <x:row r="3376" ht="18" customHeight="1">
      <x:c r="A3376" s="22" t="str">
        <x:f>"2856e3b9-dad9-41f2-b70c-ad1bf1b0318b"</x:f>
        <x:v>2856e3b9-dad9-41f2-b70c-ad1bf1b0318b</x:v>
      </x:c>
      <x:c r="B3376" s="23" t="str">
        <x:v>ROSANGELA CRISTINA MORAIS</x:v>
      </x:c>
      <x:c r="C3376" s="23" t="str">
        <x:v>rosangela cristina morais</x:v>
      </x:c>
      <x:c r="D3376" s="22" t="str">
        <x:f>"59.460.108/0001-00"</x:f>
        <x:v>59.460.108/0001-00</x:v>
      </x:c>
      <x:c r="E3376" s="22" t="str">
        <x:f>"59460108000100"</x:f>
        <x:v>59460108000100</x:v>
      </x:c>
      <x:c r="F3376" s="22" t="str">
        <x:f>"005.629.012-80"</x:f>
        <x:v>005.629.012-80</x:v>
      </x:c>
      <x:c r="G3376" s="22" t="str">
        <x:f>"00562901280"</x:f>
        <x:v>00562901280</x:v>
      </x:c>
      <x:c r="H3376" s="23" t="str">
        <x:v>rofiamorais2010@gmail.com</x:v>
      </x:c>
      <x:c r="I3376" s="22" t="str">
        <x:f>"65992792186"</x:f>
        <x:v>65992792186</x:v>
      </x:c>
      <x:c r="J3376" s="23" t="str">
        <x:v>SPOT</x:v>
      </x:c>
      <x:c r="K3376" s="23" t="str">
        <x:v>favored_only</x:v>
      </x:c>
      <x:c r="L3376" s="24" t="b">
        <x:v>1</x:v>
      </x:c>
      <x:c r="M3376" s="23" t="n">
        <x:v>1</x:v>
      </x:c>
      <x:c r="N3376" s="28" t="n">
        <x:v>46205.60511181713</x:v>
      </x:c>
      <x:c r="O3376" s="28" t="n">
        <x:v>46219.812988715275</x:v>
      </x:c>
      <x:c r="P3376" s="23" t="str">
        <x:v>CÁCERES</x:v>
      </x:c>
      <x:c r="Q3376" s="30" t="n">
        <x:v>33365</x:v>
      </x:c>
      <x:c r="R3376" s="22" t="str">
        <x:f>"20569807"</x:f>
        <x:v>20569807</x:v>
      </x:c>
      <x:c r="S3376" s="23" t="str">
        <x:v>feminino</x:v>
      </x:c>
      <x:c r="T3376" s="22" t="str">
        <x:f>"QBP0D57"</x:f>
        <x:v>QBP0D57</x:v>
      </x:c>
      <x:c r="U3376" s="23" t="str">
        <x:v>JOSE MATHEUS GONCALVES DE MIRANDA</x:v>
      </x:c>
      <x:c r="V3376" s="22" t="str">
        <x:f>"053.233.661-50"</x:f>
        <x:v>053.233.661-50</x:v>
      </x:c>
      <x:c r="W3376" s="22" t="str">
        <x:f>"05323366150"</x:f>
        <x:v>05323366150</x:v>
      </x:c>
      <x:c r="X3376" s="23" t="str">
        <x:v>matheusloko1350@gmail.com</x:v>
      </x:c>
      <x:c r="Y3376" s="22" t="str">
        <x:f>"65996807147"</x:f>
        <x:v>65996807147</x:v>
      </x:c>
      <x:c r="Z3376" s="30" t="n">
        <x:v>46389</x:v>
      </x:c>
    </x:row>
    <x:row r="3377" ht="18" customHeight="1">
      <x:c r="A3377" s="22" t="str">
        <x:f>"5148136b-8ef5-4d81-a58d-443eb3ab7dbd"</x:f>
        <x:v>5148136b-8ef5-4d81-a58d-443eb3ab7dbd</x:v>
      </x:c>
      <x:c r="B3377" s="23" t="str">
        <x:v>ROSANGELA DA SILVA BIAGGIS</x:v>
      </x:c>
      <x:c r="C3377" s="23" t="str">
        <x:v>rosangela da silva biaggis</x:v>
      </x:c>
      <x:c r="D3377" s="22" t="str">
        <x:f>"66.625.332/0001-70"</x:f>
        <x:v>66.625.332/0001-70</x:v>
      </x:c>
      <x:c r="E3377" s="22" t="str">
        <x:f>"66625332000170"</x:f>
        <x:v>66625332000170</x:v>
      </x:c>
      <x:c r="F3377" s="22" t="str">
        <x:f>"304.465.818-79"</x:f>
        <x:v>304.465.818-79</x:v>
      </x:c>
      <x:c r="G3377" s="22" t="str">
        <x:f>"30446581879"</x:f>
        <x:v>30446581879</x:v>
      </x:c>
      <x:c r="H3377" s="23" t="str">
        <x:v>rosangelabiaggis@gmail.com</x:v>
      </x:c>
      <x:c r="I3377" s="22" t="str">
        <x:f>"14-997350668"</x:f>
        <x:v>14-997350668</x:v>
      </x:c>
      <x:c r="J3377" s="23" t="str">
        <x:v>SPOT</x:v>
      </x:c>
      <x:c r="K3377" s="23" t="str">
        <x:v>favored_only</x:v>
      </x:c>
      <x:c r="L3377" s="24" t="b">
        <x:v>1</x:v>
      </x:c>
      <x:c r="M3377" s="23" t="n">
        <x:v>1</x:v>
      </x:c>
      <x:c r="N3377" s="28" t="n">
        <x:v>46219.812988715275</x:v>
      </x:c>
      <x:c r="O3377" s="28" t="n">
        <x:v>46219.812988715275</x:v>
      </x:c>
      <x:c r="P3377" s="23" t="str">
        <x:v>MARILIA</x:v>
      </x:c>
      <x:c r="Q3377" s="30" t="n">
        <x:v>30086</x:v>
      </x:c>
      <x:c r="R3377" s="22" t="str">
        <x:f>"43375711"</x:f>
        <x:v>43375711</x:v>
      </x:c>
      <x:c r="S3377" s="23" t="str">
        <x:v>feminino</x:v>
      </x:c>
      <x:c r="T3377" s="22" t="str">
        <x:f>"URT4H94"</x:f>
        <x:v>URT4H94</x:v>
      </x:c>
      <x:c r="U3377" s="23" t="str">
        <x:v>ROSANGELA DA SILVA BIAGGIS</x:v>
      </x:c>
      <x:c r="V3377" s="22" t="str">
        <x:f>"304.465.818-79"</x:f>
        <x:v>304.465.818-79</x:v>
      </x:c>
      <x:c r="W3377" s="22" t="str">
        <x:f>"30446581879"</x:f>
        <x:v>30446581879</x:v>
      </x:c>
      <x:c r="X3377" s="23" t="str">
        <x:v>rosangelabiaggis@gmail.com</x:v>
      </x:c>
      <x:c r="Y3377" s="22" t="str">
        <x:f>"14-997350668"</x:f>
        <x:v>14-997350668</x:v>
      </x:c>
      <x:c r="Z3377" s="30" t="n">
        <x:v>46551</x:v>
      </x:c>
    </x:row>
    <x:row r="3378" ht="18" customHeight="1">
      <x:c r="A3378" s="22" t="str">
        <x:f>"b017648a-7298-42fd-9eb8-710af9c39e9b"</x:f>
        <x:v>b017648a-7298-42fd-9eb8-710af9c39e9b</x:v>
      </x:c>
      <x:c r="B3378" s="23" t="str">
        <x:v>Rosângela Ronailva Alves de Vasconcelos</x:v>
      </x:c>
      <x:c r="C3378" s="23" t="str">
        <x:v>rosangela ronailva alves de vasconcelos</x:v>
      </x:c>
      <x:c r="D3378" s="22" t="str">
        <x:f>"62.495.751/0001-83"</x:f>
        <x:v>62.495.751/0001-83</x:v>
      </x:c>
      <x:c r="E3378" s="22" t="str">
        <x:f>"62495751000183"</x:f>
        <x:v>62495751000183</x:v>
      </x:c>
      <x:c r="F3378" s="22" t="str">
        <x:f>"25931323880"</x:f>
        <x:v>25931323880</x:v>
      </x:c>
      <x:c r="G3378" s="22" t="str">
        <x:f>"25931323880"</x:f>
        <x:v>25931323880</x:v>
      </x:c>
      <x:c r="H3378" s="23" t="str">
        <x:v>montana.power25@gmail.com</x:v>
      </x:c>
      <x:c r="I3378" s="22" t="str">
        <x:f>"11911282358"</x:f>
        <x:v>11911282358</x:v>
      </x:c>
      <x:c r="J3378" s="23" t="str">
        <x:v>SPOT</x:v>
      </x:c>
      <x:c r="K3378" s="23" t="str">
        <x:v>favored_only</x:v>
      </x:c>
      <x:c r="L3378" s="24" t="b">
        <x:v>1</x:v>
      </x:c>
      <x:c r="M3378" s="23" t="n">
        <x:v>2</x:v>
      </x:c>
      <x:c r="N3378" s="28" t="n">
        <x:v>46203.92186888889</x:v>
      </x:c>
      <x:c r="O3378" s="28" t="n">
        <x:v>46203.92186888889</x:v>
      </x:c>
      <x:c r="P3378" s="23" t="str"/>
      <x:c r="Q3378" s="30" t="str"/>
      <x:c r="R3378" s="22" t="str"/>
      <x:c r="S3378" s="23" t="str"/>
      <x:c r="T3378" s="22" t="str"/>
      <x:c r="U3378" s="23" t="str">
        <x:v>Rosângela Ronailva Alves de Vasconcelos</x:v>
      </x:c>
      <x:c r="V3378" s="22" t="str">
        <x:f>"25931323880"</x:f>
        <x:v>25931323880</x:v>
      </x:c>
      <x:c r="W3378" s="22" t="str">
        <x:f>"25931323880"</x:f>
        <x:v>25931323880</x:v>
      </x:c>
      <x:c r="X3378" s="23" t="str">
        <x:v>montana.power25@gmail.com</x:v>
      </x:c>
      <x:c r="Y3378" s="22" t="str">
        <x:f>"11911282358"</x:f>
        <x:v>11911282358</x:v>
      </x:c>
      <x:c r="Z3378" s="30" t="str"/>
    </x:row>
    <x:row r="3379" ht="18" customHeight="1">
      <x:c r="A3379" s="22" t="str">
        <x:f>"f89dbdd4-d570-4500-af7f-37802fbdc0de"</x:f>
        <x:v>f89dbdd4-d570-4500-af7f-37802fbdc0de</x:v>
      </x:c>
      <x:c r="B3379" s="23" t="str">
        <x:v>ROSEANE ELLEN DANTAS DOS SANTOS</x:v>
      </x:c>
      <x:c r="C3379" s="23" t="str">
        <x:v>roseane ellen dantas dos santos</x:v>
      </x:c>
      <x:c r="D3379" s="22" t="str">
        <x:f>"65.169.259/0001-06"</x:f>
        <x:v>65.169.259/0001-06</x:v>
      </x:c>
      <x:c r="E3379" s="22" t="str">
        <x:f>"65169259000106"</x:f>
        <x:v>65169259000106</x:v>
      </x:c>
      <x:c r="F3379" s="22" t="str">
        <x:f>"051.513.116-46"</x:f>
        <x:v>051.513.116-46</x:v>
      </x:c>
      <x:c r="G3379" s="22" t="str">
        <x:f>"05151311646"</x:f>
        <x:v>05151311646</x:v>
      </x:c>
      <x:c r="H3379" s="23" t="str">
        <x:v>mariazinhafortaleza13@gmail.com</x:v>
      </x:c>
      <x:c r="I3379" s="22" t="str">
        <x:f>"38991818505"</x:f>
        <x:v>38991818505</x:v>
      </x:c>
      <x:c r="J3379" s="23" t="str">
        <x:v>RENTAL</x:v>
      </x:c>
      <x:c r="K3379" s="23" t="str">
        <x:v>rental_company</x:v>
      </x:c>
      <x:c r="L3379" s="24" t="b">
        <x:v>1</x:v>
      </x:c>
      <x:c r="M3379" s="23" t="n">
        <x:v>1</x:v>
      </x:c>
      <x:c r="N3379" s="28" t="n">
        <x:v>46219.812988715275</x:v>
      </x:c>
      <x:c r="O3379" s="28" t="n">
        <x:v>46219.812988715275</x:v>
      </x:c>
      <x:c r="P3379" s="23" t="str">
        <x:v>PRESIDENTE PRUDENTE</x:v>
      </x:c>
      <x:c r="Q3379" s="30" t="n">
        <x:v>29995</x:v>
      </x:c>
      <x:c r="R3379" s="22" t="str">
        <x:f>"12502660"</x:f>
        <x:v>12502660</x:v>
      </x:c>
      <x:c r="S3379" s="23" t="str">
        <x:v>feminino</x:v>
      </x:c>
      <x:c r="T3379" s="22" t="str"/>
      <x:c r="U3379" s="23" t="str">
        <x:v>ROSEANE ELLEN DANTAS DOS SANTOS</x:v>
      </x:c>
      <x:c r="V3379" s="22" t="str">
        <x:f>"051.513.116-46"</x:f>
        <x:v>051.513.116-46</x:v>
      </x:c>
      <x:c r="W3379" s="22" t="str">
        <x:f>"05151311646"</x:f>
        <x:v>05151311646</x:v>
      </x:c>
      <x:c r="X3379" s="23" t="str">
        <x:v>mariazinhafortaleza13@gmail.com</x:v>
      </x:c>
      <x:c r="Y3379" s="22" t="str">
        <x:f>"38991818505"</x:f>
        <x:v>38991818505</x:v>
      </x:c>
      <x:c r="Z3379" s="30" t="n">
        <x:v>46449</x:v>
      </x:c>
    </x:row>
    <x:row r="3380" ht="18" customHeight="1">
      <x:c r="A3380" s="22" t="str">
        <x:f>"40994af1-7d07-4631-bc0d-da0d164ad5c7"</x:f>
        <x:v>40994af1-7d07-4631-bc0d-da0d164ad5c7</x:v>
      </x:c>
      <x:c r="B3380" s="23" t="str">
        <x:v>ROSELIA APARECIDA MORAES</x:v>
      </x:c>
      <x:c r="C3380" s="23" t="str">
        <x:v>roselia aparecida moraes</x:v>
      </x:c>
      <x:c r="D3380" s="22" t="str">
        <x:f>"62.190.208/0001-78"</x:f>
        <x:v>62.190.208/0001-78</x:v>
      </x:c>
      <x:c r="E3380" s="22" t="str">
        <x:f>"62190208000178"</x:f>
        <x:v>62190208000178</x:v>
      </x:c>
      <x:c r="F3380" s="22" t="str">
        <x:f>"061.356.676-96"</x:f>
        <x:v>061.356.676-96</x:v>
      </x:c>
      <x:c r="G3380" s="22" t="str">
        <x:f>"06135667696"</x:f>
        <x:v>06135667696</x:v>
      </x:c>
      <x:c r="H3380" s="23" t="str">
        <x:v>roseliaaparecida1980@gmail.com</x:v>
      </x:c>
      <x:c r="I3380" s="22" t="str">
        <x:f>"(34)996396935"</x:f>
        <x:v>(34)996396935</x:v>
      </x:c>
      <x:c r="J3380" s="23" t="str">
        <x:v>RENTAL</x:v>
      </x:c>
      <x:c r="K3380" s="23" t="str">
        <x:v>rental_company</x:v>
      </x:c>
      <x:c r="L3380" s="24" t="b">
        <x:v>1</x:v>
      </x:c>
      <x:c r="M3380" s="23" t="n">
        <x:v>1</x:v>
      </x:c>
      <x:c r="N3380" s="28" t="n">
        <x:v>46203.921852962965</x:v>
      </x:c>
      <x:c r="O3380" s="28" t="n">
        <x:v>46219.812988715275</x:v>
      </x:c>
      <x:c r="P3380" s="23" t="str">
        <x:v>UBERABA</x:v>
      </x:c>
      <x:c r="Q3380" s="30" t="n">
        <x:v>29573</x:v>
      </x:c>
      <x:c r="R3380" s="22" t="str">
        <x:f>"12725243"</x:f>
        <x:v>12725243</x:v>
      </x:c>
      <x:c r="S3380" s="23" t="str">
        <x:v>feminino</x:v>
      </x:c>
      <x:c r="T3380" s="22" t="str"/>
      <x:c r="U3380" s="23" t="str">
        <x:v>ROSELIA APARECIDA MORAES</x:v>
      </x:c>
      <x:c r="V3380" s="22" t="str">
        <x:f>"061.356.686-96"</x:f>
        <x:v>061.356.686-96</x:v>
      </x:c>
      <x:c r="W3380" s="22" t="str">
        <x:f>"06135668696"</x:f>
        <x:v>06135668696</x:v>
      </x:c>
      <x:c r="X3380" s="23" t="str">
        <x:v>roseliaaparecida1980@gmail.com</x:v>
      </x:c>
      <x:c r="Y3380" s="22" t="str">
        <x:f>"(34)996396935"</x:f>
        <x:v>(34)996396935</x:v>
      </x:c>
      <x:c r="Z3380" s="30" t="n">
        <x:v>46247</x:v>
      </x:c>
    </x:row>
    <x:row r="3381" ht="18" customHeight="1">
      <x:c r="A3381" s="22" t="str">
        <x:f>"8a65e355-4ed9-448e-b9df-4a0b4dde890b"</x:f>
        <x:v>8a65e355-4ed9-448e-b9df-4a0b4dde890b</x:v>
      </x:c>
      <x:c r="B3381" s="23" t="str">
        <x:v>ROSIANE PIRES DOS SANTOS DA CONCEICAO MIRANDA</x:v>
      </x:c>
      <x:c r="C3381" s="23" t="str">
        <x:v>rosiane pires dos santos da conceicao miranda</x:v>
      </x:c>
      <x:c r="D3381" s="22" t="str">
        <x:f>"27.465.107/0001-61"</x:f>
        <x:v>27.465.107/0001-61</x:v>
      </x:c>
      <x:c r="E3381" s="22" t="str">
        <x:f>"27465107000161"</x:f>
        <x:v>27465107000161</x:v>
      </x:c>
      <x:c r="F3381" s="22" t="str">
        <x:f>"097.220.827-52"</x:f>
        <x:v>097.220.827-52</x:v>
      </x:c>
      <x:c r="G3381" s="22" t="str">
        <x:f>"09722082752"</x:f>
        <x:v>09722082752</x:v>
      </x:c>
      <x:c r="H3381" s="23" t="str">
        <x:v>rosyy3484@gmail.com</x:v>
      </x:c>
      <x:c r="I3381" s="22" t="str">
        <x:f>"21970148592"</x:f>
        <x:v>21970148592</x:v>
      </x:c>
      <x:c r="J3381" s="23" t="str">
        <x:v>SPOT</x:v>
      </x:c>
      <x:c r="K3381" s="23" t="str">
        <x:v>favored_only</x:v>
      </x:c>
      <x:c r="L3381" s="24" t="b">
        <x:v>1</x:v>
      </x:c>
      <x:c r="M3381" s="23" t="n">
        <x:v>1</x:v>
      </x:c>
      <x:c r="N3381" s="28" t="n">
        <x:v>46219.812988715275</x:v>
      </x:c>
      <x:c r="O3381" s="28" t="n">
        <x:v>46219.812988715275</x:v>
      </x:c>
      <x:c r="P3381" s="23" t="str">
        <x:v>CORDOVIL</x:v>
      </x:c>
      <x:c r="Q3381" s="30" t="n">
        <x:v>30844</x:v>
      </x:c>
      <x:c r="R3381" s="22" t="str">
        <x:f>"13052467"</x:f>
        <x:v>13052467</x:v>
      </x:c>
      <x:c r="S3381" s="23" t="str">
        <x:v>feminino</x:v>
      </x:c>
      <x:c r="T3381" s="22" t="str">
        <x:f>"BAE9A29"</x:f>
        <x:v>BAE9A29</x:v>
      </x:c>
      <x:c r="U3381" s="23" t="str">
        <x:v>ROSIANE PIRES DOS SANTOS DA CONCEICAO MIRANDA</x:v>
      </x:c>
      <x:c r="V3381" s="22" t="str">
        <x:f>"097.220.827-52"</x:f>
        <x:v>097.220.827-52</x:v>
      </x:c>
      <x:c r="W3381" s="22" t="str">
        <x:f>"09722082752"</x:f>
        <x:v>09722082752</x:v>
      </x:c>
      <x:c r="X3381" s="23" t="str">
        <x:v>rosyy3484@gmail.com</x:v>
      </x:c>
      <x:c r="Y3381" s="22" t="str">
        <x:f>"21970148592"</x:f>
        <x:v>21970148592</x:v>
      </x:c>
      <x:c r="Z3381" s="30" t="n">
        <x:v>46515</x:v>
      </x:c>
    </x:row>
    <x:row r="3382" ht="18" customHeight="1">
      <x:c r="A3382" s="22" t="str">
        <x:f>"aa4b60f9-717d-4639-920d-1fdf6a928d85"</x:f>
        <x:v>aa4b60f9-717d-4639-920d-1fdf6a928d85</x:v>
      </x:c>
      <x:c r="B3382" s="23" t="str">
        <x:v>ROSILAINE MARCAL DA ROCHA ALEXANDRE</x:v>
      </x:c>
      <x:c r="C3382" s="23" t="str">
        <x:v>rosilaine marcal da rocha alexandre</x:v>
      </x:c>
      <x:c r="D3382" s="22" t="str">
        <x:f>"57.883.052/0001-70"</x:f>
        <x:v>57.883.052/0001-70</x:v>
      </x:c>
      <x:c r="E3382" s="22" t="str">
        <x:f>"57883052000170"</x:f>
        <x:v>57883052000170</x:v>
      </x:c>
      <x:c r="F3382" s="22" t="str">
        <x:f>"088.093.266-01"</x:f>
        <x:v>088.093.266-01</x:v>
      </x:c>
      <x:c r="G3382" s="22" t="str">
        <x:f>"08809326601"</x:f>
        <x:v>08809326601</x:v>
      </x:c>
      <x:c r="H3382" s="23" t="str">
        <x:v>rosilainealexandre@hotmail.com</x:v>
      </x:c>
      <x:c r="I3382" s="22" t="str">
        <x:f>"3398407053"</x:f>
        <x:v>3398407053</x:v>
      </x:c>
      <x:c r="J3382" s="23" t="str">
        <x:v>SPOT</x:v>
      </x:c>
      <x:c r="K3382" s="23" t="str">
        <x:v>favored_only</x:v>
      </x:c>
      <x:c r="L3382" s="24" t="b">
        <x:v>1</x:v>
      </x:c>
      <x:c r="M3382" s="23" t="n">
        <x:v>2</x:v>
      </x:c>
      <x:c r="N3382" s="28" t="n">
        <x:v>46219.812988715275</x:v>
      </x:c>
      <x:c r="O3382" s="28" t="n">
        <x:v>46219.812988715275</x:v>
      </x:c>
      <x:c r="P3382" s="23" t="str">
        <x:v>GUANHAES</x:v>
      </x:c>
      <x:c r="Q3382" s="30" t="n">
        <x:v>32181</x:v>
      </x:c>
      <x:c r="R3382" s="22" t="str">
        <x:f>"14661153"</x:f>
        <x:v>14661153</x:v>
      </x:c>
      <x:c r="S3382" s="23" t="str">
        <x:v>feminino</x:v>
      </x:c>
      <x:c r="T3382" s="22" t="str">
        <x:f>"GYW0I14"</x:f>
        <x:v>GYW0I14</x:v>
      </x:c>
      <x:c r="U3382" s="23" t="str">
        <x:v>FARLEI ALEXANDRE DE SOUZA</x:v>
      </x:c>
      <x:c r="V3382" s="22" t="str">
        <x:f>"114.955.326-07"</x:f>
        <x:v>114.955.326-07</x:v>
      </x:c>
      <x:c r="W3382" s="22" t="str">
        <x:f>"11495532607"</x:f>
        <x:v>11495532607</x:v>
      </x:c>
      <x:c r="X3382" s="23" t="str">
        <x:v>farleisouza14@hotmail.com</x:v>
      </x:c>
      <x:c r="Y3382" s="22" t="str">
        <x:f>"3398407053"</x:f>
        <x:v>3398407053</x:v>
      </x:c>
      <x:c r="Z3382" s="30" t="n">
        <x:v>46462</x:v>
      </x:c>
    </x:row>
    <x:row r="3383" ht="18" customHeight="1">
      <x:c r="A3383" s="22" t="str">
        <x:f>"b7de12f1-ac0d-4a91-9039-af550b8e002a"</x:f>
        <x:v>b7de12f1-ac0d-4a91-9039-af550b8e002a</x:v>
      </x:c>
      <x:c r="B3383" s="23" t="str">
        <x:v>Rosirene Bandeira de Oliveira</x:v>
      </x:c>
      <x:c r="C3383" s="23" t="str">
        <x:v>rosirene bandeira de oliveira</x:v>
      </x:c>
      <x:c r="D3383" s="22" t="str">
        <x:f>"54.026.270/0001-09"</x:f>
        <x:v>54.026.270/0001-09</x:v>
      </x:c>
      <x:c r="E3383" s="22" t="str">
        <x:f>"54026270000109"</x:f>
        <x:v>54026270000109</x:v>
      </x:c>
      <x:c r="F3383" s="22" t="str">
        <x:f>"30037209884"</x:f>
        <x:v>30037209884</x:v>
      </x:c>
      <x:c r="G3383" s="22" t="str">
        <x:f>"30037209884"</x:f>
        <x:v>30037209884</x:v>
      </x:c>
      <x:c r="H3383" s="23" t="str">
        <x:v>rosireneo61@gmail.com</x:v>
      </x:c>
      <x:c r="I3383" s="22" t="str">
        <x:f>"1196267143"</x:f>
        <x:v>1196267143</x:v>
      </x:c>
      <x:c r="J3383" s="23" t="str">
        <x:v>SPOT</x:v>
      </x:c>
      <x:c r="K3383" s="23" t="str">
        <x:v>favored_only</x:v>
      </x:c>
      <x:c r="L3383" s="24" t="b">
        <x:v>1</x:v>
      </x:c>
      <x:c r="M3383" s="23" t="n">
        <x:v>1</x:v>
      </x:c>
      <x:c r="N3383" s="28" t="n">
        <x:v>46203.921858726855</x:v>
      </x:c>
      <x:c r="O3383" s="28" t="n">
        <x:v>46203.921858726855</x:v>
      </x:c>
      <x:c r="P3383" s="23" t="str"/>
      <x:c r="Q3383" s="30" t="str"/>
      <x:c r="R3383" s="22" t="str"/>
      <x:c r="S3383" s="23" t="str"/>
      <x:c r="T3383" s="22" t="str"/>
      <x:c r="U3383" s="23" t="str">
        <x:v>Rosirene Bandeira de Oliveira</x:v>
      </x:c>
      <x:c r="V3383" s="22" t="str">
        <x:f>"30037209884"</x:f>
        <x:v>30037209884</x:v>
      </x:c>
      <x:c r="W3383" s="22" t="str">
        <x:f>"30037209884"</x:f>
        <x:v>30037209884</x:v>
      </x:c>
      <x:c r="X3383" s="23" t="str">
        <x:v>rosireneo61@gmail.com</x:v>
      </x:c>
      <x:c r="Y3383" s="22" t="str">
        <x:f>"1196267143"</x:f>
        <x:v>1196267143</x:v>
      </x:c>
      <x:c r="Z3383" s="30" t="str"/>
    </x:row>
    <x:row r="3384" ht="18" customHeight="1">
      <x:c r="A3384" s="22" t="str">
        <x:f>"b8d83e98-211a-48e8-9f54-e0eb02ad8b6f"</x:f>
        <x:v>b8d83e98-211a-48e8-9f54-e0eb02ad8b6f</x:v>
      </x:c>
      <x:c r="B3384" s="23" t="str">
        <x:v>ROXANO SANTOS SILVA</x:v>
      </x:c>
      <x:c r="C3384" s="23" t="str">
        <x:v>roxano santos silva</x:v>
      </x:c>
      <x:c r="D3384" s="22" t="str">
        <x:f>"64.789.834/0001-00"</x:f>
        <x:v>64.789.834/0001-00</x:v>
      </x:c>
      <x:c r="E3384" s="22" t="str">
        <x:f>"64789834000100"</x:f>
        <x:v>64789834000100</x:v>
      </x:c>
      <x:c r="F3384" s="22" t="str">
        <x:f>"837.521.616-04"</x:f>
        <x:v>837.521.616-04</x:v>
      </x:c>
      <x:c r="G3384" s="22" t="str">
        <x:f>"83752161604"</x:f>
        <x:v>83752161604</x:v>
      </x:c>
      <x:c r="H3384" s="23" t="str">
        <x:v>rox92.santos147@gmail.com</x:v>
      </x:c>
      <x:c r="I3384" s="22" t="str">
        <x:f>"31 98760-3404"</x:f>
        <x:v>31 98760-3404</x:v>
      </x:c>
      <x:c r="J3384" s="23" t="str">
        <x:v>SPOT</x:v>
      </x:c>
      <x:c r="K3384" s="23" t="str">
        <x:v>favored_only</x:v>
      </x:c>
      <x:c r="L3384" s="24" t="b">
        <x:v>1</x:v>
      </x:c>
      <x:c r="M3384" s="23" t="n">
        <x:v>1</x:v>
      </x:c>
      <x:c r="N3384" s="28" t="n">
        <x:v>46219.812988715275</x:v>
      </x:c>
      <x:c r="O3384" s="28" t="n">
        <x:v>46219.812988715275</x:v>
      </x:c>
      <x:c r="P3384" s="23" t="str">
        <x:v>IPATINGA</x:v>
      </x:c>
      <x:c r="Q3384" s="30" t="n">
        <x:v>26796</x:v>
      </x:c>
      <x:c r="R3384" s="22" t="str">
        <x:f>"M6305550"</x:f>
        <x:v>M6305550</x:v>
      </x:c>
      <x:c r="S3384" s="23" t="str">
        <x:v>masculino</x:v>
      </x:c>
      <x:c r="T3384" s="22" t="str">
        <x:f>"FCB7G72"</x:f>
        <x:v>FCB7G72</x:v>
      </x:c>
      <x:c r="U3384" s="23" t="str">
        <x:v>ROXANO SANTOS SILVA</x:v>
      </x:c>
      <x:c r="V3384" s="22" t="str">
        <x:f>"837.521.616-04"</x:f>
        <x:v>837.521.616-04</x:v>
      </x:c>
      <x:c r="W3384" s="22" t="str">
        <x:f>"83752161604"</x:f>
        <x:v>83752161604</x:v>
      </x:c>
      <x:c r="X3384" s="23" t="str">
        <x:v>rox92.santos147@gmail.com</x:v>
      </x:c>
      <x:c r="Y3384" s="22" t="str">
        <x:f>"31 98760-3404"</x:f>
        <x:v>31 98760-3404</x:v>
      </x:c>
      <x:c r="Z3384" s="30" t="n">
        <x:v>46553</x:v>
      </x:c>
    </x:row>
    <x:row r="3385" ht="18" customHeight="1">
      <x:c r="A3385" s="22" t="str">
        <x:f>"a5eb9b64-1c15-49b5-a421-0f03fc4b6dcc"</x:f>
        <x:v>a5eb9b64-1c15-49b5-a421-0f03fc4b6dcc</x:v>
      </x:c>
      <x:c r="B3385" s="23" t="str">
        <x:v>RUAN PABLO COSTA DE SOUZA</x:v>
      </x:c>
      <x:c r="C3385" s="23" t="str">
        <x:v>ruan pablo costa de souza</x:v>
      </x:c>
      <x:c r="D3385" s="22" t="str">
        <x:f>"65.943.845/0001-66"</x:f>
        <x:v>65.943.845/0001-66</x:v>
      </x:c>
      <x:c r="E3385" s="22" t="str">
        <x:f>"65943845000166"</x:f>
        <x:v>65943845000166</x:v>
      </x:c>
      <x:c r="F3385" s="22" t="str">
        <x:f>"107.576.686-90"</x:f>
        <x:v>107.576.686-90</x:v>
      </x:c>
      <x:c r="G3385" s="22" t="str">
        <x:f>"10757668690"</x:f>
        <x:v>10757668690</x:v>
      </x:c>
      <x:c r="H3385" s="23" t="str">
        <x:v>ruansouza161203@gmail.com</x:v>
      </x:c>
      <x:c r="I3385" s="22" t="str">
        <x:f>"(35)99863-1428"</x:f>
        <x:v>(35)99863-1428</x:v>
      </x:c>
      <x:c r="J3385" s="23" t="str">
        <x:v>RENTAL</x:v>
      </x:c>
      <x:c r="K3385" s="23" t="str">
        <x:v>rental_company</x:v>
      </x:c>
      <x:c r="L3385" s="24" t="b">
        <x:v>1</x:v>
      </x:c>
      <x:c r="M3385" s="23" t="n">
        <x:v>1</x:v>
      </x:c>
      <x:c r="N3385" s="28" t="n">
        <x:v>46219.812988715275</x:v>
      </x:c>
      <x:c r="O3385" s="28" t="n">
        <x:v>46219.812988715275</x:v>
      </x:c>
      <x:c r="P3385" s="23" t="str">
        <x:v>POUSO ALEGRE</x:v>
      </x:c>
      <x:c r="Q3385" s="30" t="n">
        <x:v>37972</x:v>
      </x:c>
      <x:c r="R3385" s="22" t="str">
        <x:f>"MG21164564 SSP MG"</x:f>
        <x:v>MG21164564 SSP MG</x:v>
      </x:c>
      <x:c r="S3385" s="23" t="str">
        <x:v>masculino</x:v>
      </x:c>
      <x:c r="T3385" s="22" t="str"/>
      <x:c r="U3385" s="23" t="str">
        <x:v>RUAN PABLO COSTA DE SOUZA</x:v>
      </x:c>
      <x:c r="V3385" s="22" t="str">
        <x:f>"107.576.686-90"</x:f>
        <x:v>107.576.686-90</x:v>
      </x:c>
      <x:c r="W3385" s="22" t="str">
        <x:f>"10757668690"</x:f>
        <x:v>10757668690</x:v>
      </x:c>
      <x:c r="X3385" s="23" t="str">
        <x:v>ruansouza161203@gmail.com</x:v>
      </x:c>
      <x:c r="Y3385" s="22" t="str">
        <x:f>"(35)99863-1428"</x:f>
        <x:v>(35)99863-1428</x:v>
      </x:c>
      <x:c r="Z3385" s="30" t="n">
        <x:v>46583</x:v>
      </x:c>
    </x:row>
    <x:row r="3386" ht="18" customHeight="1">
      <x:c r="A3386" s="22" t="str">
        <x:f>"6cef322e-dcba-4bec-9385-4c2517edebd0"</x:f>
        <x:v>6cef322e-dcba-4bec-9385-4c2517edebd0</x:v>
      </x:c>
      <x:c r="B3386" s="23" t="str">
        <x:v>RUAN PATRICK SOARES FERREIRA</x:v>
      </x:c>
      <x:c r="C3386" s="23" t="str">
        <x:v>ruan patrick soares ferreira</x:v>
      </x:c>
      <x:c r="D3386" s="22" t="str">
        <x:f>"67.865.528/0001-02"</x:f>
        <x:v>67.865.528/0001-02</x:v>
      </x:c>
      <x:c r="E3386" s="22" t="str">
        <x:f>"67865528000102"</x:f>
        <x:v>67865528000102</x:v>
      </x:c>
      <x:c r="F3386" s="22" t="str">
        <x:f>"382.155.998-50"</x:f>
        <x:v>382.155.998-50</x:v>
      </x:c>
      <x:c r="G3386" s="22" t="str">
        <x:f>"38215599850"</x:f>
        <x:v>38215599850</x:v>
      </x:c>
      <x:c r="H3386" s="23" t="str">
        <x:v>RUANPATRICKSOARES2004@GMAIL.COM</x:v>
      </x:c>
      <x:c r="I3386" s="22" t="str">
        <x:f>"17982309453"</x:f>
        <x:v>17982309453</x:v>
      </x:c>
      <x:c r="J3386" s="23" t="str">
        <x:v>RENTAL</x:v>
      </x:c>
      <x:c r="K3386" s="23" t="str">
        <x:v>rental_company</x:v>
      </x:c>
      <x:c r="L3386" s="24" t="b">
        <x:v>1</x:v>
      </x:c>
      <x:c r="M3386" s="23" t="n">
        <x:v>1</x:v>
      </x:c>
      <x:c r="N3386" s="28" t="n">
        <x:v>46219.812988715275</x:v>
      </x:c>
      <x:c r="O3386" s="28" t="n">
        <x:v>46219.812988715275</x:v>
      </x:c>
      <x:c r="P3386" s="23" t="str">
        <x:v>BARRETOS</x:v>
      </x:c>
      <x:c r="Q3386" s="30" t="n">
        <x:v>38120</x:v>
      </x:c>
      <x:c r="R3386" s="22" t="str">
        <x:f>"598502476"</x:f>
        <x:v>598502476</x:v>
      </x:c>
      <x:c r="S3386" s="23" t="str">
        <x:v>masculino</x:v>
      </x:c>
      <x:c r="T3386" s="22" t="str"/>
      <x:c r="U3386" s="23" t="str">
        <x:v>RUAN PATRICK SOARES FERREIRA</x:v>
      </x:c>
      <x:c r="V3386" s="22" t="str">
        <x:f>"382.155.998-50"</x:f>
        <x:v>382.155.998-50</x:v>
      </x:c>
      <x:c r="W3386" s="22" t="str">
        <x:f>"38215599850"</x:f>
        <x:v>38215599850</x:v>
      </x:c>
      <x:c r="X3386" s="23" t="str">
        <x:v>RUANPATRICKSOARES2004@GMAIL.COM</x:v>
      </x:c>
      <x:c r="Y3386" s="22" t="str">
        <x:f>"17982309453"</x:f>
        <x:v>17982309453</x:v>
      </x:c>
      <x:c r="Z3386" s="30" t="n">
        <x:v>46582</x:v>
      </x:c>
    </x:row>
    <x:row r="3387" ht="18" customHeight="1">
      <x:c r="A3387" s="22" t="str">
        <x:f>"269b3dab-f559-4b34-a4a4-e81ccf9a109b"</x:f>
        <x:v>269b3dab-f559-4b34-a4a4-e81ccf9a109b</x:v>
      </x:c>
      <x:c r="B3387" s="23" t="str">
        <x:v>RUBENS GINEZ DE MORAES FILHO</x:v>
      </x:c>
      <x:c r="C3387" s="23" t="str">
        <x:v>rubens ginez de moraes filho</x:v>
      </x:c>
      <x:c r="D3387" s="22" t="str">
        <x:f>"19.881.014/0001-90"</x:f>
        <x:v>19.881.014/0001-90</x:v>
      </x:c>
      <x:c r="E3387" s="22" t="str">
        <x:f>"19881014000190"</x:f>
        <x:v>19881014000190</x:v>
      </x:c>
      <x:c r="F3387" s="22" t="str">
        <x:f>"069.873.986-82"</x:f>
        <x:v>069.873.986-82</x:v>
      </x:c>
      <x:c r="G3387" s="22" t="str">
        <x:f>"06987398682"</x:f>
        <x:v>06987398682</x:v>
      </x:c>
      <x:c r="H3387" s="23" t="str">
        <x:v>rubensginez6@gmail.com</x:v>
      </x:c>
      <x:c r="I3387" s="22" t="str">
        <x:f>"(35)99894-0268"</x:f>
        <x:v>(35)99894-0268</x:v>
      </x:c>
      <x:c r="J3387" s="23" t="str">
        <x:v>RENTAL</x:v>
      </x:c>
      <x:c r="K3387" s="23" t="str">
        <x:v>rental_company</x:v>
      </x:c>
      <x:c r="L3387" s="24" t="b">
        <x:v>1</x:v>
      </x:c>
      <x:c r="M3387" s="23" t="n">
        <x:v>1</x:v>
      </x:c>
      <x:c r="N3387" s="28" t="n">
        <x:v>46219.812988715275</x:v>
      </x:c>
      <x:c r="O3387" s="28" t="n">
        <x:v>46219.812988715275</x:v>
      </x:c>
      <x:c r="P3387" s="23" t="str">
        <x:v>POUSO ALEGRE</x:v>
      </x:c>
      <x:c r="Q3387" s="30" t="n">
        <x:v>32834</x:v>
      </x:c>
      <x:c r="R3387" s="22" t="str">
        <x:f>"MG15878465 SSP MG"</x:f>
        <x:v>MG15878465 SSP MG</x:v>
      </x:c>
      <x:c r="S3387" s="23" t="str">
        <x:v>masculino</x:v>
      </x:c>
      <x:c r="T3387" s="22" t="str"/>
      <x:c r="U3387" s="23" t="str">
        <x:v>RUBENS GINEZ DE MORAES FILHO</x:v>
      </x:c>
      <x:c r="V3387" s="22" t="str">
        <x:f>"069.873.986-82"</x:f>
        <x:v>069.873.986-82</x:v>
      </x:c>
      <x:c r="W3387" s="22" t="str">
        <x:f>"06987398682"</x:f>
        <x:v>06987398682</x:v>
      </x:c>
      <x:c r="X3387" s="23" t="str">
        <x:v>rubensginez6@gmail.com</x:v>
      </x:c>
      <x:c r="Y3387" s="22" t="str">
        <x:f>"(35)99894-0268"</x:f>
        <x:v>(35)99894-0268</x:v>
      </x:c>
      <x:c r="Z3387" s="30" t="n">
        <x:v>46581</x:v>
      </x:c>
    </x:row>
    <x:row r="3388" ht="18" customHeight="1">
      <x:c r="A3388" s="22" t="str">
        <x:f>"d494995a-4c6f-4f32-acad-9ddb92aaa6a5"</x:f>
        <x:v>d494995a-4c6f-4f32-acad-9ddb92aaa6a5</x:v>
      </x:c>
      <x:c r="B3388" s="23" t="str">
        <x:v>RUDISON MONTEIRO DE SOUZA</x:v>
      </x:c>
      <x:c r="C3388" s="23" t="str">
        <x:v>rudison monteiro de souza</x:v>
      </x:c>
      <x:c r="D3388" s="22" t="str">
        <x:f>"58.547.763/0001-37"</x:f>
        <x:v>58.547.763/0001-37</x:v>
      </x:c>
      <x:c r="E3388" s="22" t="str">
        <x:f>"58547763000137"</x:f>
        <x:v>58547763000137</x:v>
      </x:c>
      <x:c r="F3388" s="22" t="str">
        <x:f>"104.454.787-13"</x:f>
        <x:v>104.454.787-13</x:v>
      </x:c>
      <x:c r="G3388" s="22" t="str">
        <x:f>"10445478713"</x:f>
        <x:v>10445478713</x:v>
      </x:c>
      <x:c r="H3388" s="23" t="str">
        <x:v>Rudisonmonteiro776@gmail.com</x:v>
      </x:c>
      <x:c r="I3388" s="22" t="str">
        <x:f>"022998763427"</x:f>
        <x:v>022998763427</x:v>
      </x:c>
      <x:c r="J3388" s="23" t="str">
        <x:v>SPOT</x:v>
      </x:c>
      <x:c r="K3388" s="23" t="str">
        <x:v>favored_only</x:v>
      </x:c>
      <x:c r="L3388" s="24" t="b">
        <x:v>1</x:v>
      </x:c>
      <x:c r="M3388" s="23" t="n">
        <x:v>1</x:v>
      </x:c>
      <x:c r="N3388" s="28" t="n">
        <x:v>46219.812988715275</x:v>
      </x:c>
      <x:c r="O3388" s="28" t="n">
        <x:v>46219.812988715275</x:v>
      </x:c>
      <x:c r="P3388" s="23" t="str">
        <x:v>CAMPOS DOS GOYTACAZES</x:v>
      </x:c>
      <x:c r="Q3388" s="30" t="n">
        <x:v>31282</x:v>
      </x:c>
      <x:c r="R3388" s="22" t="str">
        <x:f>"208436717"</x:f>
        <x:v>208436717</x:v>
      </x:c>
      <x:c r="S3388" s="23" t="str">
        <x:v>masculino</x:v>
      </x:c>
      <x:c r="T3388" s="22" t="str">
        <x:f>"HAQ9H98"</x:f>
        <x:v>HAQ9H98</x:v>
      </x:c>
      <x:c r="U3388" s="23" t="str">
        <x:v>GIAN LUIZ FERREIRA MENDES</x:v>
      </x:c>
      <x:c r="V3388" s="22" t="str">
        <x:f>"150.312.347-25"</x:f>
        <x:v>150.312.347-25</x:v>
      </x:c>
      <x:c r="W3388" s="22" t="str">
        <x:f>"15031234725"</x:f>
        <x:v>15031234725</x:v>
      </x:c>
      <x:c r="X3388" s="23" t="str">
        <x:v>GIANBOTAFOGO@GMAIL.COM</x:v>
      </x:c>
      <x:c r="Y3388" s="22" t="str">
        <x:f>"22 998287560"</x:f>
        <x:v>22 998287560</x:v>
      </x:c>
      <x:c r="Z3388" s="30" t="n">
        <x:v>46438</x:v>
      </x:c>
    </x:row>
    <x:row r="3389" ht="18" customHeight="1">
      <x:c r="A3389" s="22" t="str">
        <x:f>"a1f6d5c0-a3da-473e-83bd-a9442e17574a"</x:f>
        <x:v>a1f6d5c0-a3da-473e-83bd-a9442e17574a</x:v>
      </x:c>
      <x:c r="B3389" s="23" t="str">
        <x:v>RUMERITO DE OLIVEIRA SILVA</x:v>
      </x:c>
      <x:c r="C3389" s="23" t="str">
        <x:v>rumerito de oliveira silva</x:v>
      </x:c>
      <x:c r="D3389" s="22" t="str">
        <x:f>"63.947.273/0001-68"</x:f>
        <x:v>63.947.273/0001-68</x:v>
      </x:c>
      <x:c r="E3389" s="22" t="str">
        <x:f>"63947273000168"</x:f>
        <x:v>63947273000168</x:v>
      </x:c>
      <x:c r="F3389" s="22" t="str">
        <x:f>"036.105.531-54"</x:f>
        <x:v>036.105.531-54</x:v>
      </x:c>
      <x:c r="G3389" s="22" t="str">
        <x:f>"03610553154"</x:f>
        <x:v>03610553154</x:v>
      </x:c>
      <x:c r="H3389" s="23" t="str">
        <x:v>rumerito.si@gmail.com</x:v>
      </x:c>
      <x:c r="I3389" s="22" t="str">
        <x:f>"65 999660071"</x:f>
        <x:v>65 999660071</x:v>
      </x:c>
      <x:c r="J3389" s="23" t="str">
        <x:v>SPOT</x:v>
      </x:c>
      <x:c r="K3389" s="23" t="str">
        <x:v>favored_only</x:v>
      </x:c>
      <x:c r="L3389" s="24" t="b">
        <x:v>1</x:v>
      </x:c>
      <x:c r="M3389" s="23" t="n">
        <x:v>1</x:v>
      </x:c>
      <x:c r="N3389" s="28" t="n">
        <x:v>46203.9219084375</x:v>
      </x:c>
      <x:c r="O3389" s="28" t="n">
        <x:v>46219.812988715275</x:v>
      </x:c>
      <x:c r="P3389" s="23" t="str">
        <x:v>CUIABA</x:v>
      </x:c>
      <x:c r="Q3389" s="30" t="n">
        <x:v>33236</x:v>
      </x:c>
      <x:c r="R3389" s="22" t="str">
        <x:f>"17039290"</x:f>
        <x:v>17039290</x:v>
      </x:c>
      <x:c r="S3389" s="23" t="str">
        <x:v>masculino</x:v>
      </x:c>
      <x:c r="T3389" s="22" t="str">
        <x:f>"OBQ4G94"</x:f>
        <x:v>OBQ4G94</x:v>
      </x:c>
      <x:c r="U3389" s="23" t="str">
        <x:v>RUMERITO DE OLIVEIRA SILVA</x:v>
      </x:c>
      <x:c r="V3389" s="22" t="str">
        <x:f>"036.105.531-54"</x:f>
        <x:v>036.105.531-54</x:v>
      </x:c>
      <x:c r="W3389" s="22" t="str">
        <x:f>"03610553154"</x:f>
        <x:v>03610553154</x:v>
      </x:c>
      <x:c r="X3389" s="23" t="str">
        <x:v>rumerito.si@gmail.com</x:v>
      </x:c>
      <x:c r="Y3389" s="22" t="str">
        <x:f>"65 999660071"</x:f>
        <x:v>65 999660071</x:v>
      </x:c>
      <x:c r="Z3389" s="30" t="n">
        <x:v>46399</x:v>
      </x:c>
    </x:row>
    <x:row r="3390" ht="18" customHeight="1">
      <x:c r="A3390" s="22" t="str">
        <x:f>"57c6bd4e-7da6-4a3c-8ba9-7e75fbc11311"</x:f>
        <x:v>57c6bd4e-7da6-4a3c-8ba9-7e75fbc11311</x:v>
      </x:c>
      <x:c r="B3390" s="23" t="str">
        <x:v>RYAN DE LIMA DE JESUS</x:v>
      </x:c>
      <x:c r="C3390" s="23" t="str">
        <x:v>ryan de lima de jesus</x:v>
      </x:c>
      <x:c r="D3390" s="22" t="str">
        <x:f>"00.008.673/1703-45"</x:f>
        <x:v>00.008.673/1703-45</x:v>
      </x:c>
      <x:c r="E3390" s="22" t="str">
        <x:f>"00008673170345"</x:f>
        <x:v>00008673170345</x:v>
      </x:c>
      <x:c r="F3390" s="22" t="str">
        <x:f>"519.705.248-12"</x:f>
        <x:v>519.705.248-12</x:v>
      </x:c>
      <x:c r="G3390" s="22" t="str">
        <x:f>"51970524812"</x:f>
        <x:v>51970524812</x:v>
      </x:c>
      <x:c r="H3390" s="23" t="str">
        <x:v>ryan.entregas@gmail.com</x:v>
      </x:c>
      <x:c r="I3390" s="22" t="str">
        <x:f>"17996836250"</x:f>
        <x:v>17996836250</x:v>
      </x:c>
      <x:c r="J3390" s="23" t="str">
        <x:v>SPOT</x:v>
      </x:c>
      <x:c r="K3390" s="23" t="str">
        <x:v>favored_only</x:v>
      </x:c>
      <x:c r="L3390" s="24" t="b">
        <x:v>1</x:v>
      </x:c>
      <x:c r="M3390" s="23" t="n">
        <x:v>1</x:v>
      </x:c>
      <x:c r="N3390" s="28" t="n">
        <x:v>46219.812988715275</x:v>
      </x:c>
      <x:c r="O3390" s="28" t="n">
        <x:v>46219.812988715275</x:v>
      </x:c>
      <x:c r="P3390" s="23" t="str">
        <x:v>JALES</x:v>
      </x:c>
      <x:c r="Q3390" s="30" t="n">
        <x:v>38734</x:v>
      </x:c>
      <x:c r="R3390" s="22" t="str">
        <x:f>"604967792"</x:f>
        <x:v>604967792</x:v>
      </x:c>
      <x:c r="S3390" s="23" t="str">
        <x:v>masculino</x:v>
      </x:c>
      <x:c r="T3390" s="22" t="str">
        <x:f>"ENJ8E50"</x:f>
        <x:v>ENJ8E50</x:v>
      </x:c>
      <x:c r="U3390" s="23" t="str">
        <x:v>RYAN DE LIMA DE JESUS</x:v>
      </x:c>
      <x:c r="V3390" s="22" t="str">
        <x:f>"519.705.248-12"</x:f>
        <x:v>519.705.248-12</x:v>
      </x:c>
      <x:c r="W3390" s="22" t="str">
        <x:f>"51970524812"</x:f>
        <x:v>51970524812</x:v>
      </x:c>
      <x:c r="X3390" s="23" t="str">
        <x:v>ryan.entregas@gmail.com</x:v>
      </x:c>
      <x:c r="Y3390" s="22" t="str">
        <x:f>"17996836250"</x:f>
        <x:v>17996836250</x:v>
      </x:c>
      <x:c r="Z3390" s="30" t="n">
        <x:v>46463</x:v>
      </x:c>
    </x:row>
    <x:row r="3391" ht="18" customHeight="1">
      <x:c r="A3391" s="22" t="str">
        <x:f>"85eeb65b-df66-49aa-b07a-0033452c2d5b"</x:f>
        <x:v>85eeb65b-df66-49aa-b07a-0033452c2d5b</x:v>
      </x:c>
      <x:c r="B3391" s="23" t="str">
        <x:v>RYAN DE LIMA DE JESUS</x:v>
      </x:c>
      <x:c r="C3391" s="23" t="str">
        <x:v>ryan de lima de jesus</x:v>
      </x:c>
      <x:c r="D3391" s="22" t="str">
        <x:f>"59.178.275/0001-62"</x:f>
        <x:v>59.178.275/0001-62</x:v>
      </x:c>
      <x:c r="E3391" s="22" t="str">
        <x:f>"59178275000162"</x:f>
        <x:v>59178275000162</x:v>
      </x:c>
      <x:c r="F3391" s="22" t="str">
        <x:f>"519.705.248-12"</x:f>
        <x:v>519.705.248-12</x:v>
      </x:c>
      <x:c r="G3391" s="22" t="str">
        <x:f>"51970524812"</x:f>
        <x:v>51970524812</x:v>
      </x:c>
      <x:c r="H3391" s="23" t="str">
        <x:v>ryan.entregas14@gmail.com</x:v>
      </x:c>
      <x:c r="I3391" s="22" t="str">
        <x:f>"17996836250"</x:f>
        <x:v>17996836250</x:v>
      </x:c>
      <x:c r="J3391" s="23" t="str">
        <x:v>SPOT</x:v>
      </x:c>
      <x:c r="K3391" s="23" t="str">
        <x:v>favored_only</x:v>
      </x:c>
      <x:c r="L3391" s="24" t="b">
        <x:v>1</x:v>
      </x:c>
      <x:c r="M3391" s="23" t="n">
        <x:v>1</x:v>
      </x:c>
      <x:c r="N3391" s="28" t="n">
        <x:v>46219.812988715275</x:v>
      </x:c>
      <x:c r="O3391" s="28" t="n">
        <x:v>46219.812988715275</x:v>
      </x:c>
      <x:c r="P3391" s="23" t="str">
        <x:v>JALES</x:v>
      </x:c>
      <x:c r="Q3391" s="30" t="n">
        <x:v>38734</x:v>
      </x:c>
      <x:c r="R3391" s="22" t="str">
        <x:f>"604967792"</x:f>
        <x:v>604967792</x:v>
      </x:c>
      <x:c r="S3391" s="23" t="str">
        <x:v>masculino</x:v>
      </x:c>
      <x:c r="T3391" s="22" t="str">
        <x:f>"ENJ8E50"</x:f>
        <x:v>ENJ8E50</x:v>
      </x:c>
      <x:c r="U3391" s="23" t="str">
        <x:v>RYAN DE LIMA DE JESUS</x:v>
      </x:c>
      <x:c r="V3391" s="22" t="str">
        <x:f>"519.705.248-12"</x:f>
        <x:v>519.705.248-12</x:v>
      </x:c>
      <x:c r="W3391" s="22" t="str">
        <x:f>"51970524812"</x:f>
        <x:v>51970524812</x:v>
      </x:c>
      <x:c r="X3391" s="23" t="str">
        <x:v>ryan.entregas14@gmail.com</x:v>
      </x:c>
      <x:c r="Y3391" s="22" t="str">
        <x:f>"17996836250"</x:f>
        <x:v>17996836250</x:v>
      </x:c>
      <x:c r="Z3391" s="30" t="n">
        <x:v>46465</x:v>
      </x:c>
    </x:row>
    <x:row r="3392" ht="18" customHeight="1">
      <x:c r="A3392" s="22" t="str">
        <x:f>"09e53021-ec0b-4a45-959f-d0b407982f5f"</x:f>
        <x:v>09e53021-ec0b-4a45-959f-d0b407982f5f</x:v>
      </x:c>
      <x:c r="B3392" s="23" t="str">
        <x:v>RYAN GOMES DE OLIVEIRA</x:v>
      </x:c>
      <x:c r="C3392" s="23" t="str">
        <x:v>ryan gomes de oliveira</x:v>
      </x:c>
      <x:c r="D3392" s="22" t="str">
        <x:f>"61.782.765/0001-15"</x:f>
        <x:v>61.782.765/0001-15</x:v>
      </x:c>
      <x:c r="E3392" s="22" t="str">
        <x:f>"61782765000115"</x:f>
        <x:v>61782765000115</x:v>
      </x:c>
      <x:c r="F3392" s="22" t="str">
        <x:f>"020.426.556-86"</x:f>
        <x:v>020.426.556-86</x:v>
      </x:c>
      <x:c r="G3392" s="22" t="str">
        <x:f>"02042655686"</x:f>
        <x:v>02042655686</x:v>
      </x:c>
      <x:c r="H3392" s="23" t="str">
        <x:v>Ryangomeezs@gmail.com</x:v>
      </x:c>
      <x:c r="I3392" s="22" t="str">
        <x:f>"31 995662422"</x:f>
        <x:v>31 995662422</x:v>
      </x:c>
      <x:c r="J3392" s="23" t="str">
        <x:v>SPOT</x:v>
      </x:c>
      <x:c r="K3392" s="23" t="str">
        <x:v>favored_only</x:v>
      </x:c>
      <x:c r="L3392" s="24" t="b">
        <x:v>1</x:v>
      </x:c>
      <x:c r="M3392" s="23" t="n">
        <x:v>1</x:v>
      </x:c>
      <x:c r="N3392" s="28" t="n">
        <x:v>46219.812988715275</x:v>
      </x:c>
      <x:c r="O3392" s="28" t="n">
        <x:v>46219.812988715275</x:v>
      </x:c>
      <x:c r="P3392" s="23" t="str">
        <x:v>TEOFILO OTONI</x:v>
      </x:c>
      <x:c r="Q3392" s="30" t="n">
        <x:v>34445</x:v>
      </x:c>
      <x:c r="R3392" s="22" t="str">
        <x:f>"18492949"</x:f>
        <x:v>18492949</x:v>
      </x:c>
      <x:c r="S3392" s="23" t="str">
        <x:v>masculino</x:v>
      </x:c>
      <x:c r="T3392" s="22" t="str">
        <x:f>"HMK1H26"</x:f>
        <x:v>HMK1H26</x:v>
      </x:c>
      <x:c r="U3392" s="23" t="str">
        <x:v>AVENIDA TRANSPORTES LTDA</x:v>
      </x:c>
      <x:c r="V3392" s="22" t="str">
        <x:f>"118.908.666-28"</x:f>
        <x:v>118.908.666-28</x:v>
      </x:c>
      <x:c r="W3392" s="22" t="str">
        <x:f>"11890866628"</x:f>
        <x:v>11890866628</x:v>
      </x:c>
      <x:c r="X3392" s="23" t="str">
        <x:v>GRUPOAVENIDACATUJI@GMAIL.COM</x:v>
      </x:c>
      <x:c r="Y3392" s="22" t="str">
        <x:f>"(31) 9991-1486"</x:f>
        <x:v>(31) 9991-1486</x:v>
      </x:c>
      <x:c r="Z3392" s="30" t="n">
        <x:v>46500</x:v>
      </x:c>
    </x:row>
    <x:row r="3393" ht="18" customHeight="1">
      <x:c r="A3393" s="22" t="str">
        <x:f>"59bdf2c0-02a1-466b-adf0-fdbd38835819"</x:f>
        <x:v>59bdf2c0-02a1-466b-adf0-fdbd38835819</x:v>
      </x:c>
      <x:c r="B3393" s="23" t="str">
        <x:v>RYAN GUSTAVO KOHL</x:v>
      </x:c>
      <x:c r="C3393" s="23" t="str">
        <x:v>ryan gustavo kohl</x:v>
      </x:c>
      <x:c r="D3393" s="22" t="str">
        <x:f>"63.994.531/0001-67"</x:f>
        <x:v>63.994.531/0001-67</x:v>
      </x:c>
      <x:c r="E3393" s="22" t="str">
        <x:f>"63994531000167"</x:f>
        <x:v>63994531000167</x:v>
      </x:c>
      <x:c r="F3393" s="22" t="str">
        <x:f>"022.892.426-08"</x:f>
        <x:v>022.892.426-08</x:v>
      </x:c>
      <x:c r="G3393" s="22" t="str">
        <x:f>"02289242608"</x:f>
        <x:v>02289242608</x:v>
      </x:c>
      <x:c r="H3393" s="23" t="str">
        <x:v>ryankohl287@gmail.com</x:v>
      </x:c>
      <x:c r="I3393" s="22" t="str">
        <x:f>"34998404247"</x:f>
        <x:v>34998404247</x:v>
      </x:c>
      <x:c r="J3393" s="23" t="str">
        <x:v>SPOT</x:v>
      </x:c>
      <x:c r="K3393" s="23" t="str">
        <x:v>favored_only</x:v>
      </x:c>
      <x:c r="L3393" s="24" t="b">
        <x:v>1</x:v>
      </x:c>
      <x:c r="M3393" s="23" t="n">
        <x:v>1</x:v>
      </x:c>
      <x:c r="N3393" s="28" t="n">
        <x:v>46219.812988715275</x:v>
      </x:c>
      <x:c r="O3393" s="28" t="n">
        <x:v>46219.812988715275</x:v>
      </x:c>
      <x:c r="P3393" s="23" t="str">
        <x:v>PATOS DE MINAS</x:v>
      </x:c>
      <x:c r="Q3393" s="30" t="n">
        <x:v>37369</x:v>
      </x:c>
      <x:c r="R3393" s="22" t="str">
        <x:f>"MG 20771903"</x:f>
        <x:v>MG 20771903</x:v>
      </x:c>
      <x:c r="S3393" s="23" t="str">
        <x:v>masculino</x:v>
      </x:c>
      <x:c r="T3393" s="22" t="str">
        <x:f>"FCJ7F04"</x:f>
        <x:v>FCJ7F04</x:v>
      </x:c>
      <x:c r="U3393" s="23" t="str">
        <x:v>RYAN GUSTAVO KOHL</x:v>
      </x:c>
      <x:c r="V3393" s="22" t="str">
        <x:f>"022.892.426-08"</x:f>
        <x:v>022.892.426-08</x:v>
      </x:c>
      <x:c r="W3393" s="22" t="str">
        <x:f>"02289242608"</x:f>
        <x:v>02289242608</x:v>
      </x:c>
      <x:c r="X3393" s="23" t="str">
        <x:v>ryankohl287@gmail.com</x:v>
      </x:c>
      <x:c r="Y3393" s="22" t="str">
        <x:f>"34998404247"</x:f>
        <x:v>34998404247</x:v>
      </x:c>
      <x:c r="Z3393" s="30" t="n">
        <x:v>46504</x:v>
      </x:c>
    </x:row>
    <x:row r="3394" ht="18" customHeight="1">
      <x:c r="A3394" s="22" t="str">
        <x:f>"d027680b-8df2-4839-8c76-4c03a70e7b92"</x:f>
        <x:v>d027680b-8df2-4839-8c76-4c03a70e7b92</x:v>
      </x:c>
      <x:c r="B3394" s="23" t="str">
        <x:v>RYAN JOSE ARVASIA MARTINS</x:v>
      </x:c>
      <x:c r="C3394" s="23" t="str">
        <x:v>ryan jose arvasia martins</x:v>
      </x:c>
      <x:c r="D3394" s="22" t="str">
        <x:f>"61.272.789/0001-24"</x:f>
        <x:v>61.272.789/0001-24</x:v>
      </x:c>
      <x:c r="E3394" s="22" t="str">
        <x:f>"61272789000124"</x:f>
        <x:v>61272789000124</x:v>
      </x:c>
      <x:c r="F3394" s="22" t="str">
        <x:f>"482.236.798-33"</x:f>
        <x:v>482.236.798-33</x:v>
      </x:c>
      <x:c r="G3394" s="22" t="str">
        <x:f>"48223679833"</x:f>
        <x:v>48223679833</x:v>
      </x:c>
      <x:c r="H3394" s="23" t="str">
        <x:v>Arvasiaryan2017@gmail.com</x:v>
      </x:c>
      <x:c r="I3394" s="22" t="str">
        <x:f>"22999662642"</x:f>
        <x:v>22999662642</x:v>
      </x:c>
      <x:c r="J3394" s="23" t="str">
        <x:v>SPOT</x:v>
      </x:c>
      <x:c r="K3394" s="23" t="str">
        <x:v>favored_only</x:v>
      </x:c>
      <x:c r="L3394" s="24" t="b">
        <x:v>1</x:v>
      </x:c>
      <x:c r="M3394" s="23" t="n">
        <x:v>1</x:v>
      </x:c>
      <x:c r="N3394" s="28" t="n">
        <x:v>46219.812988715275</x:v>
      </x:c>
      <x:c r="O3394" s="28" t="n">
        <x:v>46219.812988715275</x:v>
      </x:c>
      <x:c r="P3394" s="23" t="str">
        <x:v>CAMPOS DOS GOYTACAZES</x:v>
      </x:c>
      <x:c r="Q3394" s="30" t="n">
        <x:v>38089</x:v>
      </x:c>
      <x:c r="R3394" s="22" t="str">
        <x:f>"525574438"</x:f>
        <x:v>525574438</x:v>
      </x:c>
      <x:c r="S3394" s="23" t="str">
        <x:v>masculino</x:v>
      </x:c>
      <x:c r="T3394" s="22" t="str">
        <x:f>"KQF4B25"</x:f>
        <x:v>KQF4B25</x:v>
      </x:c>
      <x:c r="U3394" s="23" t="str">
        <x:v>WDSON FACIO LIRIO</x:v>
      </x:c>
      <x:c r="V3394" s="22" t="str">
        <x:f>"206.791.847-83"</x:f>
        <x:v>206.791.847-83</x:v>
      </x:c>
      <x:c r="W3394" s="22" t="str">
        <x:f>"20679184783"</x:f>
        <x:v>20679184783</x:v>
      </x:c>
      <x:c r="X3394" s="23" t="str">
        <x:v>wdsonlirio10@gmail.com</x:v>
      </x:c>
      <x:c r="Y3394" s="22" t="str">
        <x:f>"+55 22 99783-6090"</x:f>
        <x:v>+55 22 99783-6090</x:v>
      </x:c>
      <x:c r="Z3394" s="30" t="n">
        <x:v>46553</x:v>
      </x:c>
    </x:row>
    <x:row r="3395" ht="18" customHeight="1">
      <x:c r="A3395" s="22" t="str">
        <x:f>"852cb9d5-9b9a-41fe-8e39-368c64b3d976"</x:f>
        <x:v>852cb9d5-9b9a-41fe-8e39-368c64b3d976</x:v>
      </x:c>
      <x:c r="B3395" s="23" t="str">
        <x:v>RYAN LUCCA SILVA POQUIVIQUI DE JESUS</x:v>
      </x:c>
      <x:c r="C3395" s="23" t="str">
        <x:v>ryan lucca silva poquiviqui de jesus</x:v>
      </x:c>
      <x:c r="D3395" s="22" t="str">
        <x:f>"50.073.217/0001-08"</x:f>
        <x:v>50.073.217/0001-08</x:v>
      </x:c>
      <x:c r="E3395" s="22" t="str">
        <x:f>"50073217000108"</x:f>
        <x:v>50073217000108</x:v>
      </x:c>
      <x:c r="F3395" s="22" t="str">
        <x:f>"056.255.101-80"</x:f>
        <x:v>056.255.101-80</x:v>
      </x:c>
      <x:c r="G3395" s="22" t="str">
        <x:f>"05625510180"</x:f>
        <x:v>05625510180</x:v>
      </x:c>
      <x:c r="H3395" s="23" t="str">
        <x:v>ryanpoquiviqui87@gmail.com</x:v>
      </x:c>
      <x:c r="I3395" s="22" t="str">
        <x:f>"65992188094"</x:f>
        <x:v>65992188094</x:v>
      </x:c>
      <x:c r="J3395" s="23" t="str">
        <x:v>SPOT</x:v>
      </x:c>
      <x:c r="K3395" s="23" t="str">
        <x:v>favored_only</x:v>
      </x:c>
      <x:c r="L3395" s="24" t="b">
        <x:v>1</x:v>
      </x:c>
      <x:c r="M3395" s="23" t="n">
        <x:v>1</x:v>
      </x:c>
      <x:c r="N3395" s="28" t="n">
        <x:v>46205.60499515046</x:v>
      </x:c>
      <x:c r="O3395" s="28" t="n">
        <x:v>46219.812988715275</x:v>
      </x:c>
      <x:c r="P3395" s="23" t="str">
        <x:v>CÁCERES</x:v>
      </x:c>
      <x:c r="Q3395" s="30" t="n">
        <x:v>37528</x:v>
      </x:c>
      <x:c r="R3395" s="22" t="str">
        <x:f>"31822215"</x:f>
        <x:v>31822215</x:v>
      </x:c>
      <x:c r="S3395" s="23" t="str">
        <x:v>masculino</x:v>
      </x:c>
      <x:c r="T3395" s="22" t="str">
        <x:f>"AXR7H38"</x:f>
        <x:v>AXR7H38</x:v>
      </x:c>
      <x:c r="U3395" s="23" t="str">
        <x:v>EVANDRO DE OLIVEIRA LOURENCO</x:v>
      </x:c>
      <x:c r="V3395" s="22" t="str">
        <x:f>"012.957.851-70"</x:f>
        <x:v>012.957.851-70</x:v>
      </x:c>
      <x:c r="W3395" s="22" t="str">
        <x:f>"01295785170"</x:f>
        <x:v>01295785170</x:v>
      </x:c>
      <x:c r="X3395" s="23" t="str">
        <x:v>evandrotransportes1098@gmail.com</x:v>
      </x:c>
      <x:c r="Y3395" s="22" t="str">
        <x:f>"65992188094"</x:f>
        <x:v>65992188094</x:v>
      </x:c>
      <x:c r="Z3395" s="30" t="n">
        <x:v>46306</x:v>
      </x:c>
    </x:row>
    <x:row r="3396" ht="18" customHeight="1">
      <x:c r="A3396" s="22" t="str">
        <x:f>"3106f2e7-a616-4506-8e08-cd77aa413db2"</x:f>
        <x:v>3106f2e7-a616-4506-8e08-cd77aa413db2</x:v>
      </x:c>
      <x:c r="B3396" s="23" t="str">
        <x:v>RYAN RAFAEL MONTEIRO REZENDE</x:v>
      </x:c>
      <x:c r="C3396" s="23" t="str">
        <x:v>ryan rafael monteiro rezende</x:v>
      </x:c>
      <x:c r="D3396" s="22" t="str">
        <x:f>"58.586.799/0001-20"</x:f>
        <x:v>58.586.799/0001-20</x:v>
      </x:c>
      <x:c r="E3396" s="22" t="str">
        <x:f>"58586799000120"</x:f>
        <x:v>58586799000120</x:v>
      </x:c>
      <x:c r="F3396" s="22" t="str">
        <x:f>"430.840.298-06"</x:f>
        <x:v>430.840.298-06</x:v>
      </x:c>
      <x:c r="G3396" s="22" t="str">
        <x:f>"43084029806"</x:f>
        <x:v>43084029806</x:v>
      </x:c>
      <x:c r="H3396" s="23" t="str">
        <x:v>ryanrezende002@gmail.com</x:v>
      </x:c>
      <x:c r="I3396" s="22" t="str">
        <x:f>"+55 16 99109-2219"</x:f>
        <x:v>+55 16 99109-2219</x:v>
      </x:c>
      <x:c r="J3396" s="23" t="str">
        <x:v>SPOT</x:v>
      </x:c>
      <x:c r="K3396" s="23" t="str">
        <x:v>favored_only</x:v>
      </x:c>
      <x:c r="L3396" s="24" t="b">
        <x:v>1</x:v>
      </x:c>
      <x:c r="M3396" s="23" t="n">
        <x:v>1</x:v>
      </x:c>
      <x:c r="N3396" s="28" t="n">
        <x:v>46203.92191240741</x:v>
      </x:c>
      <x:c r="O3396" s="28" t="n">
        <x:v>46219.812988715275</x:v>
      </x:c>
      <x:c r="P3396" s="23" t="str">
        <x:v>BARRETOS</x:v>
      </x:c>
      <x:c r="Q3396" s="30" t="n">
        <x:v>37749</x:v>
      </x:c>
      <x:c r="R3396" s="22" t="str">
        <x:f>"542778993"</x:f>
        <x:v>542778993</x:v>
      </x:c>
      <x:c r="S3396" s="23" t="str">
        <x:v>masculino</x:v>
      </x:c>
      <x:c r="T3396" s="22" t="str">
        <x:f>"FSG2I07"</x:f>
        <x:v>FSG2I07</x:v>
      </x:c>
      <x:c r="U3396" s="23" t="str">
        <x:v>RYAN RAFAEL MONTEIRO REZENDE</x:v>
      </x:c>
      <x:c r="V3396" s="22" t="str">
        <x:f>"430.840.298-06"</x:f>
        <x:v>430.840.298-06</x:v>
      </x:c>
      <x:c r="W3396" s="22" t="str">
        <x:f>"43084029806"</x:f>
        <x:v>43084029806</x:v>
      </x:c>
      <x:c r="X3396" s="23" t="str">
        <x:v>ryanrezende002@gmail.com</x:v>
      </x:c>
      <x:c r="Y3396" s="22" t="str">
        <x:f>"+55 16 99109-2219"</x:f>
        <x:v>+55 16 99109-2219</x:v>
      </x:c>
      <x:c r="Z3396" s="30" t="n">
        <x:v>46319</x:v>
      </x:c>
    </x:row>
    <x:row r="3397" ht="18" customHeight="1">
      <x:c r="A3397" s="22" t="str">
        <x:f>"09175a24-d9f6-4274-bb73-0a653583f162"</x:f>
        <x:v>09175a24-d9f6-4274-bb73-0a653583f162</x:v>
      </x:c>
      <x:c r="B3397" s="23" t="str">
        <x:v>RYAN VINICIUS DOS SANTOS MARIANO</x:v>
      </x:c>
      <x:c r="C3397" s="23" t="str">
        <x:v>ryan vinicius dos santos mariano</x:v>
      </x:c>
      <x:c r="D3397" s="22" t="str">
        <x:f>"65.152.305/0001-64"</x:f>
        <x:v>65.152.305/0001-64</x:v>
      </x:c>
      <x:c r="E3397" s="22" t="str">
        <x:f>"65152305000164"</x:f>
        <x:v>65152305000164</x:v>
      </x:c>
      <x:c r="F3397" s="22" t="str">
        <x:f>"508.619.188-27"</x:f>
        <x:v>508.619.188-27</x:v>
      </x:c>
      <x:c r="G3397" s="22" t="str">
        <x:f>"50861918827"</x:f>
        <x:v>50861918827</x:v>
      </x:c>
      <x:c r="H3397" s="23" t="str">
        <x:v>josecauansilva7@gmail.com</x:v>
      </x:c>
      <x:c r="I3397" s="22" t="str">
        <x:f>"18988166309"</x:f>
        <x:v>18988166309</x:v>
      </x:c>
      <x:c r="J3397" s="23" t="str">
        <x:v>RENTAL</x:v>
      </x:c>
      <x:c r="K3397" s="23" t="str">
        <x:v>rental_company</x:v>
      </x:c>
      <x:c r="L3397" s="24" t="b">
        <x:v>1</x:v>
      </x:c>
      <x:c r="M3397" s="23" t="n">
        <x:v>2</x:v>
      </x:c>
      <x:c r="N3397" s="28" t="n">
        <x:v>46219.812988715275</x:v>
      </x:c>
      <x:c r="O3397" s="28" t="n">
        <x:v>46219.812988715275</x:v>
      </x:c>
      <x:c r="P3397" s="23" t="str">
        <x:v>PRESIDENTE PRUDENTE</x:v>
      </x:c>
      <x:c r="Q3397" s="30" t="n">
        <x:v>37606</x:v>
      </x:c>
      <x:c r="R3397" s="22" t="str">
        <x:f>"600384214"</x:f>
        <x:v>600384214</x:v>
      </x:c>
      <x:c r="S3397" s="23" t="str">
        <x:v>masculino</x:v>
      </x:c>
      <x:c r="T3397" s="22" t="str"/>
      <x:c r="U3397" s="23" t="str">
        <x:v>RYAN VINICIUS DOS SANTOS MARIANO</x:v>
      </x:c>
      <x:c r="V3397" s="22" t="str">
        <x:f>"508.619.188-27"</x:f>
        <x:v>508.619.188-27</x:v>
      </x:c>
      <x:c r="W3397" s="22" t="str">
        <x:f>"50861918827"</x:f>
        <x:v>50861918827</x:v>
      </x:c>
      <x:c r="X3397" s="23" t="str">
        <x:v>josecauansilva7@gmail.com</x:v>
      </x:c>
      <x:c r="Y3397" s="22" t="str">
        <x:f>"18988166309"</x:f>
        <x:v>18988166309</x:v>
      </x:c>
      <x:c r="Z3397" s="30" t="n">
        <x:v>46485</x:v>
      </x:c>
    </x:row>
    <x:row r="3398" ht="18" customHeight="1">
      <x:c r="A3398" s="22" t="str">
        <x:f>"ecdcb07f-b4a4-489c-b10c-36680f27e3d7"</x:f>
        <x:v>ecdcb07f-b4a4-489c-b10c-36680f27e3d7</x:v>
      </x:c>
      <x:c r="B3398" s="23" t="str">
        <x:v>SABRINA CHRISTINE CARVALHO BRANDAO</x:v>
      </x:c>
      <x:c r="C3398" s="23" t="str">
        <x:v>sabrina christine carvalho brandao</x:v>
      </x:c>
      <x:c r="D3398" s="22" t="str">
        <x:f>"60.929.472/0001-55"</x:f>
        <x:v>60.929.472/0001-55</x:v>
      </x:c>
      <x:c r="E3398" s="22" t="str">
        <x:f>"60929472000155"</x:f>
        <x:v>60929472000155</x:v>
      </x:c>
      <x:c r="F3398" s="22" t="str">
        <x:f>"133.812.806-00"</x:f>
        <x:v>133.812.806-00</x:v>
      </x:c>
      <x:c r="G3398" s="22" t="str">
        <x:f>"13381280600"</x:f>
        <x:v>13381280600</x:v>
      </x:c>
      <x:c r="H3398" s="23" t="str">
        <x:v>sabrinacarvalhobran03@gmail.com</x:v>
      </x:c>
      <x:c r="I3398" s="22" t="str">
        <x:f>"31990791796"</x:f>
        <x:v>31990791796</x:v>
      </x:c>
      <x:c r="J3398" s="23" t="str">
        <x:v>SPOT</x:v>
      </x:c>
      <x:c r="K3398" s="23" t="str">
        <x:v>favored_only</x:v>
      </x:c>
      <x:c r="L3398" s="24" t="b">
        <x:v>1</x:v>
      </x:c>
      <x:c r="M3398" s="23" t="n">
        <x:v>1</x:v>
      </x:c>
      <x:c r="N3398" s="28" t="n">
        <x:v>46219.812988715275</x:v>
      </x:c>
      <x:c r="O3398" s="28" t="n">
        <x:v>46219.812988715275</x:v>
      </x:c>
      <x:c r="P3398" s="23" t="str">
        <x:v>CONCEIÇÃO DO MATO DENTRO</x:v>
      </x:c>
      <x:c r="Q3398" s="30" t="n">
        <x:v>38314</x:v>
      </x:c>
      <x:c r="R3398" s="22" t="str">
        <x:f>"19647334"</x:f>
        <x:v>19647334</x:v>
      </x:c>
      <x:c r="S3398" s="23" t="str">
        <x:v>feminino</x:v>
      </x:c>
      <x:c r="T3398" s="22" t="str">
        <x:f>"GJN3C83"</x:f>
        <x:v>GJN3C83</x:v>
      </x:c>
      <x:c r="U3398" s="23" t="str">
        <x:v>SABRINA CHRISTINE CARVALHO BRANDAO</x:v>
      </x:c>
      <x:c r="V3398" s="22" t="str">
        <x:f>"133.812.806-00"</x:f>
        <x:v>133.812.806-00</x:v>
      </x:c>
      <x:c r="W3398" s="22" t="str">
        <x:f>"13381280600"</x:f>
        <x:v>13381280600</x:v>
      </x:c>
      <x:c r="X3398" s="23" t="str">
        <x:v>sabrinacarvalhobran03@gmail.com</x:v>
      </x:c>
      <x:c r="Y3398" s="22" t="str">
        <x:f>"31990791796"</x:f>
        <x:v>31990791796</x:v>
      </x:c>
      <x:c r="Z3398" s="30" t="n">
        <x:v>46548</x:v>
      </x:c>
    </x:row>
    <x:row r="3399" ht="18" customHeight="1">
      <x:c r="A3399" s="22" t="str">
        <x:f>"d3bd85ef-49d5-420f-993b-54dc11a20fd4"</x:f>
        <x:v>d3bd85ef-49d5-420f-993b-54dc11a20fd4</x:v>
      </x:c>
      <x:c r="B3399" s="23" t="str">
        <x:v>SABRINA PEREIRA BARRETO</x:v>
      </x:c>
      <x:c r="C3399" s="23" t="str">
        <x:v>sabrina pereira barreto</x:v>
      </x:c>
      <x:c r="D3399" s="22" t="str">
        <x:f>"66.938.863/0001-12"</x:f>
        <x:v>66.938.863/0001-12</x:v>
      </x:c>
      <x:c r="E3399" s="22" t="str">
        <x:f>"66938863000112"</x:f>
        <x:v>66938863000112</x:v>
      </x:c>
      <x:c r="F3399" s="22" t="str">
        <x:f>"703.712.271-86"</x:f>
        <x:v>703.712.271-86</x:v>
      </x:c>
      <x:c r="G3399" s="22" t="str">
        <x:f>"70371227186"</x:f>
        <x:v>70371227186</x:v>
      </x:c>
      <x:c r="H3399" s="23" t="str">
        <x:v>sabrinapereibarreto9@gmail.com</x:v>
      </x:c>
      <x:c r="I3399" s="22" t="str">
        <x:f>"65 999684518"</x:f>
        <x:v>65 999684518</x:v>
      </x:c>
      <x:c r="J3399" s="23" t="str">
        <x:v>SPOT</x:v>
      </x:c>
      <x:c r="K3399" s="23" t="str">
        <x:v>favored_only</x:v>
      </x:c>
      <x:c r="L3399" s="24" t="b">
        <x:v>1</x:v>
      </x:c>
      <x:c r="M3399" s="23" t="n">
        <x:v>1</x:v>
      </x:c>
      <x:c r="N3399" s="28" t="n">
        <x:v>46219.812988715275</x:v>
      </x:c>
      <x:c r="O3399" s="28" t="n">
        <x:v>46219.812988715275</x:v>
      </x:c>
      <x:c r="P3399" s="23" t="str">
        <x:v>ARAPUTANGA</x:v>
      </x:c>
      <x:c r="Q3399" s="30" t="n">
        <x:v>36103</x:v>
      </x:c>
      <x:c r="R3399" s="22" t="str">
        <x:f>"27122093 SEJSP MT"</x:f>
        <x:v>27122093 SEJSP MT</x:v>
      </x:c>
      <x:c r="S3399" s="23" t="str">
        <x:v>feminino</x:v>
      </x:c>
      <x:c r="T3399" s="22" t="str">
        <x:f>"NPF7J38"</x:f>
        <x:v>NPF7J38</x:v>
      </x:c>
      <x:c r="U3399" s="23" t="str">
        <x:v>IVANIR APARECIDA DE OLIVEIRA</x:v>
      </x:c>
      <x:c r="V3399" s="22" t="str">
        <x:f>"015.361.221-57"</x:f>
        <x:v>015.361.221-57</x:v>
      </x:c>
      <x:c r="W3399" s="22" t="str">
        <x:f>"01536122157"</x:f>
        <x:v>01536122157</x:v>
      </x:c>
      <x:c r="X3399" s="23" t="str">
        <x:v>ivanipreta@hotmail.com</x:v>
      </x:c>
      <x:c r="Y3399" s="22" t="str">
        <x:f>"65 999541731"</x:f>
        <x:v>65 999541731</x:v>
      </x:c>
      <x:c r="Z3399" s="30" t="n">
        <x:v>46560</x:v>
      </x:c>
    </x:row>
    <x:row r="3400" ht="18" customHeight="1">
      <x:c r="A3400" s="22" t="str">
        <x:f>"a831225d-1df5-4e03-b954-a91547d1842e"</x:f>
        <x:v>a831225d-1df5-4e03-b954-a91547d1842e</x:v>
      </x:c>
      <x:c r="B3400" s="23" t="str">
        <x:v>SABRINA RITA RODRIGUES</x:v>
      </x:c>
      <x:c r="C3400" s="23" t="str">
        <x:v>sabrina rita rodrigues</x:v>
      </x:c>
      <x:c r="D3400" s="22" t="str">
        <x:f>"40.707.089/0001-45"</x:f>
        <x:v>40.707.089/0001-45</x:v>
      </x:c>
      <x:c r="E3400" s="22" t="str">
        <x:f>"40707089000145"</x:f>
        <x:v>40707089000145</x:v>
      </x:c>
      <x:c r="F3400" s="22" t="str">
        <x:f>"002.498.931-26"</x:f>
        <x:v>002.498.931-26</x:v>
      </x:c>
      <x:c r="G3400" s="22" t="str">
        <x:f>"00249893126"</x:f>
        <x:v>00249893126</x:v>
      </x:c>
      <x:c r="H3400" s="23" t="str">
        <x:v>sabrinnrrb@gmail.com</x:v>
      </x:c>
      <x:c r="I3400" s="22" t="str">
        <x:f>"64 9939-5096"</x:f>
        <x:v>64 9939-5096</x:v>
      </x:c>
      <x:c r="J3400" s="23" t="str">
        <x:v>SPOT</x:v>
      </x:c>
      <x:c r="K3400" s="23" t="str">
        <x:v>favored_only</x:v>
      </x:c>
      <x:c r="L3400" s="24" t="b">
        <x:v>1</x:v>
      </x:c>
      <x:c r="M3400" s="23" t="n">
        <x:v>1</x:v>
      </x:c>
      <x:c r="N3400" s="28" t="n">
        <x:v>46219.812988715275</x:v>
      </x:c>
      <x:c r="O3400" s="28" t="n">
        <x:v>46219.812988715275</x:v>
      </x:c>
      <x:c r="P3400" s="23" t="str">
        <x:v>CHAPADÃO DO SUL</x:v>
      </x:c>
      <x:c r="Q3400" s="30" t="n">
        <x:v>29219</x:v>
      </x:c>
      <x:c r="R3400" s="22" t="str">
        <x:f>"3601848"</x:f>
        <x:v>3601848</x:v>
      </x:c>
      <x:c r="S3400" s="23" t="str">
        <x:v>feminino</x:v>
      </x:c>
      <x:c r="T3400" s="22" t="str">
        <x:f>"OOS7B96"</x:f>
        <x:v>OOS7B96</x:v>
      </x:c>
      <x:c r="U3400" s="23" t="str">
        <x:v>CELIO BARBOSA DA SILVA</x:v>
      </x:c>
      <x:c r="V3400" s="22" t="str">
        <x:f>"775.749.661-68"</x:f>
        <x:v>775.749.661-68</x:v>
      </x:c>
      <x:c r="W3400" s="22" t="str">
        <x:f>"77574966168"</x:f>
        <x:v>77574966168</x:v>
      </x:c>
      <x:c r="X3400" s="23" t="str">
        <x:v>celiobspastor16@gmail.com</x:v>
      </x:c>
      <x:c r="Y3400" s="22" t="str">
        <x:f>"64 9 9946 0227"</x:f>
        <x:v>64 9 9946 0227</x:v>
      </x:c>
      <x:c r="Z3400" s="30" t="n">
        <x:v>46518</x:v>
      </x:c>
    </x:row>
    <x:row r="3401" ht="18" customHeight="1">
      <x:c r="A3401" s="22" t="str">
        <x:f>"f08fdcbd-2686-4dac-9615-489b198800ae"</x:f>
        <x:v>f08fdcbd-2686-4dac-9615-489b198800ae</x:v>
      </x:c>
      <x:c r="B3401" s="23" t="str">
        <x:v>SABRINA RITA RODRIGUES</x:v>
      </x:c>
      <x:c r="C3401" s="23" t="str">
        <x:v>sabrina rita rodrigues</x:v>
      </x:c>
      <x:c r="D3401" s="22" t="str">
        <x:f>"163194089000145"</x:f>
        <x:v>163194089000145</x:v>
      </x:c>
      <x:c r="E3401" s="22" t="str">
        <x:f>"163194089000145"</x:f>
        <x:v>163194089000145</x:v>
      </x:c>
      <x:c r="F3401" s="22" t="str">
        <x:f>"002.498.931-26"</x:f>
        <x:v>002.498.931-26</x:v>
      </x:c>
      <x:c r="G3401" s="22" t="str">
        <x:f>"00249893126"</x:f>
        <x:v>00249893126</x:v>
      </x:c>
      <x:c r="H3401" s="23" t="str">
        <x:v>sabrinnrrb@gmail.com</x:v>
      </x:c>
      <x:c r="I3401" s="22" t="str">
        <x:f>"64 9939-5096"</x:f>
        <x:v>64 9939-5096</x:v>
      </x:c>
      <x:c r="J3401" s="23" t="str">
        <x:v>SPOT</x:v>
      </x:c>
      <x:c r="K3401" s="23" t="str">
        <x:v>favored_only</x:v>
      </x:c>
      <x:c r="L3401" s="24" t="b">
        <x:v>1</x:v>
      </x:c>
      <x:c r="M3401" s="23" t="n">
        <x:v>1</x:v>
      </x:c>
      <x:c r="N3401" s="28" t="n">
        <x:v>46219.812988715275</x:v>
      </x:c>
      <x:c r="O3401" s="28" t="n">
        <x:v>46219.812988715275</x:v>
      </x:c>
      <x:c r="P3401" s="23" t="str">
        <x:v>CHAPADÃO DO SUL</x:v>
      </x:c>
      <x:c r="Q3401" s="30" t="n">
        <x:v>29219</x:v>
      </x:c>
      <x:c r="R3401" s="22" t="str">
        <x:f>"3601848"</x:f>
        <x:v>3601848</x:v>
      </x:c>
      <x:c r="S3401" s="23" t="str">
        <x:v>feminino</x:v>
      </x:c>
      <x:c r="T3401" s="22" t="str">
        <x:f>"OOS7B96"</x:f>
        <x:v>OOS7B96</x:v>
      </x:c>
      <x:c r="U3401" s="23" t="str">
        <x:v>CELIO BARBOSA DA SILVA</x:v>
      </x:c>
      <x:c r="V3401" s="22" t="str">
        <x:f>"775.749.661-68"</x:f>
        <x:v>775.749.661-68</x:v>
      </x:c>
      <x:c r="W3401" s="22" t="str">
        <x:f>"77574966168"</x:f>
        <x:v>77574966168</x:v>
      </x:c>
      <x:c r="X3401" s="23" t="str">
        <x:v>celiobspastor16@gmail.com</x:v>
      </x:c>
      <x:c r="Y3401" s="22" t="str">
        <x:f>"64 9946-0227"</x:f>
        <x:v>64 9946-0227</x:v>
      </x:c>
      <x:c r="Z3401" s="30" t="n">
        <x:v>46492</x:v>
      </x:c>
    </x:row>
    <x:row r="3402" ht="18" customHeight="1">
      <x:c r="A3402" s="22" t="str">
        <x:f>"8ee5790f-6ce4-4d78-b702-5961fbf2baed"</x:f>
        <x:v>8ee5790f-6ce4-4d78-b702-5961fbf2baed</x:v>
      </x:c>
      <x:c r="B3402" s="23" t="str">
        <x:v>SALVADOR DA SILVA</x:v>
      </x:c>
      <x:c r="C3402" s="23" t="str">
        <x:v>salvador da silva</x:v>
      </x:c>
      <x:c r="D3402" s="22" t="str">
        <x:f>"67.014.751/0001-38"</x:f>
        <x:v>67.014.751/0001-38</x:v>
      </x:c>
      <x:c r="E3402" s="22" t="str">
        <x:f>"67014751000138"</x:f>
        <x:v>67014751000138</x:v>
      </x:c>
      <x:c r="F3402" s="22" t="str">
        <x:f>"005.420.398-85"</x:f>
        <x:v>005.420.398-85</x:v>
      </x:c>
      <x:c r="G3402" s="22" t="str">
        <x:f>"00542039885"</x:f>
        <x:v>00542039885</x:v>
      </x:c>
      <x:c r="H3402" s="23" t="str">
        <x:v>baraocareca@hotmail.com</x:v>
      </x:c>
      <x:c r="I3402" s="22" t="str">
        <x:f>"13981710267"</x:f>
        <x:v>13981710267</x:v>
      </x:c>
      <x:c r="J3402" s="23" t="str">
        <x:v>RENTAL</x:v>
      </x:c>
      <x:c r="K3402" s="23" t="str">
        <x:v>rental_company</x:v>
      </x:c>
      <x:c r="L3402" s="24" t="b">
        <x:v>1</x:v>
      </x:c>
      <x:c r="M3402" s="23" t="n">
        <x:v>1</x:v>
      </x:c>
      <x:c r="N3402" s="28" t="n">
        <x:v>46219.812988715275</x:v>
      </x:c>
      <x:c r="O3402" s="28" t="n">
        <x:v>46219.812988715275</x:v>
      </x:c>
      <x:c r="P3402" s="23" t="str">
        <x:v>RIBEIRAO PRETO</x:v>
      </x:c>
      <x:c r="Q3402" s="30" t="n">
        <x:v>21869</x:v>
      </x:c>
      <x:c r="R3402" s="22" t="str">
        <x:f>"12516216"</x:f>
        <x:v>12516216</x:v>
      </x:c>
      <x:c r="S3402" s="23" t="str">
        <x:v>masculino</x:v>
      </x:c>
      <x:c r="T3402" s="22" t="str"/>
      <x:c r="U3402" s="23" t="str">
        <x:v>SALVADOR DA SILVA</x:v>
      </x:c>
      <x:c r="V3402" s="22" t="str">
        <x:f>"005.420.398-85"</x:f>
        <x:v>005.420.398-85</x:v>
      </x:c>
      <x:c r="W3402" s="22" t="str">
        <x:f>"00542039885"</x:f>
        <x:v>00542039885</x:v>
      </x:c>
      <x:c r="X3402" s="23" t="str">
        <x:v>baraocareca@hotmail.com</x:v>
      </x:c>
      <x:c r="Y3402" s="22" t="str">
        <x:f>"13981710267"</x:f>
        <x:v>13981710267</x:v>
      </x:c>
      <x:c r="Z3402" s="30" t="n">
        <x:v>46547</x:v>
      </x:c>
    </x:row>
    <x:row r="3403" ht="18" customHeight="1">
      <x:c r="A3403" s="22" t="str">
        <x:f>"071295e2-88ba-4234-b2c4-e27d4bc9ec0a"</x:f>
        <x:v>071295e2-88ba-4234-b2c4-e27d4bc9ec0a</x:v>
      </x:c>
      <x:c r="B3403" s="23" t="str">
        <x:v>SAMANTHA STEFANY SOUZA FERNANDES</x:v>
      </x:c>
      <x:c r="C3403" s="23" t="str">
        <x:v>samantha stefany souza fernandes</x:v>
      </x:c>
      <x:c r="D3403" s="22" t="str">
        <x:f>"55.266.665/0001-33"</x:f>
        <x:v>55.266.665/0001-33</x:v>
      </x:c>
      <x:c r="E3403" s="22" t="str">
        <x:f>"55266665000133"</x:f>
        <x:v>55266665000133</x:v>
      </x:c>
      <x:c r="F3403" s="22" t="str">
        <x:f>"447.067.188-64"</x:f>
        <x:v>447.067.188-64</x:v>
      </x:c>
      <x:c r="G3403" s="22" t="str">
        <x:f>"44706718864"</x:f>
        <x:v>44706718864</x:v>
      </x:c>
      <x:c r="H3403" s="23" t="str">
        <x:v>samanthasouza1908@gmail.com</x:v>
      </x:c>
      <x:c r="I3403" s="22" t="str">
        <x:f>"(16) 99188-3784"</x:f>
        <x:v>(16) 99188-3784</x:v>
      </x:c>
      <x:c r="J3403" s="23" t="str">
        <x:v>SPOT</x:v>
      </x:c>
      <x:c r="K3403" s="23" t="str">
        <x:v>rental_company</x:v>
      </x:c>
      <x:c r="L3403" s="24" t="b">
        <x:v>1</x:v>
      </x:c>
      <x:c r="M3403" s="23" t="n">
        <x:v>2</x:v>
      </x:c>
      <x:c r="N3403" s="28" t="n">
        <x:v>46203.92189965278</x:v>
      </x:c>
      <x:c r="O3403" s="28" t="n">
        <x:v>46219.812988715275</x:v>
      </x:c>
      <x:c r="P3403" s="23" t="str">
        <x:v>RIBEIRAO PRETO</x:v>
      </x:c>
      <x:c r="Q3403" s="30" t="n">
        <x:v>36390</x:v>
      </x:c>
      <x:c r="R3403" s="22" t="str">
        <x:f>"55.780.027- 4"</x:f>
        <x:v>55.780.027- 4</x:v>
      </x:c>
      <x:c r="S3403" s="23" t="str">
        <x:v>feminino</x:v>
      </x:c>
      <x:c r="T3403" s="22" t="str"/>
      <x:c r="U3403" s="23" t="str">
        <x:v>SAMANTHA STEFANY SOUZA FERNANDES</x:v>
      </x:c>
      <x:c r="V3403" s="22" t="str">
        <x:f>"447.067.188-64"</x:f>
        <x:v>447.067.188-64</x:v>
      </x:c>
      <x:c r="W3403" s="22" t="str">
        <x:f>"44706718864"</x:f>
        <x:v>44706718864</x:v>
      </x:c>
      <x:c r="X3403" s="23" t="str">
        <x:v>samanthasouza1908@gmail.com</x:v>
      </x:c>
      <x:c r="Y3403" s="22" t="str">
        <x:f>"(16) 99188-3784"</x:f>
        <x:v>(16) 99188-3784</x:v>
      </x:c>
      <x:c r="Z3403" s="30" t="n">
        <x:v>46486</x:v>
      </x:c>
    </x:row>
    <x:row r="3404" ht="18" customHeight="1">
      <x:c r="A3404" s="22" t="str">
        <x:f>"c0cdb7f3-fd55-41ce-8223-8917f8ad6805"</x:f>
        <x:v>c0cdb7f3-fd55-41ce-8223-8917f8ad6805</x:v>
      </x:c>
      <x:c r="B3404" s="23" t="str">
        <x:v>SAMARA APARECIDA GONCALVES DE CARVALHO</x:v>
      </x:c>
      <x:c r="C3404" s="23" t="str">
        <x:v>samara aparecida goncalves de carvalho</x:v>
      </x:c>
      <x:c r="D3404" s="22" t="str">
        <x:f>"66.228.660/0001-32"</x:f>
        <x:v>66.228.660/0001-32</x:v>
      </x:c>
      <x:c r="E3404" s="22" t="str">
        <x:f>"66228660000132"</x:f>
        <x:v>66228660000132</x:v>
      </x:c>
      <x:c r="F3404" s="22" t="str">
        <x:f>"700.450.296-10"</x:f>
        <x:v>700.450.296-10</x:v>
      </x:c>
      <x:c r="G3404" s="22" t="str">
        <x:f>"70045029610"</x:f>
        <x:v>70045029610</x:v>
      </x:c>
      <x:c r="H3404" s="23" t="str">
        <x:v>samaraaparecida639@gmail.com</x:v>
      </x:c>
      <x:c r="I3404" s="22" t="str">
        <x:f>"3194469682"</x:f>
        <x:v>3194469682</x:v>
      </x:c>
      <x:c r="J3404" s="23" t="str">
        <x:v>SPOT</x:v>
      </x:c>
      <x:c r="K3404" s="23" t="str">
        <x:v>favored_only</x:v>
      </x:c>
      <x:c r="L3404" s="24" t="b">
        <x:v>1</x:v>
      </x:c>
      <x:c r="M3404" s="23" t="n">
        <x:v>1</x:v>
      </x:c>
      <x:c r="N3404" s="28" t="n">
        <x:v>46219.812988715275</x:v>
      </x:c>
      <x:c r="O3404" s="28" t="n">
        <x:v>46219.812988715275</x:v>
      </x:c>
      <x:c r="P3404" s="23" t="str">
        <x:v>NOVA LIMA</x:v>
      </x:c>
      <x:c r="Q3404" s="30" t="n">
        <x:v>36326</x:v>
      </x:c>
      <x:c r="R3404" s="22" t="str">
        <x:f>"668812989"</x:f>
        <x:v>668812989</x:v>
      </x:c>
      <x:c r="S3404" s="23" t="str">
        <x:v>feminino</x:v>
      </x:c>
      <x:c r="T3404" s="22" t="str">
        <x:f>"FRZ9873"</x:f>
        <x:v>FRZ9873</x:v>
      </x:c>
      <x:c r="U3404" s="23" t="str">
        <x:v>SAMARA APARECIDA GONCALVES DE CARVALHO</x:v>
      </x:c>
      <x:c r="V3404" s="22" t="str">
        <x:f>"700.450.296-10"</x:f>
        <x:v>700.450.296-10</x:v>
      </x:c>
      <x:c r="W3404" s="22" t="str">
        <x:f>"70045029610"</x:f>
        <x:v>70045029610</x:v>
      </x:c>
      <x:c r="X3404" s="23" t="str">
        <x:v>samaraaparecida639@gmail.com</x:v>
      </x:c>
      <x:c r="Y3404" s="22" t="str">
        <x:f>"3194469682"</x:f>
        <x:v>3194469682</x:v>
      </x:c>
      <x:c r="Z3404" s="30" t="n">
        <x:v>46497</x:v>
      </x:c>
    </x:row>
    <x:row r="3405" ht="18" customHeight="1">
      <x:c r="A3405" s="22" t="str">
        <x:f>"e99131a9-5259-418f-adaf-e780807ff5da"</x:f>
        <x:v>e99131a9-5259-418f-adaf-e780807ff5da</x:v>
      </x:c>
      <x:c r="B3405" s="23" t="str">
        <x:v>SAMIR AFFONSO RIBEIRO</x:v>
      </x:c>
      <x:c r="C3405" s="23" t="str">
        <x:v>samir affonso ribeiro</x:v>
      </x:c>
      <x:c r="D3405" s="22" t="str">
        <x:f>"53.081.289/0001-87"</x:f>
        <x:v>53.081.289/0001-87</x:v>
      </x:c>
      <x:c r="E3405" s="22" t="str">
        <x:f>"53081289000187"</x:f>
        <x:v>53081289000187</x:v>
      </x:c>
      <x:c r="F3405" s="22" t="str">
        <x:f>"082.242.627-74"</x:f>
        <x:v>082.242.627-74</x:v>
      </x:c>
      <x:c r="G3405" s="22" t="str">
        <x:f>"08224262774"</x:f>
        <x:v>08224262774</x:v>
      </x:c>
      <x:c r="H3405" s="23" t="str">
        <x:v>SAMIRCHURRASQUINHO@GMAIL.COM</x:v>
      </x:c>
      <x:c r="I3405" s="22" t="str">
        <x:f>"22997435329"</x:f>
        <x:v>22997435329</x:v>
      </x:c>
      <x:c r="J3405" s="23" t="str">
        <x:v>SPOT</x:v>
      </x:c>
      <x:c r="K3405" s="23" t="str">
        <x:v>favored_only</x:v>
      </x:c>
      <x:c r="L3405" s="24" t="b">
        <x:v>1</x:v>
      </x:c>
      <x:c r="M3405" s="23" t="n">
        <x:v>1</x:v>
      </x:c>
      <x:c r="N3405" s="28" t="n">
        <x:v>46219.79396105324</x:v>
      </x:c>
      <x:c r="O3405" s="28" t="n">
        <x:v>46219.812988715275</x:v>
      </x:c>
      <x:c r="P3405" s="23" t="str">
        <x:v>CAMPOS DOS GOYTACAZES</x:v>
      </x:c>
      <x:c r="Q3405" s="30" t="n">
        <x:v>28916</x:v>
      </x:c>
      <x:c r="R3405" s="22" t="str">
        <x:f>"129327722"</x:f>
        <x:v>129327722</x:v>
      </x:c>
      <x:c r="S3405" s="23" t="str">
        <x:v>masculino</x:v>
      </x:c>
      <x:c r="T3405" s="22" t="str">
        <x:f>"KWG9J82"</x:f>
        <x:v>KWG9J82</x:v>
      </x:c>
      <x:c r="U3405" s="23" t="str">
        <x:v>BRUNA DE AZEVEDO RIBEIRO</x:v>
      </x:c>
      <x:c r="V3405" s="22" t="str">
        <x:f>"139.348.817-00"</x:f>
        <x:v>139.348.817-00</x:v>
      </x:c>
      <x:c r="W3405" s="22" t="str">
        <x:f>"13934881700"</x:f>
        <x:v>13934881700</x:v>
      </x:c>
      <x:c r="X3405" s="23" t="str">
        <x:v>brunaazevedoribeiro14@gmail.com</x:v>
      </x:c>
      <x:c r="Y3405" s="22" t="str">
        <x:f>"22998009374"</x:f>
        <x:v>22998009374</x:v>
      </x:c>
      <x:c r="Z3405" s="30" t="n">
        <x:v>46352</x:v>
      </x:c>
    </x:row>
    <x:row r="3406" ht="18" customHeight="1">
      <x:c r="A3406" s="22" t="str">
        <x:f>"6a75c0b6-3b47-49e8-92fc-1e086f5df96b"</x:f>
        <x:v>6a75c0b6-3b47-49e8-92fc-1e086f5df96b</x:v>
      </x:c>
      <x:c r="B3406" s="23" t="str">
        <x:v>SAMUEL ALVES MARTINS</x:v>
      </x:c>
      <x:c r="C3406" s="23" t="str">
        <x:v>samuel alves martins</x:v>
      </x:c>
      <x:c r="D3406" s="22" t="str">
        <x:f>"64.536.624/0001-00"</x:f>
        <x:v>64.536.624/0001-00</x:v>
      </x:c>
      <x:c r="E3406" s="22" t="str">
        <x:f>"64536624000100"</x:f>
        <x:v>64536624000100</x:v>
      </x:c>
      <x:c r="F3406" s="22" t="str">
        <x:f>"023.045.816-50"</x:f>
        <x:v>023.045.816-50</x:v>
      </x:c>
      <x:c r="G3406" s="22" t="str">
        <x:f>"02304581650"</x:f>
        <x:v>02304581650</x:v>
      </x:c>
      <x:c r="H3406" s="23" t="str">
        <x:v>Samuelmartins.a034@gmail.com</x:v>
      </x:c>
      <x:c r="I3406" s="22" t="str">
        <x:f>"(31) 9 9235-6438"</x:f>
        <x:v>(31) 9 9235-6438</x:v>
      </x:c>
      <x:c r="J3406" s="23" t="str">
        <x:v>RENTAL</x:v>
      </x:c>
      <x:c r="K3406" s="23" t="str">
        <x:v>rental_company</x:v>
      </x:c>
      <x:c r="L3406" s="24" t="b">
        <x:v>1</x:v>
      </x:c>
      <x:c r="M3406" s="23" t="n">
        <x:v>1</x:v>
      </x:c>
      <x:c r="N3406" s="28" t="n">
        <x:v>46219.812988715275</x:v>
      </x:c>
      <x:c r="O3406" s="28" t="n">
        <x:v>46219.812988715275</x:v>
      </x:c>
      <x:c r="P3406" s="23" t="str">
        <x:v>UBERLANDIA</x:v>
      </x:c>
      <x:c r="Q3406" s="30" t="n">
        <x:v>37314</x:v>
      </x:c>
      <x:c r="R3406" s="22" t="str">
        <x:f>"20795936"</x:f>
        <x:v>20795936</x:v>
      </x:c>
      <x:c r="S3406" s="23" t="str">
        <x:v>masculino</x:v>
      </x:c>
      <x:c r="T3406" s="22" t="str"/>
      <x:c r="U3406" s="23" t="str">
        <x:v>SAMUEL ALVES MARTINS</x:v>
      </x:c>
      <x:c r="V3406" s="22" t="str">
        <x:f>"023.045.816-50"</x:f>
        <x:v>023.045.816-50</x:v>
      </x:c>
      <x:c r="W3406" s="22" t="str">
        <x:f>"02304581650"</x:f>
        <x:v>02304581650</x:v>
      </x:c>
      <x:c r="X3406" s="23" t="str">
        <x:v>Samuelmartins.a034@gmail.com</x:v>
      </x:c>
      <x:c r="Y3406" s="22" t="str">
        <x:f>"(31) 9 9235-6438"</x:f>
        <x:v>(31) 9 9235-6438</x:v>
      </x:c>
      <x:c r="Z3406" s="30" t="n">
        <x:v>46406</x:v>
      </x:c>
    </x:row>
    <x:row r="3407" ht="18" customHeight="1">
      <x:c r="A3407" s="22" t="str">
        <x:f>"ce25e1ca-97eb-4d5f-96fc-66cfd1adb057"</x:f>
        <x:v>ce25e1ca-97eb-4d5f-96fc-66cfd1adb057</x:v>
      </x:c>
      <x:c r="B3407" s="23" t="str">
        <x:v>SAMUEL AMARAL LOPES</x:v>
      </x:c>
      <x:c r="C3407" s="23" t="str">
        <x:v>samuel amaral lopes</x:v>
      </x:c>
      <x:c r="D3407" s="22" t="str">
        <x:f>"50.010.756/0001-90"</x:f>
        <x:v>50.010.756/0001-90</x:v>
      </x:c>
      <x:c r="E3407" s="22" t="str">
        <x:f>"50010756000190"</x:f>
        <x:v>50010756000190</x:v>
      </x:c>
      <x:c r="F3407" s="22" t="str">
        <x:f>"012.806.906-66"</x:f>
        <x:v>012.806.906-66</x:v>
      </x:c>
      <x:c r="G3407" s="22" t="str">
        <x:f>"01280690666"</x:f>
        <x:v>01280690666</x:v>
      </x:c>
      <x:c r="H3407" s="23" t="str">
        <x:v>samuelalopes35@gmail.com</x:v>
      </x:c>
      <x:c r="I3407" s="22" t="str">
        <x:f>"33 8708-0880"</x:f>
        <x:v>33 8708-0880</x:v>
      </x:c>
      <x:c r="J3407" s="23" t="str">
        <x:v>DESCONHECIDO</x:v>
      </x:c>
      <x:c r="K3407" s="23" t="str">
        <x:v>favored_only</x:v>
      </x:c>
      <x:c r="L3407" s="24" t="b">
        <x:v>1</x:v>
      </x:c>
      <x:c r="M3407" s="23" t="n">
        <x:v>1</x:v>
      </x:c>
      <x:c r="N3407" s="28" t="n">
        <x:v>46219.812988715275</x:v>
      </x:c>
      <x:c r="O3407" s="28" t="n">
        <x:v>46219.812988715275</x:v>
      </x:c>
      <x:c r="P3407" s="23" t="str">
        <x:v>TEOFILO OTONI</x:v>
      </x:c>
      <x:c r="Q3407" s="30" t="str"/>
      <x:c r="R3407" s="22" t="str">
        <x:f>"12897447"</x:f>
        <x:v>12897447</x:v>
      </x:c>
      <x:c r="S3407" s="23" t="str">
        <x:v>masculino</x:v>
      </x:c>
      <x:c r="T3407" s="22" t="str">
        <x:f>"EQM2E18"</x:f>
        <x:v>EQM2E18</x:v>
      </x:c>
      <x:c r="U3407" s="23" t="str">
        <x:v>ELIZABETE FERNANDES DOS S.LEMOS</x:v>
      </x:c>
      <x:c r="V3407" s="22" t="str">
        <x:f>"012.806.906-66"</x:f>
        <x:v>012.806.906-66</x:v>
      </x:c>
      <x:c r="W3407" s="22" t="str">
        <x:f>"01280690666"</x:f>
        <x:v>01280690666</x:v>
      </x:c>
      <x:c r="X3407" s="23" t="str">
        <x:v>samuelalopes35@gmail.com</x:v>
      </x:c>
      <x:c r="Y3407" s="22" t="str">
        <x:f>"33 8708-0880"</x:f>
        <x:v>33 8708-0880</x:v>
      </x:c>
      <x:c r="Z3407" s="30" t="n">
        <x:v>46453</x:v>
      </x:c>
    </x:row>
    <x:row r="3408" ht="18" customHeight="1">
      <x:c r="A3408" s="22" t="str">
        <x:f>"026c4a01-2f8a-4b9e-b8e8-3058321ab8c7"</x:f>
        <x:v>026c4a01-2f8a-4b9e-b8e8-3058321ab8c7</x:v>
      </x:c>
      <x:c r="B3408" s="23" t="str">
        <x:v>SAMUEL COSTA E SILVA</x:v>
      </x:c>
      <x:c r="C3408" s="23" t="str">
        <x:v>samuel costa e silva</x:v>
      </x:c>
      <x:c r="D3408" s="22" t="str">
        <x:f>"53.454.470/0001-91"</x:f>
        <x:v>53.454.470/0001-91</x:v>
      </x:c>
      <x:c r="E3408" s="22" t="str">
        <x:f>"53454470000191"</x:f>
        <x:v>53454470000191</x:v>
      </x:c>
      <x:c r="F3408" s="22" t="str">
        <x:f>"121.288.297-04"</x:f>
        <x:v>121.288.297-04</x:v>
      </x:c>
      <x:c r="G3408" s="22" t="str">
        <x:f>"12128829704"</x:f>
        <x:v>12128829704</x:v>
      </x:c>
      <x:c r="H3408" s="23" t="str">
        <x:v>rrnmacae@hotmail.com</x:v>
      </x:c>
      <x:c r="I3408" s="22" t="str">
        <x:f>"21972766354"</x:f>
        <x:v>21972766354</x:v>
      </x:c>
      <x:c r="J3408" s="23" t="str">
        <x:v>SPOT</x:v>
      </x:c>
      <x:c r="K3408" s="23" t="str">
        <x:v>favored_only</x:v>
      </x:c>
      <x:c r="L3408" s="24" t="b">
        <x:v>1</x:v>
      </x:c>
      <x:c r="M3408" s="23" t="n">
        <x:v>1</x:v>
      </x:c>
      <x:c r="N3408" s="28" t="n">
        <x:v>46203.921904421295</x:v>
      </x:c>
      <x:c r="O3408" s="28" t="n">
        <x:v>46219.812988715275</x:v>
      </x:c>
      <x:c r="P3408" s="23" t="str">
        <x:v>CAMPO GRANDE</x:v>
      </x:c>
      <x:c r="Q3408" s="30" t="n">
        <x:v>32341</x:v>
      </x:c>
      <x:c r="R3408" s="22" t="str">
        <x:f>"214697542"</x:f>
        <x:v>214697542</x:v>
      </x:c>
      <x:c r="S3408" s="23" t="str">
        <x:v>masculino</x:v>
      </x:c>
      <x:c r="T3408" s="22" t="str">
        <x:f>"LRB2114"</x:f>
        <x:v>LRB2114</x:v>
      </x:c>
      <x:c r="U3408" s="23" t="str">
        <x:v>SAMUEL COSTA E SILVA</x:v>
      </x:c>
      <x:c r="V3408" s="22" t="str">
        <x:f>"121.288.297-04"</x:f>
        <x:v>121.288.297-04</x:v>
      </x:c>
      <x:c r="W3408" s="22" t="str">
        <x:f>"12128829704"</x:f>
        <x:v>12128829704</x:v>
      </x:c>
      <x:c r="X3408" s="23" t="str">
        <x:v>rrnmacae@hotmail.com</x:v>
      </x:c>
      <x:c r="Y3408" s="22" t="str">
        <x:f>"21972766354"</x:f>
        <x:v>21972766354</x:v>
      </x:c>
      <x:c r="Z3408" s="30" t="n">
        <x:v>46373</x:v>
      </x:c>
    </x:row>
    <x:row r="3409" ht="18" customHeight="1">
      <x:c r="A3409" s="22" t="str">
        <x:f>"89f7f674-01b4-40b3-bdd1-7d561fb288c4"</x:f>
        <x:v>89f7f674-01b4-40b3-bdd1-7d561fb288c4</x:v>
      </x:c>
      <x:c r="B3409" s="23" t="str">
        <x:v>SAMUEL DE CASSIA VITORIANO</x:v>
      </x:c>
      <x:c r="C3409" s="23" t="str">
        <x:v>samuel de cassia vitoriano</x:v>
      </x:c>
      <x:c r="D3409" s="22" t="str">
        <x:f>"66.028.307/0001-09"</x:f>
        <x:v>66.028.307/0001-09</x:v>
      </x:c>
      <x:c r="E3409" s="22" t="str">
        <x:f>"66028307000109"</x:f>
        <x:v>66028307000109</x:v>
      </x:c>
      <x:c r="F3409" s="22" t="str">
        <x:f>"149.321.576-06"</x:f>
        <x:v>149.321.576-06</x:v>
      </x:c>
      <x:c r="G3409" s="22" t="str">
        <x:f>"14932157606"</x:f>
        <x:v>14932157606</x:v>
      </x:c>
      <x:c r="H3409" s="23" t="str">
        <x:v>samuelcassiavitoriano@gmail.com</x:v>
      </x:c>
      <x:c r="I3409" s="22" t="str">
        <x:f>"31987244605"</x:f>
        <x:v>31987244605</x:v>
      </x:c>
      <x:c r="J3409" s="23" t="str">
        <x:v>SPOT</x:v>
      </x:c>
      <x:c r="K3409" s="23" t="str">
        <x:v>favored_only</x:v>
      </x:c>
      <x:c r="L3409" s="24" t="b">
        <x:v>1</x:v>
      </x:c>
      <x:c r="M3409" s="23" t="n">
        <x:v>1</x:v>
      </x:c>
      <x:c r="N3409" s="28" t="n">
        <x:v>46219.812988715275</x:v>
      </x:c>
      <x:c r="O3409" s="28" t="n">
        <x:v>46219.812988715275</x:v>
      </x:c>
      <x:c r="P3409" s="23" t="str">
        <x:v>NOVA LIMA</x:v>
      </x:c>
      <x:c r="Q3409" s="30" t="n">
        <x:v>37601</x:v>
      </x:c>
      <x:c r="R3409" s="22" t="str">
        <x:f>"18618596"</x:f>
        <x:v>18618596</x:v>
      </x:c>
      <x:c r="S3409" s="23" t="str">
        <x:v>masculino</x:v>
      </x:c>
      <x:c r="T3409" s="22" t="str">
        <x:f>"OPQ9A99"</x:f>
        <x:v>OPQ9A99</x:v>
      </x:c>
      <x:c r="U3409" s="23" t="str">
        <x:v>SAMUEL DE CASSIA VITORIANO</x:v>
      </x:c>
      <x:c r="V3409" s="22" t="str">
        <x:f>"149.321.576-06"</x:f>
        <x:v>149.321.576-06</x:v>
      </x:c>
      <x:c r="W3409" s="22" t="str">
        <x:f>"14932157606"</x:f>
        <x:v>14932157606</x:v>
      </x:c>
      <x:c r="X3409" s="23" t="str">
        <x:v>samuelcassiavitoriano@gmail.com</x:v>
      </x:c>
      <x:c r="Y3409" s="22" t="str">
        <x:f>"31987244605"</x:f>
        <x:v>31987244605</x:v>
      </x:c>
      <x:c r="Z3409" s="30" t="n">
        <x:v>46498</x:v>
      </x:c>
    </x:row>
    <x:row r="3410" ht="18" customHeight="1">
      <x:c r="A3410" s="22" t="str">
        <x:f>"78d4623f-96a0-4b3e-838e-2ef3a90b1c67"</x:f>
        <x:v>78d4623f-96a0-4b3e-838e-2ef3a90b1c67</x:v>
      </x:c>
      <x:c r="B3410" s="23" t="str">
        <x:v>SAMUEL DE MENDONCA RODRIGUES</x:v>
      </x:c>
      <x:c r="C3410" s="23" t="str">
        <x:v>samuel de mendonca rodrigues</x:v>
      </x:c>
      <x:c r="D3410" s="22" t="str">
        <x:f>"54.747.707/0001-95"</x:f>
        <x:v>54.747.707/0001-95</x:v>
      </x:c>
      <x:c r="E3410" s="22" t="str">
        <x:f>"54747707000195"</x:f>
        <x:v>54747707000195</x:v>
      </x:c>
      <x:c r="F3410" s="22" t="str">
        <x:f>"184.433.637-97"</x:f>
        <x:v>184.433.637-97</x:v>
      </x:c>
      <x:c r="G3410" s="22" t="str">
        <x:f>"18443363797"</x:f>
        <x:v>18443363797</x:v>
      </x:c>
      <x:c r="H3410" s="23" t="str">
        <x:v>samuelrodriguescp01@gmail.com</x:v>
      </x:c>
      <x:c r="I3410" s="22" t="str">
        <x:f>"21973863976"</x:f>
        <x:v>21973863976</x:v>
      </x:c>
      <x:c r="J3410" s="23" t="str">
        <x:v>SPOT</x:v>
      </x:c>
      <x:c r="K3410" s="23" t="str">
        <x:v>favored_only</x:v>
      </x:c>
      <x:c r="L3410" s="24" t="b">
        <x:v>1</x:v>
      </x:c>
      <x:c r="M3410" s="23" t="n">
        <x:v>1</x:v>
      </x:c>
      <x:c r="N3410" s="28" t="n">
        <x:v>46219.812988715275</x:v>
      </x:c>
      <x:c r="O3410" s="28" t="n">
        <x:v>46219.812988715275</x:v>
      </x:c>
      <x:c r="P3410" s="23" t="str">
        <x:v>QUEIMADOS</x:v>
      </x:c>
      <x:c r="Q3410" s="30" t="n">
        <x:v>35704</x:v>
      </x:c>
      <x:c r="R3410" s="22" t="str">
        <x:f>"300868734"</x:f>
        <x:v>300868734</x:v>
      </x:c>
      <x:c r="S3410" s="23" t="str">
        <x:v>masculino</x:v>
      </x:c>
      <x:c r="T3410" s="22" t="str">
        <x:f>"KWU8B43"</x:f>
        <x:v>KWU8B43</x:v>
      </x:c>
      <x:c r="U3410" s="23" t="str">
        <x:v>ALLAN SILVA MONTEIRO</x:v>
      </x:c>
      <x:c r="V3410" s="22" t="str">
        <x:f>"171.218.797-00"</x:f>
        <x:v>171.218.797-00</x:v>
      </x:c>
      <x:c r="W3410" s="22" t="str">
        <x:f>"17121879700"</x:f>
        <x:v>17121879700</x:v>
      </x:c>
      <x:c r="X3410" s="23" t="str">
        <x:v>allansilva22071995123@gmail.com</x:v>
      </x:c>
      <x:c r="Y3410" s="22" t="str">
        <x:f>"21976607293"</x:f>
        <x:v>21976607293</x:v>
      </x:c>
      <x:c r="Z3410" s="30" t="n">
        <x:v>46581</x:v>
      </x:c>
    </x:row>
    <x:row r="3411" ht="18" customHeight="1">
      <x:c r="A3411" s="22" t="str">
        <x:f>"722983b1-c01e-4936-a037-0a7369a7fd7d"</x:f>
        <x:v>722983b1-c01e-4936-a037-0a7369a7fd7d</x:v>
      </x:c>
      <x:c r="B3411" s="23" t="str">
        <x:v>SAMUEL ELIAS LOPES BORGES</x:v>
      </x:c>
      <x:c r="C3411" s="23" t="str">
        <x:v>samuel elias lopes borges</x:v>
      </x:c>
      <x:c r="D3411" s="22" t="str">
        <x:f>"65.634.078/0001-03"</x:f>
        <x:v>65.634.078/0001-03</x:v>
      </x:c>
      <x:c r="E3411" s="22" t="str">
        <x:f>"65634078000103"</x:f>
        <x:v>65634078000103</x:v>
      </x:c>
      <x:c r="F3411" s="22" t="str">
        <x:f>"097.383.666-07"</x:f>
        <x:v>097.383.666-07</x:v>
      </x:c>
      <x:c r="G3411" s="22" t="str">
        <x:f>"09738366607"</x:f>
        <x:v>09738366607</x:v>
      </x:c>
      <x:c r="H3411" s="23" t="str">
        <x:v>leumas_saile@hotmail.com</x:v>
      </x:c>
      <x:c r="I3411" s="22" t="str">
        <x:f>"(34) 99268-8086"</x:f>
        <x:v>(34) 99268-8086</x:v>
      </x:c>
      <x:c r="J3411" s="23" t="str">
        <x:v>RENTAL</x:v>
      </x:c>
      <x:c r="K3411" s="23" t="str">
        <x:v>rental_company</x:v>
      </x:c>
      <x:c r="L3411" s="24" t="b">
        <x:v>1</x:v>
      </x:c>
      <x:c r="M3411" s="23" t="n">
        <x:v>1</x:v>
      </x:c>
      <x:c r="N3411" s="28" t="n">
        <x:v>46219.812988715275</x:v>
      </x:c>
      <x:c r="O3411" s="28" t="n">
        <x:v>46219.812988715275</x:v>
      </x:c>
      <x:c r="P3411" s="23" t="str">
        <x:v>UBERLANDIA</x:v>
      </x:c>
      <x:c r="Q3411" s="30" t="n">
        <x:v>32667</x:v>
      </x:c>
      <x:c r="R3411" s="22" t="str">
        <x:f>"MG15730080 SSP MG"</x:f>
        <x:v>MG15730080 SSP MG</x:v>
      </x:c>
      <x:c r="S3411" s="23" t="str">
        <x:v>masculino</x:v>
      </x:c>
      <x:c r="T3411" s="22" t="str"/>
      <x:c r="U3411" s="23" t="str">
        <x:v>SAMUEL ELIAS LOPES BORGES</x:v>
      </x:c>
      <x:c r="V3411" s="22" t="str">
        <x:f>"097.383.666-07"</x:f>
        <x:v>097.383.666-07</x:v>
      </x:c>
      <x:c r="W3411" s="22" t="str">
        <x:f>"09738366607"</x:f>
        <x:v>09738366607</x:v>
      </x:c>
      <x:c r="X3411" s="23" t="str">
        <x:v>leumas_saile@hotmail.com</x:v>
      </x:c>
      <x:c r="Y3411" s="22" t="str">
        <x:f>"(34) 99268-8086"</x:f>
        <x:v>(34) 99268-8086</x:v>
      </x:c>
      <x:c r="Z3411" s="30" t="n">
        <x:v>46458</x:v>
      </x:c>
    </x:row>
    <x:row r="3412" ht="18" customHeight="1">
      <x:c r="A3412" s="22" t="str">
        <x:f>"fefb5f9c-e89b-4868-8790-0d0bff571205"</x:f>
        <x:v>fefb5f9c-e89b-4868-8790-0d0bff571205</x:v>
      </x:c>
      <x:c r="B3412" s="23" t="str">
        <x:v>SAMUEL FERNANDES PAES</x:v>
      </x:c>
      <x:c r="C3412" s="23" t="str">
        <x:v>samuel fernandes paes</x:v>
      </x:c>
      <x:c r="D3412" s="22" t="str">
        <x:f>"63.594.820/0001-79"</x:f>
        <x:v>63.594.820/0001-79</x:v>
      </x:c>
      <x:c r="E3412" s="22" t="str">
        <x:f>"63594820000179"</x:f>
        <x:v>63594820000179</x:v>
      </x:c>
      <x:c r="F3412" s="22" t="str">
        <x:f>"137.058.157-25"</x:f>
        <x:v>137.058.157-25</x:v>
      </x:c>
      <x:c r="G3412" s="22" t="str">
        <x:f>"13705815725"</x:f>
        <x:v>13705815725</x:v>
      </x:c>
      <x:c r="H3412" s="23" t="str">
        <x:v>oficialsamfernandes@gmail.com</x:v>
      </x:c>
      <x:c r="I3412" s="22" t="str">
        <x:f>"22 999146791"</x:f>
        <x:v>22 999146791</x:v>
      </x:c>
      <x:c r="J3412" s="23" t="str">
        <x:v>SPOT</x:v>
      </x:c>
      <x:c r="K3412" s="23" t="str">
        <x:v>favored_only</x:v>
      </x:c>
      <x:c r="L3412" s="24" t="b">
        <x:v>1</x:v>
      </x:c>
      <x:c r="M3412" s="23" t="n">
        <x:v>1</x:v>
      </x:c>
      <x:c r="N3412" s="28" t="n">
        <x:v>46219.812988715275</x:v>
      </x:c>
      <x:c r="O3412" s="28" t="n">
        <x:v>46219.812988715275</x:v>
      </x:c>
      <x:c r="P3412" s="23" t="str">
        <x:v>CAMPOS DOS GOYTACAZES</x:v>
      </x:c>
      <x:c r="Q3412" s="30" t="n">
        <x:v>35901</x:v>
      </x:c>
      <x:c r="R3412" s="22" t="str">
        <x:f>"287710735"</x:f>
        <x:v>287710735</x:v>
      </x:c>
      <x:c r="S3412" s="23" t="str">
        <x:v>masculino</x:v>
      </x:c>
      <x:c r="T3412" s="22" t="str">
        <x:f>"kxl4h38"</x:f>
        <x:v>kxl4h38</x:v>
      </x:c>
      <x:c r="U3412" s="23" t="str">
        <x:v>LINCOLN DE ALMEIDA DA SILVA</x:v>
      </x:c>
      <x:c r="V3412" s="22" t="str">
        <x:f>"137.058.257-98"</x:f>
        <x:v>137.058.257-98</x:v>
      </x:c>
      <x:c r="W3412" s="22" t="str">
        <x:f>"13705825798"</x:f>
        <x:v>13705825798</x:v>
      </x:c>
      <x:c r="X3412" s="23" t="str">
        <x:v>lincolnalmeida5@gmail.com</x:v>
      </x:c>
      <x:c r="Y3412" s="22" t="str">
        <x:f>"22997828609"</x:f>
        <x:v>22997828609</x:v>
      </x:c>
      <x:c r="Z3412" s="30" t="n">
        <x:v>46541</x:v>
      </x:c>
    </x:row>
    <x:row r="3413" ht="18" customHeight="1">
      <x:c r="A3413" s="22" t="str">
        <x:f>"b4561dc8-2434-44b1-adb1-093bb4b24798"</x:f>
        <x:v>b4561dc8-2434-44b1-adb1-093bb4b24798</x:v>
      </x:c>
      <x:c r="B3413" s="23" t="str">
        <x:v>SAMUEL GONCALVES SILVA</x:v>
      </x:c>
      <x:c r="C3413" s="23" t="str">
        <x:v>samuel goncalves silva</x:v>
      </x:c>
      <x:c r="D3413" s="22" t="str">
        <x:f>"63.515.749/0001-91"</x:f>
        <x:v>63.515.749/0001-91</x:v>
      </x:c>
      <x:c r="E3413" s="22" t="str">
        <x:f>"63515749000191"</x:f>
        <x:v>63515749000191</x:v>
      </x:c>
      <x:c r="F3413" s="22" t="str">
        <x:f>"702.656.466-85"</x:f>
        <x:v>702.656.466-85</x:v>
      </x:c>
      <x:c r="G3413" s="22" t="str">
        <x:f>"70265646685"</x:f>
        <x:v>70265646685</x:v>
      </x:c>
      <x:c r="H3413" s="23" t="str">
        <x:v>Samuelgoncalves0409@gmail.com</x:v>
      </x:c>
      <x:c r="I3413" s="22" t="str">
        <x:f>"(47) 9 9241-9566"</x:f>
        <x:v>(47) 9 9241-9566</x:v>
      </x:c>
      <x:c r="J3413" s="23" t="str">
        <x:v>RENTAL</x:v>
      </x:c>
      <x:c r="K3413" s="23" t="str">
        <x:v>rental_company</x:v>
      </x:c>
      <x:c r="L3413" s="24" t="b">
        <x:v>1</x:v>
      </x:c>
      <x:c r="M3413" s="23" t="n">
        <x:v>1</x:v>
      </x:c>
      <x:c r="N3413" s="28" t="n">
        <x:v>46203.92189349537</x:v>
      </x:c>
      <x:c r="O3413" s="28" t="n">
        <x:v>46219.812988715275</x:v>
      </x:c>
      <x:c r="P3413" s="23" t="str">
        <x:v>UBERLANDIA</x:v>
      </x:c>
      <x:c r="Q3413" s="30" t="n">
        <x:v>38542</x:v>
      </x:c>
      <x:c r="R3413" s="22" t="str">
        <x:f>"21877720"</x:f>
        <x:v>21877720</x:v>
      </x:c>
      <x:c r="S3413" s="23" t="str">
        <x:v>masculino</x:v>
      </x:c>
      <x:c r="T3413" s="22" t="str"/>
      <x:c r="U3413" s="23" t="str">
        <x:v>SAMUEL GONCALVES SILVA</x:v>
      </x:c>
      <x:c r="V3413" s="22" t="str">
        <x:f>"702.656.466-85"</x:f>
        <x:v>702.656.466-85</x:v>
      </x:c>
      <x:c r="W3413" s="22" t="str">
        <x:f>"70265646685"</x:f>
        <x:v>70265646685</x:v>
      </x:c>
      <x:c r="X3413" s="23" t="str">
        <x:v>Samuelgoncalves0409@gmail.com</x:v>
      </x:c>
      <x:c r="Y3413" s="22" t="str">
        <x:f>"(47) 9 9241-9566"</x:f>
        <x:v>(47) 9 9241-9566</x:v>
      </x:c>
      <x:c r="Z3413" s="30" t="n">
        <x:v>46336</x:v>
      </x:c>
    </x:row>
    <x:row r="3414" ht="18" customHeight="1">
      <x:c r="A3414" s="22" t="str">
        <x:f>"4060f6be-6a5a-48e1-be26-cfa8ae525107"</x:f>
        <x:v>4060f6be-6a5a-48e1-be26-cfa8ae525107</x:v>
      </x:c>
      <x:c r="B3414" s="23" t="str">
        <x:v>SAMUEL IVAN DE SOUZA JUNIOR</x:v>
      </x:c>
      <x:c r="C3414" s="23" t="str">
        <x:v>samuel ivan de souza junior</x:v>
      </x:c>
      <x:c r="D3414" s="22" t="str">
        <x:f>"64.434.567/0001-59"</x:f>
        <x:v>64.434.567/0001-59</x:v>
      </x:c>
      <x:c r="E3414" s="22" t="str">
        <x:f>"64434567000159"</x:f>
        <x:v>64434567000159</x:v>
      </x:c>
      <x:c r="F3414" s="22" t="str">
        <x:f>"388.421.178-11"</x:f>
        <x:v>388.421.178-11</x:v>
      </x:c>
      <x:c r="G3414" s="22" t="str">
        <x:f>"38842117811"</x:f>
        <x:v>38842117811</x:v>
      </x:c>
      <x:c r="H3414" s="23" t="str">
        <x:v>samuelivandesouzajunior@gmail.com</x:v>
      </x:c>
      <x:c r="I3414" s="22" t="str">
        <x:f>"17 99767-1422"</x:f>
        <x:v>17 99767-1422</x:v>
      </x:c>
      <x:c r="J3414" s="23" t="str">
        <x:v>RENTAL</x:v>
      </x:c>
      <x:c r="K3414" s="23" t="str">
        <x:v>rental_company</x:v>
      </x:c>
      <x:c r="L3414" s="24" t="b">
        <x:v>1</x:v>
      </x:c>
      <x:c r="M3414" s="23" t="n">
        <x:v>1</x:v>
      </x:c>
      <x:c r="N3414" s="28" t="n">
        <x:v>46219.812988715275</x:v>
      </x:c>
      <x:c r="O3414" s="28" t="n">
        <x:v>46219.812988715275</x:v>
      </x:c>
      <x:c r="P3414" s="23" t="str">
        <x:v>SÃO JOSE DO RIO PRETO</x:v>
      </x:c>
      <x:c r="Q3414" s="30" t="n">
        <x:v>37060</x:v>
      </x:c>
      <x:c r="R3414" s="22" t="str">
        <x:f>"50261701"</x:f>
        <x:v>50261701</x:v>
      </x:c>
      <x:c r="S3414" s="23" t="str">
        <x:v>masculino</x:v>
      </x:c>
      <x:c r="T3414" s="22" t="str"/>
      <x:c r="U3414" s="23" t="str">
        <x:v>SAMUEL IVAN DE SOUZA JUNIOR</x:v>
      </x:c>
      <x:c r="V3414" s="22" t="str">
        <x:f>"388.421.178-11"</x:f>
        <x:v>388.421.178-11</x:v>
      </x:c>
      <x:c r="W3414" s="22" t="str">
        <x:f>"38842117811"</x:f>
        <x:v>38842117811</x:v>
      </x:c>
      <x:c r="X3414" s="23" t="str">
        <x:v>samuelivandesouzajunior@gmail.com</x:v>
      </x:c>
      <x:c r="Y3414" s="22" t="str">
        <x:f>"17 99767-1422"</x:f>
        <x:v>17 99767-1422</x:v>
      </x:c>
      <x:c r="Z3414" s="30" t="n">
        <x:v>46448</x:v>
      </x:c>
    </x:row>
    <x:row r="3415" ht="18" customHeight="1">
      <x:c r="A3415" s="22" t="str">
        <x:f>"16d372b2-f709-4773-815c-6be1d7d07619"</x:f>
        <x:v>16d372b2-f709-4773-815c-6be1d7d07619</x:v>
      </x:c>
      <x:c r="B3415" s="23" t="str">
        <x:v>SAMUEL LUCAS DE MOURA PEREIRA</x:v>
      </x:c>
      <x:c r="C3415" s="23" t="str">
        <x:v>samuel lucas de moura pereira</x:v>
      </x:c>
      <x:c r="D3415" s="22" t="str">
        <x:f>"65.317.256/0001-72"</x:f>
        <x:v>65.317.256/0001-72</x:v>
      </x:c>
      <x:c r="E3415" s="22" t="str">
        <x:f>"65317256000172"</x:f>
        <x:v>65317256000172</x:v>
      </x:c>
      <x:c r="F3415" s="22" t="str">
        <x:f>"113.253.096-21"</x:f>
        <x:v>113.253.096-21</x:v>
      </x:c>
      <x:c r="G3415" s="22" t="str">
        <x:f>"11325309621"</x:f>
        <x:v>11325309621</x:v>
      </x:c>
      <x:c r="H3415" s="23" t="str">
        <x:v>samuelvgp@hotmail.com</x:v>
      </x:c>
      <x:c r="I3415" s="22" t="str">
        <x:f>"33-98849-4700"</x:f>
        <x:v>33-98849-4700</x:v>
      </x:c>
      <x:c r="J3415" s="23" t="str">
        <x:v>SPOT</x:v>
      </x:c>
      <x:c r="K3415" s="23" t="str">
        <x:v>favored_only</x:v>
      </x:c>
      <x:c r="L3415" s="24" t="b">
        <x:v>1</x:v>
      </x:c>
      <x:c r="M3415" s="23" t="n">
        <x:v>1</x:v>
      </x:c>
      <x:c r="N3415" s="28" t="n">
        <x:v>46219.812988715275</x:v>
      </x:c>
      <x:c r="O3415" s="28" t="n">
        <x:v>46219.812988715275</x:v>
      </x:c>
      <x:c r="P3415" s="23" t="str">
        <x:v>GUANHAES</x:v>
      </x:c>
      <x:c r="Q3415" s="30" t="n">
        <x:v>33673</x:v>
      </x:c>
      <x:c r="R3415" s="22" t="str">
        <x:f>"178003480"</x:f>
        <x:v>178003480</x:v>
      </x:c>
      <x:c r="S3415" s="23" t="str">
        <x:v>masculino</x:v>
      </x:c>
      <x:c r="T3415" s="22" t="str">
        <x:f>"QOE2D27"</x:f>
        <x:v>QOE2D27</x:v>
      </x:c>
      <x:c r="U3415" s="23" t="str">
        <x:v>SAMUEL LUCAS DE MOURA PEREIRA</x:v>
      </x:c>
      <x:c r="V3415" s="22" t="str">
        <x:f>"113.253.096-21"</x:f>
        <x:v>113.253.096-21</x:v>
      </x:c>
      <x:c r="W3415" s="22" t="str">
        <x:f>"11325309621"</x:f>
        <x:v>11325309621</x:v>
      </x:c>
      <x:c r="X3415" s="23" t="str">
        <x:v>samuelvgp@hotmail.com</x:v>
      </x:c>
      <x:c r="Y3415" s="22" t="str">
        <x:f>"33-98849-4700"</x:f>
        <x:v>33-98849-4700</x:v>
      </x:c>
      <x:c r="Z3415" s="30" t="n">
        <x:v>46506</x:v>
      </x:c>
    </x:row>
    <x:row r="3416" ht="18" customHeight="1">
      <x:c r="A3416" s="22" t="str">
        <x:f>"41165315-b5b1-47db-acc1-347957dec505"</x:f>
        <x:v>41165315-b5b1-47db-acc1-347957dec505</x:v>
      </x:c>
      <x:c r="B3416" s="23" t="str">
        <x:v>SAMUEL LUIS FELIX BUONO</x:v>
      </x:c>
      <x:c r="C3416" s="23" t="str">
        <x:v>samuel luis felix buono</x:v>
      </x:c>
      <x:c r="D3416" s="22" t="str">
        <x:f>"67.798.510/0001-27"</x:f>
        <x:v>67.798.510/0001-27</x:v>
      </x:c>
      <x:c r="E3416" s="22" t="str">
        <x:f>"67798510000127"</x:f>
        <x:v>67798510000127</x:v>
      </x:c>
      <x:c r="F3416" s="22" t="str">
        <x:f>"511.701.158-96"</x:f>
        <x:v>511.701.158-96</x:v>
      </x:c>
      <x:c r="G3416" s="22" t="str">
        <x:f>"51170115896"</x:f>
        <x:v>51170115896</x:v>
      </x:c>
      <x:c r="H3416" s="23" t="str">
        <x:v>samuelbuono17@gmail.com</x:v>
      </x:c>
      <x:c r="I3416" s="22" t="str">
        <x:f>"18 99632-9094"</x:f>
        <x:v>18 99632-9094</x:v>
      </x:c>
      <x:c r="J3416" s="23" t="str">
        <x:v>RENTAL</x:v>
      </x:c>
      <x:c r="K3416" s="23" t="str">
        <x:v>rental_company</x:v>
      </x:c>
      <x:c r="L3416" s="24" t="b">
        <x:v>1</x:v>
      </x:c>
      <x:c r="M3416" s="23" t="n">
        <x:v>1</x:v>
      </x:c>
      <x:c r="N3416" s="28" t="n">
        <x:v>46219.812988715275</x:v>
      </x:c>
      <x:c r="O3416" s="28" t="n">
        <x:v>46219.812988715275</x:v>
      </x:c>
      <x:c r="P3416" s="23" t="str">
        <x:v>ARAÇATUBA</x:v>
      </x:c>
      <x:c r="Q3416" s="30" t="n">
        <x:v>36657</x:v>
      </x:c>
      <x:c r="R3416" s="22" t="str">
        <x:f>"57025565"</x:f>
        <x:v>57025565</x:v>
      </x:c>
      <x:c r="S3416" s="23" t="str">
        <x:v>masculino</x:v>
      </x:c>
      <x:c r="T3416" s="22" t="str"/>
      <x:c r="U3416" s="23" t="str">
        <x:v>SAMUEL LUIS FELIX BUONO</x:v>
      </x:c>
      <x:c r="V3416" s="22" t="str">
        <x:f>"511.701.158-96"</x:f>
        <x:v>511.701.158-96</x:v>
      </x:c>
      <x:c r="W3416" s="22" t="str">
        <x:f>"51170115896"</x:f>
        <x:v>51170115896</x:v>
      </x:c>
      <x:c r="X3416" s="23" t="str">
        <x:v>samuelbuono17@gmail.com</x:v>
      </x:c>
      <x:c r="Y3416" s="22" t="str">
        <x:f>"18 99632-9094"</x:f>
        <x:v>18 99632-9094</x:v>
      </x:c>
      <x:c r="Z3416" s="30" t="n">
        <x:v>46570</x:v>
      </x:c>
    </x:row>
    <x:row r="3417" ht="18" customHeight="1">
      <x:c r="A3417" s="22" t="str">
        <x:f>"89dc5d74-de6f-4360-a48a-5fdf334b1d39"</x:f>
        <x:v>89dc5d74-de6f-4360-a48a-5fdf334b1d39</x:v>
      </x:c>
      <x:c r="B3417" s="23" t="str">
        <x:v>SAMUEL PEREIRA DA SILVA EUSTÁQUIO</x:v>
      </x:c>
      <x:c r="C3417" s="23" t="str">
        <x:v>samuel pereira da silva eustaquio</x:v>
      </x:c>
      <x:c r="D3417" s="22" t="str">
        <x:f>"52.521.548/0001-80"</x:f>
        <x:v>52.521.548/0001-80</x:v>
      </x:c>
      <x:c r="E3417" s="22" t="str">
        <x:f>"52521548000180"</x:f>
        <x:v>52521548000180</x:v>
      </x:c>
      <x:c r="F3417" s="22" t="str">
        <x:f>"145.552.256-27"</x:f>
        <x:v>145.552.256-27</x:v>
      </x:c>
      <x:c r="G3417" s="22" t="str">
        <x:f>"14555225627"</x:f>
        <x:v>14555225627</x:v>
      </x:c>
      <x:c r="H3417" s="23" t="str">
        <x:v>Sp209361@gmail.com</x:v>
      </x:c>
      <x:c r="I3417" s="22" t="str">
        <x:f>"31981205446"</x:f>
        <x:v>31981205446</x:v>
      </x:c>
      <x:c r="J3417" s="23" t="str">
        <x:v>RENTAL</x:v>
      </x:c>
      <x:c r="K3417" s="23" t="str">
        <x:v>rental_company</x:v>
      </x:c>
      <x:c r="L3417" s="24" t="b">
        <x:v>1</x:v>
      </x:c>
      <x:c r="M3417" s="23" t="n">
        <x:v>1</x:v>
      </x:c>
      <x:c r="N3417" s="28" t="n">
        <x:v>46203.92189965278</x:v>
      </x:c>
      <x:c r="O3417" s="28" t="n">
        <x:v>46205.60787704861</x:v>
      </x:c>
      <x:c r="P3417" s="23" t="str">
        <x:v>NOVA LIMA</x:v>
      </x:c>
      <x:c r="Q3417" s="30" t="n">
        <x:v>36713</x:v>
      </x:c>
      <x:c r="R3417" s="22" t="str">
        <x:f>"17995522"</x:f>
        <x:v>17995522</x:v>
      </x:c>
      <x:c r="S3417" s="23" t="str">
        <x:v>Masculino</x:v>
      </x:c>
      <x:c r="T3417" s="22" t="str"/>
      <x:c r="U3417" s="23" t="str">
        <x:v>SAMUEL PEREIRA DA SILVA EUSTÁQUIO</x:v>
      </x:c>
      <x:c r="V3417" s="22" t="str">
        <x:f>"14555225627"</x:f>
        <x:v>14555225627</x:v>
      </x:c>
      <x:c r="W3417" s="22" t="str">
        <x:f>"14555225627"</x:f>
        <x:v>14555225627</x:v>
      </x:c>
      <x:c r="X3417" s="23" t="str">
        <x:v>Sp209361@gmail.com</x:v>
      </x:c>
      <x:c r="Y3417" s="22" t="str">
        <x:f>"31981205446"</x:f>
        <x:v>31981205446</x:v>
      </x:c>
      <x:c r="Z3417" s="30" t="n">
        <x:v>46204</x:v>
      </x:c>
    </x:row>
    <x:row r="3418" ht="18" customHeight="1">
      <x:c r="A3418" s="22" t="str">
        <x:f>"2192a99d-6ff3-479d-a3d7-10c908971c66"</x:f>
        <x:v>2192a99d-6ff3-479d-a3d7-10c908971c66</x:v>
      </x:c>
      <x:c r="B3418" s="23" t="str">
        <x:v>SAMUEL PINHO DOS SANTOS</x:v>
      </x:c>
      <x:c r="C3418" s="23" t="str">
        <x:v>samuel pinho dos santos</x:v>
      </x:c>
      <x:c r="D3418" s="22" t="str">
        <x:f>"50.103.052/0001-61"</x:f>
        <x:v>50.103.052/0001-61</x:v>
      </x:c>
      <x:c r="E3418" s="22" t="str">
        <x:f>"50103052000161"</x:f>
        <x:v>50103052000161</x:v>
      </x:c>
      <x:c r="F3418" s="22" t="str">
        <x:f>"143.701.337-69"</x:f>
        <x:v>143.701.337-69</x:v>
      </x:c>
      <x:c r="G3418" s="22" t="str">
        <x:f>"14370133769"</x:f>
        <x:v>14370133769</x:v>
      </x:c>
      <x:c r="H3418" s="23" t="str">
        <x:v>anunciosdigrj@gmail.com</x:v>
      </x:c>
      <x:c r="I3418" s="22" t="str">
        <x:f>"21999051719"</x:f>
        <x:v>21999051719</x:v>
      </x:c>
      <x:c r="J3418" s="23" t="str">
        <x:v>SPOT</x:v>
      </x:c>
      <x:c r="K3418" s="23" t="str">
        <x:v>favored_only</x:v>
      </x:c>
      <x:c r="L3418" s="24" t="b">
        <x:v>1</x:v>
      </x:c>
      <x:c r="M3418" s="23" t="n">
        <x:v>1</x:v>
      </x:c>
      <x:c r="N3418" s="28" t="n">
        <x:v>46219.812988715275</x:v>
      </x:c>
      <x:c r="O3418" s="28" t="n">
        <x:v>46219.812988715275</x:v>
      </x:c>
      <x:c r="P3418" s="23" t="str">
        <x:v>CAMPO GRANDE</x:v>
      </x:c>
      <x:c r="Q3418" s="30" t="n">
        <x:v>34604</x:v>
      </x:c>
      <x:c r="R3418" s="22" t="str">
        <x:f>"270232358"</x:f>
        <x:v>270232358</x:v>
      </x:c>
      <x:c r="S3418" s="23" t="str">
        <x:v>masculino</x:v>
      </x:c>
      <x:c r="T3418" s="22" t="str">
        <x:f>"KYC9A86"</x:f>
        <x:v>KYC9A86</x:v>
      </x:c>
      <x:c r="U3418" s="23" t="str">
        <x:v>SAMUEL PINHO DOS SANTOS</x:v>
      </x:c>
      <x:c r="V3418" s="22" t="str">
        <x:f>"143.701.337-69"</x:f>
        <x:v>143.701.337-69</x:v>
      </x:c>
      <x:c r="W3418" s="22" t="str">
        <x:f>"14370133769"</x:f>
        <x:v>14370133769</x:v>
      </x:c>
      <x:c r="X3418" s="23" t="str">
        <x:v>anunciosdigrj@gmail.com</x:v>
      </x:c>
      <x:c r="Y3418" s="22" t="str">
        <x:f>"21999051719"</x:f>
        <x:v>21999051719</x:v>
      </x:c>
      <x:c r="Z3418" s="30" t="n">
        <x:v>46498</x:v>
      </x:c>
    </x:row>
    <x:row r="3419" ht="18" customHeight="1">
      <x:c r="A3419" s="22" t="str">
        <x:f>"88b4b288-675d-4745-b283-29a941c1bcc1"</x:f>
        <x:v>88b4b288-675d-4745-b283-29a941c1bcc1</x:v>
      </x:c>
      <x:c r="B3419" s="23" t="str">
        <x:v>SAMUEL PINTO BRANDAO</x:v>
      </x:c>
      <x:c r="C3419" s="23" t="str">
        <x:v>samuel pinto brandao</x:v>
      </x:c>
      <x:c r="D3419" s="22" t="str">
        <x:f>"63.911.837/0001-02"</x:f>
        <x:v>63.911.837/0001-02</x:v>
      </x:c>
      <x:c r="E3419" s="22" t="str">
        <x:f>"63911837000102"</x:f>
        <x:v>63911837000102</x:v>
      </x:c>
      <x:c r="F3419" s="22" t="str">
        <x:f>"138.129.487-10"</x:f>
        <x:v>138.129.487-10</x:v>
      </x:c>
      <x:c r="G3419" s="22" t="str">
        <x:f>"13812948710"</x:f>
        <x:v>13812948710</x:v>
      </x:c>
      <x:c r="H3419" s="23" t="str">
        <x:v>samuelbrandao.rj@gmail.com</x:v>
      </x:c>
      <x:c r="I3419" s="22" t="str">
        <x:f>"21992050110"</x:f>
        <x:v>21992050110</x:v>
      </x:c>
      <x:c r="J3419" s="23" t="str">
        <x:v>SPOT</x:v>
      </x:c>
      <x:c r="K3419" s="23" t="str">
        <x:v>favored_only</x:v>
      </x:c>
      <x:c r="L3419" s="24" t="b">
        <x:v>1</x:v>
      </x:c>
      <x:c r="M3419" s="23" t="n">
        <x:v>2</x:v>
      </x:c>
      <x:c r="N3419" s="28" t="n">
        <x:v>46203.92189965278</x:v>
      </x:c>
      <x:c r="O3419" s="28" t="n">
        <x:v>46219.812988715275</x:v>
      </x:c>
      <x:c r="P3419" s="23" t="str">
        <x:v>CAMPO GRANDE</x:v>
      </x:c>
      <x:c r="Q3419" s="30" t="n">
        <x:v>33141</x:v>
      </x:c>
      <x:c r="R3419" s="22" t="str">
        <x:f>"228572996"</x:f>
        <x:v>228572996</x:v>
      </x:c>
      <x:c r="S3419" s="23" t="str">
        <x:v>masculino</x:v>
      </x:c>
      <x:c r="T3419" s="22" t="str">
        <x:f>"QQH6F18"</x:f>
        <x:v>QQH6F18</x:v>
      </x:c>
      <x:c r="U3419" s="23" t="str">
        <x:v>SAMUEL PINTO BRANDAO</x:v>
      </x:c>
      <x:c r="V3419" s="22" t="str">
        <x:f>"138.129.487-10"</x:f>
        <x:v>138.129.487-10</x:v>
      </x:c>
      <x:c r="W3419" s="22" t="str">
        <x:f>"13812948710"</x:f>
        <x:v>13812948710</x:v>
      </x:c>
      <x:c r="X3419" s="23" t="str">
        <x:v>samuelbrandao.rj@gmail.com</x:v>
      </x:c>
      <x:c r="Y3419" s="22" t="str">
        <x:f>"21992050110"</x:f>
        <x:v>21992050110</x:v>
      </x:c>
      <x:c r="Z3419" s="30" t="n">
        <x:v>46498</x:v>
      </x:c>
    </x:row>
    <x:row r="3420" ht="18" customHeight="1">
      <x:c r="A3420" s="22" t="str">
        <x:f>"0f4518d8-6170-49d3-bfe7-768baed619bf"</x:f>
        <x:v>0f4518d8-6170-49d3-bfe7-768baed619bf</x:v>
      </x:c>
      <x:c r="B3420" s="23" t="str">
        <x:v>SAMUEL VICTOR DE MOURA FERNANDES</x:v>
      </x:c>
      <x:c r="C3420" s="23" t="str">
        <x:v>samuel victor de moura fernandes</x:v>
      </x:c>
      <x:c r="D3420" s="22" t="str">
        <x:f>"50.331.331/0001-82"</x:f>
        <x:v>50.331.331/0001-82</x:v>
      </x:c>
      <x:c r="E3420" s="22" t="str">
        <x:f>"50331331000182"</x:f>
        <x:v>50331331000182</x:v>
      </x:c>
      <x:c r="F3420" s="22" t="str">
        <x:f>"015.816.406-76"</x:f>
        <x:v>015.816.406-76</x:v>
      </x:c>
      <x:c r="G3420" s="22" t="str">
        <x:f>"01581640676"</x:f>
        <x:v>01581640676</x:v>
      </x:c>
      <x:c r="H3420" s="23" t="str">
        <x:v>samuel_victor33@hotmail.com</x:v>
      </x:c>
      <x:c r="I3420" s="22" t="str">
        <x:f>"(34) 99195-8237"</x:f>
        <x:v>(34) 99195-8237</x:v>
      </x:c>
      <x:c r="J3420" s="23" t="str">
        <x:v>SPOT</x:v>
      </x:c>
      <x:c r="K3420" s="23" t="str">
        <x:v>favored_only</x:v>
      </x:c>
      <x:c r="L3420" s="24" t="b">
        <x:v>1</x:v>
      </x:c>
      <x:c r="M3420" s="23" t="n">
        <x:v>1</x:v>
      </x:c>
      <x:c r="N3420" s="28" t="n">
        <x:v>46219.812988715275</x:v>
      </x:c>
      <x:c r="O3420" s="28" t="n">
        <x:v>46219.812988715275</x:v>
      </x:c>
      <x:c r="P3420" s="23" t="str">
        <x:v>ARAXÁ</x:v>
      </x:c>
      <x:c r="Q3420" s="30" t="n">
        <x:v>35271</x:v>
      </x:c>
      <x:c r="R3420" s="22" t="str">
        <x:f>"MG17301390"</x:f>
        <x:v>MG17301390</x:v>
      </x:c>
      <x:c r="S3420" s="23" t="str">
        <x:v>masculino</x:v>
      </x:c>
      <x:c r="T3420" s="22" t="str">
        <x:f>"PUN9D76"</x:f>
        <x:v>PUN9D76</x:v>
      </x:c>
      <x:c r="U3420" s="23" t="str">
        <x:v>MARCO ANTONIO FERREIRA</x:v>
      </x:c>
      <x:c r="V3420" s="22" t="str">
        <x:f>"755.356.376-53"</x:f>
        <x:v>755.356.376-53</x:v>
      </x:c>
      <x:c r="W3420" s="22" t="str">
        <x:f>"75535637653"</x:f>
        <x:v>75535637653</x:v>
      </x:c>
      <x:c r="X3420" s="23" t="str">
        <x:v>marcoantoniooferr@gmail.com</x:v>
      </x:c>
      <x:c r="Y3420" s="22" t="str">
        <x:f>"34988411877"</x:f>
        <x:v>34988411877</x:v>
      </x:c>
      <x:c r="Z3420" s="30" t="n">
        <x:v>46420</x:v>
      </x:c>
    </x:row>
    <x:row r="3421" ht="18" customHeight="1">
      <x:c r="A3421" s="22" t="str">
        <x:f>"29e54593-2c77-4868-8d68-e3f635e7908e"</x:f>
        <x:v>29e54593-2c77-4868-8d68-e3f635e7908e</x:v>
      </x:c>
      <x:c r="B3421" s="23" t="str">
        <x:v>SAMY LUIZ GONCALVES SERVIO</x:v>
      </x:c>
      <x:c r="C3421" s="23" t="str">
        <x:v>samy luiz goncalves servio</x:v>
      </x:c>
      <x:c r="D3421" s="22" t="str">
        <x:f>"36.055.435/0001-80"</x:f>
        <x:v>36.055.435/0001-80</x:v>
      </x:c>
      <x:c r="E3421" s="22" t="str">
        <x:f>"36055435000180"</x:f>
        <x:v>36055435000180</x:v>
      </x:c>
      <x:c r="F3421" s="22" t="str">
        <x:f>"142.426.986-58"</x:f>
        <x:v>142.426.986-58</x:v>
      </x:c>
      <x:c r="G3421" s="22" t="str">
        <x:f>"14242698658"</x:f>
        <x:v>14242698658</x:v>
      </x:c>
      <x:c r="H3421" s="23" t="str">
        <x:v>studiosamy50@gmail.com</x:v>
      </x:c>
      <x:c r="I3421" s="22" t="str">
        <x:f>"3199695-6522"</x:f>
        <x:v>3199695-6522</x:v>
      </x:c>
      <x:c r="J3421" s="23" t="str">
        <x:v>SPOT</x:v>
      </x:c>
      <x:c r="K3421" s="23" t="str">
        <x:v>favored_only</x:v>
      </x:c>
      <x:c r="L3421" s="24" t="b">
        <x:v>1</x:v>
      </x:c>
      <x:c r="M3421" s="23" t="n">
        <x:v>1</x:v>
      </x:c>
      <x:c r="N3421" s="28" t="n">
        <x:v>46203.92189965278</x:v>
      </x:c>
      <x:c r="O3421" s="28" t="n">
        <x:v>46219.812988715275</x:v>
      </x:c>
      <x:c r="P3421" s="23" t="str">
        <x:v>VESPASIANO</x:v>
      </x:c>
      <x:c r="Q3421" s="30" t="n">
        <x:v>36334</x:v>
      </x:c>
      <x:c r="R3421" s="22" t="str">
        <x:f>"MG-17170329"</x:f>
        <x:v>MG-17170329</x:v>
      </x:c>
      <x:c r="S3421" s="23" t="str">
        <x:v>masculino</x:v>
      </x:c>
      <x:c r="T3421" s="22" t="str">
        <x:f>"RTK9A47"</x:f>
        <x:v>RTK9A47</x:v>
      </x:c>
      <x:c r="U3421" s="23" t="str">
        <x:v>SAMY LUIZ GONCALVES SERVIO</x:v>
      </x:c>
      <x:c r="V3421" s="22" t="str">
        <x:f>"142.426.986-58"</x:f>
        <x:v>142.426.986-58</x:v>
      </x:c>
      <x:c r="W3421" s="22" t="str">
        <x:f>"14242698658"</x:f>
        <x:v>14242698658</x:v>
      </x:c>
      <x:c r="X3421" s="23" t="str">
        <x:v>studiosamy50@gmail.com</x:v>
      </x:c>
      <x:c r="Y3421" s="22" t="str">
        <x:f>"3199695-6522"</x:f>
        <x:v>3199695-6522</x:v>
      </x:c>
      <x:c r="Z3421" s="30" t="n">
        <x:v>46350</x:v>
      </x:c>
    </x:row>
    <x:row r="3422" ht="18" customHeight="1">
      <x:c r="A3422" s="22" t="str">
        <x:f>"ced680dd-2cd7-4722-a050-8f271282aeaf"</x:f>
        <x:v>ced680dd-2cd7-4722-a050-8f271282aeaf</x:v>
      </x:c>
      <x:c r="B3422" s="23" t="str">
        <x:v>SANDER RODRIGUES DA SILVA</x:v>
      </x:c>
      <x:c r="C3422" s="23" t="str">
        <x:v>sander rodrigues da silva</x:v>
      </x:c>
      <x:c r="D3422" s="22" t="str">
        <x:f>"66.219.948/0001-40"</x:f>
        <x:v>66.219.948/0001-40</x:v>
      </x:c>
      <x:c r="E3422" s="22" t="str">
        <x:f>"66219948000140"</x:f>
        <x:v>66219948000140</x:v>
      </x:c>
      <x:c r="F3422" s="22" t="str">
        <x:f>"047.870.236-16"</x:f>
        <x:v>047.870.236-16</x:v>
      </x:c>
      <x:c r="G3422" s="22" t="str">
        <x:f>"04787023616"</x:f>
        <x:v>04787023616</x:v>
      </x:c>
      <x:c r="H3422" s="23" t="str">
        <x:v>Sander.far@hotmail.com</x:v>
      </x:c>
      <x:c r="I3422" s="22" t="str">
        <x:f>"3496605000"</x:f>
        <x:v>3496605000</x:v>
      </x:c>
      <x:c r="J3422" s="23" t="str">
        <x:v>RENTAL</x:v>
      </x:c>
      <x:c r="K3422" s="23" t="str">
        <x:v>rental_company</x:v>
      </x:c>
      <x:c r="L3422" s="24" t="b">
        <x:v>1</x:v>
      </x:c>
      <x:c r="M3422" s="23" t="n">
        <x:v>1</x:v>
      </x:c>
      <x:c r="N3422" s="28" t="n">
        <x:v>46219.812988715275</x:v>
      </x:c>
      <x:c r="O3422" s="28" t="n">
        <x:v>46219.812988715275</x:v>
      </x:c>
      <x:c r="P3422" s="23" t="str">
        <x:v>UBERABA</x:v>
      </x:c>
      <x:c r="Q3422" s="30" t="n">
        <x:v>29463</x:v>
      </x:c>
      <x:c r="R3422" s="22" t="str">
        <x:f>"12012015"</x:f>
        <x:v>12012015</x:v>
      </x:c>
      <x:c r="S3422" s="23" t="str">
        <x:v>masculino</x:v>
      </x:c>
      <x:c r="T3422" s="22" t="str"/>
      <x:c r="U3422" s="23" t="str">
        <x:v>SANDER RODRIGUES DA SILVA</x:v>
      </x:c>
      <x:c r="V3422" s="22" t="str">
        <x:f>"047.870.236-16"</x:f>
        <x:v>047.870.236-16</x:v>
      </x:c>
      <x:c r="W3422" s="22" t="str">
        <x:f>"04787023616"</x:f>
        <x:v>04787023616</x:v>
      </x:c>
      <x:c r="X3422" s="23" t="str">
        <x:v>Sander.far@hotmail.com</x:v>
      </x:c>
      <x:c r="Y3422" s="22" t="str">
        <x:f>"3496605000"</x:f>
        <x:v>3496605000</x:v>
      </x:c>
      <x:c r="Z3422" s="30" t="n">
        <x:v>46547</x:v>
      </x:c>
    </x:row>
    <x:row r="3423" ht="18" customHeight="1">
      <x:c r="A3423" s="22" t="str">
        <x:f>"876e6c99-6bda-4bc1-97a1-fb3bea7ffd65"</x:f>
        <x:v>876e6c99-6bda-4bc1-97a1-fb3bea7ffd65</x:v>
      </x:c>
      <x:c r="B3423" s="23" t="str">
        <x:v>SANDRA CAMARA DE FRANCA</x:v>
      </x:c>
      <x:c r="C3423" s="23" t="str">
        <x:v>sandra camara de franca</x:v>
      </x:c>
      <x:c r="D3423" s="22" t="str">
        <x:f>"61.534.290/0001-48"</x:f>
        <x:v>61.534.290/0001-48</x:v>
      </x:c>
      <x:c r="E3423" s="22" t="str">
        <x:f>"61534290000148"</x:f>
        <x:v>61534290000148</x:v>
      </x:c>
      <x:c r="F3423" s="22" t="str">
        <x:f>"053.273.437-82"</x:f>
        <x:v>053.273.437-82</x:v>
      </x:c>
      <x:c r="G3423" s="22" t="str">
        <x:f>"05327343782"</x:f>
        <x:v>05327343782</x:v>
      </x:c>
      <x:c r="H3423" s="23" t="str">
        <x:v>francacamara@yahoo.com</x:v>
      </x:c>
      <x:c r="I3423" s="22" t="str">
        <x:f>"21 988532056"</x:f>
        <x:v>21 988532056</x:v>
      </x:c>
      <x:c r="J3423" s="23" t="str">
        <x:v>SPOT</x:v>
      </x:c>
      <x:c r="K3423" s="23" t="str">
        <x:v>favored_only</x:v>
      </x:c>
      <x:c r="L3423" s="24" t="b">
        <x:v>1</x:v>
      </x:c>
      <x:c r="M3423" s="23" t="n">
        <x:v>1</x:v>
      </x:c>
      <x:c r="N3423" s="28" t="n">
        <x:v>46219.812988715275</x:v>
      </x:c>
      <x:c r="O3423" s="28" t="n">
        <x:v>46219.812988715275</x:v>
      </x:c>
      <x:c r="P3423" s="23" t="str">
        <x:v>CAMPO GRANDE</x:v>
      </x:c>
      <x:c r="Q3423" s="30" t="n">
        <x:v>29622</x:v>
      </x:c>
      <x:c r="R3423" s="22" t="str">
        <x:f>"115885782"</x:f>
        <x:v>115885782</x:v>
      </x:c>
      <x:c r="S3423" s="23" t="str">
        <x:v>feminino</x:v>
      </x:c>
      <x:c r="T3423" s="22" t="str">
        <x:f>"KVS6A72"</x:f>
        <x:v>KVS6A72</x:v>
      </x:c>
      <x:c r="U3423" s="23" t="str">
        <x:v>SANDRA CAMARA DE FRANCA</x:v>
      </x:c>
      <x:c r="V3423" s="22" t="str">
        <x:f>"053.273.437-82"</x:f>
        <x:v>053.273.437-82</x:v>
      </x:c>
      <x:c r="W3423" s="22" t="str">
        <x:f>"05327343782"</x:f>
        <x:v>05327343782</x:v>
      </x:c>
      <x:c r="X3423" s="23" t="str">
        <x:v>francacamara@yahoo.com</x:v>
      </x:c>
      <x:c r="Y3423" s="22" t="str">
        <x:f>"21 988532056"</x:f>
        <x:v>21 988532056</x:v>
      </x:c>
      <x:c r="Z3423" s="30" t="n">
        <x:v>46409</x:v>
      </x:c>
    </x:row>
    <x:row r="3424" ht="18" customHeight="1">
      <x:c r="A3424" s="22" t="str">
        <x:f>"17e9ae1d-bb3c-4cdc-a8e8-c5afc221bcdd"</x:f>
        <x:v>17e9ae1d-bb3c-4cdc-a8e8-c5afc221bcdd</x:v>
      </x:c>
      <x:c r="B3424" s="23" t="str">
        <x:v>SANDRA HELENA BRAUS MASSOCA</x:v>
      </x:c>
      <x:c r="C3424" s="23" t="str">
        <x:v>sandra helena braus massoca</x:v>
      </x:c>
      <x:c r="D3424" s="22" t="str">
        <x:f>"37.001.903/0001-05"</x:f>
        <x:v>37.001.903/0001-05</x:v>
      </x:c>
      <x:c r="E3424" s="22" t="str">
        <x:f>"37001903000105"</x:f>
        <x:v>37001903000105</x:v>
      </x:c>
      <x:c r="F3424" s="22" t="str">
        <x:f>"311.883.688-18"</x:f>
        <x:v>311.883.688-18</x:v>
      </x:c>
      <x:c r="G3424" s="22" t="str">
        <x:f>"31188368818"</x:f>
        <x:v>31188368818</x:v>
      </x:c>
      <x:c r="H3424" s="23" t="str">
        <x:v>sandrabraus04@gmail.com</x:v>
      </x:c>
      <x:c r="I3424" s="22" t="str">
        <x:f>"(14) 99682-4222"</x:f>
        <x:v>(14) 99682-4222</x:v>
      </x:c>
      <x:c r="J3424" s="23" t="str">
        <x:v>SPOT</x:v>
      </x:c>
      <x:c r="K3424" s="23" t="str">
        <x:v>favored_only</x:v>
      </x:c>
      <x:c r="L3424" s="24" t="b">
        <x:v>1</x:v>
      </x:c>
      <x:c r="M3424" s="23" t="n">
        <x:v>1</x:v>
      </x:c>
      <x:c r="N3424" s="28" t="n">
        <x:v>46205.60642538194</x:v>
      </x:c>
      <x:c r="O3424" s="28" t="n">
        <x:v>46219.812988715275</x:v>
      </x:c>
      <x:c r="P3424" s="23" t="str">
        <x:v>MARILIA</x:v>
      </x:c>
      <x:c r="Q3424" s="30" t="n">
        <x:v>22719</x:v>
      </x:c>
      <x:c r="R3424" s="22" t="str">
        <x:f>"14606543"</x:f>
        <x:v>14606543</x:v>
      </x:c>
      <x:c r="S3424" s="23" t="str">
        <x:v>feminino</x:v>
      </x:c>
      <x:c r="T3424" s="22" t="str">
        <x:f>"GIV8I50"</x:f>
        <x:v>GIV8I50</x:v>
      </x:c>
      <x:c r="U3424" s="23" t="str">
        <x:v>JOSIMAR DA SILVA DE OLIVEIRA</x:v>
      </x:c>
      <x:c r="V3424" s="22" t="str">
        <x:f>"359.520.908-77"</x:f>
        <x:v>359.520.908-77</x:v>
      </x:c>
      <x:c r="W3424" s="22" t="str">
        <x:f>"35952090877"</x:f>
        <x:v>35952090877</x:v>
      </x:c>
      <x:c r="X3424" s="23" t="str">
        <x:v>financeiro@rbinox.com</x:v>
      </x:c>
      <x:c r="Y3424" s="22" t="str">
        <x:f>"(14) 99799-2823 / (14) 99794-9106"</x:f>
        <x:v>(14) 99799-2823 / (14) 99794-9106</x:v>
      </x:c>
      <x:c r="Z3424" s="30" t="n">
        <x:v>46359</x:v>
      </x:c>
    </x:row>
    <x:row r="3425" ht="18" customHeight="1">
      <x:c r="A3425" s="22" t="str">
        <x:f>"81daeb7c-cf64-4d41-a311-cddc7bfb29d4"</x:f>
        <x:v>81daeb7c-cf64-4d41-a311-cddc7bfb29d4</x:v>
      </x:c>
      <x:c r="B3425" s="23" t="str">
        <x:v>SANDRA MARIA DE ARRUDA PEREIRA</x:v>
      </x:c>
      <x:c r="C3425" s="23" t="str">
        <x:v>sandra maria de arruda pereira</x:v>
      </x:c>
      <x:c r="D3425" s="22" t="str">
        <x:f>"55.783.923/0001-59"</x:f>
        <x:v>55.783.923/0001-59</x:v>
      </x:c>
      <x:c r="E3425" s="22" t="str">
        <x:f>"55783923000159"</x:f>
        <x:v>55783923000159</x:v>
      </x:c>
      <x:c r="F3425" s="22" t="str">
        <x:f>"241.588.521-53"</x:f>
        <x:v>241.588.521-53</x:v>
      </x:c>
      <x:c r="G3425" s="22" t="str">
        <x:f>"24158852153"</x:f>
        <x:v>24158852153</x:v>
      </x:c>
      <x:c r="H3425" s="23" t="str">
        <x:v>sanarruda2010@hotmail.com</x:v>
      </x:c>
      <x:c r="I3425" s="22" t="str">
        <x:f>"65981695365"</x:f>
        <x:v>65981695365</x:v>
      </x:c>
      <x:c r="J3425" s="23" t="str">
        <x:v>SPOT</x:v>
      </x:c>
      <x:c r="K3425" s="23" t="str">
        <x:v>favored_only</x:v>
      </x:c>
      <x:c r="L3425" s="24" t="b">
        <x:v>1</x:v>
      </x:c>
      <x:c r="M3425" s="23" t="n">
        <x:v>2</x:v>
      </x:c>
      <x:c r="N3425" s="28" t="n">
        <x:v>46205.607166469905</x:v>
      </x:c>
      <x:c r="O3425" s="28" t="n">
        <x:v>46219.812988715275</x:v>
      </x:c>
      <x:c r="P3425" s="23" t="str">
        <x:v>CÁCERES</x:v>
      </x:c>
      <x:c r="Q3425" s="30" t="n">
        <x:v>21953</x:v>
      </x:c>
      <x:c r="R3425" s="22" t="str">
        <x:f>"1838857"</x:f>
        <x:v>1838857</x:v>
      </x:c>
      <x:c r="S3425" s="23" t="str">
        <x:v>feminino</x:v>
      </x:c>
      <x:c r="T3425" s="22" t="str">
        <x:f>"AXR7H38"</x:f>
        <x:v>AXR7H38</x:v>
      </x:c>
      <x:c r="U3425" s="23" t="str">
        <x:v>CAIQUE HENRIQUE DA CRUZ</x:v>
      </x:c>
      <x:c r="V3425" s="22" t="str">
        <x:f>"058.062.901-58"</x:f>
        <x:v>058.062.901-58</x:v>
      </x:c>
      <x:c r="W3425" s="22" t="str">
        <x:f>"05806290158"</x:f>
        <x:v>05806290158</x:v>
      </x:c>
      <x:c r="X3425" s="23" t="str">
        <x:v>caiquehenrique112@gmail.com</x:v>
      </x:c>
      <x:c r="Y3425" s="22" t="str">
        <x:f>"65981695365"</x:f>
        <x:v>65981695365</x:v>
      </x:c>
      <x:c r="Z3425" s="30" t="n">
        <x:v>46401</x:v>
      </x:c>
    </x:row>
    <x:row r="3426" ht="18" customHeight="1">
      <x:c r="A3426" s="22" t="str">
        <x:f>"63fc5779-2b3c-4089-990b-65fcf9e0ee47"</x:f>
        <x:v>63fc5779-2b3c-4089-990b-65fcf9e0ee47</x:v>
      </x:c>
      <x:c r="B3426" s="23" t="str">
        <x:v>SANDRA REGINA SABINO</x:v>
      </x:c>
      <x:c r="C3426" s="23" t="str">
        <x:v>sandra regina sabino</x:v>
      </x:c>
      <x:c r="D3426" s="22" t="str">
        <x:f>"67.554.979/0001-10"</x:f>
        <x:v>67.554.979/0001-10</x:v>
      </x:c>
      <x:c r="E3426" s="22" t="str">
        <x:f>"67554979000110"</x:f>
        <x:v>67554979000110</x:v>
      </x:c>
      <x:c r="F3426" s="22" t="str">
        <x:f>"119.035.278-80"</x:f>
        <x:v>119.035.278-80</x:v>
      </x:c>
      <x:c r="G3426" s="22" t="str">
        <x:f>"11903527880"</x:f>
        <x:v>11903527880</x:v>
      </x:c>
      <x:c r="H3426" s="23" t="str">
        <x:v>SANDRASABINO0969@GMAIL.COM</x:v>
      </x:c>
      <x:c r="I3426" s="22" t="str">
        <x:f>"18 996290277"</x:f>
        <x:v>18 996290277</x:v>
      </x:c>
      <x:c r="J3426" s="23" t="str">
        <x:v>SPOT</x:v>
      </x:c>
      <x:c r="K3426" s="23" t="str">
        <x:v>favored_only</x:v>
      </x:c>
      <x:c r="L3426" s="24" t="b">
        <x:v>1</x:v>
      </x:c>
      <x:c r="M3426" s="23" t="n">
        <x:v>1</x:v>
      </x:c>
      <x:c r="N3426" s="28" t="n">
        <x:v>46219.812988715275</x:v>
      </x:c>
      <x:c r="O3426" s="28" t="n">
        <x:v>46219.812988715275</x:v>
      </x:c>
      <x:c r="P3426" s="23" t="str">
        <x:v>PRESIDENTE PRUDENTE</x:v>
      </x:c>
      <x:c r="Q3426" s="30" t="n">
        <x:v>25475</x:v>
      </x:c>
      <x:c r="R3426" s="22" t="str">
        <x:f>"203736576"</x:f>
        <x:v>203736576</x:v>
      </x:c>
      <x:c r="S3426" s="23" t="str">
        <x:v>feminino</x:v>
      </x:c>
      <x:c r="T3426" s="22" t="str">
        <x:f>"QXY4E47"</x:f>
        <x:v>QXY4E47</x:v>
      </x:c>
      <x:c r="U3426" s="23" t="str">
        <x:v>JESSICA ALVES BATISTA</x:v>
      </x:c>
      <x:c r="V3426" s="22" t="str">
        <x:f>"337.829.198-23"</x:f>
        <x:v>337.829.198-23</x:v>
      </x:c>
      <x:c r="W3426" s="22" t="str">
        <x:f>"33782919823"</x:f>
        <x:v>33782919823</x:v>
      </x:c>
      <x:c r="X3426" s="23" t="str">
        <x:v>SANDRASABINO0969@GMAIL.COM</x:v>
      </x:c>
      <x:c r="Y3426" s="22" t="str">
        <x:f>"18 996290277"</x:f>
        <x:v>18 996290277</x:v>
      </x:c>
      <x:c r="Z3426" s="30" t="n">
        <x:v>46556</x:v>
      </x:c>
    </x:row>
    <x:row r="3427" ht="18" customHeight="1">
      <x:c r="A3427" s="22" t="str">
        <x:f>"d7faf5cc-8a71-451b-8a3a-6c3bcbd9ef81"</x:f>
        <x:v>d7faf5cc-8a71-451b-8a3a-6c3bcbd9ef81</x:v>
      </x:c>
      <x:c r="B3427" s="23" t="str">
        <x:v>SANDRO SANTOS DA SILVA</x:v>
      </x:c>
      <x:c r="C3427" s="23" t="str">
        <x:v>sandro santos da silva</x:v>
      </x:c>
      <x:c r="D3427" s="22" t="str">
        <x:f>"61.185.979/0001-04"</x:f>
        <x:v>61.185.979/0001-04</x:v>
      </x:c>
      <x:c r="E3427" s="22" t="str">
        <x:f>"61185979000104"</x:f>
        <x:v>61185979000104</x:v>
      </x:c>
      <x:c r="F3427" s="22" t="str">
        <x:f>"004.420.391-82"</x:f>
        <x:v>004.420.391-82</x:v>
      </x:c>
      <x:c r="G3427" s="22" t="str">
        <x:f>"00442039182"</x:f>
        <x:v>00442039182</x:v>
      </x:c>
      <x:c r="H3427" s="23" t="str">
        <x:v>sandroellenkaue@gmail.com</x:v>
      </x:c>
      <x:c r="I3427" s="22" t="str">
        <x:f>"65 9254-4724"</x:f>
        <x:v>65 9254-4724</x:v>
      </x:c>
      <x:c r="J3427" s="23" t="str">
        <x:v>SPOT</x:v>
      </x:c>
      <x:c r="K3427" s="23" t="str">
        <x:v>favored_only</x:v>
      </x:c>
      <x:c r="L3427" s="24" t="b">
        <x:v>1</x:v>
      </x:c>
      <x:c r="M3427" s="23" t="n">
        <x:v>1</x:v>
      </x:c>
      <x:c r="N3427" s="28" t="n">
        <x:v>46219.812988715275</x:v>
      </x:c>
      <x:c r="O3427" s="28" t="n">
        <x:v>46219.812988715275</x:v>
      </x:c>
      <x:c r="P3427" s="23" t="str">
        <x:v>CUIABA</x:v>
      </x:c>
      <x:c r="Q3427" s="30" t="n">
        <x:v>30104</x:v>
      </x:c>
      <x:c r="R3427" s="22" t="str">
        <x:f>"13283391"</x:f>
        <x:v>13283391</x:v>
      </x:c>
      <x:c r="S3427" s="23" t="str">
        <x:v>masculino</x:v>
      </x:c>
      <x:c r="T3427" s="22" t="str">
        <x:f>"QBZ6B66"</x:f>
        <x:v>QBZ6B66</x:v>
      </x:c>
      <x:c r="U3427" s="23" t="str">
        <x:v>ELEN REGINA DA COSTA PEREIRA</x:v>
      </x:c>
      <x:c r="V3427" s="22" t="str">
        <x:f>"727.685.251-20"</x:f>
        <x:v>727.685.251-20</x:v>
      </x:c>
      <x:c r="W3427" s="22" t="str">
        <x:f>"72768525120"</x:f>
        <x:v>72768525120</x:v>
      </x:c>
      <x:c r="X3427" s="23" t="str">
        <x:v>ginasilva28@gmail.com</x:v>
      </x:c>
      <x:c r="Y3427" s="22" t="str">
        <x:f>"65992414530"</x:f>
        <x:v>65992414530</x:v>
      </x:c>
      <x:c r="Z3427" s="30" t="n">
        <x:v>46436</x:v>
      </x:c>
    </x:row>
    <x:row r="3428" ht="18" customHeight="1">
      <x:c r="A3428" s="22" t="str">
        <x:f>"809bf8bb-b3ec-4935-b454-67056e613d5e"</x:f>
        <x:v>809bf8bb-b3ec-4935-b454-67056e613d5e</x:v>
      </x:c>
      <x:c r="B3428" s="23" t="str">
        <x:v>SANIO JUNIOR MARTINS CARVALHO</x:v>
      </x:c>
      <x:c r="C3428" s="23" t="str">
        <x:v>sanio junior martins carvalho</x:v>
      </x:c>
      <x:c r="D3428" s="22" t="str">
        <x:f>"50.758.693/0001-54"</x:f>
        <x:v>50.758.693/0001-54</x:v>
      </x:c>
      <x:c r="E3428" s="22" t="str">
        <x:f>"50758693000154"</x:f>
        <x:v>50758693000154</x:v>
      </x:c>
      <x:c r="F3428" s="22" t="str">
        <x:f>"141.339.306-30"</x:f>
        <x:v>141.339.306-30</x:v>
      </x:c>
      <x:c r="G3428" s="22" t="str">
        <x:f>"14133930630"</x:f>
        <x:v>14133930630</x:v>
      </x:c>
      <x:c r="H3428" s="23" t="str">
        <x:v>saniomartins79@gmail.com</x:v>
      </x:c>
      <x:c r="I3428" s="22" t="str">
        <x:f>"33999756768"</x:f>
        <x:v>33999756768</x:v>
      </x:c>
      <x:c r="J3428" s="23" t="str">
        <x:v>SPOT</x:v>
      </x:c>
      <x:c r="K3428" s="23" t="str">
        <x:v>favored_only</x:v>
      </x:c>
      <x:c r="L3428" s="24" t="b">
        <x:v>1</x:v>
      </x:c>
      <x:c r="M3428" s="23" t="n">
        <x:v>1</x:v>
      </x:c>
      <x:c r="N3428" s="28" t="n">
        <x:v>46205.60414122685</x:v>
      </x:c>
      <x:c r="O3428" s="28" t="n">
        <x:v>46219.812988715275</x:v>
      </x:c>
      <x:c r="P3428" s="23" t="str">
        <x:v>GUANHAES</x:v>
      </x:c>
      <x:c r="Q3428" s="30" t="n">
        <x:v>36805</x:v>
      </x:c>
      <x:c r="R3428" s="22" t="str">
        <x:f>"21420922"</x:f>
        <x:v>21420922</x:v>
      </x:c>
      <x:c r="S3428" s="23" t="str">
        <x:v>masculino</x:v>
      </x:c>
      <x:c r="T3428" s="22" t="str">
        <x:f>"PYF8G28"</x:f>
        <x:v>PYF8G28</x:v>
      </x:c>
      <x:c r="U3428" s="23" t="str">
        <x:v>GILZELY APARECIDA ROCHA</x:v>
      </x:c>
      <x:c r="V3428" s="22" t="str">
        <x:f>"069.705.956-17"</x:f>
        <x:v>069.705.956-17</x:v>
      </x:c>
      <x:c r="W3428" s="22" t="str">
        <x:f>"06970595617"</x:f>
        <x:v>06970595617</x:v>
      </x:c>
      <x:c r="X3428" s="23" t="str">
        <x:v>giselebsg02@gmail.com</x:v>
      </x:c>
      <x:c r="Y3428" s="22" t="str">
        <x:f>"33 99857-1633"</x:f>
        <x:v>33 99857-1633</x:v>
      </x:c>
      <x:c r="Z3428" s="30" t="n">
        <x:v>46260</x:v>
      </x:c>
    </x:row>
    <x:row r="3429" ht="18" customHeight="1">
      <x:c r="A3429" s="22" t="str">
        <x:f>"aeaf4f9d-586f-4da4-84d0-719342891020"</x:f>
        <x:v>aeaf4f9d-586f-4da4-84d0-719342891020</x:v>
      </x:c>
      <x:c r="B3429" s="23" t="str">
        <x:v>SANIO JUNIOR MARTINS CARVALHO</x:v>
      </x:c>
      <x:c r="C3429" s="23" t="str">
        <x:v>sanio junior martins carvalho</x:v>
      </x:c>
      <x:c r="D3429" s="22" t="str">
        <x:f>"64.966.316/0001-15"</x:f>
        <x:v>64.966.316/0001-15</x:v>
      </x:c>
      <x:c r="E3429" s="22" t="str">
        <x:f>"64966316000115"</x:f>
        <x:v>64966316000115</x:v>
      </x:c>
      <x:c r="F3429" s="22" t="str">
        <x:f>"141.339.306-30"</x:f>
        <x:v>141.339.306-30</x:v>
      </x:c>
      <x:c r="G3429" s="22" t="str">
        <x:f>"14133930630"</x:f>
        <x:v>14133930630</x:v>
      </x:c>
      <x:c r="H3429" s="23" t="str">
        <x:v>saniomartins79@gmail.com</x:v>
      </x:c>
      <x:c r="I3429" s="22" t="str">
        <x:f>"33999756768"</x:f>
        <x:v>33999756768</x:v>
      </x:c>
      <x:c r="J3429" s="23" t="str">
        <x:v>SPOT</x:v>
      </x:c>
      <x:c r="K3429" s="23" t="str">
        <x:v>favored_only</x:v>
      </x:c>
      <x:c r="L3429" s="24" t="b">
        <x:v>1</x:v>
      </x:c>
      <x:c r="M3429" s="23" t="n">
        <x:v>1</x:v>
      </x:c>
      <x:c r="N3429" s="28" t="n">
        <x:v>46219.812988715275</x:v>
      </x:c>
      <x:c r="O3429" s="28" t="n">
        <x:v>46219.812988715275</x:v>
      </x:c>
      <x:c r="P3429" s="23" t="str">
        <x:v>GUANHAES</x:v>
      </x:c>
      <x:c r="Q3429" s="30" t="n">
        <x:v>36805</x:v>
      </x:c>
      <x:c r="R3429" s="22" t="str">
        <x:f>"21420922"</x:f>
        <x:v>21420922</x:v>
      </x:c>
      <x:c r="S3429" s="23" t="str">
        <x:v>masculino</x:v>
      </x:c>
      <x:c r="T3429" s="22" t="str">
        <x:f>"FST6B30"</x:f>
        <x:v>FST6B30</x:v>
      </x:c>
      <x:c r="U3429" s="23" t="str">
        <x:v>JOLIARDE ARAUJO ROCHA</x:v>
      </x:c>
      <x:c r="V3429" s="22" t="str">
        <x:f>"059.302.176-29"</x:f>
        <x:v>059.302.176-29</x:v>
      </x:c>
      <x:c r="W3429" s="22" t="str">
        <x:f>"05930217629"</x:f>
        <x:v>05930217629</x:v>
      </x:c>
      <x:c r="X3429" s="23" t="str">
        <x:v>Rochajuh48@gmail.com</x:v>
      </x:c>
      <x:c r="Y3429" s="22" t="str">
        <x:f>"33998727778"</x:f>
        <x:v>33998727778</x:v>
      </x:c>
      <x:c r="Z3429" s="30" t="n">
        <x:v>46451</x:v>
      </x:c>
    </x:row>
    <x:row r="3430" ht="18" customHeight="1">
      <x:c r="A3430" s="22" t="str">
        <x:f>"d219b9e0-c7bf-405b-831e-ec731dc2a05b"</x:f>
        <x:v>d219b9e0-c7bf-405b-831e-ec731dc2a05b</x:v>
      </x:c>
      <x:c r="B3430" s="23" t="str">
        <x:v>SAULO DE AGUIAR PEREIRA SOBRINHO</x:v>
      </x:c>
      <x:c r="C3430" s="23" t="str">
        <x:v>saulo de aguiar pereira sobrinho</x:v>
      </x:c>
      <x:c r="D3430" s="22" t="str">
        <x:f>"50.266.947/0001-17"</x:f>
        <x:v>50.266.947/0001-17</x:v>
      </x:c>
      <x:c r="E3430" s="22" t="str">
        <x:f>"50266947000117"</x:f>
        <x:v>50266947000117</x:v>
      </x:c>
      <x:c r="F3430" s="22" t="str">
        <x:f>"126.143.647-46"</x:f>
        <x:v>126.143.647-46</x:v>
      </x:c>
      <x:c r="G3430" s="22" t="str">
        <x:f>"12614364746"</x:f>
        <x:v>12614364746</x:v>
      </x:c>
      <x:c r="H3430" s="23" t="str">
        <x:v>Saulodeaguiar0408@gmail.com</x:v>
      </x:c>
      <x:c r="I3430" s="22" t="str">
        <x:f>"21997064854"</x:f>
        <x:v>21997064854</x:v>
      </x:c>
      <x:c r="J3430" s="23" t="str">
        <x:v>SPOT</x:v>
      </x:c>
      <x:c r="K3430" s="23" t="str">
        <x:v>favored_only</x:v>
      </x:c>
      <x:c r="L3430" s="24" t="b">
        <x:v>1</x:v>
      </x:c>
      <x:c r="M3430" s="23" t="n">
        <x:v>1</x:v>
      </x:c>
      <x:c r="N3430" s="28" t="n">
        <x:v>46203.921887453704</x:v>
      </x:c>
      <x:c r="O3430" s="28" t="n">
        <x:v>46219.812988715275</x:v>
      </x:c>
      <x:c r="P3430" s="23" t="str">
        <x:v>CORDOVIL</x:v>
      </x:c>
      <x:c r="Q3430" s="30" t="n">
        <x:v>32940</x:v>
      </x:c>
      <x:c r="R3430" s="22" t="str">
        <x:f>"235240207"</x:f>
        <x:v>235240207</x:v>
      </x:c>
      <x:c r="S3430" s="23" t="str">
        <x:v>masculino</x:v>
      </x:c>
      <x:c r="T3430" s="22" t="str">
        <x:f>"PZU0G54"</x:f>
        <x:v>PZU0G54</x:v>
      </x:c>
      <x:c r="U3430" s="23" t="str">
        <x:v>SAULO DE AGUIAR PEREIRA SOBRINHO</x:v>
      </x:c>
      <x:c r="V3430" s="22" t="str">
        <x:f>"126.143.647-46"</x:f>
        <x:v>126.143.647-46</x:v>
      </x:c>
      <x:c r="W3430" s="22" t="str">
        <x:f>"12614364746"</x:f>
        <x:v>12614364746</x:v>
      </x:c>
      <x:c r="X3430" s="23" t="str">
        <x:v>Saulodeaguiar0408@gmail.com</x:v>
      </x:c>
      <x:c r="Y3430" s="22" t="str">
        <x:f>"21997064854"</x:f>
        <x:v>21997064854</x:v>
      </x:c>
      <x:c r="Z3430" s="30" t="n">
        <x:v>46329</x:v>
      </x:c>
    </x:row>
    <x:row r="3431" ht="18" customHeight="1">
      <x:c r="A3431" s="22" t="str">
        <x:f>"de5529ad-262b-4d2d-8552-f60cf490cbe3"</x:f>
        <x:v>de5529ad-262b-4d2d-8552-f60cf490cbe3</x:v>
      </x:c>
      <x:c r="B3431" s="23" t="str">
        <x:v>SCARLET MOON REZENDE HONORATO</x:v>
      </x:c>
      <x:c r="C3431" s="23" t="str">
        <x:v>scarlet moon rezende honorato</x:v>
      </x:c>
      <x:c r="D3431" s="22" t="str">
        <x:f>"61.290.083/0001-95"</x:f>
        <x:v>61.290.083/0001-95</x:v>
      </x:c>
      <x:c r="E3431" s="22" t="str">
        <x:f>"61290083000195"</x:f>
        <x:v>61290083000195</x:v>
      </x:c>
      <x:c r="F3431" s="22" t="str">
        <x:f>"006.298.281-80"</x:f>
        <x:v>006.298.281-80</x:v>
      </x:c>
      <x:c r="G3431" s="22" t="str">
        <x:f>"00629828180"</x:f>
        <x:v>00629828180</x:v>
      </x:c>
      <x:c r="H3431" s="23" t="str">
        <x:v>scarletinha86@gmail.com</x:v>
      </x:c>
      <x:c r="I3431" s="22" t="str">
        <x:f>"66999202637"</x:f>
        <x:v>66999202637</x:v>
      </x:c>
      <x:c r="J3431" s="23" t="str">
        <x:v>SPOT</x:v>
      </x:c>
      <x:c r="K3431" s="23" t="str">
        <x:v>favored_only</x:v>
      </x:c>
      <x:c r="L3431" s="24" t="b">
        <x:v>1</x:v>
      </x:c>
      <x:c r="M3431" s="23" t="n">
        <x:v>1</x:v>
      </x:c>
      <x:c r="N3431" s="28" t="n">
        <x:v>46219.812988715275</x:v>
      </x:c>
      <x:c r="O3431" s="28" t="n">
        <x:v>46219.812988715275</x:v>
      </x:c>
      <x:c r="P3431" s="23" t="str">
        <x:v>RIO VERDE</x:v>
      </x:c>
      <x:c r="Q3431" s="30" t="n">
        <x:v>31735</x:v>
      </x:c>
      <x:c r="R3431" s="22" t="str">
        <x:f>"1324966"</x:f>
        <x:v>1324966</x:v>
      </x:c>
      <x:c r="S3431" s="23" t="str">
        <x:v>feminino</x:v>
      </x:c>
      <x:c r="T3431" s="22" t="str">
        <x:f>"SIJ7B42"</x:f>
        <x:v>SIJ7B42</x:v>
      </x:c>
      <x:c r="U3431" s="23" t="str">
        <x:v>SCARLET MOON REZENDE HONORATO</x:v>
      </x:c>
      <x:c r="V3431" s="22" t="str">
        <x:f>"006.298.281-80"</x:f>
        <x:v>006.298.281-80</x:v>
      </x:c>
      <x:c r="W3431" s="22" t="str">
        <x:f>"00629828180"</x:f>
        <x:v>00629828180</x:v>
      </x:c>
      <x:c r="X3431" s="23" t="str">
        <x:v>scarletinha86@gmail.com</x:v>
      </x:c>
      <x:c r="Y3431" s="22" t="str">
        <x:f>"66999202637"</x:f>
        <x:v>66999202637</x:v>
      </x:c>
      <x:c r="Z3431" s="30" t="n">
        <x:v>46343</x:v>
      </x:c>
    </x:row>
    <x:row r="3432" ht="18" customHeight="1">
      <x:c r="A3432" s="22" t="str">
        <x:f>"af06f1e7-5166-449c-a285-607a9d342fab"</x:f>
        <x:v>af06f1e7-5166-449c-a285-607a9d342fab</x:v>
      </x:c>
      <x:c r="B3432" s="23" t="str">
        <x:v>SEBASTIAO ANTONIO LOURENCO NETO</x:v>
      </x:c>
      <x:c r="C3432" s="23" t="str">
        <x:v>sebastiao antonio lourenco neto</x:v>
      </x:c>
      <x:c r="D3432" s="22" t="str">
        <x:f>"67.690.385/0001-37"</x:f>
        <x:v>67.690.385/0001-37</x:v>
      </x:c>
      <x:c r="E3432" s="22" t="str">
        <x:f>"67690385000137"</x:f>
        <x:v>67690385000137</x:v>
      </x:c>
      <x:c r="F3432" s="22" t="str">
        <x:f>"117.767.396-71"</x:f>
        <x:v>117.767.396-71</x:v>
      </x:c>
      <x:c r="G3432" s="22" t="str">
        <x:f>"11776739671"</x:f>
        <x:v>11776739671</x:v>
      </x:c>
      <x:c r="H3432" s="23" t="str">
        <x:v>netoptc2017@hotmail.com</x:v>
      </x:c>
      <x:c r="I3432" s="22" t="str">
        <x:f>"6198664965"</x:f>
        <x:v>6198664965</x:v>
      </x:c>
      <x:c r="J3432" s="23" t="str">
        <x:v>SPOT</x:v>
      </x:c>
      <x:c r="K3432" s="23" t="str">
        <x:v>favored_only</x:v>
      </x:c>
      <x:c r="L3432" s="24" t="b">
        <x:v>1</x:v>
      </x:c>
      <x:c r="M3432" s="23" t="n">
        <x:v>1</x:v>
      </x:c>
      <x:c r="N3432" s="28" t="n">
        <x:v>46219.812988715275</x:v>
      </x:c>
      <x:c r="O3432" s="28" t="n">
        <x:v>46219.812988715275</x:v>
      </x:c>
      <x:c r="P3432" s="23" t="str">
        <x:v>PATOS DE MINAS</x:v>
      </x:c>
      <x:c r="Q3432" s="30" t="n">
        <x:v>36562</x:v>
      </x:c>
      <x:c r="R3432" s="22" t="str">
        <x:f>"MG20732024"</x:f>
        <x:v>MG20732024</x:v>
      </x:c>
      <x:c r="S3432" s="23" t="str">
        <x:v>masculino</x:v>
      </x:c>
      <x:c r="T3432" s="22" t="str">
        <x:f>"PBO8586"</x:f>
        <x:v>PBO8586</x:v>
      </x:c>
      <x:c r="U3432" s="23" t="str">
        <x:v>MIRELLA CRISTINA DE ALMEIDA</x:v>
      </x:c>
      <x:c r="V3432" s="22" t="str">
        <x:f>"093.722.586-01"</x:f>
        <x:v>093.722.586-01</x:v>
      </x:c>
      <x:c r="W3432" s="22" t="str">
        <x:f>"09372258601"</x:f>
        <x:v>09372258601</x:v>
      </x:c>
      <x:c r="X3432" s="23" t="str">
        <x:v>mirellac.almeida@hotmail.com</x:v>
      </x:c>
      <x:c r="Y3432" s="22" t="str">
        <x:f>"34992722784"</x:f>
        <x:v>34992722784</x:v>
      </x:c>
      <x:c r="Z3432" s="30" t="n">
        <x:v>46214</x:v>
      </x:c>
    </x:row>
    <x:row r="3433" ht="18" customHeight="1">
      <x:c r="A3433" s="22" t="str">
        <x:f>"e251ab80-9f03-463e-b51f-b041ca4cc04d"</x:f>
        <x:v>e251ab80-9f03-463e-b51f-b041ca4cc04d</x:v>
      </x:c>
      <x:c r="B3433" s="23" t="str">
        <x:v>SEBASTIAO ANTONIO LOURENCO NETO</x:v>
      </x:c>
      <x:c r="C3433" s="23" t="str">
        <x:v>sebastiao antonio lourenco neto</x:v>
      </x:c>
      <x:c r="D3433" s="22" t="str">
        <x:f>"12.185.972/0001-87"</x:f>
        <x:v>12.185.972/0001-87</x:v>
      </x:c>
      <x:c r="E3433" s="22" t="str">
        <x:f>"12185972000187"</x:f>
        <x:v>12185972000187</x:v>
      </x:c>
      <x:c r="F3433" s="22" t="str">
        <x:f>"117.767.396-71"</x:f>
        <x:v>117.767.396-71</x:v>
      </x:c>
      <x:c r="G3433" s="22" t="str">
        <x:f>"11776739671"</x:f>
        <x:v>11776739671</x:v>
      </x:c>
      <x:c r="H3433" s="23" t="str">
        <x:v>netoptc2017@hotmail.com</x:v>
      </x:c>
      <x:c r="I3433" s="22" t="str">
        <x:f>"34988414489"</x:f>
        <x:v>34988414489</x:v>
      </x:c>
      <x:c r="J3433" s="23" t="str">
        <x:v>SPOT</x:v>
      </x:c>
      <x:c r="K3433" s="23" t="str">
        <x:v>favored_only</x:v>
      </x:c>
      <x:c r="L3433" s="24" t="b">
        <x:v>1</x:v>
      </x:c>
      <x:c r="M3433" s="23" t="n">
        <x:v>1</x:v>
      </x:c>
      <x:c r="N3433" s="28" t="n">
        <x:v>46219.812988715275</x:v>
      </x:c>
      <x:c r="O3433" s="28" t="n">
        <x:v>46219.812988715275</x:v>
      </x:c>
      <x:c r="P3433" s="23" t="str">
        <x:v>PATOS DE MINAS</x:v>
      </x:c>
      <x:c r="Q3433" s="30" t="n">
        <x:v>36563</x:v>
      </x:c>
      <x:c r="R3433" s="22" t="str">
        <x:f>"MG20732024"</x:f>
        <x:v>MG20732024</x:v>
      </x:c>
      <x:c r="S3433" s="23" t="str">
        <x:v>masculino</x:v>
      </x:c>
      <x:c r="T3433" s="22" t="str">
        <x:f>"PBO8586"</x:f>
        <x:v>PBO8586</x:v>
      </x:c>
      <x:c r="U3433" s="23" t="str">
        <x:v>CLEITON LOURENCO</x:v>
      </x:c>
      <x:c r="V3433" s="22" t="str">
        <x:f>"007.042.926-02"</x:f>
        <x:v>007.042.926-02</x:v>
      </x:c>
      <x:c r="W3433" s="22" t="str">
        <x:f>"00704292602"</x:f>
        <x:v>00704292602</x:v>
      </x:c>
      <x:c r="X3433" s="23" t="str">
        <x:v>cleitonlourenco7186@gmail.com</x:v>
      </x:c>
      <x:c r="Y3433" s="22" t="str">
        <x:f>"34988414489"</x:f>
        <x:v>34988414489</x:v>
      </x:c>
      <x:c r="Z3433" s="30" t="n">
        <x:v>46197</x:v>
      </x:c>
    </x:row>
    <x:row r="3434" ht="18" customHeight="1">
      <x:c r="A3434" s="22" t="str">
        <x:f>"8cfb37de-85b3-45f6-8903-6892eb54392b"</x:f>
        <x:v>8cfb37de-85b3-45f6-8903-6892eb54392b</x:v>
      </x:c>
      <x:c r="B3434" s="23" t="str">
        <x:v>SEBASTIAO DA SILVA ALVES</x:v>
      </x:c>
      <x:c r="C3434" s="23" t="str">
        <x:v>sebastiao da silva alves</x:v>
      </x:c>
      <x:c r="D3434" s="22" t="str">
        <x:f>"53.931.395/0001-02"</x:f>
        <x:v>53.931.395/0001-02</x:v>
      </x:c>
      <x:c r="E3434" s="22" t="str">
        <x:f>"53931395000102"</x:f>
        <x:v>53931395000102</x:v>
      </x:c>
      <x:c r="F3434" s="22" t="str">
        <x:f>"539.918.696-91"</x:f>
        <x:v>539.918.696-91</x:v>
      </x:c>
      <x:c r="G3434" s="22" t="str">
        <x:f>"53991869691"</x:f>
        <x:v>53991869691</x:v>
      </x:c>
      <x:c r="H3434" s="23" t="str">
        <x:v>dioeca99@gmail.com</x:v>
      </x:c>
      <x:c r="I3434" s="22" t="str">
        <x:f>"35 998065439"</x:f>
        <x:v>35 998065439</x:v>
      </x:c>
      <x:c r="J3434" s="23" t="str">
        <x:v>SPOT</x:v>
      </x:c>
      <x:c r="K3434" s="23" t="str">
        <x:v>favored_only</x:v>
      </x:c>
      <x:c r="L3434" s="24" t="b">
        <x:v>1</x:v>
      </x:c>
      <x:c r="M3434" s="23" t="n">
        <x:v>1</x:v>
      </x:c>
      <x:c r="N3434" s="28" t="n">
        <x:v>46205.60422793982</x:v>
      </x:c>
      <x:c r="O3434" s="28" t="n">
        <x:v>46219.812988715275</x:v>
      </x:c>
      <x:c r="P3434" s="23" t="str">
        <x:v>GUAXUPE</x:v>
      </x:c>
      <x:c r="Q3434" s="30" t="n">
        <x:v>22301</x:v>
      </x:c>
      <x:c r="R3434" s="22" t="str">
        <x:f>"4398431"</x:f>
        <x:v>4398431</x:v>
      </x:c>
      <x:c r="S3434" s="23" t="str">
        <x:v>masculino</x:v>
      </x:c>
      <x:c r="T3434" s="22" t="str">
        <x:f>"HKV6G46"</x:f>
        <x:v>HKV6G46</x:v>
      </x:c>
      <x:c r="U3434" s="23" t="str">
        <x:v>RAFAEL LUIZ ALVES</x:v>
      </x:c>
      <x:c r="V3434" s="22" t="str">
        <x:f>"116.097.676-75"</x:f>
        <x:v>116.097.676-75</x:v>
      </x:c>
      <x:c r="W3434" s="22" t="str">
        <x:f>"11609767675"</x:f>
        <x:v>11609767675</x:v>
      </x:c>
      <x:c r="X3434" s="23" t="str">
        <x:v>RAFINHALUIZALVES2@GMAIL.COM</x:v>
      </x:c>
      <x:c r="Y3434" s="22" t="str">
        <x:f>"35 9247-1497"</x:f>
        <x:v>35 9247-1497</x:v>
      </x:c>
      <x:c r="Z3434" s="30" t="n">
        <x:v>46263</x:v>
      </x:c>
    </x:row>
    <x:row r="3435" ht="18" customHeight="1">
      <x:c r="A3435" s="22" t="str">
        <x:f>"7ccfa3c7-a8b0-42f7-971e-cd23534b6a3f"</x:f>
        <x:v>7ccfa3c7-a8b0-42f7-971e-cd23534b6a3f</x:v>
      </x:c>
      <x:c r="B3435" s="23" t="str">
        <x:v>SEBASTIAO LOPES DA SILVA FILHO</x:v>
      </x:c>
      <x:c r="C3435" s="23" t="str">
        <x:v>sebastiao lopes da silva filho</x:v>
      </x:c>
      <x:c r="D3435" s="22" t="str">
        <x:f>"61.038.651/0001-65"</x:f>
        <x:v>61.038.651/0001-65</x:v>
      </x:c>
      <x:c r="E3435" s="22" t="str">
        <x:f>"61038651000165"</x:f>
        <x:v>61038651000165</x:v>
      </x:c>
      <x:c r="F3435" s="22" t="str">
        <x:f>"701.126.871-56"</x:f>
        <x:v>701.126.871-56</x:v>
      </x:c>
      <x:c r="G3435" s="22" t="str">
        <x:f>"70112687156"</x:f>
        <x:v>70112687156</x:v>
      </x:c>
      <x:c r="H3435" s="23" t="str">
        <x:v>sebastiao720filho@gmail.com</x:v>
      </x:c>
      <x:c r="I3435" s="22" t="str">
        <x:f>"64 99263-0332"</x:f>
        <x:v>64 99263-0332</x:v>
      </x:c>
      <x:c r="J3435" s="23" t="str">
        <x:v>RENTAL</x:v>
      </x:c>
      <x:c r="K3435" s="23" t="str">
        <x:v>rental_company</x:v>
      </x:c>
      <x:c r="L3435" s="24" t="b">
        <x:v>1</x:v>
      </x:c>
      <x:c r="M3435" s="23" t="n">
        <x:v>1</x:v>
      </x:c>
      <x:c r="N3435" s="28" t="n">
        <x:v>46203.92183332176</x:v>
      </x:c>
      <x:c r="O3435" s="28" t="n">
        <x:v>46219.812988715275</x:v>
      </x:c>
      <x:c r="P3435" s="23" t="str">
        <x:v>RIO VERDE</x:v>
      </x:c>
      <x:c r="Q3435" s="30" t="n">
        <x:v>36812</x:v>
      </x:c>
      <x:c r="R3435" s="22" t="str">
        <x:f>"6005617"</x:f>
        <x:v>6005617</x:v>
      </x:c>
      <x:c r="S3435" s="23" t="str">
        <x:v>masculino</x:v>
      </x:c>
      <x:c r="T3435" s="22" t="str"/>
      <x:c r="U3435" s="23" t="str">
        <x:v>SEBASTIAO LOPES DA SILVA FILHO</x:v>
      </x:c>
      <x:c r="V3435" s="22" t="str">
        <x:f>"701.126.871-56"</x:f>
        <x:v>701.126.871-56</x:v>
      </x:c>
      <x:c r="W3435" s="22" t="str">
        <x:f>"70112687156"</x:f>
        <x:v>70112687156</x:v>
      </x:c>
      <x:c r="X3435" s="23" t="str">
        <x:v>sebastiao720filho@gmail.com</x:v>
      </x:c>
      <x:c r="Y3435" s="22" t="str">
        <x:f>"64 99263-0332"</x:f>
        <x:v>64 99263-0332</x:v>
      </x:c>
      <x:c r="Z3435" s="30" t="n">
        <x:v>46535</x:v>
      </x:c>
    </x:row>
    <x:row r="3436" ht="18" customHeight="1">
      <x:c r="A3436" s="22" t="str">
        <x:f>"299e3aa9-75a3-41a6-81e8-fd2d85b193f7"</x:f>
        <x:v>299e3aa9-75a3-41a6-81e8-fd2d85b193f7</x:v>
      </x:c>
      <x:c r="B3436" s="23" t="str">
        <x:v>SEBASTIAO MONTEIRO LEITE</x:v>
      </x:c>
      <x:c r="C3436" s="23" t="str">
        <x:v>sebastiao monteiro leite</x:v>
      </x:c>
      <x:c r="D3436" s="22" t="str">
        <x:f>"37.823.997/0001-90"</x:f>
        <x:v>37.823.997/0001-90</x:v>
      </x:c>
      <x:c r="E3436" s="22" t="str">
        <x:f>"37823997000190"</x:f>
        <x:v>37823997000190</x:v>
      </x:c>
      <x:c r="F3436" s="22" t="str">
        <x:f>"008.130.231-22"</x:f>
        <x:v>008.130.231-22</x:v>
      </x:c>
      <x:c r="G3436" s="22" t="str">
        <x:f>"00813023122"</x:f>
        <x:v>00813023122</x:v>
      </x:c>
      <x:c r="H3436" s="23" t="str">
        <x:v>Sebastiao240822@gmail.com</x:v>
      </x:c>
      <x:c r="I3436" s="22" t="str">
        <x:f>"+55 65 9994-8311"</x:f>
        <x:v>+55 65 9994-8311</x:v>
      </x:c>
      <x:c r="J3436" s="23" t="str">
        <x:v>SPOT</x:v>
      </x:c>
      <x:c r="K3436" s="23" t="str">
        <x:v>favored_only</x:v>
      </x:c>
      <x:c r="L3436" s="24" t="b">
        <x:v>1</x:v>
      </x:c>
      <x:c r="M3436" s="23" t="n">
        <x:v>1</x:v>
      </x:c>
      <x:c r="N3436" s="28" t="n">
        <x:v>46219.812988715275</x:v>
      </x:c>
      <x:c r="O3436" s="28" t="n">
        <x:v>46219.812988715275</x:v>
      </x:c>
      <x:c r="P3436" s="23" t="str">
        <x:v>PONTES E LACERDA</x:v>
      </x:c>
      <x:c r="Q3436" s="30" t="n">
        <x:v>31743</x:v>
      </x:c>
      <x:c r="R3436" s="22" t="str">
        <x:f>"161200108"</x:f>
        <x:v>161200108</x:v>
      </x:c>
      <x:c r="S3436" s="23" t="str">
        <x:v>masculino</x:v>
      </x:c>
      <x:c r="T3436" s="22" t="str">
        <x:f>"NTY7C67"</x:f>
        <x:v>NTY7C67</x:v>
      </x:c>
      <x:c r="U3436" s="23" t="str">
        <x:v>RODOPRIME TRANSPORTES E CARGAS LTDA</x:v>
      </x:c>
      <x:c r="V3436" s="22" t="str">
        <x:f>"038.768.901-01"</x:f>
        <x:v>038.768.901-01</x:v>
      </x:c>
      <x:c r="W3436" s="22" t="str">
        <x:f>"03876890101"</x:f>
        <x:v>03876890101</x:v>
      </x:c>
      <x:c r="X3436" s="23" t="str">
        <x:v>rodoprimetransportes@gmail.com</x:v>
      </x:c>
      <x:c r="Y3436" s="22" t="str">
        <x:f>"62991277279"</x:f>
        <x:v>62991277279</x:v>
      </x:c>
      <x:c r="Z3436" s="30" t="n">
        <x:v>46500</x:v>
      </x:c>
    </x:row>
    <x:row r="3437" ht="18" customHeight="1">
      <x:c r="A3437" s="22" t="str">
        <x:f>"dd8e5b8d-88e9-4b63-a3bf-15c9daf37a9e"</x:f>
        <x:v>dd8e5b8d-88e9-4b63-a3bf-15c9daf37a9e</x:v>
      </x:c>
      <x:c r="B3437" s="23" t="str">
        <x:v>SEBASTIAO SANTOS DA COSTA</x:v>
      </x:c>
      <x:c r="C3437" s="23" t="str">
        <x:v>sebastiao santos da costa</x:v>
      </x:c>
      <x:c r="D3437" s="22" t="str">
        <x:f>"37.823.997/0001-90"</x:f>
        <x:v>37.823.997/0001-90</x:v>
      </x:c>
      <x:c r="E3437" s="22" t="str">
        <x:f>"37823997000190"</x:f>
        <x:v>37823997000190</x:v>
      </x:c>
      <x:c r="F3437" s="22" t="str">
        <x:f>"396.072.401-20"</x:f>
        <x:v>396.072.401-20</x:v>
      </x:c>
      <x:c r="G3437" s="22" t="str">
        <x:f>"39607240120"</x:f>
        <x:v>39607240120</x:v>
      </x:c>
      <x:c r="H3437" s="23" t="str">
        <x:v>Sebastiaosantos43039@gmail.com</x:v>
      </x:c>
      <x:c r="I3437" s="22" t="str">
        <x:f>"65984539285"</x:f>
        <x:v>65984539285</x:v>
      </x:c>
      <x:c r="J3437" s="23" t="str">
        <x:v>SPOT</x:v>
      </x:c>
      <x:c r="K3437" s="23" t="str">
        <x:v>favored_only</x:v>
      </x:c>
      <x:c r="L3437" s="24" t="b">
        <x:v>1</x:v>
      </x:c>
      <x:c r="M3437" s="23" t="n">
        <x:v>1</x:v>
      </x:c>
      <x:c r="N3437" s="28" t="n">
        <x:v>46219.812988715275</x:v>
      </x:c>
      <x:c r="O3437" s="28" t="n">
        <x:v>46219.812988715275</x:v>
      </x:c>
      <x:c r="P3437" s="23" t="str">
        <x:v>CÁCERES</x:v>
      </x:c>
      <x:c r="Q3437" s="30" t="n">
        <x:v>24492</x:v>
      </x:c>
      <x:c r="R3437" s="22" t="str">
        <x:f>"5572088"</x:f>
        <x:v>5572088</x:v>
      </x:c>
      <x:c r="S3437" s="23" t="str">
        <x:v>masculino</x:v>
      </x:c>
      <x:c r="T3437" s="22" t="str">
        <x:f>"NTY7C67"</x:f>
        <x:v>NTY7C67</x:v>
      </x:c>
      <x:c r="U3437" s="23" t="str">
        <x:v>RODOPRIME TRANSPORTES E CARGAS LTDA</x:v>
      </x:c>
      <x:c r="V3437" s="22" t="str">
        <x:f>"038.768.901-01"</x:f>
        <x:v>038.768.901-01</x:v>
      </x:c>
      <x:c r="W3437" s="22" t="str">
        <x:f>"03876890101"</x:f>
        <x:v>03876890101</x:v>
      </x:c>
      <x:c r="X3437" s="23" t="str">
        <x:v>rtp.cargas@gmail.com</x:v>
      </x:c>
      <x:c r="Y3437" s="22" t="str">
        <x:f>"62991277279"</x:f>
        <x:v>62991277279</x:v>
      </x:c>
      <x:c r="Z3437" s="30" t="n">
        <x:v>46452</x:v>
      </x:c>
    </x:row>
    <x:row r="3438" ht="18" customHeight="1">
      <x:c r="A3438" s="22" t="str">
        <x:f>"aeca72e5-c71f-47b8-9c97-1c6d6f979e2d"</x:f>
        <x:v>aeca72e5-c71f-47b8-9c97-1c6d6f979e2d</x:v>
      </x:c>
      <x:c r="B3438" s="23" t="str">
        <x:v>SEBASTIAO SILVA DA CRUZ</x:v>
      </x:c>
      <x:c r="C3438" s="23" t="str">
        <x:v>sebastiao silva da cruz</x:v>
      </x:c>
      <x:c r="D3438" s="22" t="str">
        <x:f>"54.674.698/0001-50"</x:f>
        <x:v>54.674.698/0001-50</x:v>
      </x:c>
      <x:c r="E3438" s="22" t="str">
        <x:f>"54674698000150"</x:f>
        <x:v>54674698000150</x:v>
      </x:c>
      <x:c r="F3438" s="22" t="str">
        <x:f>"936.475.491-34"</x:f>
        <x:v>936.475.491-34</x:v>
      </x:c>
      <x:c r="G3438" s="22" t="str">
        <x:f>"93647549134"</x:f>
        <x:v>93647549134</x:v>
      </x:c>
      <x:c r="H3438" s="23" t="str">
        <x:v>sebastiaosilva101213@gmail.com</x:v>
      </x:c>
      <x:c r="I3438" s="22" t="str">
        <x:f>"65999395724"</x:f>
        <x:v>65999395724</x:v>
      </x:c>
      <x:c r="J3438" s="23" t="str">
        <x:v>SPOT</x:v>
      </x:c>
      <x:c r="K3438" s="23" t="str">
        <x:v>favored_only</x:v>
      </x:c>
      <x:c r="L3438" s="24" t="b">
        <x:v>1</x:v>
      </x:c>
      <x:c r="M3438" s="23" t="n">
        <x:v>1</x:v>
      </x:c>
      <x:c r="N3438" s="28" t="n">
        <x:v>46205.607109131946</x:v>
      </x:c>
      <x:c r="O3438" s="28" t="n">
        <x:v>46219.812988715275</x:v>
      </x:c>
      <x:c r="P3438" s="23" t="str">
        <x:v>CÁCERES</x:v>
      </x:c>
      <x:c r="Q3438" s="30" t="n">
        <x:v>27412</x:v>
      </x:c>
      <x:c r="R3438" s="22" t="str">
        <x:f>"10114270"</x:f>
        <x:v>10114270</x:v>
      </x:c>
      <x:c r="S3438" s="23" t="str">
        <x:v>masculino</x:v>
      </x:c>
      <x:c r="T3438" s="22" t="str">
        <x:f>"RAL3G42"</x:f>
        <x:v>RAL3G42</x:v>
      </x:c>
      <x:c r="U3438" s="23" t="str">
        <x:v>ROBERTO PEREIRA ALVES</x:v>
      </x:c>
      <x:c r="V3438" s="22" t="str">
        <x:f>"010.465.661-13"</x:f>
        <x:v>010.465.661-13</x:v>
      </x:c>
      <x:c r="W3438" s="22" t="str">
        <x:f>"01046566113"</x:f>
        <x:v>01046566113</x:v>
      </x:c>
      <x:c r="X3438" s="23" t="str">
        <x:v>pereiraalvesroberto5@gmail.com</x:v>
      </x:c>
      <x:c r="Y3438" s="22" t="str">
        <x:f>"65996614928"</x:f>
        <x:v>65996614928</x:v>
      </x:c>
      <x:c r="Z3438" s="30" t="n">
        <x:v>46399</x:v>
      </x:c>
    </x:row>
    <x:row r="3439" ht="18" customHeight="1">
      <x:c r="A3439" s="22" t="str">
        <x:f>"c8ac9951-254a-4906-887c-871cd2d189d5"</x:f>
        <x:v>c8ac9951-254a-4906-887c-871cd2d189d5</x:v>
      </x:c>
      <x:c r="B3439" s="23" t="str">
        <x:v>SELMA MARIA DA ROCHA</x:v>
      </x:c>
      <x:c r="C3439" s="23" t="str">
        <x:v>selma maria da rocha</x:v>
      </x:c>
      <x:c r="D3439" s="22" t="str">
        <x:f>"60.860.917/0001-98"</x:f>
        <x:v>60.860.917/0001-98</x:v>
      </x:c>
      <x:c r="E3439" s="22" t="str">
        <x:f>"60860917000198"</x:f>
        <x:v>60860917000198</x:v>
      </x:c>
      <x:c r="F3439" s="22" t="str">
        <x:f>"809.732.136-04"</x:f>
        <x:v>809.732.136-04</x:v>
      </x:c>
      <x:c r="G3439" s="22" t="str">
        <x:f>"80973213604"</x:f>
        <x:v>80973213604</x:v>
      </x:c>
      <x:c r="H3439" s="23" t="str">
        <x:v>selmamariasparrela@gmail.com</x:v>
      </x:c>
      <x:c r="I3439" s="22" t="str">
        <x:f>"(35) 99729-3651"</x:f>
        <x:v>(35) 99729-3651</x:v>
      </x:c>
      <x:c r="J3439" s="23" t="str">
        <x:v>SPOT</x:v>
      </x:c>
      <x:c r="K3439" s="23" t="str">
        <x:v>favored_only</x:v>
      </x:c>
      <x:c r="L3439" s="24" t="b">
        <x:v>1</x:v>
      </x:c>
      <x:c r="M3439" s="23" t="n">
        <x:v>1</x:v>
      </x:c>
      <x:c r="N3439" s="28" t="n">
        <x:v>46219.812988715275</x:v>
      </x:c>
      <x:c r="O3439" s="28" t="n">
        <x:v>46219.812988715275</x:v>
      </x:c>
      <x:c r="P3439" s="23" t="str">
        <x:v>POUSO ALEGRE</x:v>
      </x:c>
      <x:c r="Q3439" s="30" t="n">
        <x:v>26598</x:v>
      </x:c>
      <x:c r="R3439" s="22" t="str">
        <x:f>"356897904 SSP SP"</x:f>
        <x:v>356897904 SSP SP</x:v>
      </x:c>
      <x:c r="S3439" s="23" t="str">
        <x:v>feminino</x:v>
      </x:c>
      <x:c r="T3439" s="22" t="str">
        <x:f>"OLV6E13"</x:f>
        <x:v>OLV6E13</x:v>
      </x:c>
      <x:c r="U3439" s="23" t="str">
        <x:v>LETICIA ROCHA DA SILVA</x:v>
      </x:c>
      <x:c r="V3439" s="22" t="str">
        <x:f>"131.330.496-40"</x:f>
        <x:v>131.330.496-40</x:v>
      </x:c>
      <x:c r="W3439" s="22" t="str">
        <x:f>"13133049640"</x:f>
        <x:v>13133049640</x:v>
      </x:c>
      <x:c r="X3439" s="23" t="str">
        <x:v>lettygotink@gmail.com</x:v>
      </x:c>
      <x:c r="Y3439" s="22" t="str">
        <x:f>"(31) 98628-4747"</x:f>
        <x:v>(31) 98628-4747</x:v>
      </x:c>
      <x:c r="Z3439" s="30" t="n">
        <x:v>46409</x:v>
      </x:c>
    </x:row>
    <x:row r="3440" ht="18" customHeight="1">
      <x:c r="A3440" s="22" t="str">
        <x:f>"170e8e0e-fed1-42a3-b680-04674a5a42cf"</x:f>
        <x:v>170e8e0e-fed1-42a3-b680-04674a5a42cf</x:v>
      </x:c>
      <x:c r="B3440" s="23" t="str">
        <x:v>Selmara Aparecida Alves</x:v>
      </x:c>
      <x:c r="C3440" s="23" t="str">
        <x:v>selmara aparecida alves</x:v>
      </x:c>
      <x:c r="D3440" s="22" t="str">
        <x:f>"20.875.733/0001-87"</x:f>
        <x:v>20.875.733/0001-87</x:v>
      </x:c>
      <x:c r="E3440" s="22" t="str">
        <x:f>"20875733000187"</x:f>
        <x:v>20875733000187</x:v>
      </x:c>
      <x:c r="F3440" s="22" t="str">
        <x:f>"089.612.356.13"</x:f>
        <x:v>089.612.356.13</x:v>
      </x:c>
      <x:c r="G3440" s="22" t="str">
        <x:f>"08961235613"</x:f>
        <x:v>08961235613</x:v>
      </x:c>
      <x:c r="H3440" s="23" t="str">
        <x:v>Selmaraaparecida50@gmail.com</x:v>
      </x:c>
      <x:c r="I3440" s="22" t="str">
        <x:f>"(31)983985754"</x:f>
        <x:v>(31)983985754</x:v>
      </x:c>
      <x:c r="J3440" s="23" t="str">
        <x:v>SPOT</x:v>
      </x:c>
      <x:c r="K3440" s="23" t="str">
        <x:v>favored_only</x:v>
      </x:c>
      <x:c r="L3440" s="24" t="b">
        <x:v>1</x:v>
      </x:c>
      <x:c r="M3440" s="23" t="n">
        <x:v>1</x:v>
      </x:c>
      <x:c r="N3440" s="28" t="n">
        <x:v>46203.92189965278</x:v>
      </x:c>
      <x:c r="O3440" s="28" t="n">
        <x:v>46203.92189965278</x:v>
      </x:c>
      <x:c r="P3440" s="23" t="str"/>
      <x:c r="Q3440" s="30" t="str"/>
      <x:c r="R3440" s="22" t="str"/>
      <x:c r="S3440" s="23" t="str"/>
      <x:c r="T3440" s="22" t="str"/>
      <x:c r="U3440" s="23" t="str">
        <x:v>Selmara Aparecida Alves</x:v>
      </x:c>
      <x:c r="V3440" s="22" t="str">
        <x:f>"089.612.356.13"</x:f>
        <x:v>089.612.356.13</x:v>
      </x:c>
      <x:c r="W3440" s="22" t="str">
        <x:f>"08961235613"</x:f>
        <x:v>08961235613</x:v>
      </x:c>
      <x:c r="X3440" s="23" t="str">
        <x:v>Selmaraaparecida50@gmail.com</x:v>
      </x:c>
      <x:c r="Y3440" s="22" t="str">
        <x:f>"(31)983985754"</x:f>
        <x:v>(31)983985754</x:v>
      </x:c>
      <x:c r="Z3440" s="30" t="str"/>
    </x:row>
    <x:row r="3441" ht="18" customHeight="1">
      <x:c r="A3441" s="22" t="str">
        <x:f>"219f0839-0cef-4fdf-9f64-b24ca978174e"</x:f>
        <x:v>219f0839-0cef-4fdf-9f64-b24ca978174e</x:v>
      </x:c>
      <x:c r="B3441" s="23" t="str">
        <x:v>SELMARA APARECIDA ROSA</x:v>
      </x:c>
      <x:c r="C3441" s="23" t="str">
        <x:v>selmara aparecida rosa</x:v>
      </x:c>
      <x:c r="D3441" s="22" t="str">
        <x:f>"42.403.575/0001-03"</x:f>
        <x:v>42.403.575/0001-03</x:v>
      </x:c>
      <x:c r="E3441" s="22" t="str">
        <x:f>"42403575000103"</x:f>
        <x:v>42403575000103</x:v>
      </x:c>
      <x:c r="F3441" s="22" t="str">
        <x:f>"114.825.776-40"</x:f>
        <x:v>114.825.776-40</x:v>
      </x:c>
      <x:c r="G3441" s="22" t="str">
        <x:f>"11482577640"</x:f>
        <x:v>11482577640</x:v>
      </x:c>
      <x:c r="H3441" s="23" t="str">
        <x:v>selmaraarosa@gmail.com</x:v>
      </x:c>
      <x:c r="I3441" s="22" t="str">
        <x:f>"35998916898"</x:f>
        <x:v>35998916898</x:v>
      </x:c>
      <x:c r="J3441" s="23" t="str">
        <x:v>SPOT</x:v>
      </x:c>
      <x:c r="K3441" s="23" t="str">
        <x:v>favored_only</x:v>
      </x:c>
      <x:c r="L3441" s="24" t="b">
        <x:v>1</x:v>
      </x:c>
      <x:c r="M3441" s="23" t="n">
        <x:v>1</x:v>
      </x:c>
      <x:c r="N3441" s="28" t="n">
        <x:v>46219.812988715275</x:v>
      </x:c>
      <x:c r="O3441" s="28" t="n">
        <x:v>46219.812988715275</x:v>
      </x:c>
      <x:c r="P3441" s="23" t="str">
        <x:v>GUAXUPE</x:v>
      </x:c>
      <x:c r="Q3441" s="30" t="n">
        <x:v>34432</x:v>
      </x:c>
      <x:c r="R3441" s="22" t="str">
        <x:f>"18643515"</x:f>
        <x:v>18643515</x:v>
      </x:c>
      <x:c r="S3441" s="23" t="str">
        <x:v>feminino</x:v>
      </x:c>
      <x:c r="T3441" s="22" t="str">
        <x:f>"RUG8B32"</x:f>
        <x:v>RUG8B32</x:v>
      </x:c>
      <x:c r="U3441" s="23" t="str">
        <x:v>MARCELO BARBOSA DA SILVA</x:v>
      </x:c>
      <x:c r="V3441" s="22" t="str">
        <x:f>"092.732.946-85"</x:f>
        <x:v>092.732.946-85</x:v>
      </x:c>
      <x:c r="W3441" s="22" t="str">
        <x:f>"09273294685"</x:f>
        <x:v>09273294685</x:v>
      </x:c>
      <x:c r="X3441" s="23" t="str">
        <x:v>mtsunamy@gmail.com</x:v>
      </x:c>
      <x:c r="Y3441" s="22" t="str">
        <x:f>"35999318457"</x:f>
        <x:v>35999318457</x:v>
      </x:c>
      <x:c r="Z3441" s="30" t="n">
        <x:v>46431</x:v>
      </x:c>
    </x:row>
    <x:row r="3442" ht="18" customHeight="1">
      <x:c r="A3442" s="22" t="str">
        <x:f>"0db0ebc4-5714-4b82-99cd-f6502639e66d"</x:f>
        <x:v>0db0ebc4-5714-4b82-99cd-f6502639e66d</x:v>
      </x:c>
      <x:c r="B3442" s="23" t="str">
        <x:v>SERGIO ALVES BARBOSA ATAIDES</x:v>
      </x:c>
      <x:c r="C3442" s="23" t="str">
        <x:v>sergio alves barbosa ataides</x:v>
      </x:c>
      <x:c r="D3442" s="22" t="str">
        <x:f>"40.745.910/0001-18"</x:f>
        <x:v>40.745.910/0001-18</x:v>
      </x:c>
      <x:c r="E3442" s="22" t="str">
        <x:f>"40745910000118"</x:f>
        <x:v>40745910000118</x:v>
      </x:c>
      <x:c r="F3442" s="22" t="str">
        <x:f>"010.256.031-50"</x:f>
        <x:v>010.256.031-50</x:v>
      </x:c>
      <x:c r="G3442" s="22" t="str">
        <x:f>"01025603150"</x:f>
        <x:v>01025603150</x:v>
      </x:c>
      <x:c r="H3442" s="23" t="str">
        <x:v>sergio.ataides@hotmail.com</x:v>
      </x:c>
      <x:c r="I3442" s="22" t="str">
        <x:f>"34998336977"</x:f>
        <x:v>34998336977</x:v>
      </x:c>
      <x:c r="J3442" s="23" t="str">
        <x:v>SPOT</x:v>
      </x:c>
      <x:c r="K3442" s="23" t="str">
        <x:v>favored_only</x:v>
      </x:c>
      <x:c r="L3442" s="24" t="b">
        <x:v>1</x:v>
      </x:c>
      <x:c r="M3442" s="23" t="n">
        <x:v>1</x:v>
      </x:c>
      <x:c r="N3442" s="28" t="n">
        <x:v>46205.606613564814</x:v>
      </x:c>
      <x:c r="O3442" s="28" t="n">
        <x:v>46219.812988715275</x:v>
      </x:c>
      <x:c r="P3442" s="23" t="str">
        <x:v>ARAXÁ</x:v>
      </x:c>
      <x:c r="Q3442" s="30" t="n">
        <x:v>31554</x:v>
      </x:c>
      <x:c r="R3442" s="22" t="str">
        <x:f>"21647965"</x:f>
        <x:v>21647965</x:v>
      </x:c>
      <x:c r="S3442" s="23" t="str">
        <x:v>masculino</x:v>
      </x:c>
      <x:c r="T3442" s="22" t="str">
        <x:f>"EYV9A28"</x:f>
        <x:v>EYV9A28</x:v>
      </x:c>
      <x:c r="U3442" s="23" t="str">
        <x:v>EDUARDO VINICIUS VAZ DE SOUZA</x:v>
      </x:c>
      <x:c r="V3442" s="22" t="str">
        <x:f>"072.688.856-79"</x:f>
        <x:v>072.688.856-79</x:v>
      </x:c>
      <x:c r="W3442" s="22" t="str">
        <x:f>"07268885679"</x:f>
        <x:v>07268885679</x:v>
      </x:c>
      <x:c r="X3442" s="23" t="str">
        <x:v>eng.eduardovaz@gmail.com</x:v>
      </x:c>
      <x:c r="Y3442" s="22" t="str">
        <x:f>"34988644572"</x:f>
        <x:v>34988644572</x:v>
      </x:c>
      <x:c r="Z3442" s="30" t="n">
        <x:v>46367</x:v>
      </x:c>
    </x:row>
    <x:row r="3443" ht="18" customHeight="1">
      <x:c r="A3443" s="22" t="str">
        <x:f>"73599aea-5f48-4b92-8dd6-396def21f2b4"</x:f>
        <x:v>73599aea-5f48-4b92-8dd6-396def21f2b4</x:v>
      </x:c>
      <x:c r="B3443" s="23" t="str">
        <x:v>SERGIO BARBOSA GOMES</x:v>
      </x:c>
      <x:c r="C3443" s="23" t="str">
        <x:v>sergio barbosa gomes</x:v>
      </x:c>
      <x:c r="D3443" s="22" t="str">
        <x:f>"62.986.132/0001-91"</x:f>
        <x:v>62.986.132/0001-91</x:v>
      </x:c>
      <x:c r="E3443" s="22" t="str">
        <x:f>"62986132000191"</x:f>
        <x:v>62986132000191</x:v>
      </x:c>
      <x:c r="F3443" s="22" t="str">
        <x:f>"008.729.376-58"</x:f>
        <x:v>008.729.376-58</x:v>
      </x:c>
      <x:c r="G3443" s="22" t="str">
        <x:f>"00872937658"</x:f>
        <x:v>00872937658</x:v>
      </x:c>
      <x:c r="H3443" s="23" t="str">
        <x:v>gomeesluis2517@gmail.com</x:v>
      </x:c>
      <x:c r="I3443" s="22" t="str">
        <x:f>"31971240154"</x:f>
        <x:v>31971240154</x:v>
      </x:c>
      <x:c r="J3443" s="23" t="str">
        <x:v>SPOT</x:v>
      </x:c>
      <x:c r="K3443" s="23" t="str">
        <x:v>favored_only</x:v>
      </x:c>
      <x:c r="L3443" s="24" t="b">
        <x:v>1</x:v>
      </x:c>
      <x:c r="M3443" s="23" t="n">
        <x:v>1</x:v>
      </x:c>
      <x:c r="N3443" s="28" t="n">
        <x:v>46205.60546193287</x:v>
      </x:c>
      <x:c r="O3443" s="28" t="n">
        <x:v>46219.812988715275</x:v>
      </x:c>
      <x:c r="P3443" s="23" t="str">
        <x:v>VESPASIANO</x:v>
      </x:c>
      <x:c r="Q3443" s="30" t="n">
        <x:v>28646</x:v>
      </x:c>
      <x:c r="R3443" s="22" t="str">
        <x:f>"M7509749"</x:f>
        <x:v>M7509749</x:v>
      </x:c>
      <x:c r="S3443" s="23" t="str">
        <x:v>masculino</x:v>
      </x:c>
      <x:c r="T3443" s="22" t="str">
        <x:f>"RFA5B78"</x:f>
        <x:v>RFA5B78</x:v>
      </x:c>
      <x:c r="U3443" s="23" t="str">
        <x:v>SERGIO LUIZ GOMES</x:v>
      </x:c>
      <x:c r="V3443" s="22" t="str">
        <x:f>"120.072.816-51"</x:f>
        <x:v>120.072.816-51</x:v>
      </x:c>
      <x:c r="W3443" s="22" t="str">
        <x:f>"12007281651"</x:f>
        <x:v>12007281651</x:v>
      </x:c>
      <x:c r="X3443" s="23" t="str">
        <x:v>gomeesluis2517@gmail.com</x:v>
      </x:c>
      <x:c r="Y3443" s="22" t="str">
        <x:f>"31995907473"</x:f>
        <x:v>31995907473</x:v>
      </x:c>
      <x:c r="Z3443" s="30" t="n">
        <x:v>46323</x:v>
      </x:c>
    </x:row>
    <x:row r="3444" ht="18" customHeight="1">
      <x:c r="A3444" s="22" t="str">
        <x:f>"1ffefd62-308d-44f2-b697-f937a6bb6f61"</x:f>
        <x:v>1ffefd62-308d-44f2-b697-f937a6bb6f61</x:v>
      </x:c>
      <x:c r="B3444" s="23" t="str">
        <x:v>SERGIO DE GOES GREGORIO</x:v>
      </x:c>
      <x:c r="C3444" s="23" t="str">
        <x:v>sergio de goes gregorio</x:v>
      </x:c>
      <x:c r="D3444" s="22" t="str">
        <x:f>"62.793.841/0001-50"</x:f>
        <x:v>62.793.841/0001-50</x:v>
      </x:c>
      <x:c r="E3444" s="22" t="str">
        <x:f>"62793841000150"</x:f>
        <x:v>62793841000150</x:v>
      </x:c>
      <x:c r="F3444" s="22" t="str">
        <x:f>"344.308.238-63"</x:f>
        <x:v>344.308.238-63</x:v>
      </x:c>
      <x:c r="G3444" s="22" t="str">
        <x:f>"34430823863"</x:f>
        <x:v>34430823863</x:v>
      </x:c>
      <x:c r="H3444" s="23" t="str">
        <x:v>sergiodegoisgregorio10@gmail.com</x:v>
      </x:c>
      <x:c r="I3444" s="22" t="str">
        <x:f>"18996970275"</x:f>
        <x:v>18996970275</x:v>
      </x:c>
      <x:c r="J3444" s="23" t="str">
        <x:v>RENTAL</x:v>
      </x:c>
      <x:c r="K3444" s="23" t="str">
        <x:v>rental_company</x:v>
      </x:c>
      <x:c r="L3444" s="24" t="b">
        <x:v>1</x:v>
      </x:c>
      <x:c r="M3444" s="23" t="n">
        <x:v>1</x:v>
      </x:c>
      <x:c r="N3444" s="28" t="n">
        <x:v>46203.92189349537</x:v>
      </x:c>
      <x:c r="O3444" s="28" t="n">
        <x:v>46219.812988715275</x:v>
      </x:c>
      <x:c r="P3444" s="23" t="str">
        <x:v>PRESIDENTE PRUDENTE</x:v>
      </x:c>
      <x:c r="Q3444" s="30" t="n">
        <x:v>31017</x:v>
      </x:c>
      <x:c r="R3444" s="22" t="str">
        <x:f>"41546227"</x:f>
        <x:v>41546227</x:v>
      </x:c>
      <x:c r="S3444" s="23" t="str">
        <x:v>masculino</x:v>
      </x:c>
      <x:c r="T3444" s="22" t="str"/>
      <x:c r="U3444" s="23" t="str">
        <x:v>SERGIO DE GOES GREGORIO</x:v>
      </x:c>
      <x:c r="V3444" s="22" t="str">
        <x:f>"344.308.238-63"</x:f>
        <x:v>344.308.238-63</x:v>
      </x:c>
      <x:c r="W3444" s="22" t="str">
        <x:f>"34430823863"</x:f>
        <x:v>34430823863</x:v>
      </x:c>
      <x:c r="X3444" s="23" t="str">
        <x:v>sergiodegoisgregorio10@gmail.com</x:v>
      </x:c>
      <x:c r="Y3444" s="22" t="str">
        <x:f>"18996970275"</x:f>
        <x:v>18996970275</x:v>
      </x:c>
      <x:c r="Z3444" s="30" t="n">
        <x:v>46327</x:v>
      </x:c>
    </x:row>
    <x:row r="3445" ht="18" customHeight="1">
      <x:c r="A3445" s="22" t="str">
        <x:f>"1e1cc617-c264-4d34-969a-0806108ca263"</x:f>
        <x:v>1e1cc617-c264-4d34-969a-0806108ca263</x:v>
      </x:c>
      <x:c r="B3445" s="23" t="str">
        <x:v>SERGIO DOS SANTOS SAMPAIO</x:v>
      </x:c>
      <x:c r="C3445" s="23" t="str">
        <x:v>sergio dos santos sampaio</x:v>
      </x:c>
      <x:c r="D3445" s="22" t="str">
        <x:f>"26272965000127"</x:f>
        <x:v>26272965000127</x:v>
      </x:c>
      <x:c r="E3445" s="22" t="str">
        <x:f>"26272965000127"</x:f>
        <x:v>26272965000127</x:v>
      </x:c>
      <x:c r="F3445" s="22" t="str">
        <x:f>"59830352153"</x:f>
        <x:v>59830352153</x:v>
      </x:c>
      <x:c r="G3445" s="22" t="str">
        <x:f>"59830352153"</x:f>
        <x:v>59830352153</x:v>
      </x:c>
      <x:c r="H3445" s="23" t="str">
        <x:v>SERGIOTRANSPORTE1213@GMAIL.COM</x:v>
      </x:c>
      <x:c r="I3445" s="22" t="str">
        <x:f>"64996277327"</x:f>
        <x:v>64996277327</x:v>
      </x:c>
      <x:c r="J3445" s="23" t="str">
        <x:v>SPOT</x:v>
      </x:c>
      <x:c r="K3445" s="23" t="str">
        <x:v>favored_only</x:v>
      </x:c>
      <x:c r="L3445" s="24" t="b">
        <x:v>1</x:v>
      </x:c>
      <x:c r="M3445" s="23" t="n">
        <x:v>3</x:v>
      </x:c>
      <x:c r="N3445" s="28" t="n">
        <x:v>46203.92186888889</x:v>
      </x:c>
      <x:c r="O3445" s="28" t="n">
        <x:v>46203.92186888889</x:v>
      </x:c>
      <x:c r="P3445" s="23" t="str"/>
      <x:c r="Q3445" s="30" t="str"/>
      <x:c r="R3445" s="22" t="str"/>
      <x:c r="S3445" s="23" t="str"/>
      <x:c r="T3445" s="22" t="str"/>
      <x:c r="U3445" s="23" t="str">
        <x:v>SERGIO DOS SANTOS SAMPAIO</x:v>
      </x:c>
      <x:c r="V3445" s="22" t="str">
        <x:f>"59830352153"</x:f>
        <x:v>59830352153</x:v>
      </x:c>
      <x:c r="W3445" s="22" t="str">
        <x:f>"59830352153"</x:f>
        <x:v>59830352153</x:v>
      </x:c>
      <x:c r="X3445" s="23" t="str">
        <x:v>lanosampaio1213@gmail.com</x:v>
      </x:c>
      <x:c r="Y3445" s="22" t="str">
        <x:f>"6492089394"</x:f>
        <x:v>6492089394</x:v>
      </x:c>
      <x:c r="Z3445" s="30" t="str"/>
    </x:row>
    <x:row r="3446" ht="18" customHeight="1">
      <x:c r="A3446" s="22" t="str">
        <x:f>"e09a1072-ca01-4d2a-8d77-975a0d79afcf"</x:f>
        <x:v>e09a1072-ca01-4d2a-8d77-975a0d79afcf</x:v>
      </x:c>
      <x:c r="B3446" s="23" t="str">
        <x:v>SERGIO GONCALVES DA SILVA</x:v>
      </x:c>
      <x:c r="C3446" s="23" t="str">
        <x:v>sergio goncalves da silva</x:v>
      </x:c>
      <x:c r="D3446" s="22" t="str">
        <x:f>"53.024.000/0001-98"</x:f>
        <x:v>53.024.000/0001-98</x:v>
      </x:c>
      <x:c r="E3446" s="22" t="str">
        <x:f>"53024000000198"</x:f>
        <x:v>53024000000198</x:v>
      </x:c>
      <x:c r="F3446" s="22" t="str">
        <x:f>"023.567.626-80"</x:f>
        <x:v>023.567.626-80</x:v>
      </x:c>
      <x:c r="G3446" s="22" t="str">
        <x:f>"02356762680"</x:f>
        <x:v>02356762680</x:v>
      </x:c>
      <x:c r="H3446" s="23" t="str">
        <x:v>sergioitylb@gmail.com</x:v>
      </x:c>
      <x:c r="I3446" s="22" t="str">
        <x:f>"33991343998"</x:f>
        <x:v>33991343998</x:v>
      </x:c>
      <x:c r="J3446" s="23" t="str">
        <x:v>RENTAL</x:v>
      </x:c>
      <x:c r="K3446" s="23" t="str">
        <x:v>rental_company</x:v>
      </x:c>
      <x:c r="L3446" s="24" t="b">
        <x:v>1</x:v>
      </x:c>
      <x:c r="M3446" s="23" t="n">
        <x:v>1</x:v>
      </x:c>
      <x:c r="N3446" s="28" t="n">
        <x:v>46219.79396105324</x:v>
      </x:c>
      <x:c r="O3446" s="28" t="n">
        <x:v>46219.812988715275</x:v>
      </x:c>
      <x:c r="P3446" s="23" t="str">
        <x:v>TEOFILO OTONI</x:v>
      </x:c>
      <x:c r="Q3446" s="30" t="n">
        <x:v>35493</x:v>
      </x:c>
      <x:c r="R3446" s="22" t="str">
        <x:f>"20979961"</x:f>
        <x:v>20979961</x:v>
      </x:c>
      <x:c r="S3446" s="23" t="str">
        <x:v>masculino</x:v>
      </x:c>
      <x:c r="T3446" s="22" t="str"/>
      <x:c r="U3446" s="23" t="str">
        <x:v>SERGIO GONCALVES DA SILVA</x:v>
      </x:c>
      <x:c r="V3446" s="22" t="str">
        <x:f>"023.567.626-80"</x:f>
        <x:v>023.567.626-80</x:v>
      </x:c>
      <x:c r="W3446" s="22" t="str">
        <x:f>"02356762680"</x:f>
        <x:v>02356762680</x:v>
      </x:c>
      <x:c r="X3446" s="23" t="str">
        <x:v>sergioitylb@gmail.com</x:v>
      </x:c>
      <x:c r="Y3446" s="22" t="str">
        <x:f>"33991343998"</x:f>
        <x:v>33991343998</x:v>
      </x:c>
      <x:c r="Z3446" s="30" t="n">
        <x:v>46269</x:v>
      </x:c>
    </x:row>
    <x:row r="3447" ht="18" customHeight="1">
      <x:c r="A3447" s="22" t="str">
        <x:f>"c59978b4-0fd2-4650-b8ec-bb63f241872b"</x:f>
        <x:v>c59978b4-0fd2-4650-b8ec-bb63f241872b</x:v>
      </x:c>
      <x:c r="B3447" s="23" t="str">
        <x:v>SERGIO GUSTAVO AMARAL PACHELLA</x:v>
      </x:c>
      <x:c r="C3447" s="23" t="str">
        <x:v>sergio gustavo amaral pachella</x:v>
      </x:c>
      <x:c r="D3447" s="22" t="str">
        <x:f>"65.444.548/0001-76"</x:f>
        <x:v>65.444.548/0001-76</x:v>
      </x:c>
      <x:c r="E3447" s="22" t="str">
        <x:f>"65444548000176"</x:f>
        <x:v>65444548000176</x:v>
      </x:c>
      <x:c r="F3447" s="22" t="str">
        <x:f>"360.352.788-76"</x:f>
        <x:v>360.352.788-76</x:v>
      </x:c>
      <x:c r="G3447" s="22" t="str">
        <x:f>"36035278876"</x:f>
        <x:v>36035278876</x:v>
      </x:c>
      <x:c r="H3447" s="23" t="str">
        <x:v>sergiopachella2025@gmail.com</x:v>
      </x:c>
      <x:c r="I3447" s="22" t="str">
        <x:f>"18981973660"</x:f>
        <x:v>18981973660</x:v>
      </x:c>
      <x:c r="J3447" s="23" t="str">
        <x:v>RENTAL</x:v>
      </x:c>
      <x:c r="K3447" s="23" t="str">
        <x:v>rental_company</x:v>
      </x:c>
      <x:c r="L3447" s="24" t="b">
        <x:v>1</x:v>
      </x:c>
      <x:c r="M3447" s="23" t="n">
        <x:v>1</x:v>
      </x:c>
      <x:c r="N3447" s="28" t="n">
        <x:v>46219.812988715275</x:v>
      </x:c>
      <x:c r="O3447" s="28" t="n">
        <x:v>46219.812988715275</x:v>
      </x:c>
      <x:c r="P3447" s="23" t="str">
        <x:v>PRESIDENTE PRUDENTE</x:v>
      </x:c>
      <x:c r="Q3447" s="30" t="n">
        <x:v>32669</x:v>
      </x:c>
      <x:c r="R3447" s="22" t="str">
        <x:f>"35.139.966-5"</x:f>
        <x:v>35.139.966-5</x:v>
      </x:c>
      <x:c r="S3447" s="23" t="str">
        <x:v>masculino</x:v>
      </x:c>
      <x:c r="T3447" s="22" t="str"/>
      <x:c r="U3447" s="23" t="str">
        <x:v>SERGIO GUSTAVO AMARAL PACHELLA</x:v>
      </x:c>
      <x:c r="V3447" s="22" t="str">
        <x:f>"360.352.788-76"</x:f>
        <x:v>360.352.788-76</x:v>
      </x:c>
      <x:c r="W3447" s="22" t="str">
        <x:f>"36035278876"</x:f>
        <x:v>36035278876</x:v>
      </x:c>
      <x:c r="X3447" s="23" t="str">
        <x:v>sergiopachella2025@gmail.com</x:v>
      </x:c>
      <x:c r="Y3447" s="22" t="str">
        <x:f>"18981973660"</x:f>
        <x:v>18981973660</x:v>
      </x:c>
      <x:c r="Z3447" s="30" t="n">
        <x:v>46449</x:v>
      </x:c>
    </x:row>
    <x:row r="3448" ht="18" customHeight="1">
      <x:c r="A3448" s="22" t="str">
        <x:f>"a38f01d4-5b95-4f7f-9348-d522d691c377"</x:f>
        <x:v>a38f01d4-5b95-4f7f-9348-d522d691c377</x:v>
      </x:c>
      <x:c r="B3448" s="23" t="str">
        <x:v>SERGIO HENRIQUE CAMPOS COSTA</x:v>
      </x:c>
      <x:c r="C3448" s="23" t="str">
        <x:v>sergio henrique campos costa</x:v>
      </x:c>
      <x:c r="D3448" s="22" t="str">
        <x:f>"39.951.898/0001-19"</x:f>
        <x:v>39.951.898/0001-19</x:v>
      </x:c>
      <x:c r="E3448" s="22" t="str">
        <x:f>"39951898000119"</x:f>
        <x:v>39951898000119</x:v>
      </x:c>
      <x:c r="F3448" s="22" t="str">
        <x:f>"018.289.127-51"</x:f>
        <x:v>018.289.127-51</x:v>
      </x:c>
      <x:c r="G3448" s="22" t="str">
        <x:f>"01828912751"</x:f>
        <x:v>01828912751</x:v>
      </x:c>
      <x:c r="H3448" s="23" t="str">
        <x:v>sergiocjoao@gmail.com</x:v>
      </x:c>
      <x:c r="I3448" s="22" t="str">
        <x:f>"21971913232"</x:f>
        <x:v>21971913232</x:v>
      </x:c>
      <x:c r="J3448" s="23" t="str">
        <x:v>SPOT</x:v>
      </x:c>
      <x:c r="K3448" s="23" t="str">
        <x:v>favored_only</x:v>
      </x:c>
      <x:c r="L3448" s="24" t="b">
        <x:v>1</x:v>
      </x:c>
      <x:c r="M3448" s="23" t="n">
        <x:v>1</x:v>
      </x:c>
      <x:c r="N3448" s="28" t="n">
        <x:v>46219.812988715275</x:v>
      </x:c>
      <x:c r="O3448" s="28" t="n">
        <x:v>46219.812988715275</x:v>
      </x:c>
      <x:c r="P3448" s="23" t="str">
        <x:v>CORDOVIL</x:v>
      </x:c>
      <x:c r="Q3448" s="30" t="n">
        <x:v>25839</x:v>
      </x:c>
      <x:c r="R3448" s="22" t="str">
        <x:f>"09421517-5"</x:f>
        <x:v>09421517-5</x:v>
      </x:c>
      <x:c r="S3448" s="23" t="str">
        <x:v>masculino</x:v>
      </x:c>
      <x:c r="T3448" s="22" t="str">
        <x:f>"PDB0I92"</x:f>
        <x:v>PDB0I92</x:v>
      </x:c>
      <x:c r="U3448" s="23" t="str">
        <x:v>SERGIO HENRIQUE CAMPOS COSTA</x:v>
      </x:c>
      <x:c r="V3448" s="22" t="str">
        <x:f>"018.289.127-51"</x:f>
        <x:v>018.289.127-51</x:v>
      </x:c>
      <x:c r="W3448" s="22" t="str">
        <x:f>"01828912751"</x:f>
        <x:v>01828912751</x:v>
      </x:c>
      <x:c r="X3448" s="23" t="str">
        <x:v>sergiocjoao@gmail.com</x:v>
      </x:c>
      <x:c r="Y3448" s="22" t="str">
        <x:f>"21971913232"</x:f>
        <x:v>21971913232</x:v>
      </x:c>
      <x:c r="Z3448" s="30" t="n">
        <x:v>46480</x:v>
      </x:c>
    </x:row>
    <x:row r="3449" ht="18" customHeight="1">
      <x:c r="A3449" s="22" t="str">
        <x:f>"f5d45f50-4a3d-4927-9b57-3cb1762e0e85"</x:f>
        <x:v>f5d45f50-4a3d-4927-9b57-3cb1762e0e85</x:v>
      </x:c>
      <x:c r="B3449" s="23" t="str">
        <x:v>SERGIO HENRIQUE ROCHA DE FALCO</x:v>
      </x:c>
      <x:c r="C3449" s="23" t="str">
        <x:v>sergio henrique rocha de falco</x:v>
      </x:c>
      <x:c r="D3449" s="22" t="str">
        <x:f>"53.495.083/0001-01"</x:f>
        <x:v>53.495.083/0001-01</x:v>
      </x:c>
      <x:c r="E3449" s="22" t="str">
        <x:f>"53495083000101"</x:f>
        <x:v>53495083000101</x:v>
      </x:c>
      <x:c r="F3449" s="22" t="str">
        <x:f>"420.319.338-92"</x:f>
        <x:v>420.319.338-92</x:v>
      </x:c>
      <x:c r="G3449" s="22" t="str">
        <x:f>"42031933892"</x:f>
        <x:v>42031933892</x:v>
      </x:c>
      <x:c r="H3449" s="23" t="str">
        <x:v>Sergiofalco935@gmail.com</x:v>
      </x:c>
      <x:c r="I3449" s="22" t="str">
        <x:f>"17 99283-8724"</x:f>
        <x:v>17 99283-8724</x:v>
      </x:c>
      <x:c r="J3449" s="23" t="str">
        <x:v>SPOT</x:v>
      </x:c>
      <x:c r="K3449" s="23" t="str">
        <x:v>favored_only</x:v>
      </x:c>
      <x:c r="L3449" s="24" t="b">
        <x:v>1</x:v>
      </x:c>
      <x:c r="M3449" s="23" t="n">
        <x:v>1</x:v>
      </x:c>
      <x:c r="N3449" s="28" t="n">
        <x:v>46203.921858726855</x:v>
      </x:c>
      <x:c r="O3449" s="28" t="n">
        <x:v>46219.812988715275</x:v>
      </x:c>
      <x:c r="P3449" s="23" t="str">
        <x:v>BARRETOS</x:v>
      </x:c>
      <x:c r="Q3449" s="30" t="n">
        <x:v>33990</x:v>
      </x:c>
      <x:c r="R3449" s="22" t="str">
        <x:f>"48992351"</x:f>
        <x:v>48992351</x:v>
      </x:c>
      <x:c r="S3449" s="23" t="str">
        <x:v>masculino</x:v>
      </x:c>
      <x:c r="T3449" s="22" t="str">
        <x:f>"FNS9H23"</x:f>
        <x:v>FNS9H23</x:v>
      </x:c>
      <x:c r="U3449" s="23" t="str">
        <x:v>SERGIO HENRIQUE ROCHA DE FALCO</x:v>
      </x:c>
      <x:c r="V3449" s="22" t="str">
        <x:f>"420.319.338-92"</x:f>
        <x:v>420.319.338-92</x:v>
      </x:c>
      <x:c r="W3449" s="22" t="str">
        <x:f>"42031933892"</x:f>
        <x:v>42031933892</x:v>
      </x:c>
      <x:c r="X3449" s="23" t="str">
        <x:v>Sergiofalco935@gmail.com</x:v>
      </x:c>
      <x:c r="Y3449" s="22" t="str">
        <x:f>"17 99283-8724"</x:f>
        <x:v>17 99283-8724</x:v>
      </x:c>
      <x:c r="Z3449" s="30" t="n">
        <x:v>46268</x:v>
      </x:c>
    </x:row>
    <x:row r="3450" ht="18" customHeight="1">
      <x:c r="A3450" s="22" t="str">
        <x:f>"a5684058-91e8-4795-a353-4dc088047f97"</x:f>
        <x:v>a5684058-91e8-4795-a353-4dc088047f97</x:v>
      </x:c>
      <x:c r="B3450" s="23" t="str">
        <x:v>SERGIO LUIZ GOMES</x:v>
      </x:c>
      <x:c r="C3450" s="23" t="str">
        <x:v>sergio luiz gomes</x:v>
      </x:c>
      <x:c r="D3450" s="22" t="str">
        <x:f>"62.986.132/0001-91"</x:f>
        <x:v>62.986.132/0001-91</x:v>
      </x:c>
      <x:c r="E3450" s="22" t="str">
        <x:f>"62986132000191"</x:f>
        <x:v>62986132000191</x:v>
      </x:c>
      <x:c r="F3450" s="22" t="str">
        <x:f>"120.072.816-51"</x:f>
        <x:v>120.072.816-51</x:v>
      </x:c>
      <x:c r="G3450" s="22" t="str">
        <x:f>"12007281651"</x:f>
        <x:v>12007281651</x:v>
      </x:c>
      <x:c r="H3450" s="23" t="str">
        <x:v>gomeesluiz2517@gmail.com</x:v>
      </x:c>
      <x:c r="I3450" s="22" t="str">
        <x:f>"3199760-5514"</x:f>
        <x:v>3199760-5514</x:v>
      </x:c>
      <x:c r="J3450" s="23" t="str">
        <x:v>SPOT</x:v>
      </x:c>
      <x:c r="K3450" s="23" t="str">
        <x:v>favored_only</x:v>
      </x:c>
      <x:c r="L3450" s="24" t="b">
        <x:v>1</x:v>
      </x:c>
      <x:c r="M3450" s="23" t="n">
        <x:v>1</x:v>
      </x:c>
      <x:c r="N3450" s="28" t="n">
        <x:v>46219.812988715275</x:v>
      </x:c>
      <x:c r="O3450" s="28" t="n">
        <x:v>46219.812988715275</x:v>
      </x:c>
      <x:c r="P3450" s="23" t="str">
        <x:v>VESPASIANO</x:v>
      </x:c>
      <x:c r="Q3450" s="30" t="n">
        <x:v>36763</x:v>
      </x:c>
      <x:c r="R3450" s="22" t="str">
        <x:f>"RG:1834840651"</x:f>
        <x:v>RG:1834840651</x:v>
      </x:c>
      <x:c r="S3450" s="23" t="str">
        <x:v>masculino</x:v>
      </x:c>
      <x:c r="T3450" s="22" t="str">
        <x:f>"RFA5B78"</x:f>
        <x:v>RFA5B78</x:v>
      </x:c>
      <x:c r="U3450" s="23" t="str">
        <x:v>SERGIO LUIZ GOMES</x:v>
      </x:c>
      <x:c r="V3450" s="22" t="str">
        <x:f>"120.072.816-51"</x:f>
        <x:v>120.072.816-51</x:v>
      </x:c>
      <x:c r="W3450" s="22" t="str">
        <x:f>"12007281651"</x:f>
        <x:v>12007281651</x:v>
      </x:c>
      <x:c r="X3450" s="23" t="str">
        <x:v>gomeesluiz2517@gmail.com</x:v>
      </x:c>
      <x:c r="Y3450" s="22" t="str">
        <x:f>"3199760-5514"</x:f>
        <x:v>3199760-5514</x:v>
      </x:c>
      <x:c r="Z3450" s="30" t="n">
        <x:v>46385</x:v>
      </x:c>
    </x:row>
    <x:row r="3451" ht="18" customHeight="1">
      <x:c r="A3451" s="22" t="str">
        <x:f>"c3a87316-5e4d-42f6-82e4-9741cf51806e"</x:f>
        <x:v>c3a87316-5e4d-42f6-82e4-9741cf51806e</x:v>
      </x:c>
      <x:c r="B3451" s="23" t="str">
        <x:v>SERGIO PEREIRA VENTURA JUNIOR</x:v>
      </x:c>
      <x:c r="C3451" s="23" t="str">
        <x:v>sergio pereira ventura junior</x:v>
      </x:c>
      <x:c r="D3451" s="22" t="str">
        <x:f>"40.244.846/0001-91"</x:f>
        <x:v>40.244.846/0001-91</x:v>
      </x:c>
      <x:c r="E3451" s="22" t="str">
        <x:f>"40244846000191"</x:f>
        <x:v>40244846000191</x:v>
      </x:c>
      <x:c r="F3451" s="22" t="str">
        <x:f>"162.701.557-46"</x:f>
        <x:v>162.701.557-46</x:v>
      </x:c>
      <x:c r="G3451" s="22" t="str">
        <x:f>"16270155746"</x:f>
        <x:v>16270155746</x:v>
      </x:c>
      <x:c r="H3451" s="23" t="str">
        <x:v>juniorventuratj@gmail.com</x:v>
      </x:c>
      <x:c r="I3451" s="22" t="str">
        <x:f>"22981640126"</x:f>
        <x:v>22981640126</x:v>
      </x:c>
      <x:c r="J3451" s="23" t="str">
        <x:v>SPOT</x:v>
      </x:c>
      <x:c r="K3451" s="23" t="str">
        <x:v>favored_only</x:v>
      </x:c>
      <x:c r="L3451" s="24" t="b">
        <x:v>1</x:v>
      </x:c>
      <x:c r="M3451" s="23" t="n">
        <x:v>2</x:v>
      </x:c>
      <x:c r="N3451" s="28" t="n">
        <x:v>46203.92188238426</x:v>
      </x:c>
      <x:c r="O3451" s="28" t="n">
        <x:v>46219.812988715275</x:v>
      </x:c>
      <x:c r="P3451" s="23" t="str">
        <x:v>CAMPOS DOS GOYTACAZES</x:v>
      </x:c>
      <x:c r="Q3451" s="30" t="n">
        <x:v>35448</x:v>
      </x:c>
      <x:c r="R3451" s="22" t="str">
        <x:f>"253478341"</x:f>
        <x:v>253478341</x:v>
      </x:c>
      <x:c r="S3451" s="23" t="str">
        <x:v>masculino</x:v>
      </x:c>
      <x:c r="T3451" s="22" t="str">
        <x:f>"PVD3E72"</x:f>
        <x:v>PVD3E72</x:v>
      </x:c>
      <x:c r="U3451" s="23" t="str">
        <x:v>SERGIO PEREIRA VENTURA JUNIOR</x:v>
      </x:c>
      <x:c r="V3451" s="22" t="str">
        <x:f>"162.701.557-46"</x:f>
        <x:v>162.701.557-46</x:v>
      </x:c>
      <x:c r="W3451" s="22" t="str">
        <x:f>"16270155746"</x:f>
        <x:v>16270155746</x:v>
      </x:c>
      <x:c r="X3451" s="23" t="str">
        <x:v>juniorventuratj@gmail.com</x:v>
      </x:c>
      <x:c r="Y3451" s="22" t="str">
        <x:f>"22981640126"</x:f>
        <x:v>22981640126</x:v>
      </x:c>
      <x:c r="Z3451" s="30" t="n">
        <x:v>46352</x:v>
      </x:c>
    </x:row>
    <x:row r="3452" ht="18" customHeight="1">
      <x:c r="A3452" s="22" t="str">
        <x:f>"936512c6-340c-4789-a4fa-fb0a28cf265d"</x:f>
        <x:v>936512c6-340c-4789-a4fa-fb0a28cf265d</x:v>
      </x:c>
      <x:c r="B3452" s="23" t="str">
        <x:v>SERGIO PIRES DE SOUZA</x:v>
      </x:c>
      <x:c r="C3452" s="23" t="str">
        <x:v>sergio pires de souza</x:v>
      </x:c>
      <x:c r="D3452" s="22" t="str">
        <x:f>"60.269.587/0001-60"</x:f>
        <x:v>60.269.587/0001-60</x:v>
      </x:c>
      <x:c r="E3452" s="22" t="str">
        <x:f>"60269587000160"</x:f>
        <x:v>60269587000160</x:v>
      </x:c>
      <x:c r="F3452" s="22" t="str">
        <x:f>"101.022.958-32"</x:f>
        <x:v>101.022.958-32</x:v>
      </x:c>
      <x:c r="G3452" s="22" t="str">
        <x:f>"10102295832"</x:f>
        <x:v>10102295832</x:v>
      </x:c>
      <x:c r="H3452" s="23" t="str">
        <x:v>sergioparana09@gmail.com</x:v>
      </x:c>
      <x:c r="I3452" s="22" t="str">
        <x:f>"17 99659-8754"</x:f>
        <x:v>17 99659-8754</x:v>
      </x:c>
      <x:c r="J3452" s="23" t="str">
        <x:v>SPOT</x:v>
      </x:c>
      <x:c r="K3452" s="23" t="str">
        <x:v>favored_only</x:v>
      </x:c>
      <x:c r="L3452" s="24" t="b">
        <x:v>1</x:v>
      </x:c>
      <x:c r="M3452" s="23" t="n">
        <x:v>1</x:v>
      </x:c>
      <x:c r="N3452" s="28" t="n">
        <x:v>46219.812988715275</x:v>
      </x:c>
      <x:c r="O3452" s="28" t="n">
        <x:v>46219.812988715275</x:v>
      </x:c>
      <x:c r="P3452" s="23" t="str">
        <x:v>SÃO JOSE DO RIO PRETO</x:v>
      </x:c>
      <x:c r="Q3452" s="30" t="n">
        <x:v>23826</x:v>
      </x:c>
      <x:c r="R3452" s="22" t="str">
        <x:f>"16230121"</x:f>
        <x:v>16230121</x:v>
      </x:c>
      <x:c r="S3452" s="23" t="str">
        <x:v>masculino</x:v>
      </x:c>
      <x:c r="T3452" s="22" t="str">
        <x:f>"MHK1B31"</x:f>
        <x:v>MHK1B31</x:v>
      </x:c>
      <x:c r="U3452" s="23" t="str">
        <x:v>SERGIO PIRES DE SOUZA</x:v>
      </x:c>
      <x:c r="V3452" s="22" t="str">
        <x:f>"101.022.958-32"</x:f>
        <x:v>101.022.958-32</x:v>
      </x:c>
      <x:c r="W3452" s="22" t="str">
        <x:f>"10102295832"</x:f>
        <x:v>10102295832</x:v>
      </x:c>
      <x:c r="X3452" s="23" t="str">
        <x:v>sergioparana09@gmail.com</x:v>
      </x:c>
      <x:c r="Y3452" s="22" t="str">
        <x:f>"17 99659-8754"</x:f>
        <x:v>17 99659-8754</x:v>
      </x:c>
      <x:c r="Z3452" s="30" t="n">
        <x:v>46493</x:v>
      </x:c>
    </x:row>
    <x:row r="3453" ht="18" customHeight="1">
      <x:c r="A3453" s="22" t="str">
        <x:f>"39350b97-f023-4318-8d51-e5c7a533a468"</x:f>
        <x:v>39350b97-f023-4318-8d51-e5c7a533a468</x:v>
      </x:c>
      <x:c r="B3453" s="23" t="str">
        <x:v>SERGIO RICARDO AZEVEDO EGGER</x:v>
      </x:c>
      <x:c r="C3453" s="23" t="str">
        <x:v>sergio ricardo azevedo egger</x:v>
      </x:c>
      <x:c r="D3453" s="22" t="str">
        <x:f>"28.531.593/0001-31"</x:f>
        <x:v>28.531.593/0001-31</x:v>
      </x:c>
      <x:c r="E3453" s="22" t="str">
        <x:f>"28531593000131"</x:f>
        <x:v>28531593000131</x:v>
      </x:c>
      <x:c r="F3453" s="22" t="str">
        <x:f>"853.569.647-49"</x:f>
        <x:v>853.569.647-49</x:v>
      </x:c>
      <x:c r="G3453" s="22" t="str">
        <x:f>"85356964749"</x:f>
        <x:v>85356964749</x:v>
      </x:c>
      <x:c r="H3453" s="23" t="str">
        <x:v>RODRIGOEGGER12@GMAIL.COM</x:v>
      </x:c>
      <x:c r="I3453" s="22" t="str">
        <x:f>"21995843179"</x:f>
        <x:v>21995843179</x:v>
      </x:c>
      <x:c r="J3453" s="23" t="str">
        <x:v>SPOT</x:v>
      </x:c>
      <x:c r="K3453" s="23" t="str">
        <x:v>favored_only</x:v>
      </x:c>
      <x:c r="L3453" s="24" t="b">
        <x:v>1</x:v>
      </x:c>
      <x:c r="M3453" s="23" t="n">
        <x:v>1</x:v>
      </x:c>
      <x:c r="N3453" s="28" t="n">
        <x:v>46219.812988715275</x:v>
      </x:c>
      <x:c r="O3453" s="28" t="n">
        <x:v>46219.812988715275</x:v>
      </x:c>
      <x:c r="P3453" s="23" t="str">
        <x:v>ITABORAI</x:v>
      </x:c>
      <x:c r="Q3453" s="30" t="n">
        <x:v>24132</x:v>
      </x:c>
      <x:c r="R3453" s="22" t="str">
        <x:f>"69584233"</x:f>
        <x:v>69584233</x:v>
      </x:c>
      <x:c r="S3453" s="23" t="str">
        <x:v>masculino</x:v>
      </x:c>
      <x:c r="T3453" s="22" t="str">
        <x:f>"TUO7E20"</x:f>
        <x:v>TUO7E20</x:v>
      </x:c>
      <x:c r="U3453" s="23" t="str">
        <x:v>MILENA AGUIAR DE AZEREDO</x:v>
      </x:c>
      <x:c r="V3453" s="22" t="str">
        <x:f>"142.498.187-56"</x:f>
        <x:v>142.498.187-56</x:v>
      </x:c>
      <x:c r="W3453" s="22" t="str">
        <x:f>"14249818756"</x:f>
        <x:v>14249818756</x:v>
      </x:c>
      <x:c r="X3453" s="23" t="str">
        <x:v>jean.egger@hotmail.com</x:v>
      </x:c>
      <x:c r="Y3453" s="22" t="str">
        <x:f>"21971688485"</x:f>
        <x:v>21971688485</x:v>
      </x:c>
      <x:c r="Z3453" s="30" t="n">
        <x:v>46550</x:v>
      </x:c>
    </x:row>
    <x:row r="3454" ht="18" customHeight="1">
      <x:c r="A3454" s="22" t="str">
        <x:f>"f7e0c21b-af50-44a5-a133-7dfef50a2971"</x:f>
        <x:v>f7e0c21b-af50-44a5-a133-7dfef50a2971</x:v>
      </x:c>
      <x:c r="B3454" s="23" t="str">
        <x:v>SERGIO RICARDO AZEVEDO EGGER</x:v>
      </x:c>
      <x:c r="C3454" s="23" t="str">
        <x:v>sergio ricardo azevedo egger</x:v>
      </x:c>
      <x:c r="D3454" s="22" t="str">
        <x:f>"32.245.063/0001-02"</x:f>
        <x:v>32.245.063/0001-02</x:v>
      </x:c>
      <x:c r="E3454" s="22" t="str">
        <x:f>"32245063000102"</x:f>
        <x:v>32245063000102</x:v>
      </x:c>
      <x:c r="F3454" s="22" t="str">
        <x:f>"853.569.647-49"</x:f>
        <x:v>853.569.647-49</x:v>
      </x:c>
      <x:c r="G3454" s="22" t="str">
        <x:f>"85356964749"</x:f>
        <x:v>85356964749</x:v>
      </x:c>
      <x:c r="H3454" s="23" t="str">
        <x:v>RODRIGOEGGER12@GMAIL.COM</x:v>
      </x:c>
      <x:c r="I3454" s="22" t="str">
        <x:f>"21972514107"</x:f>
        <x:v>21972514107</x:v>
      </x:c>
      <x:c r="J3454" s="23" t="str">
        <x:v>SPOT</x:v>
      </x:c>
      <x:c r="K3454" s="23" t="str">
        <x:v>favored_only</x:v>
      </x:c>
      <x:c r="L3454" s="24" t="b">
        <x:v>1</x:v>
      </x:c>
      <x:c r="M3454" s="23" t="n">
        <x:v>2</x:v>
      </x:c>
      <x:c r="N3454" s="28" t="n">
        <x:v>46219.812988715275</x:v>
      </x:c>
      <x:c r="O3454" s="28" t="n">
        <x:v>46219.812988715275</x:v>
      </x:c>
      <x:c r="P3454" s="23" t="str">
        <x:v>ITABORAI</x:v>
      </x:c>
      <x:c r="Q3454" s="30" t="n">
        <x:v>24132</x:v>
      </x:c>
      <x:c r="R3454" s="22" t="str">
        <x:f>"298260132"</x:f>
        <x:v>298260132</x:v>
      </x:c>
      <x:c r="S3454" s="23" t="str">
        <x:v>masculino</x:v>
      </x:c>
      <x:c r="T3454" s="22" t="str">
        <x:f>"RJD3H22"</x:f>
        <x:v>RJD3H22</x:v>
      </x:c>
      <x:c r="U3454" s="23" t="str">
        <x:v>RODRIGO MARINS EGGER</x:v>
      </x:c>
      <x:c r="V3454" s="22" t="str">
        <x:f>"132.104.477-13"</x:f>
        <x:v>132.104.477-13</x:v>
      </x:c>
      <x:c r="W3454" s="22" t="str">
        <x:f>"13210447713"</x:f>
        <x:v>13210447713</x:v>
      </x:c>
      <x:c r="X3454" s="23" t="str">
        <x:v>RODRIGOEGGER12@GMAIL.COM</x:v>
      </x:c>
      <x:c r="Y3454" s="22" t="str">
        <x:f>"21995174799"</x:f>
        <x:v>21995174799</x:v>
      </x:c>
      <x:c r="Z3454" s="30" t="n">
        <x:v>46479</x:v>
      </x:c>
    </x:row>
    <x:row r="3455" ht="18" customHeight="1">
      <x:c r="A3455" s="22" t="str">
        <x:f>"347a33eb-3d61-41db-a19f-d4255e8b4a1b"</x:f>
        <x:v>347a33eb-3d61-41db-a19f-d4255e8b4a1b</x:v>
      </x:c>
      <x:c r="B3455" s="23" t="str">
        <x:v>SERGIO ROBERTO CATUTA DOMINGUES</x:v>
      </x:c>
      <x:c r="C3455" s="23" t="str">
        <x:v>sergio roberto catuta domingues</x:v>
      </x:c>
      <x:c r="D3455" s="22" t="str">
        <x:f>"62.405.375/0001-99"</x:f>
        <x:v>62.405.375/0001-99</x:v>
      </x:c>
      <x:c r="E3455" s="22" t="str">
        <x:f>"62405375000199"</x:f>
        <x:v>62405375000199</x:v>
      </x:c>
      <x:c r="F3455" s="22" t="str">
        <x:f>"099.019.116-80"</x:f>
        <x:v>099.019.116-80</x:v>
      </x:c>
      <x:c r="G3455" s="22" t="str">
        <x:f>"09901911680"</x:f>
        <x:v>09901911680</x:v>
      </x:c>
      <x:c r="H3455" s="23" t="str">
        <x:v>sergiocatuta@gmail.com</x:v>
      </x:c>
      <x:c r="I3455" s="22" t="str">
        <x:f>"(34) 9 9740 8114"</x:f>
        <x:v>(34) 9 9740 8114</x:v>
      </x:c>
      <x:c r="J3455" s="23" t="str">
        <x:v>RENTAL</x:v>
      </x:c>
      <x:c r="K3455" s="23" t="str">
        <x:v>rental_company</x:v>
      </x:c>
      <x:c r="L3455" s="24" t="b">
        <x:v>1</x:v>
      </x:c>
      <x:c r="M3455" s="23" t="n">
        <x:v>1</x:v>
      </x:c>
      <x:c r="N3455" s="28" t="n">
        <x:v>46203.921858726855</x:v>
      </x:c>
      <x:c r="O3455" s="28" t="n">
        <x:v>46219.812988715275</x:v>
      </x:c>
      <x:c r="P3455" s="23" t="str">
        <x:v>UBERABA</x:v>
      </x:c>
      <x:c r="Q3455" s="30" t="n">
        <x:v>34959</x:v>
      </x:c>
      <x:c r="R3455" s="22" t="str">
        <x:f>"16506173"</x:f>
        <x:v>16506173</x:v>
      </x:c>
      <x:c r="S3455" s="23" t="str">
        <x:v>masculino</x:v>
      </x:c>
      <x:c r="T3455" s="22" t="str"/>
      <x:c r="U3455" s="23" t="str">
        <x:v>SERGIO ROBERTO CATUTA DOMINGUES</x:v>
      </x:c>
      <x:c r="V3455" s="22" t="str">
        <x:f>"099.019.116-80"</x:f>
        <x:v>099.019.116-80</x:v>
      </x:c>
      <x:c r="W3455" s="22" t="str">
        <x:f>"09901911680"</x:f>
        <x:v>09901911680</x:v>
      </x:c>
      <x:c r="X3455" s="23" t="str">
        <x:v>sergiocatuta@gmail.com</x:v>
      </x:c>
      <x:c r="Y3455" s="22" t="str">
        <x:f>"(34) 9 9740 8114"</x:f>
        <x:v>(34) 9 9740 8114</x:v>
      </x:c>
      <x:c r="Z3455" s="30" t="n">
        <x:v>46261</x:v>
      </x:c>
    </x:row>
    <x:row r="3456" ht="18" customHeight="1">
      <x:c r="A3456" s="22" t="str">
        <x:f>"1f8bc2e8-52e4-4ca2-8b0f-20b1ac45c1db"</x:f>
        <x:v>1f8bc2e8-52e4-4ca2-8b0f-20b1ac45c1db</x:v>
      </x:c>
      <x:c r="B3456" s="23" t="str">
        <x:v>SERGIO SILVA DA COSTA</x:v>
      </x:c>
      <x:c r="C3456" s="23" t="str">
        <x:v>sergio silva da costa</x:v>
      </x:c>
      <x:c r="D3456" s="22" t="str">
        <x:f>"67.056.065/0001-20"</x:f>
        <x:v>67.056.065/0001-20</x:v>
      </x:c>
      <x:c r="E3456" s="22" t="str">
        <x:f>"67056065000120"</x:f>
        <x:v>67056065000120</x:v>
      </x:c>
      <x:c r="F3456" s="22" t="str">
        <x:f>"085.890.054-88"</x:f>
        <x:v>085.890.054-88</x:v>
      </x:c>
      <x:c r="G3456" s="22" t="str">
        <x:f>"08589005488"</x:f>
        <x:v>08589005488</x:v>
      </x:c>
      <x:c r="H3456" s="23" t="str">
        <x:v>sergiocosta1991@outlook.com</x:v>
      </x:c>
      <x:c r="I3456" s="22" t="str">
        <x:f>"67 9 9126-8129"</x:f>
        <x:v>67 9 9126-8129</x:v>
      </x:c>
      <x:c r="J3456" s="23" t="str">
        <x:v>RENTAL</x:v>
      </x:c>
      <x:c r="K3456" s="23" t="str">
        <x:v>rental_company</x:v>
      </x:c>
      <x:c r="L3456" s="24" t="b">
        <x:v>1</x:v>
      </x:c>
      <x:c r="M3456" s="23" t="n">
        <x:v>1</x:v>
      </x:c>
      <x:c r="N3456" s="28" t="n">
        <x:v>46219.812988715275</x:v>
      </x:c>
      <x:c r="O3456" s="28" t="n">
        <x:v>46219.812988715275</x:v>
      </x:c>
      <x:c r="P3456" s="23" t="str">
        <x:v>CHAPADÃO DO SUL</x:v>
      </x:c>
      <x:c r="Q3456" s="30" t="n">
        <x:v>33521</x:v>
      </x:c>
      <x:c r="R3456" s="22" t="str">
        <x:f>"2529989"</x:f>
        <x:v>2529989</x:v>
      </x:c>
      <x:c r="S3456" s="23" t="str">
        <x:v>masculino</x:v>
      </x:c>
      <x:c r="T3456" s="22" t="str"/>
      <x:c r="U3456" s="23" t="str">
        <x:v>SERGIO SILVA DA COSTA</x:v>
      </x:c>
      <x:c r="V3456" s="22" t="str">
        <x:f>"085.890.054-88"</x:f>
        <x:v>085.890.054-88</x:v>
      </x:c>
      <x:c r="W3456" s="22" t="str">
        <x:f>"08589005488"</x:f>
        <x:v>08589005488</x:v>
      </x:c>
      <x:c r="X3456" s="23" t="str">
        <x:v>sergiocosta1991@outlook.com</x:v>
      </x:c>
      <x:c r="Y3456" s="22" t="str">
        <x:f>"67 9 9126-8129"</x:f>
        <x:v>67 9 9126-8129</x:v>
      </x:c>
      <x:c r="Z3456" s="30" t="n">
        <x:v>46536</x:v>
      </x:c>
    </x:row>
    <x:row r="3457" ht="18" customHeight="1">
      <x:c r="A3457" s="22" t="str">
        <x:f>"b0693276-0e34-4dfb-9e36-23c8fa828a6e"</x:f>
        <x:v>b0693276-0e34-4dfb-9e36-23c8fa828a6e</x:v>
      </x:c>
      <x:c r="B3457" s="23" t="str">
        <x:v>SERGIO SIMAO DE CARVALHO</x:v>
      </x:c>
      <x:c r="C3457" s="23" t="str">
        <x:v>sergio simao de carvalho</x:v>
      </x:c>
      <x:c r="D3457" s="22" t="str">
        <x:f>"45.784.797/0001-01"</x:f>
        <x:v>45.784.797/0001-01</x:v>
      </x:c>
      <x:c r="E3457" s="22" t="str">
        <x:f>"45784797000101"</x:f>
        <x:v>45784797000101</x:v>
      </x:c>
      <x:c r="F3457" s="22" t="str">
        <x:f>"398.079.327-34"</x:f>
        <x:v>398.079.327-34</x:v>
      </x:c>
      <x:c r="G3457" s="22" t="str">
        <x:f>"39807932734"</x:f>
        <x:v>39807932734</x:v>
      </x:c>
      <x:c r="H3457" s="23" t="str">
        <x:v>sergiosimaodecarvalho@gmail.com</x:v>
      </x:c>
      <x:c r="I3457" s="22" t="str">
        <x:f>"21999480050"</x:f>
        <x:v>21999480050</x:v>
      </x:c>
      <x:c r="J3457" s="23" t="str">
        <x:v>SPOT</x:v>
      </x:c>
      <x:c r="K3457" s="23" t="str">
        <x:v>favored_only</x:v>
      </x:c>
      <x:c r="L3457" s="24" t="b">
        <x:v>1</x:v>
      </x:c>
      <x:c r="M3457" s="23" t="n">
        <x:v>1</x:v>
      </x:c>
      <x:c r="N3457" s="28" t="n">
        <x:v>46203.92189965278</x:v>
      </x:c>
      <x:c r="O3457" s="28" t="n">
        <x:v>46219.812988715275</x:v>
      </x:c>
      <x:c r="P3457" s="23" t="str">
        <x:v>CAMPO GRANDE</x:v>
      </x:c>
      <x:c r="Q3457" s="30" t="n">
        <x:v>19581</x:v>
      </x:c>
      <x:c r="R3457" s="22" t="str">
        <x:f>"31563489"</x:f>
        <x:v>31563489</x:v>
      </x:c>
      <x:c r="S3457" s="23" t="str">
        <x:v>feminino</x:v>
      </x:c>
      <x:c r="T3457" s="22" t="str">
        <x:f>"RTS9A76"</x:f>
        <x:v>RTS9A76</x:v>
      </x:c>
      <x:c r="U3457" s="23" t="str">
        <x:v>SERGIO SIMAO DE CARVALHO</x:v>
      </x:c>
      <x:c r="V3457" s="22" t="str">
        <x:f>"398.079.327-34"</x:f>
        <x:v>398.079.327-34</x:v>
      </x:c>
      <x:c r="W3457" s="22" t="str">
        <x:f>"39807932734"</x:f>
        <x:v>39807932734</x:v>
      </x:c>
      <x:c r="X3457" s="23" t="str">
        <x:v>sergiosimaodecarvalho@gmail.com</x:v>
      </x:c>
      <x:c r="Y3457" s="22" t="str">
        <x:f>"21999480050"</x:f>
        <x:v>21999480050</x:v>
      </x:c>
      <x:c r="Z3457" s="30" t="n">
        <x:v>46292</x:v>
      </x:c>
    </x:row>
    <x:row r="3458" ht="18" customHeight="1">
      <x:c r="A3458" s="22" t="str">
        <x:f>"6d9021c9-6009-4e85-b7db-34b8123739fd"</x:f>
        <x:v>6d9021c9-6009-4e85-b7db-34b8123739fd</x:v>
      </x:c>
      <x:c r="B3458" s="23" t="str">
        <x:v>SERGIO VIEIRA MONNERAT JUNIOR</x:v>
      </x:c>
      <x:c r="C3458" s="23" t="str">
        <x:v>sergio vieira monnerat junior</x:v>
      </x:c>
      <x:c r="D3458" s="22" t="str">
        <x:f>"47.459.293/0001-33"</x:f>
        <x:v>47.459.293/0001-33</x:v>
      </x:c>
      <x:c r="E3458" s="22" t="str">
        <x:f>"47459293000133"</x:f>
        <x:v>47459293000133</x:v>
      </x:c>
      <x:c r="F3458" s="22" t="str">
        <x:f>"100.877.347-61"</x:f>
        <x:v>100.877.347-61</x:v>
      </x:c>
      <x:c r="G3458" s="22" t="str">
        <x:f>"10087734761"</x:f>
        <x:v>10087734761</x:v>
      </x:c>
      <x:c r="H3458" s="23" t="str">
        <x:v>sergiov.monneratjr@gmail.com</x:v>
      </x:c>
      <x:c r="I3458" s="22" t="str">
        <x:f>"22 98138-0350"</x:f>
        <x:v>22 98138-0350</x:v>
      </x:c>
      <x:c r="J3458" s="23" t="str">
        <x:v>SPOT</x:v>
      </x:c>
      <x:c r="K3458" s="23" t="str">
        <x:v>favored_only</x:v>
      </x:c>
      <x:c r="L3458" s="24" t="b">
        <x:v>1</x:v>
      </x:c>
      <x:c r="M3458" s="23" t="n">
        <x:v>2</x:v>
      </x:c>
      <x:c r="N3458" s="28" t="n">
        <x:v>46203.921904421295</x:v>
      </x:c>
      <x:c r="O3458" s="28" t="n">
        <x:v>46219.812988715275</x:v>
      </x:c>
      <x:c r="P3458" s="23" t="str">
        <x:v>CAMPOS DOS GOYTACAZES</x:v>
      </x:c>
      <x:c r="Q3458" s="30" t="n">
        <x:v>34969</x:v>
      </x:c>
      <x:c r="R3458" s="22" t="str">
        <x:f>"298501032"</x:f>
        <x:v>298501032</x:v>
      </x:c>
      <x:c r="S3458" s="23" t="str">
        <x:v>masculino</x:v>
      </x:c>
      <x:c r="T3458" s="22" t="str">
        <x:f>"TTT9C03"</x:f>
        <x:v>TTT9C03</x:v>
      </x:c>
      <x:c r="U3458" s="23" t="str">
        <x:v>SERGIO VIEIRA MONNERAT JUNIOR</x:v>
      </x:c>
      <x:c r="V3458" s="22" t="str">
        <x:f>"100.877.347-61"</x:f>
        <x:v>100.877.347-61</x:v>
      </x:c>
      <x:c r="W3458" s="22" t="str">
        <x:f>"10087734761"</x:f>
        <x:v>10087734761</x:v>
      </x:c>
      <x:c r="X3458" s="23" t="str">
        <x:v>sergiov.monneratjr@gmail.com</x:v>
      </x:c>
      <x:c r="Y3458" s="22" t="str">
        <x:f>"22 98138-0350"</x:f>
        <x:v>22 98138-0350</x:v>
      </x:c>
      <x:c r="Z3458" s="30" t="n">
        <x:v>46521</x:v>
      </x:c>
    </x:row>
    <x:row r="3459" ht="18" customHeight="1">
      <x:c r="A3459" s="22" t="str">
        <x:f>"feeca9f8-245b-47e2-bb68-bcf753299539"</x:f>
        <x:v>feeca9f8-245b-47e2-bb68-bcf753299539</x:v>
      </x:c>
      <x:c r="B3459" s="23" t="str">
        <x:v>SERVULO RODRIGUES OLIVEIRA FILHO</x:v>
      </x:c>
      <x:c r="C3459" s="23" t="str">
        <x:v>servulo rodrigues oliveira filho</x:v>
      </x:c>
      <x:c r="D3459" s="22" t="str">
        <x:f>"27.077.728/0001-78"</x:f>
        <x:v>27.077.728/0001-78</x:v>
      </x:c>
      <x:c r="E3459" s="22" t="str">
        <x:f>"27077728000178"</x:f>
        <x:v>27077728000178</x:v>
      </x:c>
      <x:c r="F3459" s="22" t="str">
        <x:f>"105.583.546-61"</x:f>
        <x:v>105.583.546-61</x:v>
      </x:c>
      <x:c r="G3459" s="22" t="str">
        <x:f>"10558354661"</x:f>
        <x:v>10558354661</x:v>
      </x:c>
      <x:c r="H3459" s="23" t="str">
        <x:v>servulo.ipa@gmail.com</x:v>
      </x:c>
      <x:c r="I3459" s="22" t="str">
        <x:f>"31 99601-3722"</x:f>
        <x:v>31 99601-3722</x:v>
      </x:c>
      <x:c r="J3459" s="23" t="str">
        <x:v>RENTAL</x:v>
      </x:c>
      <x:c r="K3459" s="23" t="str">
        <x:v>rental_company</x:v>
      </x:c>
      <x:c r="L3459" s="24" t="b">
        <x:v>1</x:v>
      </x:c>
      <x:c r="M3459" s="23" t="n">
        <x:v>1</x:v>
      </x:c>
      <x:c r="N3459" s="28" t="n">
        <x:v>46219.812988715275</x:v>
      </x:c>
      <x:c r="O3459" s="28" t="n">
        <x:v>46219.812988715275</x:v>
      </x:c>
      <x:c r="P3459" s="23" t="str">
        <x:v>IPATINGA</x:v>
      </x:c>
      <x:c r="Q3459" s="30" t="n">
        <x:v>34273</x:v>
      </x:c>
      <x:c r="R3459" s="22" t="str">
        <x:f>"MG 1755902 SSP MG"</x:f>
        <x:v>MG 1755902 SSP MG</x:v>
      </x:c>
      <x:c r="S3459" s="23" t="str">
        <x:v>masculino</x:v>
      </x:c>
      <x:c r="T3459" s="22" t="str"/>
      <x:c r="U3459" s="23" t="str">
        <x:v>SERVULO RODRIGUES OLIVEIRA FILHO</x:v>
      </x:c>
      <x:c r="V3459" s="22" t="str">
        <x:f>"105.583.546-61"</x:f>
        <x:v>105.583.546-61</x:v>
      </x:c>
      <x:c r="W3459" s="22" t="str">
        <x:f>"10558354661"</x:f>
        <x:v>10558354661</x:v>
      </x:c>
      <x:c r="X3459" s="23" t="str">
        <x:v>servulo.ipa@gmail.com</x:v>
      </x:c>
      <x:c r="Y3459" s="22" t="str">
        <x:f>"31 99601-3722"</x:f>
        <x:v>31 99601-3722</x:v>
      </x:c>
      <x:c r="Z3459" s="30" t="n">
        <x:v>46553</x:v>
      </x:c>
    </x:row>
    <x:row r="3460" ht="18" customHeight="1">
      <x:c r="A3460" s="22" t="str">
        <x:f>"8fbe05ef-772c-485c-a5cb-38f656611681"</x:f>
        <x:v>8fbe05ef-772c-485c-a5cb-38f656611681</x:v>
      </x:c>
      <x:c r="B3460" s="23" t="str">
        <x:v>SEVERINO FERREIRA DE SOUZA</x:v>
      </x:c>
      <x:c r="C3460" s="23" t="str">
        <x:v>severino ferreira de souza</x:v>
      </x:c>
      <x:c r="D3460" s="22" t="str">
        <x:f>"37.823.997/0001-90"</x:f>
        <x:v>37.823.997/0001-90</x:v>
      </x:c>
      <x:c r="E3460" s="22" t="str">
        <x:f>"37823997000190"</x:f>
        <x:v>37823997000190</x:v>
      </x:c>
      <x:c r="F3460" s="22" t="str">
        <x:f>"026.797.271-77"</x:f>
        <x:v>026.797.271-77</x:v>
      </x:c>
      <x:c r="G3460" s="22" t="str">
        <x:f>"02679727177"</x:f>
        <x:v>02679727177</x:v>
      </x:c>
      <x:c r="H3460" s="23" t="str">
        <x:v>Severinoferreiradesouza718@gmail.com</x:v>
      </x:c>
      <x:c r="I3460" s="22" t="str">
        <x:f>"+55 65 9950-5275"</x:f>
        <x:v>+55 65 9950-5275</x:v>
      </x:c>
      <x:c r="J3460" s="23" t="str">
        <x:v>SPOT</x:v>
      </x:c>
      <x:c r="K3460" s="23" t="str">
        <x:v>favored_only</x:v>
      </x:c>
      <x:c r="L3460" s="24" t="b">
        <x:v>1</x:v>
      </x:c>
      <x:c r="M3460" s="23" t="n">
        <x:v>1</x:v>
      </x:c>
      <x:c r="N3460" s="28" t="n">
        <x:v>46219.812988715275</x:v>
      </x:c>
      <x:c r="O3460" s="28" t="n">
        <x:v>46219.812988715275</x:v>
      </x:c>
      <x:c r="P3460" s="23" t="str">
        <x:v>PONTES E LACERDA</x:v>
      </x:c>
      <x:c r="Q3460" s="30" t="n">
        <x:v>32234</x:v>
      </x:c>
      <x:c r="R3460" s="22" t="str">
        <x:f>"199112331"</x:f>
        <x:v>199112331</x:v>
      </x:c>
      <x:c r="S3460" s="23" t="str">
        <x:v>masculino</x:v>
      </x:c>
      <x:c r="T3460" s="22" t="str">
        <x:f>"BTY7C67"</x:f>
        <x:v>BTY7C67</x:v>
      </x:c>
      <x:c r="U3460" s="23" t="str">
        <x:v>RODOPRIME TRANSPORTES E CARGAS LTDA</x:v>
      </x:c>
      <x:c r="V3460" s="22" t="str">
        <x:f>"038.768.901-01"</x:f>
        <x:v>038.768.901-01</x:v>
      </x:c>
      <x:c r="W3460" s="22" t="str">
        <x:f>"03876890101"</x:f>
        <x:v>03876890101</x:v>
      </x:c>
      <x:c r="X3460" s="23" t="str">
        <x:v>rtp.cargas@gmail.com</x:v>
      </x:c>
      <x:c r="Y3460" s="22" t="str">
        <x:f>"62991277279"</x:f>
        <x:v>62991277279</x:v>
      </x:c>
      <x:c r="Z3460" s="30" t="n">
        <x:v>46460</x:v>
      </x:c>
    </x:row>
    <x:row r="3461" ht="18" customHeight="1">
      <x:c r="A3461" s="22" t="str">
        <x:f>"aa72c792-0549-47f7-bae0-dc19efb23c38"</x:f>
        <x:v>aa72c792-0549-47f7-bae0-dc19efb23c38</x:v>
      </x:c>
      <x:c r="B3461" s="23" t="str">
        <x:v>SHEILA NASCIMENTO DE SOUZA SILVA</x:v>
      </x:c>
      <x:c r="C3461" s="23" t="str">
        <x:v>sheila nascimento de souza silva</x:v>
      </x:c>
      <x:c r="D3461" s="22" t="str">
        <x:f>"44.280.293/0001-83"</x:f>
        <x:v>44.280.293/0001-83</x:v>
      </x:c>
      <x:c r="E3461" s="22" t="str">
        <x:f>"44280293000183"</x:f>
        <x:v>44280293000183</x:v>
      </x:c>
      <x:c r="F3461" s="22" t="str">
        <x:f>"173.447.808-01"</x:f>
        <x:v>173.447.808-01</x:v>
      </x:c>
      <x:c r="G3461" s="22" t="str">
        <x:f>"17344780801"</x:f>
        <x:v>17344780801</x:v>
      </x:c>
      <x:c r="H3461" s="23" t="str">
        <x:v>Sheilaanjos@gmail.com</x:v>
      </x:c>
      <x:c r="I3461" s="22" t="str">
        <x:f>"11977506663"</x:f>
        <x:v>11977506663</x:v>
      </x:c>
      <x:c r="J3461" s="23" t="str">
        <x:v>RENTAL</x:v>
      </x:c>
      <x:c r="K3461" s="23" t="str">
        <x:v>rental_company</x:v>
      </x:c>
      <x:c r="L3461" s="24" t="b">
        <x:v>1</x:v>
      </x:c>
      <x:c r="M3461" s="23" t="n">
        <x:v>1</x:v>
      </x:c>
      <x:c r="N3461" s="28" t="n">
        <x:v>46203.9218771875</x:v>
      </x:c>
      <x:c r="O3461" s="28" t="n">
        <x:v>46219.812988715275</x:v>
      </x:c>
      <x:c r="P3461" s="23" t="str">
        <x:v>JALES</x:v>
      </x:c>
      <x:c r="Q3461" s="30" t="n">
        <x:v>26746</x:v>
      </x:c>
      <x:c r="R3461" s="22" t="str">
        <x:f>"25948407"</x:f>
        <x:v>25948407</x:v>
      </x:c>
      <x:c r="S3461" s="23" t="str">
        <x:v>feminino</x:v>
      </x:c>
      <x:c r="T3461" s="22" t="str"/>
      <x:c r="U3461" s="23" t="str">
        <x:v>SHEILA NASCIMENTO DE SOUZA SILVA</x:v>
      </x:c>
      <x:c r="V3461" s="22" t="str">
        <x:f>"173.447.808-01"</x:f>
        <x:v>173.447.808-01</x:v>
      </x:c>
      <x:c r="W3461" s="22" t="str">
        <x:f>"17344780801"</x:f>
        <x:v>17344780801</x:v>
      </x:c>
      <x:c r="X3461" s="23" t="str">
        <x:v>Sheilaanjos@gmail.com</x:v>
      </x:c>
      <x:c r="Y3461" s="22" t="str">
        <x:f>"11977506663"</x:f>
        <x:v>11977506663</x:v>
      </x:c>
      <x:c r="Z3461" s="30" t="n">
        <x:v>46309</x:v>
      </x:c>
    </x:row>
    <x:row r="3462" ht="18" customHeight="1">
      <x:c r="A3462" s="22" t="str">
        <x:f>"5aa9cb3d-a8e6-4d04-9423-f635b94c9ab1"</x:f>
        <x:v>5aa9cb3d-a8e6-4d04-9423-f635b94c9ab1</x:v>
      </x:c>
      <x:c r="B3462" s="23" t="str">
        <x:v>SHELIDA ELIETE RODRIGUES</x:v>
      </x:c>
      <x:c r="C3462" s="23" t="str">
        <x:v>shelida eliete rodrigues</x:v>
      </x:c>
      <x:c r="D3462" s="22" t="str">
        <x:f>"54.201.078/0001-01"</x:f>
        <x:v>54.201.078/0001-01</x:v>
      </x:c>
      <x:c r="E3462" s="22" t="str">
        <x:f>"54201078000101"</x:f>
        <x:v>54201078000101</x:v>
      </x:c>
      <x:c r="F3462" s="22" t="str">
        <x:f>"052.351.276-76"</x:f>
        <x:v>052.351.276-76</x:v>
      </x:c>
      <x:c r="G3462" s="22" t="str">
        <x:f>"05235127676"</x:f>
        <x:v>05235127676</x:v>
      </x:c>
      <x:c r="H3462" s="23" t="str">
        <x:v>Shelida.rodrigues963@gmail.com</x:v>
      </x:c>
      <x:c r="I3462" s="22" t="str">
        <x:f>"(35)998478610"</x:f>
        <x:v>(35)998478610</x:v>
      </x:c>
      <x:c r="J3462" s="23" t="str">
        <x:v>RENTAL</x:v>
      </x:c>
      <x:c r="K3462" s="23" t="str">
        <x:v>rental_company</x:v>
      </x:c>
      <x:c r="L3462" s="24" t="b">
        <x:v>1</x:v>
      </x:c>
      <x:c r="M3462" s="23" t="n">
        <x:v>1</x:v>
      </x:c>
      <x:c r="N3462" s="28" t="n">
        <x:v>46203.921852962965</x:v>
      </x:c>
      <x:c r="O3462" s="28" t="n">
        <x:v>46219.812988715275</x:v>
      </x:c>
      <x:c r="P3462" s="23" t="str">
        <x:v>POUSO ALEGRE</x:v>
      </x:c>
      <x:c r="Q3462" s="30" t="n">
        <x:v>29663</x:v>
      </x:c>
      <x:c r="R3462" s="22" t="str">
        <x:f>"16334359"</x:f>
        <x:v>16334359</x:v>
      </x:c>
      <x:c r="S3462" s="23" t="str">
        <x:v>feminino</x:v>
      </x:c>
      <x:c r="T3462" s="22" t="str"/>
      <x:c r="U3462" s="23" t="str">
        <x:v>SHELIDA ELIETE RODRIGUES</x:v>
      </x:c>
      <x:c r="V3462" s="22" t="str">
        <x:f>"052.351.276-76"</x:f>
        <x:v>052.351.276-76</x:v>
      </x:c>
      <x:c r="W3462" s="22" t="str">
        <x:f>"05235127676"</x:f>
        <x:v>05235127676</x:v>
      </x:c>
      <x:c r="X3462" s="23" t="str">
        <x:v>Shelida.rodrigues963@gmail.com</x:v>
      </x:c>
      <x:c r="Y3462" s="22" t="str">
        <x:f>"(35)998478610"</x:f>
        <x:v>(35)998478610</x:v>
      </x:c>
      <x:c r="Z3462" s="30" t="n">
        <x:v>46255</x:v>
      </x:c>
    </x:row>
    <x:row r="3463" ht="18" customHeight="1">
      <x:c r="A3463" s="22" t="str">
        <x:f>"b42f3fe6-180c-4066-aa13-fd08a8b952d6"</x:f>
        <x:v>b42f3fe6-180c-4066-aa13-fd08a8b952d6</x:v>
      </x:c>
      <x:c r="B3463" s="23" t="str">
        <x:v>SIDINEI NASCIMENTO DA SILVA</x:v>
      </x:c>
      <x:c r="C3463" s="23" t="str">
        <x:v>sidinei nascimento da silva</x:v>
      </x:c>
      <x:c r="D3463" s="22" t="str">
        <x:f>"42.921.453/0001-09"</x:f>
        <x:v>42.921.453/0001-09</x:v>
      </x:c>
      <x:c r="E3463" s="22" t="str">
        <x:f>"42921453000109"</x:f>
        <x:v>42921453000109</x:v>
      </x:c>
      <x:c r="F3463" s="22" t="str">
        <x:f>"057.062.657-98"</x:f>
        <x:v>057.062.657-98</x:v>
      </x:c>
      <x:c r="G3463" s="22" t="str">
        <x:f>"05706265798"</x:f>
        <x:v>05706265798</x:v>
      </x:c>
      <x:c r="H3463" s="23" t="str">
        <x:v>sidineinascimento858@gmail.com</x:v>
      </x:c>
      <x:c r="I3463" s="22" t="str">
        <x:f>"22996151453"</x:f>
        <x:v>22996151453</x:v>
      </x:c>
      <x:c r="J3463" s="23" t="str">
        <x:v>SPOT</x:v>
      </x:c>
      <x:c r="K3463" s="23" t="str">
        <x:v>favored_only</x:v>
      </x:c>
      <x:c r="L3463" s="24" t="b">
        <x:v>1</x:v>
      </x:c>
      <x:c r="M3463" s="23" t="n">
        <x:v>1</x:v>
      </x:c>
      <x:c r="N3463" s="28" t="n">
        <x:v>46203.92186462963</x:v>
      </x:c>
      <x:c r="O3463" s="28" t="n">
        <x:v>46219.812988715275</x:v>
      </x:c>
      <x:c r="P3463" s="23" t="str">
        <x:v>CAMPOS DOS GOYTACAZES</x:v>
      </x:c>
      <x:c r="Q3463" s="30" t="n">
        <x:v>30187</x:v>
      </x:c>
      <x:c r="R3463" s="22" t="str">
        <x:f>"134082189"</x:f>
        <x:v>134082189</x:v>
      </x:c>
      <x:c r="S3463" s="23" t="str">
        <x:v>masculino</x:v>
      </x:c>
      <x:c r="T3463" s="22" t="str">
        <x:f>"PPF7D94"</x:f>
        <x:v>PPF7D94</x:v>
      </x:c>
      <x:c r="U3463" s="23" t="str">
        <x:v>SIDINEI NASCIMENTO DA SILVA</x:v>
      </x:c>
      <x:c r="V3463" s="22" t="str">
        <x:f>"057.062.657-98"</x:f>
        <x:v>057.062.657-98</x:v>
      </x:c>
      <x:c r="W3463" s="22" t="str">
        <x:f>"05706265798"</x:f>
        <x:v>05706265798</x:v>
      </x:c>
      <x:c r="X3463" s="23" t="str">
        <x:v>sidineinascimento858@gmail.com</x:v>
      </x:c>
      <x:c r="Y3463" s="22" t="str">
        <x:f>"22996151453"</x:f>
        <x:v>22996151453</x:v>
      </x:c>
      <x:c r="Z3463" s="30" t="n">
        <x:v>46282</x:v>
      </x:c>
    </x:row>
    <x:row r="3464" ht="18" customHeight="1">
      <x:c r="A3464" s="22" t="str">
        <x:f>"b7fba4e8-66a7-41f7-82ac-f52ab872b699"</x:f>
        <x:v>b7fba4e8-66a7-41f7-82ac-f52ab872b699</x:v>
      </x:c>
      <x:c r="B3464" s="23" t="str">
        <x:v>SIDINEI NASCIMENTO DA SILVA</x:v>
      </x:c>
      <x:c r="C3464" s="23" t="str">
        <x:v>sidinei nascimento da silva</x:v>
      </x:c>
      <x:c r="D3464" s="22" t="str">
        <x:f>"61.529.747/0001-26"</x:f>
        <x:v>61.529.747/0001-26</x:v>
      </x:c>
      <x:c r="E3464" s="22" t="str">
        <x:f>"61529747000126"</x:f>
        <x:v>61529747000126</x:v>
      </x:c>
      <x:c r="F3464" s="22" t="str">
        <x:f>"057.062.657-98"</x:f>
        <x:v>057.062.657-98</x:v>
      </x:c>
      <x:c r="G3464" s="22" t="str">
        <x:f>"05706265798"</x:f>
        <x:v>05706265798</x:v>
      </x:c>
      <x:c r="H3464" s="23" t="str">
        <x:v>sidineinascimento858@gmail.com</x:v>
      </x:c>
      <x:c r="I3464" s="22" t="str">
        <x:f>"22996151453"</x:f>
        <x:v>22996151453</x:v>
      </x:c>
      <x:c r="J3464" s="23" t="str">
        <x:v>SPOT</x:v>
      </x:c>
      <x:c r="K3464" s="23" t="str">
        <x:v>favored_only</x:v>
      </x:c>
      <x:c r="L3464" s="24" t="b">
        <x:v>1</x:v>
      </x:c>
      <x:c r="M3464" s="23" t="n">
        <x:v>1</x:v>
      </x:c>
      <x:c r="N3464" s="28" t="n">
        <x:v>46205.604354525465</x:v>
      </x:c>
      <x:c r="O3464" s="28" t="n">
        <x:v>46219.812988715275</x:v>
      </x:c>
      <x:c r="P3464" s="23" t="str">
        <x:v>CAMPOS DOS GOYTACAZES</x:v>
      </x:c>
      <x:c r="Q3464" s="30" t="n">
        <x:v>30187</x:v>
      </x:c>
      <x:c r="R3464" s="22" t="str">
        <x:f>"134082189"</x:f>
        <x:v>134082189</x:v>
      </x:c>
      <x:c r="S3464" s="23" t="str">
        <x:v>masculino</x:v>
      </x:c>
      <x:c r="T3464" s="22" t="str">
        <x:f>"FCM7D32"</x:f>
        <x:v>FCM7D32</x:v>
      </x:c>
      <x:c r="U3464" s="23" t="str">
        <x:v>FABIO FELIPE TAVARES VELASCO</x:v>
      </x:c>
      <x:c r="V3464" s="22" t="str">
        <x:f>"194.602.247-09"</x:f>
        <x:v>194.602.247-09</x:v>
      </x:c>
      <x:c r="W3464" s="22" t="str">
        <x:f>"19460224709"</x:f>
        <x:v>19460224709</x:v>
      </x:c>
      <x:c r="X3464" s="23" t="str">
        <x:v>fabiofelipetavares@gmail.com</x:v>
      </x:c>
      <x:c r="Y3464" s="22" t="str">
        <x:f>"22997956696"</x:f>
        <x:v>22997956696</x:v>
      </x:c>
      <x:c r="Z3464" s="30" t="n">
        <x:v>46269</x:v>
      </x:c>
    </x:row>
    <x:row r="3465" ht="18" customHeight="1">
      <x:c r="A3465" s="22" t="str">
        <x:f>"fe665c39-08eb-441a-be3f-4e8c7747df30"</x:f>
        <x:v>fe665c39-08eb-441a-be3f-4e8c7747df30</x:v>
      </x:c>
      <x:c r="B3465" s="23" t="str">
        <x:v>SIDNEI DE CASTRO PAIXAO</x:v>
      </x:c>
      <x:c r="C3465" s="23" t="str">
        <x:v>sidnei de castro paixao</x:v>
      </x:c>
      <x:c r="D3465" s="22" t="str">
        <x:f>"62.045.642/0001-64"</x:f>
        <x:v>62.045.642/0001-64</x:v>
      </x:c>
      <x:c r="E3465" s="22" t="str">
        <x:f>"62045642000164"</x:f>
        <x:v>62045642000164</x:v>
      </x:c>
      <x:c r="F3465" s="22" t="str">
        <x:f>"462.860.548-39"</x:f>
        <x:v>462.860.548-39</x:v>
      </x:c>
      <x:c r="G3465" s="22" t="str">
        <x:f>"46286054839"</x:f>
        <x:v>46286054839</x:v>
      </x:c>
      <x:c r="H3465" s="23" t="str">
        <x:v>sidneipaixao34@gmail.com</x:v>
      </x:c>
      <x:c r="I3465" s="22" t="str">
        <x:f>"17991113120"</x:f>
        <x:v>17991113120</x:v>
      </x:c>
      <x:c r="J3465" s="23" t="str">
        <x:v>RENTAL</x:v>
      </x:c>
      <x:c r="K3465" s="23" t="str">
        <x:v>rental_company</x:v>
      </x:c>
      <x:c r="L3465" s="24" t="b">
        <x:v>1</x:v>
      </x:c>
      <x:c r="M3465" s="23" t="n">
        <x:v>2</x:v>
      </x:c>
      <x:c r="N3465" s="28" t="n">
        <x:v>46203.92184908565</x:v>
      </x:c>
      <x:c r="O3465" s="28" t="n">
        <x:v>46219.812988715275</x:v>
      </x:c>
      <x:c r="P3465" s="23" t="str">
        <x:v>BARRETOS</x:v>
      </x:c>
      <x:c r="Q3465" s="30" t="n">
        <x:v>36762</x:v>
      </x:c>
      <x:c r="R3465" s="22" t="str">
        <x:f>"57024703"</x:f>
        <x:v>57024703</x:v>
      </x:c>
      <x:c r="S3465" s="23" t="str">
        <x:v>masculino</x:v>
      </x:c>
      <x:c r="T3465" s="22" t="str"/>
      <x:c r="U3465" s="23" t="str">
        <x:v>SIDNEI DE CASTRO PAIXAO</x:v>
      </x:c>
      <x:c r="V3465" s="22" t="str">
        <x:f>"462.860.548-39"</x:f>
        <x:v>462.860.548-39</x:v>
      </x:c>
      <x:c r="W3465" s="22" t="str">
        <x:f>"46286054839"</x:f>
        <x:v>46286054839</x:v>
      </x:c>
      <x:c r="X3465" s="23" t="str">
        <x:v>sidneipaixao34@gmail.com</x:v>
      </x:c>
      <x:c r="Y3465" s="22" t="str">
        <x:f>"17991113120"</x:f>
        <x:v>17991113120</x:v>
      </x:c>
      <x:c r="Z3465" s="30" t="n">
        <x:v>46323</x:v>
      </x:c>
    </x:row>
    <x:row r="3466" ht="18" customHeight="1">
      <x:c r="A3466" s="22" t="str">
        <x:f>"6e26adde-9acc-46fb-9c79-9b9603db38c5"</x:f>
        <x:v>6e26adde-9acc-46fb-9c79-9b9603db38c5</x:v>
      </x:c>
      <x:c r="B3466" s="23" t="str">
        <x:v>SIDNEI PALOMO</x:v>
      </x:c>
      <x:c r="C3466" s="23" t="str">
        <x:v>sidnei palomo</x:v>
      </x:c>
      <x:c r="D3466" s="22" t="str">
        <x:f>"65.755.652/0001-81"</x:f>
        <x:v>65.755.652/0001-81</x:v>
      </x:c>
      <x:c r="E3466" s="22" t="str">
        <x:f>"65755652000181"</x:f>
        <x:v>65755652000181</x:v>
      </x:c>
      <x:c r="F3466" s="22" t="str">
        <x:f>"267.686.108-56"</x:f>
        <x:v>267.686.108-56</x:v>
      </x:c>
      <x:c r="G3466" s="22" t="str">
        <x:f>"26768610856"</x:f>
        <x:v>26768610856</x:v>
      </x:c>
      <x:c r="H3466" s="23" t="str">
        <x:v>Sidneypalomo@yahoo.com.br</x:v>
      </x:c>
      <x:c r="I3466" s="22" t="str">
        <x:f>"14991640863"</x:f>
        <x:v>14991640863</x:v>
      </x:c>
      <x:c r="J3466" s="23" t="str">
        <x:v>DESCONHECIDO</x:v>
      </x:c>
      <x:c r="K3466" s="23" t="str">
        <x:v>favored_only</x:v>
      </x:c>
      <x:c r="L3466" s="24" t="b">
        <x:v>1</x:v>
      </x:c>
      <x:c r="M3466" s="23" t="n">
        <x:v>1</x:v>
      </x:c>
      <x:c r="N3466" s="28" t="n">
        <x:v>46219.812988715275</x:v>
      </x:c>
      <x:c r="O3466" s="28" t="n">
        <x:v>46219.812988715275</x:v>
      </x:c>
      <x:c r="P3466" s="23" t="str">
        <x:v>MARILIA</x:v>
      </x:c>
      <x:c r="Q3466" s="30" t="str"/>
      <x:c r="R3466" s="22" t="str">
        <x:f>"32185128"</x:f>
        <x:v>32185128</x:v>
      </x:c>
      <x:c r="S3466" s="23" t="str">
        <x:v>masculino</x:v>
      </x:c>
      <x:c r="T3466" s="22" t="str"/>
      <x:c r="U3466" s="23" t="str">
        <x:v>SIDNEI PALOMO</x:v>
      </x:c>
      <x:c r="V3466" s="22" t="str">
        <x:f>"267.686.108-56"</x:f>
        <x:v>267.686.108-56</x:v>
      </x:c>
      <x:c r="W3466" s="22" t="str">
        <x:f>"26768610856"</x:f>
        <x:v>26768610856</x:v>
      </x:c>
      <x:c r="X3466" s="23" t="str">
        <x:v>Sidneypalomo@yahoo.com.br</x:v>
      </x:c>
      <x:c r="Y3466" s="22" t="str">
        <x:f>"14991640863"</x:f>
        <x:v>14991640863</x:v>
      </x:c>
      <x:c r="Z3466" s="30" t="n">
        <x:v>46534</x:v>
      </x:c>
    </x:row>
    <x:row r="3467" ht="18" customHeight="1">
      <x:c r="A3467" s="22" t="str">
        <x:f>"4167608e-92f8-4f39-b2a2-cf043a542b5f"</x:f>
        <x:v>4167608e-92f8-4f39-b2a2-cf043a542b5f</x:v>
      </x:c>
      <x:c r="B3467" s="23" t="str">
        <x:v>SIDNEY DAMIAO NASCIMENTO</x:v>
      </x:c>
      <x:c r="C3467" s="23" t="str">
        <x:v>sidney damiao nascimento</x:v>
      </x:c>
      <x:c r="D3467" s="22" t="str">
        <x:f>"56.881.694/0001-78"</x:f>
        <x:v>56.881.694/0001-78</x:v>
      </x:c>
      <x:c r="E3467" s="22" t="str">
        <x:f>"56881694000178"</x:f>
        <x:v>56881694000178</x:v>
      </x:c>
      <x:c r="F3467" s="22" t="str">
        <x:f>"024.966.187-00"</x:f>
        <x:v>024.966.187-00</x:v>
      </x:c>
      <x:c r="G3467" s="22" t="str">
        <x:f>"02496618700"</x:f>
        <x:v>02496618700</x:v>
      </x:c>
      <x:c r="H3467" s="23" t="str">
        <x:v>piriquito40damiao@gmail.com</x:v>
      </x:c>
      <x:c r="I3467" s="22" t="str">
        <x:f>"21999200534"</x:f>
        <x:v>21999200534</x:v>
      </x:c>
      <x:c r="J3467" s="23" t="str">
        <x:v>SPOT</x:v>
      </x:c>
      <x:c r="K3467" s="23" t="str">
        <x:v>favored_only</x:v>
      </x:c>
      <x:c r="L3467" s="24" t="b">
        <x:v>1</x:v>
      </x:c>
      <x:c r="M3467" s="23" t="n">
        <x:v>1</x:v>
      </x:c>
      <x:c r="N3467" s="28" t="n">
        <x:v>46219.812988715275</x:v>
      </x:c>
      <x:c r="O3467" s="28" t="n">
        <x:v>46219.812988715275</x:v>
      </x:c>
      <x:c r="P3467" s="23" t="str">
        <x:v>CORDOVIL</x:v>
      </x:c>
      <x:c r="Q3467" s="30" t="n">
        <x:v>27664</x:v>
      </x:c>
      <x:c r="R3467" s="22" t="str">
        <x:f>"95161113"</x:f>
        <x:v>95161113</x:v>
      </x:c>
      <x:c r="S3467" s="23" t="str">
        <x:v>masculino</x:v>
      </x:c>
      <x:c r="T3467" s="22" t="str">
        <x:f>"Lst6i22"</x:f>
        <x:v>Lst6i22</x:v>
      </x:c>
      <x:c r="U3467" s="23" t="str">
        <x:v>SIDNEY DAMIAO NASCIMENTO</x:v>
      </x:c>
      <x:c r="V3467" s="22" t="str">
        <x:f>"024.966.187-00"</x:f>
        <x:v>024.966.187-00</x:v>
      </x:c>
      <x:c r="W3467" s="22" t="str">
        <x:f>"02496618700"</x:f>
        <x:v>02496618700</x:v>
      </x:c>
      <x:c r="X3467" s="23" t="str">
        <x:v>piriquito40damiao@gmail.com</x:v>
      </x:c>
      <x:c r="Y3467" s="22" t="str">
        <x:f>"21999200534"</x:f>
        <x:v>21999200534</x:v>
      </x:c>
      <x:c r="Z3467" s="30" t="n">
        <x:v>46462</x:v>
      </x:c>
    </x:row>
    <x:row r="3468" ht="18" customHeight="1">
      <x:c r="A3468" s="22" t="str">
        <x:f>"3cc13d91-8eb5-40ee-8691-fcee4a36317e"</x:f>
        <x:v>3cc13d91-8eb5-40ee-8691-fcee4a36317e</x:v>
      </x:c>
      <x:c r="B3468" s="23" t="str">
        <x:v>SIDNEY PINHEIRO RANGEL JUNIOR</x:v>
      </x:c>
      <x:c r="C3468" s="23" t="str">
        <x:v>sidney pinheiro rangel junior</x:v>
      </x:c>
      <x:c r="D3468" s="22" t="str">
        <x:f>"62.414.622/0001-13"</x:f>
        <x:v>62.414.622/0001-13</x:v>
      </x:c>
      <x:c r="E3468" s="22" t="str">
        <x:f>"62414622000113"</x:f>
        <x:v>62414622000113</x:v>
      </x:c>
      <x:c r="F3468" s="22" t="str">
        <x:f>"051.923.817-62"</x:f>
        <x:v>051.923.817-62</x:v>
      </x:c>
      <x:c r="G3468" s="22" t="str">
        <x:f>"05192381762"</x:f>
        <x:v>05192381762</x:v>
      </x:c>
      <x:c r="H3468" s="23" t="str">
        <x:v>sidneyrangel.adv@gmail.com</x:v>
      </x:c>
      <x:c r="I3468" s="22" t="str">
        <x:f>"21975858635"</x:f>
        <x:v>21975858635</x:v>
      </x:c>
      <x:c r="J3468" s="23" t="str">
        <x:v>SPOT</x:v>
      </x:c>
      <x:c r="K3468" s="23" t="str">
        <x:v>favored_only</x:v>
      </x:c>
      <x:c r="L3468" s="24" t="b">
        <x:v>1</x:v>
      </x:c>
      <x:c r="M3468" s="23" t="n">
        <x:v>1</x:v>
      </x:c>
      <x:c r="N3468" s="28" t="n">
        <x:v>46203.92186462963</x:v>
      </x:c>
      <x:c r="O3468" s="28" t="n">
        <x:v>46219.812988715275</x:v>
      </x:c>
      <x:c r="P3468" s="23" t="str">
        <x:v>QUEIMADOS</x:v>
      </x:c>
      <x:c r="Q3468" s="30" t="n">
        <x:v>29239</x:v>
      </x:c>
      <x:c r="R3468" s="22" t="str">
        <x:f>"116175159"</x:f>
        <x:v>116175159</x:v>
      </x:c>
      <x:c r="S3468" s="23" t="str">
        <x:v>masculino</x:v>
      </x:c>
      <x:c r="T3468" s="22" t="str">
        <x:f>"SRQ8G42"</x:f>
        <x:v>SRQ8G42</x:v>
      </x:c>
      <x:c r="U3468" s="23" t="str">
        <x:v>SIDNEY PINHEIRO RANGEL JUNIOR</x:v>
      </x:c>
      <x:c r="V3468" s="22" t="str">
        <x:f>"051.923.817-62"</x:f>
        <x:v>051.923.817-62</x:v>
      </x:c>
      <x:c r="W3468" s="22" t="str">
        <x:f>"05192381762"</x:f>
        <x:v>05192381762</x:v>
      </x:c>
      <x:c r="X3468" s="23" t="str">
        <x:v>sidneyrangel.adv@gmail.com</x:v>
      </x:c>
      <x:c r="Y3468" s="22" t="str">
        <x:f>"21975858635"</x:f>
        <x:v>21975858635</x:v>
      </x:c>
      <x:c r="Z3468" s="30" t="n">
        <x:v>46278</x:v>
      </x:c>
    </x:row>
    <x:row r="3469" ht="18" customHeight="1">
      <x:c r="A3469" s="22" t="str">
        <x:f>"b8c97b70-dccf-418e-a0de-6936f2ec5a1e"</x:f>
        <x:v>b8c97b70-dccf-418e-a0de-6936f2ec5a1e</x:v>
      </x:c>
      <x:c r="B3469" s="23" t="str">
        <x:v>SIDNEY SALVADOR MENDES</x:v>
      </x:c>
      <x:c r="C3469" s="23" t="str">
        <x:v>sidney salvador mendes</x:v>
      </x:c>
      <x:c r="D3469" s="22" t="str">
        <x:f>"58.143.251/0001-05"</x:f>
        <x:v>58.143.251/0001-05</x:v>
      </x:c>
      <x:c r="E3469" s="22" t="str">
        <x:f>"58143251000105"</x:f>
        <x:v>58143251000105</x:v>
      </x:c>
      <x:c r="F3469" s="22" t="str">
        <x:f>"030.059.437-20"</x:f>
        <x:v>030.059.437-20</x:v>
      </x:c>
      <x:c r="G3469" s="22" t="str">
        <x:f>"03005943720"</x:f>
        <x:v>03005943720</x:v>
      </x:c>
      <x:c r="H3469" s="23" t="str">
        <x:v>sidneysalvador18@gmail.com</x:v>
      </x:c>
      <x:c r="I3469" s="22" t="str">
        <x:f>"21993633925"</x:f>
        <x:v>21993633925</x:v>
      </x:c>
      <x:c r="J3469" s="23" t="str">
        <x:v>spot</x:v>
      </x:c>
      <x:c r="K3469" s="23" t="str">
        <x:v>favored_only</x:v>
      </x:c>
      <x:c r="L3469" s="24" t="b">
        <x:v>1</x:v>
      </x:c>
      <x:c r="M3469" s="23" t="n">
        <x:v>1</x:v>
      </x:c>
      <x:c r="N3469" s="28" t="n">
        <x:v>46219.812988715275</x:v>
      </x:c>
      <x:c r="O3469" s="28" t="n">
        <x:v>46219.812988715275</x:v>
      </x:c>
      <x:c r="P3469" s="23" t="str">
        <x:v>CORDOVIL</x:v>
      </x:c>
      <x:c r="Q3469" s="30" t="n">
        <x:v>27092</x:v>
      </x:c>
      <x:c r="R3469" s="22" t="str">
        <x:f>"95902227"</x:f>
        <x:v>95902227</x:v>
      </x:c>
      <x:c r="S3469" s="23" t="str">
        <x:v>masculino</x:v>
      </x:c>
      <x:c r="T3469" s="22" t="str">
        <x:f>"LSV1962"</x:f>
        <x:v>LSV1962</x:v>
      </x:c>
      <x:c r="U3469" s="23" t="str">
        <x:v>SIDNEY SALVADOR MENDES</x:v>
      </x:c>
      <x:c r="V3469" s="22" t="str">
        <x:f>"030.059.437-20"</x:f>
        <x:v>030.059.437-20</x:v>
      </x:c>
      <x:c r="W3469" s="22" t="str">
        <x:f>"03005943720"</x:f>
        <x:v>03005943720</x:v>
      </x:c>
      <x:c r="X3469" s="23" t="str">
        <x:v>sidneysalvador18@gmail.com</x:v>
      </x:c>
      <x:c r="Y3469" s="22" t="str">
        <x:f>"21993633925"</x:f>
        <x:v>21993633925</x:v>
      </x:c>
      <x:c r="Z3469" s="30" t="n">
        <x:v>46547</x:v>
      </x:c>
    </x:row>
    <x:row r="3470" ht="18" customHeight="1">
      <x:c r="A3470" s="22" t="str">
        <x:f>"1ab64f18-179c-42a0-bb98-2aa0751dc5fd"</x:f>
        <x:v>1ab64f18-179c-42a0-bb98-2aa0751dc5fd</x:v>
      </x:c>
      <x:c r="B3470" s="23" t="str">
        <x:v>SILAS SILVA GUIMARAES</x:v>
      </x:c>
      <x:c r="C3470" s="23" t="str">
        <x:v>silas silva guimaraes</x:v>
      </x:c>
      <x:c r="D3470" s="22" t="str">
        <x:f>"58.050.143/0001-98"</x:f>
        <x:v>58.050.143/0001-98</x:v>
      </x:c>
      <x:c r="E3470" s="22" t="str">
        <x:f>"58050143000198"</x:f>
        <x:v>58050143000198</x:v>
      </x:c>
      <x:c r="F3470" s="22" t="str">
        <x:f>"119.418.706-43"</x:f>
        <x:v>119.418.706-43</x:v>
      </x:c>
      <x:c r="G3470" s="22" t="str">
        <x:f>"11941870643"</x:f>
        <x:v>11941870643</x:v>
      </x:c>
      <x:c r="H3470" s="23" t="str">
        <x:v>silassilva26651@gmail.com</x:v>
      </x:c>
      <x:c r="I3470" s="22" t="str">
        <x:f>"35 997347861"</x:f>
        <x:v>35 997347861</x:v>
      </x:c>
      <x:c r="J3470" s="23" t="str">
        <x:v>SPOT</x:v>
      </x:c>
      <x:c r="K3470" s="23" t="str">
        <x:v>favored_only</x:v>
      </x:c>
      <x:c r="L3470" s="24" t="b">
        <x:v>1</x:v>
      </x:c>
      <x:c r="M3470" s="23" t="n">
        <x:v>1</x:v>
      </x:c>
      <x:c r="N3470" s="28" t="n">
        <x:v>46203.921824756944</x:v>
      </x:c>
      <x:c r="O3470" s="28" t="n">
        <x:v>46219.812988715275</x:v>
      </x:c>
      <x:c r="P3470" s="23" t="str">
        <x:v>POCOS DE CALDAS</x:v>
      </x:c>
      <x:c r="Q3470" s="30" t="n">
        <x:v>36666</x:v>
      </x:c>
      <x:c r="R3470" s="22" t="str">
        <x:f>"21582235"</x:f>
        <x:v>21582235</x:v>
      </x:c>
      <x:c r="S3470" s="23" t="str">
        <x:v>masculino</x:v>
      </x:c>
      <x:c r="T3470" s="22" t="str">
        <x:f>"NVP8A43"</x:f>
        <x:v>NVP8A43</x:v>
      </x:c>
      <x:c r="U3470" s="23" t="str">
        <x:v>SILAS SILVA GUIMARAES</x:v>
      </x:c>
      <x:c r="V3470" s="22" t="str">
        <x:f>"119.418.706-43"</x:f>
        <x:v>119.418.706-43</x:v>
      </x:c>
      <x:c r="W3470" s="22" t="str">
        <x:f>"11941870643"</x:f>
        <x:v>11941870643</x:v>
      </x:c>
      <x:c r="X3470" s="23" t="str">
        <x:v>silassilva26651@gmail.com</x:v>
      </x:c>
      <x:c r="Y3470" s="22" t="str">
        <x:f>"35 997347861"</x:f>
        <x:v>35 997347861</x:v>
      </x:c>
      <x:c r="Z3470" s="30" t="n">
        <x:v>46247</x:v>
      </x:c>
    </x:row>
    <x:row r="3471" ht="18" customHeight="1">
      <x:c r="A3471" s="22" t="str">
        <x:f>"4d9366e5-7f60-4d04-89ca-308368c1eb05"</x:f>
        <x:v>4d9366e5-7f60-4d04-89ca-308368c1eb05</x:v>
      </x:c>
      <x:c r="B3471" s="23" t="str">
        <x:v>SILMA ALVES FREITAS</x:v>
      </x:c>
      <x:c r="C3471" s="23" t="str">
        <x:v>silma alves freitas</x:v>
      </x:c>
      <x:c r="D3471" s="22" t="str">
        <x:f>"63.186.503/0001-13"</x:f>
        <x:v>63.186.503/0001-13</x:v>
      </x:c>
      <x:c r="E3471" s="22" t="str">
        <x:f>"63186503000113"</x:f>
        <x:v>63186503000113</x:v>
      </x:c>
      <x:c r="F3471" s="22" t="str">
        <x:f>"820.798.461-91"</x:f>
        <x:v>820.798.461-91</x:v>
      </x:c>
      <x:c r="G3471" s="22" t="str">
        <x:f>"82079846191"</x:f>
        <x:v>82079846191</x:v>
      </x:c>
      <x:c r="H3471" s="23" t="str">
        <x:v>silmafreitas317@gmail.com</x:v>
      </x:c>
      <x:c r="I3471" s="22" t="str">
        <x:f>"66996545321"</x:f>
        <x:v>66996545321</x:v>
      </x:c>
      <x:c r="J3471" s="23" t="str">
        <x:v>RENTAL</x:v>
      </x:c>
      <x:c r="K3471" s="23" t="str">
        <x:v>rental_company</x:v>
      </x:c>
      <x:c r="L3471" s="24" t="b">
        <x:v>1</x:v>
      </x:c>
      <x:c r="M3471" s="23" t="n">
        <x:v>1</x:v>
      </x:c>
      <x:c r="N3471" s="28" t="n">
        <x:v>46203.9218771875</x:v>
      </x:c>
      <x:c r="O3471" s="28" t="n">
        <x:v>46219.812988715275</x:v>
      </x:c>
      <x:c r="P3471" s="23" t="str">
        <x:v>JALES</x:v>
      </x:c>
      <x:c r="Q3471" s="30" t="n">
        <x:v>27994</x:v>
      </x:c>
      <x:c r="R3471" s="22" t="str">
        <x:f>"3650921 DGPC"</x:f>
        <x:v>3650921 DGPC</x:v>
      </x:c>
      <x:c r="S3471" s="23" t="str">
        <x:v>feminino</x:v>
      </x:c>
      <x:c r="T3471" s="22" t="str"/>
      <x:c r="U3471" s="23" t="str">
        <x:v>SILMA ALVES FREITAS</x:v>
      </x:c>
      <x:c r="V3471" s="22" t="str">
        <x:f>"820.798.461-91"</x:f>
        <x:v>820.798.461-91</x:v>
      </x:c>
      <x:c r="W3471" s="22" t="str">
        <x:f>"82079846191"</x:f>
        <x:v>82079846191</x:v>
      </x:c>
      <x:c r="X3471" s="23" t="str">
        <x:v>silmafreitas317@gmail.com</x:v>
      </x:c>
      <x:c r="Y3471" s="22" t="str">
        <x:f>"66996545321"</x:f>
        <x:v>66996545321</x:v>
      </x:c>
      <x:c r="Z3471" s="30" t="n">
        <x:v>46310</x:v>
      </x:c>
    </x:row>
    <x:row r="3472" ht="18" customHeight="1">
      <x:c r="A3472" s="22" t="str">
        <x:f>"9a1b45e5-ac46-4b62-b7d1-d9ed44b0493e"</x:f>
        <x:v>9a1b45e5-ac46-4b62-b7d1-d9ed44b0493e</x:v>
      </x:c>
      <x:c r="B3472" s="23" t="str">
        <x:v>SILVANA APARECIDA DA SILVA NOGUEIRA</x:v>
      </x:c>
      <x:c r="C3472" s="23" t="str">
        <x:v>silvana aparecida da silva nogueira</x:v>
      </x:c>
      <x:c r="D3472" s="22" t="str">
        <x:f>"41.457.960/0001-62"</x:f>
        <x:v>41.457.960/0001-62</x:v>
      </x:c>
      <x:c r="E3472" s="22" t="str">
        <x:f>"41457960000162"</x:f>
        <x:v>41457960000162</x:v>
      </x:c>
      <x:c r="F3472" s="22" t="str">
        <x:f>"844.454.326-87"</x:f>
        <x:v>844.454.326-87</x:v>
      </x:c>
      <x:c r="G3472" s="22" t="str">
        <x:f>"84445432687"</x:f>
        <x:v>84445432687</x:v>
      </x:c>
      <x:c r="H3472" s="23" t="str">
        <x:v>silvanasilva9615@gmail.com</x:v>
      </x:c>
      <x:c r="I3472" s="22" t="str">
        <x:f>"3172129279"</x:f>
        <x:v>3172129279</x:v>
      </x:c>
      <x:c r="J3472" s="23" t="str">
        <x:v>SPOT</x:v>
      </x:c>
      <x:c r="K3472" s="23" t="str">
        <x:v>favored_only</x:v>
      </x:c>
      <x:c r="L3472" s="24" t="b">
        <x:v>1</x:v>
      </x:c>
      <x:c r="M3472" s="23" t="n">
        <x:v>1</x:v>
      </x:c>
      <x:c r="N3472" s="28" t="n">
        <x:v>46203.92183332176</x:v>
      </x:c>
      <x:c r="O3472" s="28" t="n">
        <x:v>46203.92183332176</x:v>
      </x:c>
      <x:c r="P3472" s="23" t="str"/>
      <x:c r="Q3472" s="30" t="str"/>
      <x:c r="R3472" s="22" t="str"/>
      <x:c r="S3472" s="23" t="str"/>
      <x:c r="T3472" s="22" t="str"/>
      <x:c r="U3472" s="23" t="str">
        <x:v>SILVANA APARECIDA DA SILVA NOGUEIRA</x:v>
      </x:c>
      <x:c r="V3472" s="22" t="str">
        <x:f>"844.454.326-87"</x:f>
        <x:v>844.454.326-87</x:v>
      </x:c>
      <x:c r="W3472" s="22" t="str">
        <x:f>"84445432687"</x:f>
        <x:v>84445432687</x:v>
      </x:c>
      <x:c r="X3472" s="23" t="str">
        <x:v>silvanasilva9615@gmail.com</x:v>
      </x:c>
      <x:c r="Y3472" s="22" t="str">
        <x:f>"3172129279"</x:f>
        <x:v>3172129279</x:v>
      </x:c>
      <x:c r="Z3472" s="30" t="str"/>
    </x:row>
    <x:row r="3473" ht="18" customHeight="1">
      <x:c r="A3473" s="22" t="str">
        <x:f>"5d36540c-afa5-4834-b0c3-a68e808472b0"</x:f>
        <x:v>5d36540c-afa5-4834-b0c3-a68e808472b0</x:v>
      </x:c>
      <x:c r="B3473" s="23" t="str">
        <x:v>SILVANA RODRIGUES DE LIMA VIEIRA</x:v>
      </x:c>
      <x:c r="C3473" s="23" t="str">
        <x:v>silvana rodrigues de lima vieira</x:v>
      </x:c>
      <x:c r="D3473" s="22" t="str">
        <x:f>"64.686.104/0001-84"</x:f>
        <x:v>64.686.104/0001-84</x:v>
      </x:c>
      <x:c r="E3473" s="22" t="str">
        <x:f>"64686104000184"</x:f>
        <x:v>64686104000184</x:v>
      </x:c>
      <x:c r="F3473" s="22" t="str">
        <x:f>"006.165.056-04"</x:f>
        <x:v>006.165.056-04</x:v>
      </x:c>
      <x:c r="G3473" s="22" t="str">
        <x:f>"00616505604"</x:f>
        <x:v>00616505604</x:v>
      </x:c>
      <x:c r="H3473" s="23" t="str">
        <x:v>Silvanarlimavieira@gmail.com</x:v>
      </x:c>
      <x:c r="I3473" s="22" t="str">
        <x:f>"(34) 9 8868-9474"</x:f>
        <x:v>(34) 9 8868-9474</x:v>
      </x:c>
      <x:c r="J3473" s="23" t="str">
        <x:v>RENTAL</x:v>
      </x:c>
      <x:c r="K3473" s="23" t="str">
        <x:v>rental_company</x:v>
      </x:c>
      <x:c r="L3473" s="24" t="b">
        <x:v>1</x:v>
      </x:c>
      <x:c r="M3473" s="23" t="n">
        <x:v>1</x:v>
      </x:c>
      <x:c r="N3473" s="28" t="n">
        <x:v>46219.812988715275</x:v>
      </x:c>
      <x:c r="O3473" s="28" t="n">
        <x:v>46219.812988715275</x:v>
      </x:c>
      <x:c r="P3473" s="23" t="str">
        <x:v>UBERLANDIA</x:v>
      </x:c>
      <x:c r="Q3473" s="30" t="n">
        <x:v>28366</x:v>
      </x:c>
      <x:c r="R3473" s="22" t="str">
        <x:f>"8198090"</x:f>
        <x:v>8198090</x:v>
      </x:c>
      <x:c r="S3473" s="23" t="str">
        <x:v>feminino</x:v>
      </x:c>
      <x:c r="T3473" s="22" t="str"/>
      <x:c r="U3473" s="23" t="str">
        <x:v>SILVANA RODRIGUES DE LIMA VIEIRA</x:v>
      </x:c>
      <x:c r="V3473" s="22" t="str">
        <x:f>"006.165.056-04"</x:f>
        <x:v>006.165.056-04</x:v>
      </x:c>
      <x:c r="W3473" s="22" t="str">
        <x:f>"00616505604"</x:f>
        <x:v>00616505604</x:v>
      </x:c>
      <x:c r="X3473" s="23" t="str">
        <x:v>Silvanarlimavieira@gmail.com</x:v>
      </x:c>
      <x:c r="Y3473" s="22" t="str">
        <x:f>"(34) 9 8868-9474"</x:f>
        <x:v>(34) 9 8868-9474</x:v>
      </x:c>
      <x:c r="Z3473" s="30" t="n">
        <x:v>46414</x:v>
      </x:c>
    </x:row>
    <x:row r="3474" ht="18" customHeight="1">
      <x:c r="A3474" s="22" t="str">
        <x:f>"430ef93b-371d-499f-972c-98b9fc5392f6"</x:f>
        <x:v>430ef93b-371d-499f-972c-98b9fc5392f6</x:v>
      </x:c>
      <x:c r="B3474" s="23" t="str">
        <x:v>SILVANIO RODRIGUES FERREIRA</x:v>
      </x:c>
      <x:c r="C3474" s="23" t="str">
        <x:v>silvanio rodrigues ferreira</x:v>
      </x:c>
      <x:c r="D3474" s="22" t="str">
        <x:f>"17.711.457/0001-07"</x:f>
        <x:v>17.711.457/0001-07</x:v>
      </x:c>
      <x:c r="E3474" s="22" t="str">
        <x:f>"17711457000107"</x:f>
        <x:v>17711457000107</x:v>
      </x:c>
      <x:c r="F3474" s="22" t="str">
        <x:f>"415.339.331-20"</x:f>
        <x:v>415.339.331-20</x:v>
      </x:c>
      <x:c r="G3474" s="22" t="str">
        <x:f>"41533933120"</x:f>
        <x:v>41533933120</x:v>
      </x:c>
      <x:c r="H3474" s="23" t="str">
        <x:v>silvaniorodfer@gmail.com</x:v>
      </x:c>
      <x:c r="I3474" s="22" t="str">
        <x:f>"65 9927-2287"</x:f>
        <x:v>65 9927-2287</x:v>
      </x:c>
      <x:c r="J3474" s="23" t="str">
        <x:v>SPOT</x:v>
      </x:c>
      <x:c r="K3474" s="23" t="str">
        <x:v>favored_only</x:v>
      </x:c>
      <x:c r="L3474" s="24" t="b">
        <x:v>1</x:v>
      </x:c>
      <x:c r="M3474" s="23" t="n">
        <x:v>1</x:v>
      </x:c>
      <x:c r="N3474" s="28" t="n">
        <x:v>46219.812988715275</x:v>
      </x:c>
      <x:c r="O3474" s="28" t="n">
        <x:v>46219.812988715275</x:v>
      </x:c>
      <x:c r="P3474" s="23" t="str">
        <x:v>CUIABA</x:v>
      </x:c>
      <x:c r="Q3474" s="30" t="n">
        <x:v>27212</x:v>
      </x:c>
      <x:c r="R3474" s="22" t="str">
        <x:f>"5805473"</x:f>
        <x:v>5805473</x:v>
      </x:c>
      <x:c r="S3474" s="23" t="str">
        <x:v>masculino</x:v>
      </x:c>
      <x:c r="T3474" s="22" t="str">
        <x:f>"QBE0B45"</x:f>
        <x:v>QBE0B45</x:v>
      </x:c>
      <x:c r="U3474" s="23" t="str">
        <x:v>SILVANIO RODRIGUES FERREIRA</x:v>
      </x:c>
      <x:c r="V3474" s="22" t="str">
        <x:f>"415.339.331-20"</x:f>
        <x:v>415.339.331-20</x:v>
      </x:c>
      <x:c r="W3474" s="22" t="str">
        <x:f>"41533933120"</x:f>
        <x:v>41533933120</x:v>
      </x:c>
      <x:c r="X3474" s="23" t="str">
        <x:v>silvaniorodfer@gmail.com</x:v>
      </x:c>
      <x:c r="Y3474" s="22" t="str">
        <x:f>"65 9927-2287"</x:f>
        <x:v>65 9927-2287</x:v>
      </x:c>
      <x:c r="Z3474" s="30" t="n">
        <x:v>46513</x:v>
      </x:c>
    </x:row>
    <x:row r="3475" ht="18" customHeight="1">
      <x:c r="A3475" s="22" t="str">
        <x:f>"f30a9daa-a565-4abd-8789-48b8bf655af7"</x:f>
        <x:v>f30a9daa-a565-4abd-8789-48b8bf655af7</x:v>
      </x:c>
      <x:c r="B3475" s="23" t="str">
        <x:v>SILVANO DOMINGUES GONZALES</x:v>
      </x:c>
      <x:c r="C3475" s="23" t="str">
        <x:v>silvano domingues gonzales</x:v>
      </x:c>
      <x:c r="D3475" s="22" t="str">
        <x:f>"63.157.126/0001-94"</x:f>
        <x:v>63.157.126/0001-94</x:v>
      </x:c>
      <x:c r="E3475" s="22" t="str">
        <x:f>"63157126000194"</x:f>
        <x:v>63157126000194</x:v>
      </x:c>
      <x:c r="F3475" s="22" t="str">
        <x:f>"375.363.838-27"</x:f>
        <x:v>375.363.838-27</x:v>
      </x:c>
      <x:c r="G3475" s="22" t="str">
        <x:f>"37536383827"</x:f>
        <x:v>37536383827</x:v>
      </x:c>
      <x:c r="H3475" s="23" t="str">
        <x:v>Silvinho123domingue@gmail.com</x:v>
      </x:c>
      <x:c r="I3475" s="22" t="str">
        <x:f>"019971567519"</x:f>
        <x:v>019971567519</x:v>
      </x:c>
      <x:c r="J3475" s="23" t="str">
        <x:v>RENTAL</x:v>
      </x:c>
      <x:c r="K3475" s="23" t="str">
        <x:v>rental_company</x:v>
      </x:c>
      <x:c r="L3475" s="24" t="b">
        <x:v>1</x:v>
      </x:c>
      <x:c r="M3475" s="23" t="n">
        <x:v>1</x:v>
      </x:c>
      <x:c r="N3475" s="28" t="n">
        <x:v>46203.9218771875</x:v>
      </x:c>
      <x:c r="O3475" s="28" t="n">
        <x:v>46219.812988715275</x:v>
      </x:c>
      <x:c r="P3475" s="23" t="str">
        <x:v>JALES</x:v>
      </x:c>
      <x:c r="Q3475" s="30" t="n">
        <x:v>31252</x:v>
      </x:c>
      <x:c r="R3475" s="22" t="str">
        <x:f>"42179888"</x:f>
        <x:v>42179888</x:v>
      </x:c>
      <x:c r="S3475" s="23" t="str">
        <x:v>masculino</x:v>
      </x:c>
      <x:c r="T3475" s="22" t="str"/>
      <x:c r="U3475" s="23" t="str">
        <x:v>SILVANO DOMINGUES GONZALES</x:v>
      </x:c>
      <x:c r="V3475" s="22" t="str">
        <x:f>"375.363.838-27"</x:f>
        <x:v>375.363.838-27</x:v>
      </x:c>
      <x:c r="W3475" s="22" t="str">
        <x:f>"37536383827"</x:f>
        <x:v>37536383827</x:v>
      </x:c>
      <x:c r="X3475" s="23" t="str">
        <x:v>Silvinho123domingue@gmail.com</x:v>
      </x:c>
      <x:c r="Y3475" s="22" t="str">
        <x:f>"019971567519"</x:f>
        <x:v>019971567519</x:v>
      </x:c>
      <x:c r="Z3475" s="30" t="n">
        <x:v>46309</x:v>
      </x:c>
    </x:row>
    <x:row r="3476" ht="18" customHeight="1">
      <x:c r="A3476" s="22" t="str">
        <x:f>"797757da-9e57-4741-9d99-72ef37baaa91"</x:f>
        <x:v>797757da-9e57-4741-9d99-72ef37baaa91</x:v>
      </x:c>
      <x:c r="B3476" s="23" t="str">
        <x:v>SILVIO JOSE GUIMARAES</x:v>
      </x:c>
      <x:c r="C3476" s="23" t="str">
        <x:v>silvio jose guimaraes</x:v>
      </x:c>
      <x:c r="D3476" s="22" t="str">
        <x:f>"31.095.678/0001-29"</x:f>
        <x:v>31.095.678/0001-29</x:v>
      </x:c>
      <x:c r="E3476" s="22" t="str">
        <x:f>"31095678000129"</x:f>
        <x:v>31095678000129</x:v>
      </x:c>
      <x:c r="F3476" s="22" t="str">
        <x:f>"044.990.536-50"</x:f>
        <x:v>044.990.536-50</x:v>
      </x:c>
      <x:c r="G3476" s="22" t="str">
        <x:f>"04499053650"</x:f>
        <x:v>04499053650</x:v>
      </x:c>
      <x:c r="H3476" s="23" t="str">
        <x:v>silviojoseguimaraesjr@gmail.com</x:v>
      </x:c>
      <x:c r="I3476" s="22" t="str">
        <x:f>"34988869771"</x:f>
        <x:v>34988869771</x:v>
      </x:c>
      <x:c r="J3476" s="23" t="str">
        <x:v>SPOT</x:v>
      </x:c>
      <x:c r="K3476" s="23" t="str">
        <x:v>favored_only</x:v>
      </x:c>
      <x:c r="L3476" s="24" t="b">
        <x:v>1</x:v>
      </x:c>
      <x:c r="M3476" s="23" t="n">
        <x:v>1</x:v>
      </x:c>
      <x:c r="N3476" s="28" t="n">
        <x:v>46205.60658837963</x:v>
      </x:c>
      <x:c r="O3476" s="28" t="n">
        <x:v>46219.812988715275</x:v>
      </x:c>
      <x:c r="P3476" s="23" t="str">
        <x:v>ARAXÁ</x:v>
      </x:c>
      <x:c r="Q3476" s="30" t="n">
        <x:v>28265</x:v>
      </x:c>
      <x:c r="R3476" s="22" t="str">
        <x:f>"7951111"</x:f>
        <x:v>7951111</x:v>
      </x:c>
      <x:c r="S3476" s="23" t="str">
        <x:v>masculino</x:v>
      </x:c>
      <x:c r="T3476" s="22" t="str">
        <x:f>"HH15A95"</x:f>
        <x:v>HH15A95</x:v>
      </x:c>
      <x:c r="U3476" s="23" t="str">
        <x:v>NATHALIA CAROLINE GOMES DA SILVA</x:v>
      </x:c>
      <x:c r="V3476" s="22" t="str">
        <x:f>"103.851.366-92"</x:f>
        <x:v>103.851.366-92</x:v>
      </x:c>
      <x:c r="W3476" s="22" t="str">
        <x:f>"10385136692"</x:f>
        <x:v>10385136692</x:v>
      </x:c>
      <x:c r="X3476" s="23" t="str">
        <x:v>nathaliasilvaclara13@outlook.com</x:v>
      </x:c>
      <x:c r="Y3476" s="22" t="str">
        <x:f>"34988633933"</x:f>
        <x:v>34988633933</x:v>
      </x:c>
      <x:c r="Z3476" s="30" t="n">
        <x:v>46366</x:v>
      </x:c>
    </x:row>
    <x:row r="3477" ht="18" customHeight="1">
      <x:c r="A3477" s="22" t="str">
        <x:f>"98b1d891-a4aa-49e8-b744-1d79ff07c4a4"</x:f>
        <x:v>98b1d891-a4aa-49e8-b744-1d79ff07c4a4</x:v>
      </x:c>
      <x:c r="B3477" s="23" t="str">
        <x:v>SILVIO PARANHOS DA SILVA</x:v>
      </x:c>
      <x:c r="C3477" s="23" t="str">
        <x:v>silvio paranhos da silva</x:v>
      </x:c>
      <x:c r="D3477" s="22" t="str">
        <x:f>"37.823.997/0001-90"</x:f>
        <x:v>37.823.997/0001-90</x:v>
      </x:c>
      <x:c r="E3477" s="22" t="str">
        <x:f>"37823997000190"</x:f>
        <x:v>37823997000190</x:v>
      </x:c>
      <x:c r="F3477" s="22" t="str">
        <x:f>"926.237.191-87"</x:f>
        <x:v>926.237.191-87</x:v>
      </x:c>
      <x:c r="G3477" s="22" t="str">
        <x:f>"92623719187"</x:f>
        <x:v>92623719187</x:v>
      </x:c>
      <x:c r="H3477" s="23" t="str">
        <x:v>silvioparanhos36@gmail.com</x:v>
      </x:c>
      <x:c r="I3477" s="22" t="str">
        <x:f>"6592562656"</x:f>
        <x:v>6592562656</x:v>
      </x:c>
      <x:c r="J3477" s="23" t="str">
        <x:v>RENTAL</x:v>
      </x:c>
      <x:c r="K3477" s="23" t="str">
        <x:v>rental_company</x:v>
      </x:c>
      <x:c r="L3477" s="24" t="b">
        <x:v>1</x:v>
      </x:c>
      <x:c r="M3477" s="23" t="n">
        <x:v>1</x:v>
      </x:c>
      <x:c r="N3477" s="28" t="n">
        <x:v>46205.60648728009</x:v>
      </x:c>
      <x:c r="O3477" s="28" t="n">
        <x:v>46219.812988715275</x:v>
      </x:c>
      <x:c r="P3477" s="23" t="str">
        <x:v>CÁCERES</x:v>
      </x:c>
      <x:c r="Q3477" s="30" t="n">
        <x:v>29365</x:v>
      </x:c>
      <x:c r="R3477" s="22" t="str">
        <x:f>"11253436"</x:f>
        <x:v>11253436</x:v>
      </x:c>
      <x:c r="S3477" s="23" t="str">
        <x:v>masculino</x:v>
      </x:c>
      <x:c r="T3477" s="22" t="str">
        <x:f>"EGK8E24"</x:f>
        <x:v>EGK8E24</x:v>
      </x:c>
      <x:c r="U3477" s="23" t="str">
        <x:v>DANILLO BACIEL ALMEIDA</x:v>
      </x:c>
      <x:c r="V3477" s="22" t="str">
        <x:f>"038.768.901-01"</x:f>
        <x:v>038.768.901-01</x:v>
      </x:c>
      <x:c r="W3477" s="22" t="str">
        <x:f>"03876890101"</x:f>
        <x:v>03876890101</x:v>
      </x:c>
      <x:c r="X3477" s="23" t="str">
        <x:v>rtp.cargas@gmail.com</x:v>
      </x:c>
      <x:c r="Y3477" s="22" t="str">
        <x:f>"62991277279"</x:f>
        <x:v>62991277279</x:v>
      </x:c>
      <x:c r="Z3477" s="30" t="n">
        <x:v>46522</x:v>
      </x:c>
    </x:row>
    <x:row r="3478" ht="18" customHeight="1">
      <x:c r="A3478" s="22" t="str">
        <x:f>"fb4b12aa-5444-4b37-b9de-3b4996c88945"</x:f>
        <x:v>fb4b12aa-5444-4b37-b9de-3b4996c88945</x:v>
      </x:c>
      <x:c r="B3478" s="23" t="str">
        <x:v>SIZINO JOAO DA SILVA</x:v>
      </x:c>
      <x:c r="C3478" s="23" t="str">
        <x:v>sizino joao da silva</x:v>
      </x:c>
      <x:c r="D3478" s="22" t="str">
        <x:f>"58.577.205/0001-14"</x:f>
        <x:v>58.577.205/0001-14</x:v>
      </x:c>
      <x:c r="E3478" s="22" t="str">
        <x:f>"58577205000114"</x:f>
        <x:v>58577205000114</x:v>
      </x:c>
      <x:c r="F3478" s="22" t="str">
        <x:f>"394.297.158-52"</x:f>
        <x:v>394.297.158-52</x:v>
      </x:c>
      <x:c r="G3478" s="22" t="str">
        <x:f>"39429715852"</x:f>
        <x:v>39429715852</x:v>
      </x:c>
      <x:c r="H3478" s="23" t="str">
        <x:v>Sizino.joao@gmail.com</x:v>
      </x:c>
      <x:c r="I3478" s="22" t="str">
        <x:f>"1191533-9805"</x:f>
        <x:v>1191533-9805</x:v>
      </x:c>
      <x:c r="J3478" s="23" t="str">
        <x:v>RENTAL</x:v>
      </x:c>
      <x:c r="K3478" s="23" t="str">
        <x:v>rental_company</x:v>
      </x:c>
      <x:c r="L3478" s="24" t="b">
        <x:v>1</x:v>
      </x:c>
      <x:c r="M3478" s="23" t="n">
        <x:v>1</x:v>
      </x:c>
      <x:c r="N3478" s="28" t="n">
        <x:v>46219.812988715275</x:v>
      </x:c>
      <x:c r="O3478" s="28" t="n">
        <x:v>46219.812988715275</x:v>
      </x:c>
      <x:c r="P3478" s="23" t="str">
        <x:v>BARUERI</x:v>
      </x:c>
      <x:c r="Q3478" s="30" t="n">
        <x:v>35699</x:v>
      </x:c>
      <x:c r="R3478" s="22" t="str">
        <x:f>"394291116"</x:f>
        <x:v>394291116</x:v>
      </x:c>
      <x:c r="S3478" s="23" t="str">
        <x:v>masculino</x:v>
      </x:c>
      <x:c r="T3478" s="22" t="str"/>
      <x:c r="U3478" s="23" t="str">
        <x:v>SIZINO JOAO DA SILVA</x:v>
      </x:c>
      <x:c r="V3478" s="22" t="str">
        <x:f>"394.297.158-52"</x:f>
        <x:v>394.297.158-52</x:v>
      </x:c>
      <x:c r="W3478" s="22" t="str">
        <x:f>"39429715852"</x:f>
        <x:v>39429715852</x:v>
      </x:c>
      <x:c r="X3478" s="23" t="str">
        <x:v>Sizino.joao@gmail.com</x:v>
      </x:c>
      <x:c r="Y3478" s="22" t="str">
        <x:f>"1191533-9805"</x:f>
        <x:v>1191533-9805</x:v>
      </x:c>
      <x:c r="Z3478" s="30" t="n">
        <x:v>46557</x:v>
      </x:c>
    </x:row>
    <x:row r="3479" ht="18" customHeight="1">
      <x:c r="A3479" s="22" t="str">
        <x:f>"4557cad0-4370-4233-98a8-295a94640d75"</x:f>
        <x:v>4557cad0-4370-4233-98a8-295a94640d75</x:v>
      </x:c>
      <x:c r="B3479" s="23" t="str">
        <x:v>SKARLATT BRUNA RANGEL DE SOUZA</x:v>
      </x:c>
      <x:c r="C3479" s="23" t="str">
        <x:v>skarlatt bruna rangel de souza</x:v>
      </x:c>
      <x:c r="D3479" s="22" t="str">
        <x:f>"57.032.507/0001-44"</x:f>
        <x:v>57.032.507/0001-44</x:v>
      </x:c>
      <x:c r="E3479" s="22" t="str">
        <x:f>"57032507000144"</x:f>
        <x:v>57032507000144</x:v>
      </x:c>
      <x:c r="F3479" s="22" t="str">
        <x:f>"137.609.136-44"</x:f>
        <x:v>137.609.136-44</x:v>
      </x:c>
      <x:c r="G3479" s="22" t="str">
        <x:f>"13760913644"</x:f>
        <x:v>13760913644</x:v>
      </x:c>
      <x:c r="H3479" s="23" t="str">
        <x:v>entregassh01@outlook.com</x:v>
      </x:c>
      <x:c r="I3479" s="22" t="str">
        <x:f>"31991413546"</x:f>
        <x:v>31991413546</x:v>
      </x:c>
      <x:c r="J3479" s="23" t="str">
        <x:v>SPOT</x:v>
      </x:c>
      <x:c r="K3479" s="23" t="str">
        <x:v>favored_only</x:v>
      </x:c>
      <x:c r="L3479" s="24" t="b">
        <x:v>1</x:v>
      </x:c>
      <x:c r="M3479" s="23" t="n">
        <x:v>1</x:v>
      </x:c>
      <x:c r="N3479" s="28" t="n">
        <x:v>46219.812988715275</x:v>
      </x:c>
      <x:c r="O3479" s="28" t="n">
        <x:v>46219.812988715275</x:v>
      </x:c>
      <x:c r="P3479" s="23" t="str">
        <x:v>NOVA LIMA</x:v>
      </x:c>
      <x:c r="Q3479" s="30" t="n">
        <x:v>35603</x:v>
      </x:c>
      <x:c r="R3479" s="22" t="str">
        <x:f>"18692216"</x:f>
        <x:v>18692216</x:v>
      </x:c>
      <x:c r="S3479" s="23" t="str">
        <x:v>masculino</x:v>
      </x:c>
      <x:c r="T3479" s="22" t="str">
        <x:f>"PWE5F66"</x:f>
        <x:v>PWE5F66</x:v>
      </x:c>
      <x:c r="U3479" s="23" t="str">
        <x:v>SKARLATT BRUNA RANGEL DE SOUZA</x:v>
      </x:c>
      <x:c r="V3479" s="22" t="str">
        <x:f>"137.609.136-44"</x:f>
        <x:v>137.609.136-44</x:v>
      </x:c>
      <x:c r="W3479" s="22" t="str">
        <x:f>"13760913644"</x:f>
        <x:v>13760913644</x:v>
      </x:c>
      <x:c r="X3479" s="23" t="str">
        <x:v>entregassh01@outlook.com</x:v>
      </x:c>
      <x:c r="Y3479" s="22" t="str">
        <x:f>"31991413546"</x:f>
        <x:v>31991413546</x:v>
      </x:c>
      <x:c r="Z3479" s="30" t="n">
        <x:v>46568</x:v>
      </x:c>
    </x:row>
    <x:row r="3480" ht="18" customHeight="1">
      <x:c r="A3480" s="22" t="str">
        <x:f>"19a83749-44ae-4d3a-b5dc-d3bd3a12afc3"</x:f>
        <x:v>19a83749-44ae-4d3a-b5dc-d3bd3a12afc3</x:v>
      </x:c>
      <x:c r="B3480" s="23" t="str">
        <x:v>SOLANGE DOS REIS SILVA</x:v>
      </x:c>
      <x:c r="C3480" s="23" t="str">
        <x:v>solange dos reis silva</x:v>
      </x:c>
      <x:c r="D3480" s="22" t="str">
        <x:f>"36.082.349/0001-67"</x:f>
        <x:v>36.082.349/0001-67</x:v>
      </x:c>
      <x:c r="E3480" s="22" t="str">
        <x:f>"36082349000167"</x:f>
        <x:v>36082349000167</x:v>
      </x:c>
      <x:c r="F3480" s="22" t="str">
        <x:f>"040.056.046-17"</x:f>
        <x:v>040.056.046-17</x:v>
      </x:c>
      <x:c r="G3480" s="22" t="str">
        <x:f>"04005604617"</x:f>
        <x:v>04005604617</x:v>
      </x:c>
      <x:c r="H3480" s="23" t="str">
        <x:v>Rscredito79@gmail.com</x:v>
      </x:c>
      <x:c r="I3480" s="22" t="str">
        <x:f>"31999408054"</x:f>
        <x:v>31999408054</x:v>
      </x:c>
      <x:c r="J3480" s="23" t="str">
        <x:v>SPOT</x:v>
      </x:c>
      <x:c r="K3480" s="23" t="str">
        <x:v>favored_only</x:v>
      </x:c>
      <x:c r="L3480" s="24" t="b">
        <x:v>1</x:v>
      </x:c>
      <x:c r="M3480" s="23" t="n">
        <x:v>1</x:v>
      </x:c>
      <x:c r="N3480" s="28" t="n">
        <x:v>46219.812988715275</x:v>
      </x:c>
      <x:c r="O3480" s="28" t="n">
        <x:v>46219.812988715275</x:v>
      </x:c>
      <x:c r="P3480" s="23" t="str">
        <x:v>CONTAGEM</x:v>
      </x:c>
      <x:c r="Q3480" s="30" t="n">
        <x:v>28860</x:v>
      </x:c>
      <x:c r="R3480" s="22" t="str">
        <x:f>"8899612"</x:f>
        <x:v>8899612</x:v>
      </x:c>
      <x:c r="S3480" s="23" t="str">
        <x:v>feminino</x:v>
      </x:c>
      <x:c r="T3480" s="22" t="str">
        <x:f>"PWK5A21"</x:f>
        <x:v>PWK5A21</x:v>
      </x:c>
      <x:c r="U3480" s="23" t="str">
        <x:v>SOLANGE DOS REIS SILVA</x:v>
      </x:c>
      <x:c r="V3480" s="22" t="str">
        <x:f>"040.056.046-17"</x:f>
        <x:v>040.056.046-17</x:v>
      </x:c>
      <x:c r="W3480" s="22" t="str">
        <x:f>"04005604617"</x:f>
        <x:v>04005604617</x:v>
      </x:c>
      <x:c r="X3480" s="23" t="str">
        <x:v>Rscredito79@gmail.com</x:v>
      </x:c>
      <x:c r="Y3480" s="22" t="str">
        <x:f>"31999408054"</x:f>
        <x:v>31999408054</x:v>
      </x:c>
      <x:c r="Z3480" s="30" t="n">
        <x:v>46480</x:v>
      </x:c>
    </x:row>
    <x:row r="3481" ht="18" customHeight="1">
      <x:c r="A3481" s="22" t="str">
        <x:f>"2c7e5adc-848c-489e-9be9-0a3fd970ab47"</x:f>
        <x:v>2c7e5adc-848c-489e-9be9-0a3fd970ab47</x:v>
      </x:c>
      <x:c r="B3481" s="23" t="str">
        <x:v>SONIA MARIA DA SILVA MARINHO</x:v>
      </x:c>
      <x:c r="C3481" s="23" t="str">
        <x:v>sonia maria da silva marinho</x:v>
      </x:c>
      <x:c r="D3481" s="22" t="str">
        <x:f>"61.728.914/0001-68"</x:f>
        <x:v>61.728.914/0001-68</x:v>
      </x:c>
      <x:c r="E3481" s="22" t="str">
        <x:f>"61728914000168"</x:f>
        <x:v>61728914000168</x:v>
      </x:c>
      <x:c r="F3481" s="22" t="str">
        <x:f>"535.248.881-00"</x:f>
        <x:v>535.248.881-00</x:v>
      </x:c>
      <x:c r="G3481" s="22" t="str">
        <x:f>"53524888100"</x:f>
        <x:v>53524888100</x:v>
      </x:c>
      <x:c r="H3481" s="23" t="str">
        <x:v>mariasilvasonia535@gmail.com</x:v>
      </x:c>
      <x:c r="I3481" s="22" t="str">
        <x:f>"65 996658922"</x:f>
        <x:v>65 996658922</x:v>
      </x:c>
      <x:c r="J3481" s="23" t="str">
        <x:v>SPOT</x:v>
      </x:c>
      <x:c r="K3481" s="23" t="str">
        <x:v>favored_only</x:v>
      </x:c>
      <x:c r="L3481" s="24" t="b">
        <x:v>1</x:v>
      </x:c>
      <x:c r="M3481" s="23" t="n">
        <x:v>1</x:v>
      </x:c>
      <x:c r="N3481" s="28" t="n">
        <x:v>46219.812988715275</x:v>
      </x:c>
      <x:c r="O3481" s="28" t="n">
        <x:v>46219.812988715275</x:v>
      </x:c>
      <x:c r="P3481" s="23" t="str">
        <x:v>CUIABA</x:v>
      </x:c>
      <x:c r="Q3481" s="30" t="n">
        <x:v>25772</x:v>
      </x:c>
      <x:c r="R3481" s="22" t="str">
        <x:f>"78633"</x:f>
        <x:v>78633</x:v>
      </x:c>
      <x:c r="S3481" s="23" t="str">
        <x:v>feminino</x:v>
      </x:c>
      <x:c r="T3481" s="22" t="str">
        <x:f>"RRL6H12"</x:f>
        <x:v>RRL6H12</x:v>
      </x:c>
      <x:c r="U3481" s="23" t="str">
        <x:v>SONIA MARIA DA SILVA MARINHO</x:v>
      </x:c>
      <x:c r="V3481" s="22" t="str">
        <x:f>"535.248.881-00"</x:f>
        <x:v>535.248.881-00</x:v>
      </x:c>
      <x:c r="W3481" s="22" t="str">
        <x:f>"53524888100"</x:f>
        <x:v>53524888100</x:v>
      </x:c>
      <x:c r="X3481" s="23" t="str">
        <x:v>mariasilvasonia535@gmail.com</x:v>
      </x:c>
      <x:c r="Y3481" s="22" t="str">
        <x:f>"65 996658922"</x:f>
        <x:v>65 996658922</x:v>
      </x:c>
      <x:c r="Z3481" s="30" t="n">
        <x:v>46448</x:v>
      </x:c>
    </x:row>
    <x:row r="3482" ht="18" customHeight="1">
      <x:c r="A3482" s="22" t="str">
        <x:f>"bb7c5e59-ed63-412a-b4b2-967d1a950f88"</x:f>
        <x:v>bb7c5e59-ed63-412a-b4b2-967d1a950f88</x:v>
      </x:c>
      <x:c r="B3482" s="23" t="str">
        <x:v>STEFANIA MOURA MUNHOZ</x:v>
      </x:c>
      <x:c r="C3482" s="23" t="str">
        <x:v>stefania moura munhoz</x:v>
      </x:c>
      <x:c r="D3482" s="22" t="str">
        <x:f>"55.783.923/0001-59"</x:f>
        <x:v>55.783.923/0001-59</x:v>
      </x:c>
      <x:c r="E3482" s="22" t="str">
        <x:f>"55783923000159"</x:f>
        <x:v>55783923000159</x:v>
      </x:c>
      <x:c r="F3482" s="22" t="str">
        <x:f>"011.561.841-42"</x:f>
        <x:v>011.561.841-42</x:v>
      </x:c>
      <x:c r="G3482" s="22" t="str">
        <x:f>"01156184142"</x:f>
        <x:v>01156184142</x:v>
      </x:c>
      <x:c r="H3482" s="23" t="str">
        <x:v>henrinhodourado@hotmail.com</x:v>
      </x:c>
      <x:c r="I3482" s="22" t="str">
        <x:f>"65981695365"</x:f>
        <x:v>65981695365</x:v>
      </x:c>
      <x:c r="J3482" s="23" t="str">
        <x:v>SPOT</x:v>
      </x:c>
      <x:c r="K3482" s="23" t="str">
        <x:v>favored_only</x:v>
      </x:c>
      <x:c r="L3482" s="24" t="b">
        <x:v>1</x:v>
      </x:c>
      <x:c r="M3482" s="23" t="n">
        <x:v>1</x:v>
      </x:c>
      <x:c r="N3482" s="28" t="n">
        <x:v>46205.6043133912</x:v>
      </x:c>
      <x:c r="O3482" s="28" t="n">
        <x:v>46219.812988715275</x:v>
      </x:c>
      <x:c r="P3482" s="23" t="str">
        <x:v>CÁCERES</x:v>
      </x:c>
      <x:c r="Q3482" s="30" t="n">
        <x:v>31616</x:v>
      </x:c>
      <x:c r="R3482" s="22" t="str">
        <x:f>"16955358"</x:f>
        <x:v>16955358</x:v>
      </x:c>
      <x:c r="S3482" s="23" t="str">
        <x:v>feminino</x:v>
      </x:c>
      <x:c r="T3482" s="22" t="str">
        <x:f>"RAV5C56"</x:f>
        <x:v>RAV5C56</x:v>
      </x:c>
      <x:c r="U3482" s="23" t="str">
        <x:v>CAIQUE HENRIQUE DA CRUZ</x:v>
      </x:c>
      <x:c r="V3482" s="22" t="str">
        <x:f>"058.062.901-58"</x:f>
        <x:v>058.062.901-58</x:v>
      </x:c>
      <x:c r="W3482" s="22" t="str">
        <x:f>"05806290158"</x:f>
        <x:v>05806290158</x:v>
      </x:c>
      <x:c r="X3482" s="23" t="str">
        <x:v>caiquehenrique112@gmail.com</x:v>
      </x:c>
      <x:c r="Y3482" s="22" t="str">
        <x:f>"65981695365"</x:f>
        <x:v>65981695365</x:v>
      </x:c>
      <x:c r="Z3482" s="30" t="n">
        <x:v>46267</x:v>
      </x:c>
    </x:row>
    <x:row r="3483" ht="18" customHeight="1">
      <x:c r="A3483" s="22" t="str">
        <x:f>"2317e24c-4824-469f-b1ab-8d89852063ee"</x:f>
        <x:v>2317e24c-4824-469f-b1ab-8d89852063ee</x:v>
      </x:c>
      <x:c r="B3483" s="23" t="str">
        <x:v>STEFANY GONCALVES DE ARAUJO</x:v>
      </x:c>
      <x:c r="C3483" s="23" t="str">
        <x:v>stefany goncalves de araujo</x:v>
      </x:c>
      <x:c r="D3483" s="22" t="str">
        <x:f>"60.993.611/0001-00"</x:f>
        <x:v>60.993.611/0001-00</x:v>
      </x:c>
      <x:c r="E3483" s="22" t="str">
        <x:f>"60993611000100"</x:f>
        <x:v>60993611000100</x:v>
      </x:c>
      <x:c r="F3483" s="22" t="str">
        <x:f>"535.468.768-30"</x:f>
        <x:v>535.468.768-30</x:v>
      </x:c>
      <x:c r="G3483" s="22" t="str">
        <x:f>"53546876830"</x:f>
        <x:v>53546876830</x:v>
      </x:c>
      <x:c r="H3483" s="23" t="str">
        <x:v>goncalvesstefany777@gmail.com</x:v>
      </x:c>
      <x:c r="I3483" s="22" t="str">
        <x:f>"16 993439802"</x:f>
        <x:v>16 993439802</x:v>
      </x:c>
      <x:c r="J3483" s="23" t="str">
        <x:v>SPOT</x:v>
      </x:c>
      <x:c r="K3483" s="23" t="str">
        <x:v>favored_only</x:v>
      </x:c>
      <x:c r="L3483" s="24" t="b">
        <x:v>1</x:v>
      </x:c>
      <x:c r="M3483" s="23" t="n">
        <x:v>1</x:v>
      </x:c>
      <x:c r="N3483" s="28" t="n">
        <x:v>46219.812988715275</x:v>
      </x:c>
      <x:c r="O3483" s="28" t="n">
        <x:v>46219.812988715275</x:v>
      </x:c>
      <x:c r="P3483" s="23" t="str">
        <x:v>RIBEIRAO PRETO</x:v>
      </x:c>
      <x:c r="Q3483" s="30" t="n">
        <x:v>38727</x:v>
      </x:c>
      <x:c r="R3483" s="22" t="str">
        <x:f>"638231231"</x:f>
        <x:v>638231231</x:v>
      </x:c>
      <x:c r="S3483" s="23" t="str">
        <x:v>feminino</x:v>
      </x:c>
      <x:c r="T3483" s="22" t="str">
        <x:f>"EWN7C70"</x:f>
        <x:v>EWN7C70</x:v>
      </x:c>
      <x:c r="U3483" s="23" t="str">
        <x:v>TIAGO ALMEIDA CALDEIRA</x:v>
      </x:c>
      <x:c r="V3483" s="22" t="str">
        <x:f>"476.952.318-19"</x:f>
        <x:v>476.952.318-19</x:v>
      </x:c>
      <x:c r="W3483" s="22" t="str">
        <x:f>"47695231819"</x:f>
        <x:v>47695231819</x:v>
      </x:c>
      <x:c r="X3483" s="23" t="str">
        <x:v>tiagocaldeira016@gmail.com</x:v>
      </x:c>
      <x:c r="Y3483" s="22" t="str">
        <x:f>"16993125708"</x:f>
        <x:v>16993125708</x:v>
      </x:c>
      <x:c r="Z3483" s="30" t="n">
        <x:v>46567</x:v>
      </x:c>
    </x:row>
    <x:row r="3484" ht="18" customHeight="1">
      <x:c r="A3484" s="22" t="str">
        <x:f>"d4e6c1a9-14b9-465b-9fc5-816547ea6105"</x:f>
        <x:v>d4e6c1a9-14b9-465b-9fc5-816547ea6105</x:v>
      </x:c>
      <x:c r="B3484" s="23" t="str">
        <x:v>STEPHANIE APARECIDA DE MORAIS ROSA</x:v>
      </x:c>
      <x:c r="C3484" s="23" t="str">
        <x:v>stephanie aparecida de morais rosa</x:v>
      </x:c>
      <x:c r="D3484" s="22" t="str">
        <x:f>"55.958.491/0001-70"</x:f>
        <x:v>55.958.491/0001-70</x:v>
      </x:c>
      <x:c r="E3484" s="22" t="str">
        <x:f>"55958491000170"</x:f>
        <x:v>55958491000170</x:v>
      </x:c>
      <x:c r="F3484" s="22" t="str">
        <x:f>"703.336.726-07"</x:f>
        <x:v>703.336.726-07</x:v>
      </x:c>
      <x:c r="G3484" s="22" t="str">
        <x:f>"70333672607"</x:f>
        <x:v>70333672607</x:v>
      </x:c>
      <x:c r="H3484" s="23" t="str">
        <x:v>stephanieap48@gmail.com</x:v>
      </x:c>
      <x:c r="I3484" s="22" t="str">
        <x:f>"34992715886"</x:f>
        <x:v>34992715886</x:v>
      </x:c>
      <x:c r="J3484" s="23" t="str">
        <x:v>RENTAL</x:v>
      </x:c>
      <x:c r="K3484" s="23" t="str">
        <x:v>rental_company</x:v>
      </x:c>
      <x:c r="L3484" s="24" t="b">
        <x:v>1</x:v>
      </x:c>
      <x:c r="M3484" s="23" t="n">
        <x:v>1</x:v>
      </x:c>
      <x:c r="N3484" s="28" t="n">
        <x:v>46219.812988715275</x:v>
      </x:c>
      <x:c r="O3484" s="28" t="n">
        <x:v>46219.812988715275</x:v>
      </x:c>
      <x:c r="P3484" s="23" t="str">
        <x:v>UBERABA</x:v>
      </x:c>
      <x:c r="Q3484" s="30" t="n">
        <x:v>37258</x:v>
      </x:c>
      <x:c r="R3484" s="22" t="str">
        <x:f>"22682853"</x:f>
        <x:v>22682853</x:v>
      </x:c>
      <x:c r="S3484" s="23" t="str">
        <x:v>feminino</x:v>
      </x:c>
      <x:c r="T3484" s="22" t="str"/>
      <x:c r="U3484" s="23" t="str">
        <x:v>STEPHANIE APARECIDA DE MORAIS ROSA</x:v>
      </x:c>
      <x:c r="V3484" s="22" t="str">
        <x:f>"703.336.726-07"</x:f>
        <x:v>703.336.726-07</x:v>
      </x:c>
      <x:c r="W3484" s="22" t="str">
        <x:f>"70333672607"</x:f>
        <x:v>70333672607</x:v>
      </x:c>
      <x:c r="X3484" s="23" t="str">
        <x:v>stephanieap48@gmail.com</x:v>
      </x:c>
      <x:c r="Y3484" s="22" t="str">
        <x:f>"34992715886"</x:f>
        <x:v>34992715886</x:v>
      </x:c>
      <x:c r="Z3484" s="30" t="n">
        <x:v>46521</x:v>
      </x:c>
    </x:row>
    <x:row r="3485" ht="18" customHeight="1">
      <x:c r="A3485" s="22" t="str">
        <x:f>"9b1af92e-7bd0-42b0-bf35-a3f3cac0a2d0"</x:f>
        <x:v>9b1af92e-7bd0-42b0-bf35-a3f3cac0a2d0</x:v>
      </x:c>
      <x:c r="B3485" s="23" t="str">
        <x:v>STHEFANY CAVALCANTI DOMINGUES</x:v>
      </x:c>
      <x:c r="C3485" s="23" t="str">
        <x:v>sthefany cavalcanti domingues</x:v>
      </x:c>
      <x:c r="D3485" s="22" t="str">
        <x:f>"36.157.172/0001-10"</x:f>
        <x:v>36.157.172/0001-10</x:v>
      </x:c>
      <x:c r="E3485" s="22" t="str">
        <x:f>"36157172000110"</x:f>
        <x:v>36157172000110</x:v>
      </x:c>
      <x:c r="F3485" s="22" t="str">
        <x:f>"094.312.609-64"</x:f>
        <x:v>094.312.609-64</x:v>
      </x:c>
      <x:c r="G3485" s="22" t="str">
        <x:f>"09431260964"</x:f>
        <x:v>09431260964</x:v>
      </x:c>
      <x:c r="H3485" s="23" t="str">
        <x:v>sthefanydomingues17@gmail.com</x:v>
      </x:c>
      <x:c r="I3485" s="22" t="str">
        <x:f>"22 998818562"</x:f>
        <x:v>22 998818562</x:v>
      </x:c>
      <x:c r="J3485" s="23" t="str">
        <x:v>SPOT</x:v>
      </x:c>
      <x:c r="K3485" s="23" t="str">
        <x:v>favored_only</x:v>
      </x:c>
      <x:c r="L3485" s="24" t="b">
        <x:v>1</x:v>
      </x:c>
      <x:c r="M3485" s="23" t="n">
        <x:v>1</x:v>
      </x:c>
      <x:c r="N3485" s="28" t="n">
        <x:v>46205.60520798611</x:v>
      </x:c>
      <x:c r="O3485" s="28" t="n">
        <x:v>46219.812988715275</x:v>
      </x:c>
      <x:c r="P3485" s="23" t="str">
        <x:v>CAMPOS DOS GOYTACAZES</x:v>
      </x:c>
      <x:c r="Q3485" s="30" t="n">
        <x:v>36816</x:v>
      </x:c>
      <x:c r="R3485" s="22" t="str">
        <x:f>"343934543"</x:f>
        <x:v>343934543</x:v>
      </x:c>
      <x:c r="S3485" s="23" t="str">
        <x:v>masculino</x:v>
      </x:c>
      <x:c r="T3485" s="22" t="str">
        <x:f>"FQY1E01"</x:f>
        <x:v>FQY1E01</x:v>
      </x:c>
      <x:c r="U3485" s="23" t="str">
        <x:v>LUIZ ANTONIO MOCO DA SILVA</x:v>
      </x:c>
      <x:c r="V3485" s="22" t="str">
        <x:f>"104.604.007-38"</x:f>
        <x:v>104.604.007-38</x:v>
      </x:c>
      <x:c r="W3485" s="22" t="str">
        <x:f>"10460400738"</x:f>
        <x:v>10460400738</x:v>
      </x:c>
      <x:c r="X3485" s="23" t="str">
        <x:v>luizantoniomoco@hotmail.com</x:v>
      </x:c>
      <x:c r="Y3485" s="22" t="str">
        <x:f>"22 997882723"</x:f>
        <x:v>22 997882723</x:v>
      </x:c>
      <x:c r="Z3485" s="30" t="n">
        <x:v>46408</x:v>
      </x:c>
    </x:row>
    <x:row r="3486" ht="18" customHeight="1">
      <x:c r="A3486" s="22" t="str">
        <x:f>"a5960a29-6e10-495d-9697-8b203ec98efe"</x:f>
        <x:v>a5960a29-6e10-495d-9697-8b203ec98efe</x:v>
      </x:c>
      <x:c r="B3486" s="23" t="str">
        <x:v>STHEFANY CAVALCANTI DOMINGUES</x:v>
      </x:c>
      <x:c r="C3486" s="23" t="str">
        <x:v>sthefany cavalcanti domingues</x:v>
      </x:c>
      <x:c r="D3486" s="22" t="str">
        <x:f>"64.055.506/0001-80"</x:f>
        <x:v>64.055.506/0001-80</x:v>
      </x:c>
      <x:c r="E3486" s="22" t="str">
        <x:f>"64055506000180"</x:f>
        <x:v>64055506000180</x:v>
      </x:c>
      <x:c r="F3486" s="22" t="str">
        <x:f>"094.312.609-64"</x:f>
        <x:v>094.312.609-64</x:v>
      </x:c>
      <x:c r="G3486" s="22" t="str">
        <x:f>"09431260964"</x:f>
        <x:v>09431260964</x:v>
      </x:c>
      <x:c r="H3486" s="23" t="str">
        <x:v>sthefanydomingues17@gmail.com</x:v>
      </x:c>
      <x:c r="I3486" s="22" t="str">
        <x:f>"22 99881-8562"</x:f>
        <x:v>22 99881-8562</x:v>
      </x:c>
      <x:c r="J3486" s="23" t="str">
        <x:v>SPOT</x:v>
      </x:c>
      <x:c r="K3486" s="23" t="str">
        <x:v>favored_only</x:v>
      </x:c>
      <x:c r="L3486" s="24" t="b">
        <x:v>1</x:v>
      </x:c>
      <x:c r="M3486" s="23" t="n">
        <x:v>1</x:v>
      </x:c>
      <x:c r="N3486" s="28" t="n">
        <x:v>46219.812988715275</x:v>
      </x:c>
      <x:c r="O3486" s="28" t="n">
        <x:v>46219.812988715275</x:v>
      </x:c>
      <x:c r="P3486" s="23" t="str">
        <x:v>CAMPOS DOS GOYTACAZES</x:v>
      </x:c>
      <x:c r="Q3486" s="30" t="n">
        <x:v>36817</x:v>
      </x:c>
      <x:c r="R3486" s="22" t="str">
        <x:f>"343934543"</x:f>
        <x:v>343934543</x:v>
      </x:c>
      <x:c r="S3486" s="23" t="str">
        <x:v>feminino</x:v>
      </x:c>
      <x:c r="T3486" s="22" t="str">
        <x:f>"FQY1E01"</x:f>
        <x:v>FQY1E01</x:v>
      </x:c>
      <x:c r="U3486" s="23" t="str">
        <x:v>STHEFANY CAVALCANTI DOMINGUES</x:v>
      </x:c>
      <x:c r="V3486" s="22" t="str">
        <x:f>"094.312.609-64"</x:f>
        <x:v>094.312.609-64</x:v>
      </x:c>
      <x:c r="W3486" s="22" t="str">
        <x:f>"09431260964"</x:f>
        <x:v>09431260964</x:v>
      </x:c>
      <x:c r="X3486" s="23" t="str">
        <x:v>sthefanydomingues17@gmail.com</x:v>
      </x:c>
      <x:c r="Y3486" s="22" t="str">
        <x:f>"22 99881-8562"</x:f>
        <x:v>22 99881-8562</x:v>
      </x:c>
      <x:c r="Z3486" s="30" t="n">
        <x:v>46408</x:v>
      </x:c>
    </x:row>
    <x:row r="3487" ht="18" customHeight="1">
      <x:c r="A3487" s="22" t="str">
        <x:f>"853c1462-78bd-42b9-9915-2491892cb24a"</x:f>
        <x:v>853c1462-78bd-42b9-9915-2491892cb24a</x:v>
      </x:c>
      <x:c r="B3487" s="23" t="str">
        <x:v>SUELEN DO AMARAL AMERICO SANTOS</x:v>
      </x:c>
      <x:c r="C3487" s="23" t="str">
        <x:v>suelen do amaral americo santos</x:v>
      </x:c>
      <x:c r="D3487" s="22" t="str">
        <x:f>"37.170.814/0001-84"</x:f>
        <x:v>37.170.814/0001-84</x:v>
      </x:c>
      <x:c r="E3487" s="22" t="str">
        <x:f>"37170814000184"</x:f>
        <x:v>37170814000184</x:v>
      </x:c>
      <x:c r="F3487" s="22" t="str">
        <x:f>"076.978.927-74"</x:f>
        <x:v>076.978.927-74</x:v>
      </x:c>
      <x:c r="G3487" s="22" t="str">
        <x:f>"07697892774"</x:f>
        <x:v>07697892774</x:v>
      </x:c>
      <x:c r="H3487" s="23" t="str">
        <x:v>suelen.americo08@gmail.com</x:v>
      </x:c>
      <x:c r="I3487" s="22" t="str">
        <x:f>"(21) 97348-8504"</x:f>
        <x:v>(21) 97348-8504</x:v>
      </x:c>
      <x:c r="J3487" s="23" t="str">
        <x:v>SPOT</x:v>
      </x:c>
      <x:c r="K3487" s="23" t="str">
        <x:v>favored_only</x:v>
      </x:c>
      <x:c r="L3487" s="24" t="b">
        <x:v>1</x:v>
      </x:c>
      <x:c r="M3487" s="23" t="n">
        <x:v>1</x:v>
      </x:c>
      <x:c r="N3487" s="28" t="n">
        <x:v>46219.812988715275</x:v>
      </x:c>
      <x:c r="O3487" s="28" t="n">
        <x:v>46219.812988715275</x:v>
      </x:c>
      <x:c r="P3487" s="23" t="str">
        <x:v>CORDOVIL</x:v>
      </x:c>
      <x:c r="Q3487" s="30" t="n">
        <x:v>28498</x:v>
      </x:c>
      <x:c r="R3487" s="22" t="str">
        <x:f>"112919097"</x:f>
        <x:v>112919097</x:v>
      </x:c>
      <x:c r="S3487" s="23" t="str">
        <x:v>feminino</x:v>
      </x:c>
      <x:c r="T3487" s="22" t="str">
        <x:f>"KRT5468"</x:f>
        <x:v>KRT5468</x:v>
      </x:c>
      <x:c r="U3487" s="23" t="str">
        <x:v>SUELEN DO AMARAL AMERICO SANTOS</x:v>
      </x:c>
      <x:c r="V3487" s="22" t="str">
        <x:f>"076.978.927-74"</x:f>
        <x:v>076.978.927-74</x:v>
      </x:c>
      <x:c r="W3487" s="22" t="str">
        <x:f>"07697892774"</x:f>
        <x:v>07697892774</x:v>
      </x:c>
      <x:c r="X3487" s="23" t="str">
        <x:v>suelen.americo08@gmail.com</x:v>
      </x:c>
      <x:c r="Y3487" s="22" t="str">
        <x:f>"(21) 97348-8504"</x:f>
        <x:v>(21) 97348-8504</x:v>
      </x:c>
      <x:c r="Z3487" s="30" t="n">
        <x:v>46547</x:v>
      </x:c>
    </x:row>
    <x:row r="3488" ht="18" customHeight="1">
      <x:c r="A3488" s="22" t="str">
        <x:f>"87c6f7c6-9a5b-44e6-b51e-42531e7310f7"</x:f>
        <x:v>87c6f7c6-9a5b-44e6-b51e-42531e7310f7</x:v>
      </x:c>
      <x:c r="B3488" s="23" t="str">
        <x:v>SUELEN NAYARA DA COSTA SILVA</x:v>
      </x:c>
      <x:c r="C3488" s="23" t="str">
        <x:v>suelen nayara da costa silva</x:v>
      </x:c>
      <x:c r="D3488" s="22" t="str">
        <x:f>"53.036.632/0001-71"</x:f>
        <x:v>53.036.632/0001-71</x:v>
      </x:c>
      <x:c r="E3488" s="22" t="str">
        <x:f>"53036632000171"</x:f>
        <x:v>53036632000171</x:v>
      </x:c>
      <x:c r="F3488" s="22" t="str">
        <x:f>"10542775670"</x:f>
        <x:v>10542775670</x:v>
      </x:c>
      <x:c r="G3488" s="22" t="str">
        <x:f>"10542775670"</x:f>
        <x:v>10542775670</x:v>
      </x:c>
      <x:c r="H3488" s="23" t="str">
        <x:v>suelen.engcivil@hotmail.com</x:v>
      </x:c>
      <x:c r="I3488" s="22" t="str">
        <x:f>"34 9112-3408"</x:f>
        <x:v>34 9112-3408</x:v>
      </x:c>
      <x:c r="J3488" s="23" t="str">
        <x:v>SPOT</x:v>
      </x:c>
      <x:c r="K3488" s="23" t="str">
        <x:v>favored_only</x:v>
      </x:c>
      <x:c r="L3488" s="24" t="b">
        <x:v>1</x:v>
      </x:c>
      <x:c r="M3488" s="23" t="n">
        <x:v>1</x:v>
      </x:c>
      <x:c r="N3488" s="28" t="n">
        <x:v>46203.9219084375</x:v>
      </x:c>
      <x:c r="O3488" s="28" t="n">
        <x:v>46203.9219084375</x:v>
      </x:c>
      <x:c r="P3488" s="23" t="str"/>
      <x:c r="Q3488" s="30" t="str"/>
      <x:c r="R3488" s="22" t="str"/>
      <x:c r="S3488" s="23" t="str"/>
      <x:c r="T3488" s="22" t="str"/>
      <x:c r="U3488" s="23" t="str">
        <x:v>SUELEN NAYARA DA COSTA SILVA</x:v>
      </x:c>
      <x:c r="V3488" s="22" t="str">
        <x:f>"10542775670"</x:f>
        <x:v>10542775670</x:v>
      </x:c>
      <x:c r="W3488" s="22" t="str">
        <x:f>"10542775670"</x:f>
        <x:v>10542775670</x:v>
      </x:c>
      <x:c r="X3488" s="23" t="str">
        <x:v>suelen.engcivil@hotmail.com</x:v>
      </x:c>
      <x:c r="Y3488" s="22" t="str">
        <x:f>"34 9112-3408"</x:f>
        <x:v>34 9112-3408</x:v>
      </x:c>
      <x:c r="Z3488" s="30" t="str"/>
    </x:row>
    <x:row r="3489" ht="18" customHeight="1">
      <x:c r="A3489" s="22" t="str">
        <x:f>"3aab84e5-2b16-43cc-8712-f92981f7923b"</x:f>
        <x:v>3aab84e5-2b16-43cc-8712-f92981f7923b</x:v>
      </x:c>
      <x:c r="B3489" s="23" t="str">
        <x:v>Sueli Aparecida da Silva souza</x:v>
      </x:c>
      <x:c r="C3489" s="23" t="str">
        <x:v>sueli aparecida da silva souza</x:v>
      </x:c>
      <x:c r="D3489" s="22" t="str">
        <x:f>"55.012.682/0001-44"</x:f>
        <x:v>55.012.682/0001-44</x:v>
      </x:c>
      <x:c r="E3489" s="22" t="str">
        <x:f>"55012682000144"</x:f>
        <x:v>55012682000144</x:v>
      </x:c>
      <x:c r="F3489" s="22" t="str">
        <x:f>"177.041.718-44"</x:f>
        <x:v>177.041.718-44</x:v>
      </x:c>
      <x:c r="G3489" s="22" t="str">
        <x:f>"17704171844"</x:f>
        <x:v>17704171844</x:v>
      </x:c>
      <x:c r="H3489" s="23" t="str">
        <x:v>silvasueli724@gmail.com</x:v>
      </x:c>
      <x:c r="I3489" s="22" t="str">
        <x:f>"11993917266"</x:f>
        <x:v>11993917266</x:v>
      </x:c>
      <x:c r="J3489" s="23" t="str">
        <x:v>SPOT</x:v>
      </x:c>
      <x:c r="K3489" s="23" t="str">
        <x:v>favored_only</x:v>
      </x:c>
      <x:c r="L3489" s="24" t="b">
        <x:v>1</x:v>
      </x:c>
      <x:c r="M3489" s="23" t="n">
        <x:v>1</x:v>
      </x:c>
      <x:c r="N3489" s="28" t="n">
        <x:v>46203.92183332176</x:v>
      </x:c>
      <x:c r="O3489" s="28" t="n">
        <x:v>46203.92183332176</x:v>
      </x:c>
      <x:c r="P3489" s="23" t="str"/>
      <x:c r="Q3489" s="30" t="str"/>
      <x:c r="R3489" s="22" t="str"/>
      <x:c r="S3489" s="23" t="str"/>
      <x:c r="T3489" s="22" t="str"/>
      <x:c r="U3489" s="23" t="str">
        <x:v>Sueli Aparecida da Silva souza</x:v>
      </x:c>
      <x:c r="V3489" s="22" t="str">
        <x:f>"177.041.718-44"</x:f>
        <x:v>177.041.718-44</x:v>
      </x:c>
      <x:c r="W3489" s="22" t="str">
        <x:f>"17704171844"</x:f>
        <x:v>17704171844</x:v>
      </x:c>
      <x:c r="X3489" s="23" t="str">
        <x:v>silvasueli724@gmail.com</x:v>
      </x:c>
      <x:c r="Y3489" s="22" t="str">
        <x:f>"11993917266"</x:f>
        <x:v>11993917266</x:v>
      </x:c>
      <x:c r="Z3489" s="30" t="str"/>
    </x:row>
    <x:row r="3490" ht="18" customHeight="1">
      <x:c r="A3490" s="22" t="str">
        <x:f>"8edbb3d2-7a06-40f0-a0d5-3c4e611bf9aa"</x:f>
        <x:v>8edbb3d2-7a06-40f0-a0d5-3c4e611bf9aa</x:v>
      </x:c>
      <x:c r="B3490" s="23" t="str">
        <x:v>SUELI RIBEIRO MAXIMIANO</x:v>
      </x:c>
      <x:c r="C3490" s="23" t="str">
        <x:v>sueli ribeiro maximiano</x:v>
      </x:c>
      <x:c r="D3490" s="22" t="str">
        <x:f>"61.419.915/0001-20"</x:f>
        <x:v>61.419.915/0001-20</x:v>
      </x:c>
      <x:c r="E3490" s="22" t="str">
        <x:f>"61419915000120"</x:f>
        <x:v>61419915000120</x:v>
      </x:c>
      <x:c r="F3490" s="22" t="str">
        <x:f>"851.564.501-72"</x:f>
        <x:v>851.564.501-72</x:v>
      </x:c>
      <x:c r="G3490" s="22" t="str">
        <x:f>"85156450172"</x:f>
        <x:v>85156450172</x:v>
      </x:c>
      <x:c r="H3490" s="23" t="str">
        <x:v>sribeirobarreto@hotmail.com</x:v>
      </x:c>
      <x:c r="I3490" s="22" t="str">
        <x:f>"65 99638-1411"</x:f>
        <x:v>65 99638-1411</x:v>
      </x:c>
      <x:c r="J3490" s="23" t="str">
        <x:v>SPOT</x:v>
      </x:c>
      <x:c r="K3490" s="23" t="str">
        <x:v>favored_only</x:v>
      </x:c>
      <x:c r="L3490" s="24" t="b">
        <x:v>1</x:v>
      </x:c>
      <x:c r="M3490" s="23" t="n">
        <x:v>1</x:v>
      </x:c>
      <x:c r="N3490" s="28" t="n">
        <x:v>46205.60337243055</x:v>
      </x:c>
      <x:c r="O3490" s="28" t="n">
        <x:v>46219.812988715275</x:v>
      </x:c>
      <x:c r="P3490" s="23" t="str">
        <x:v>ARAPUTANGA</x:v>
      </x:c>
      <x:c r="Q3490" s="30" t="n">
        <x:v>28046</x:v>
      </x:c>
      <x:c r="R3490" s="22" t="str">
        <x:f>"11338091 SJ MT"</x:f>
        <x:v>11338091 SJ MT</x:v>
      </x:c>
      <x:c r="S3490" s="23" t="str">
        <x:v>feminino</x:v>
      </x:c>
      <x:c r="T3490" s="22" t="str">
        <x:f>"EZH4E62"</x:f>
        <x:v>EZH4E62</x:v>
      </x:c>
      <x:c r="U3490" s="23" t="str">
        <x:v>BENEDITO DE CAMPOS</x:v>
      </x:c>
      <x:c r="V3490" s="22" t="str">
        <x:f>"442.377.741-04"</x:f>
        <x:v>442.377.741-04</x:v>
      </x:c>
      <x:c r="W3490" s="22" t="str">
        <x:f>"44237774104"</x:f>
        <x:v>44237774104</x:v>
      </x:c>
      <x:c r="X3490" s="23" t="str">
        <x:v>camposbenedito256@gmail.com</x:v>
      </x:c>
      <x:c r="Y3490" s="22" t="str">
        <x:f>"65 98427 2223"</x:f>
        <x:v>65 98427 2223</x:v>
      </x:c>
      <x:c r="Z3490" s="30" t="n">
        <x:v>46218</x:v>
      </x:c>
    </x:row>
    <x:row r="3491" ht="18" customHeight="1">
      <x:c r="A3491" s="22" t="str">
        <x:f>"03284502-a3c5-48ae-9300-61c7558b274b"</x:f>
        <x:v>03284502-a3c5-48ae-9300-61c7558b274b</x:v>
      </x:c>
      <x:c r="B3491" s="23" t="str">
        <x:v>SUZANA CAVALCANTE CORREIA DA SILVA</x:v>
      </x:c>
      <x:c r="C3491" s="23" t="str">
        <x:v>suzana cavalcante correia da silva</x:v>
      </x:c>
      <x:c r="D3491" s="22" t="str">
        <x:f>"45.524.935/0001-05"</x:f>
        <x:v>45.524.935/0001-05</x:v>
      </x:c>
      <x:c r="E3491" s="22" t="str">
        <x:f>"45524935000105"</x:f>
        <x:v>45524935000105</x:v>
      </x:c>
      <x:c r="F3491" s="22" t="str">
        <x:f>"391.258.018-99"</x:f>
        <x:v>391.258.018-99</x:v>
      </x:c>
      <x:c r="G3491" s="22" t="str">
        <x:f>"39125801899"</x:f>
        <x:v>39125801899</x:v>
      </x:c>
      <x:c r="H3491" s="23" t="str">
        <x:v>suhcavalcante.sc@gmail.com</x:v>
      </x:c>
      <x:c r="I3491" s="22" t="str">
        <x:f>"17981560178"</x:f>
        <x:v>17981560178</x:v>
      </x:c>
      <x:c r="J3491" s="23" t="str">
        <x:v>SPOT</x:v>
      </x:c>
      <x:c r="K3491" s="23" t="str">
        <x:v>favored_only</x:v>
      </x:c>
      <x:c r="L3491" s="24" t="b">
        <x:v>1</x:v>
      </x:c>
      <x:c r="M3491" s="23" t="n">
        <x:v>1</x:v>
      </x:c>
      <x:c r="N3491" s="28" t="n">
        <x:v>46219.812988715275</x:v>
      </x:c>
      <x:c r="O3491" s="28" t="n">
        <x:v>46219.812988715275</x:v>
      </x:c>
      <x:c r="P3491" s="23" t="str">
        <x:v>SÃO JOSE DO RIO PRETO</x:v>
      </x:c>
      <x:c r="Q3491" s="30" t="n">
        <x:v>33134</x:v>
      </x:c>
      <x:c r="R3491" s="22" t="str">
        <x:f>"47247346"</x:f>
        <x:v>47247346</x:v>
      </x:c>
      <x:c r="S3491" s="23" t="str">
        <x:v>feminino</x:v>
      </x:c>
      <x:c r="T3491" s="22" t="str">
        <x:f>"FWP8I32"</x:f>
        <x:v>FWP8I32</x:v>
      </x:c>
      <x:c r="U3491" s="23" t="str">
        <x:v>SUZANA CAVALCANTE CORREIA DA SILVA</x:v>
      </x:c>
      <x:c r="V3491" s="22" t="str">
        <x:f>"391.258.018-99"</x:f>
        <x:v>391.258.018-99</x:v>
      </x:c>
      <x:c r="W3491" s="22" t="str">
        <x:f>"39125801899"</x:f>
        <x:v>39125801899</x:v>
      </x:c>
      <x:c r="X3491" s="23" t="str">
        <x:v>suhcavalcante.sc@gmail.com</x:v>
      </x:c>
      <x:c r="Y3491" s="22" t="str">
        <x:f>"17981560178"</x:f>
        <x:v>17981560178</x:v>
      </x:c>
      <x:c r="Z3491" s="30" t="n">
        <x:v>46512</x:v>
      </x:c>
    </x:row>
    <x:row r="3492" ht="18" customHeight="1">
      <x:c r="A3492" s="22" t="str">
        <x:f>"f7716c44-638a-4e57-9251-eafdbfd15618"</x:f>
        <x:v>f7716c44-638a-4e57-9251-eafdbfd15618</x:v>
      </x:c>
      <x:c r="B3492" s="23" t="str">
        <x:v>SUZANA CRISTINA DE OLIVEIRA</x:v>
      </x:c>
      <x:c r="C3492" s="23" t="str">
        <x:v>suzana cristina de oliveira</x:v>
      </x:c>
      <x:c r="D3492" s="22" t="str">
        <x:f>"58.532.191/0001-12"</x:f>
        <x:v>58.532.191/0001-12</x:v>
      </x:c>
      <x:c r="E3492" s="22" t="str">
        <x:f>"58532191000112"</x:f>
        <x:v>58532191000112</x:v>
      </x:c>
      <x:c r="F3492" s="22" t="str">
        <x:f>"042.986.316-05"</x:f>
        <x:v>042.986.316-05</x:v>
      </x:c>
      <x:c r="G3492" s="22" t="str">
        <x:f>"04298631605"</x:f>
        <x:v>04298631605</x:v>
      </x:c>
      <x:c r="H3492" s="23" t="str">
        <x:v>montagens000001@gmail.com</x:v>
      </x:c>
      <x:c r="I3492" s="22" t="str">
        <x:f>"33-99804-8836"</x:f>
        <x:v>33-99804-8836</x:v>
      </x:c>
      <x:c r="J3492" s="23" t="str">
        <x:v>SPOT</x:v>
      </x:c>
      <x:c r="K3492" s="23" t="str">
        <x:v>favored_only</x:v>
      </x:c>
      <x:c r="L3492" s="24" t="b">
        <x:v>1</x:v>
      </x:c>
      <x:c r="M3492" s="23" t="n">
        <x:v>1</x:v>
      </x:c>
      <x:c r="N3492" s="28" t="n">
        <x:v>46219.812988715275</x:v>
      </x:c>
      <x:c r="O3492" s="28" t="n">
        <x:v>46219.812988715275</x:v>
      </x:c>
      <x:c r="P3492" s="23" t="str">
        <x:v>GUANHAES</x:v>
      </x:c>
      <x:c r="Q3492" s="30" t="n">
        <x:v>29483</x:v>
      </x:c>
      <x:c r="R3492" s="22" t="str">
        <x:f>"MG20727700"</x:f>
        <x:v>MG20727700</x:v>
      </x:c>
      <x:c r="S3492" s="23" t="str">
        <x:v>feminino</x:v>
      </x:c>
      <x:c r="T3492" s="22" t="str">
        <x:f>"GAJ8195"</x:f>
        <x:v>GAJ8195</x:v>
      </x:c>
      <x:c r="U3492" s="23" t="str">
        <x:v>GERALDO WAGNER DE OLIVEIRA</x:v>
      </x:c>
      <x:c r="V3492" s="22" t="str">
        <x:f>"572.160.966-49"</x:f>
        <x:v>572.160.966-49</x:v>
      </x:c>
      <x:c r="W3492" s="22" t="str">
        <x:f>"57216096649"</x:f>
        <x:v>57216096649</x:v>
      </x:c>
      <x:c r="X3492" s="23" t="str">
        <x:v>gwagneroliveira@gmail.com</x:v>
      </x:c>
      <x:c r="Y3492" s="22" t="str">
        <x:f>"(33) 9 8861-3324"</x:f>
        <x:v>(33) 9 8861-3324</x:v>
      </x:c>
      <x:c r="Z3492" s="30" t="n">
        <x:v>46413</x:v>
      </x:c>
    </x:row>
    <x:row r="3493" ht="18" customHeight="1">
      <x:c r="A3493" s="22" t="str">
        <x:f>"20bc688a-a407-442d-b473-0b6e03a55605"</x:f>
        <x:v>20bc688a-a407-442d-b473-0b6e03a55605</x:v>
      </x:c>
      <x:c r="B3493" s="23" t="str">
        <x:v>SUZANA DE PAULO SILVA</x:v>
      </x:c>
      <x:c r="C3493" s="23" t="str">
        <x:v>suzana de paulo silva</x:v>
      </x:c>
      <x:c r="D3493" s="22" t="str">
        <x:f>"43.310.004/0001-89"</x:f>
        <x:v>43.310.004/0001-89</x:v>
      </x:c>
      <x:c r="E3493" s="22" t="str">
        <x:f>"43310004000189"</x:f>
        <x:v>43310004000189</x:v>
      </x:c>
      <x:c r="F3493" s="22" t="str">
        <x:f>"136.062.327-21"</x:f>
        <x:v>136.062.327-21</x:v>
      </x:c>
      <x:c r="G3493" s="22" t="str">
        <x:f>"13606232721"</x:f>
        <x:v>13606232721</x:v>
      </x:c>
      <x:c r="H3493" s="23" t="str">
        <x:v>yara03.ysl@gmail.com</x:v>
      </x:c>
      <x:c r="I3493" s="22" t="str">
        <x:f>"2196512-7242"</x:f>
        <x:v>2196512-7242</x:v>
      </x:c>
      <x:c r="J3493" s="23" t="str">
        <x:v>SPOT</x:v>
      </x:c>
      <x:c r="K3493" s="23" t="str">
        <x:v>favored_only</x:v>
      </x:c>
      <x:c r="L3493" s="24" t="b">
        <x:v>1</x:v>
      </x:c>
      <x:c r="M3493" s="23" t="n">
        <x:v>1</x:v>
      </x:c>
      <x:c r="N3493" s="28" t="n">
        <x:v>46203.92189965278</x:v>
      </x:c>
      <x:c r="O3493" s="28" t="n">
        <x:v>46219.812988715275</x:v>
      </x:c>
      <x:c r="P3493" s="23" t="str">
        <x:v>QUEIMADOS</x:v>
      </x:c>
      <x:c r="Q3493" s="30" t="n">
        <x:v>32360</x:v>
      </x:c>
      <x:c r="R3493" s="22" t="str">
        <x:f>"217827385"</x:f>
        <x:v>217827385</x:v>
      </x:c>
      <x:c r="S3493" s="23" t="str">
        <x:v>feminino</x:v>
      </x:c>
      <x:c r="T3493" s="22" t="str">
        <x:f>"JIT3F70"</x:f>
        <x:v>JIT3F70</x:v>
      </x:c>
      <x:c r="U3493" s="23" t="str">
        <x:v>SUZANA DE PAULO SILVA</x:v>
      </x:c>
      <x:c r="V3493" s="22" t="str">
        <x:f>"136.062.327-21"</x:f>
        <x:v>136.062.327-21</x:v>
      </x:c>
      <x:c r="W3493" s="22" t="str">
        <x:f>"13606232721"</x:f>
        <x:v>13606232721</x:v>
      </x:c>
      <x:c r="X3493" s="23" t="str">
        <x:v>yara03.ysl@gmail.com</x:v>
      </x:c>
      <x:c r="Y3493" s="22" t="str">
        <x:f>"2196512-7242"</x:f>
        <x:v>2196512-7242</x:v>
      </x:c>
      <x:c r="Z3493" s="30" t="n">
        <x:v>46347</x:v>
      </x:c>
    </x:row>
    <x:row r="3494" ht="18" customHeight="1">
      <x:c r="A3494" s="22" t="str">
        <x:f>"3044fc61-82c9-4aa1-8a73-fc8fa8eb2b11"</x:f>
        <x:v>3044fc61-82c9-4aa1-8a73-fc8fa8eb2b11</x:v>
      </x:c>
      <x:c r="B3494" s="23" t="str">
        <x:v>SUZANA DUARTE ROQUE PENA</x:v>
      </x:c>
      <x:c r="C3494" s="23" t="str">
        <x:v>suzana duarte roque pena</x:v>
      </x:c>
      <x:c r="D3494" s="22" t="str">
        <x:f>"60.421.083/0001-14"</x:f>
        <x:v>60.421.083/0001-14</x:v>
      </x:c>
      <x:c r="E3494" s="22" t="str">
        <x:f>"60421083000114"</x:f>
        <x:v>60421083000114</x:v>
      </x:c>
      <x:c r="F3494" s="22" t="str">
        <x:f>"893.480.871-34"</x:f>
        <x:v>893.480.871-34</x:v>
      </x:c>
      <x:c r="G3494" s="22" t="str">
        <x:f>"89348087134"</x:f>
        <x:v>89348087134</x:v>
      </x:c>
      <x:c r="H3494" s="23" t="str">
        <x:v>suzanaduarterp@gmail.com</x:v>
      </x:c>
      <x:c r="I3494" s="22" t="str">
        <x:f>"62982466910"</x:f>
        <x:v>62982466910</x:v>
      </x:c>
      <x:c r="J3494" s="23" t="str">
        <x:v>SPOT</x:v>
      </x:c>
      <x:c r="K3494" s="23" t="str">
        <x:v>favored_only</x:v>
      </x:c>
      <x:c r="L3494" s="24" t="b">
        <x:v>1</x:v>
      </x:c>
      <x:c r="M3494" s="23" t="n">
        <x:v>1</x:v>
      </x:c>
      <x:c r="N3494" s="28" t="n">
        <x:v>46219.812988715275</x:v>
      </x:c>
      <x:c r="O3494" s="28" t="n">
        <x:v>46219.812988715275</x:v>
      </x:c>
      <x:c r="P3494" s="23" t="str">
        <x:v>MINAÇU</x:v>
      </x:c>
      <x:c r="Q3494" s="30" t="n">
        <x:v>28433</x:v>
      </x:c>
      <x:c r="R3494" s="22" t="str">
        <x:f>"3231162"</x:f>
        <x:v>3231162</x:v>
      </x:c>
      <x:c r="S3494" s="23" t="str">
        <x:v>feminino</x:v>
      </x:c>
      <x:c r="T3494" s="22" t="str">
        <x:f>"QXO0E10"</x:f>
        <x:v>QXO0E10</x:v>
      </x:c>
      <x:c r="U3494" s="23" t="str">
        <x:v>SUZANA DUARTE ROQUE PENA</x:v>
      </x:c>
      <x:c r="V3494" s="22" t="str">
        <x:f>"893.480.871-34"</x:f>
        <x:v>893.480.871-34</x:v>
      </x:c>
      <x:c r="W3494" s="22" t="str">
        <x:f>"89348087134"</x:f>
        <x:v>89348087134</x:v>
      </x:c>
      <x:c r="X3494" s="23" t="str">
        <x:v>suzanaduarterp@gmail.com</x:v>
      </x:c>
      <x:c r="Y3494" s="22" t="str">
        <x:f>"62982466910"</x:f>
        <x:v>62982466910</x:v>
      </x:c>
      <x:c r="Z3494" s="30" t="n">
        <x:v>46563</x:v>
      </x:c>
    </x:row>
    <x:row r="3495" ht="18" customHeight="1">
      <x:c r="A3495" s="22" t="str">
        <x:f>"f5e139b4-1026-4448-a29f-ca74e30e7f9c"</x:f>
        <x:v>f5e139b4-1026-4448-a29f-ca74e30e7f9c</x:v>
      </x:c>
      <x:c r="B3495" s="23" t="str">
        <x:v>SUZANA DUARTE ROQUE PENA</x:v>
      </x:c>
      <x:c r="C3495" s="23" t="str">
        <x:v>suzana duarte roque pena</x:v>
      </x:c>
      <x:c r="D3495" s="22" t="str">
        <x:f>"60.619.754/0001-56"</x:f>
        <x:v>60.619.754/0001-56</x:v>
      </x:c>
      <x:c r="E3495" s="22" t="str">
        <x:f>"60619754000156"</x:f>
        <x:v>60619754000156</x:v>
      </x:c>
      <x:c r="F3495" s="22" t="str">
        <x:f>"893.480.871-34"</x:f>
        <x:v>893.480.871-34</x:v>
      </x:c>
      <x:c r="G3495" s="22" t="str">
        <x:f>"89348087134"</x:f>
        <x:v>89348087134</x:v>
      </x:c>
      <x:c r="H3495" s="23" t="str">
        <x:v>suzanaduarterp@gmail.com</x:v>
      </x:c>
      <x:c r="I3495" s="22" t="str">
        <x:f>"893.480.871-34"</x:f>
        <x:v>893.480.871-34</x:v>
      </x:c>
      <x:c r="J3495" s="23" t="str">
        <x:v>SPOT</x:v>
      </x:c>
      <x:c r="K3495" s="23" t="str">
        <x:v>favored_only</x:v>
      </x:c>
      <x:c r="L3495" s="24" t="b">
        <x:v>1</x:v>
      </x:c>
      <x:c r="M3495" s="23" t="n">
        <x:v>1</x:v>
      </x:c>
      <x:c r="N3495" s="28" t="n">
        <x:v>46205.60614646991</x:v>
      </x:c>
      <x:c r="O3495" s="28" t="n">
        <x:v>46219.812988715275</x:v>
      </x:c>
      <x:c r="P3495" s="23" t="str">
        <x:v>MINAÇU</x:v>
      </x:c>
      <x:c r="Q3495" s="30" t="n">
        <x:v>28433</x:v>
      </x:c>
      <x:c r="R3495" s="22" t="str">
        <x:f>"3231162"</x:f>
        <x:v>3231162</x:v>
      </x:c>
      <x:c r="S3495" s="23" t="str">
        <x:v>feminino</x:v>
      </x:c>
      <x:c r="T3495" s="22" t="str">
        <x:f>"GEM7D06"</x:f>
        <x:v>GEM7D06</x:v>
      </x:c>
      <x:c r="U3495" s="23" t="str">
        <x:v>NEIDE APARECIDA DE CARVALHO</x:v>
      </x:c>
      <x:c r="V3495" s="22" t="str">
        <x:f>"820.744.961-68"</x:f>
        <x:v>820.744.961-68</x:v>
      </x:c>
      <x:c r="W3495" s="22" t="str">
        <x:f>"82074496168"</x:f>
        <x:v>82074496168</x:v>
      </x:c>
      <x:c r="X3495" s="23" t="str">
        <x:v>neidea_carvalho@hotmail.com</x:v>
      </x:c>
      <x:c r="Y3495" s="22" t="str">
        <x:f>"62 982663556"</x:f>
        <x:v>62 982663556</x:v>
      </x:c>
      <x:c r="Z3495" s="30" t="n">
        <x:v>46345</x:v>
      </x:c>
    </x:row>
    <x:row r="3496" ht="18" customHeight="1">
      <x:c r="A3496" s="22" t="str">
        <x:f>"536412f4-99a8-46b4-ae2f-72c2695a4b1a"</x:f>
        <x:v>536412f4-99a8-46b4-ae2f-72c2695a4b1a</x:v>
      </x:c>
      <x:c r="B3496" s="23" t="str">
        <x:v>SUZANA EGIDIA NUNES</x:v>
      </x:c>
      <x:c r="C3496" s="23" t="str">
        <x:v>suzana egidia nunes</x:v>
      </x:c>
      <x:c r="D3496" s="22" t="str">
        <x:f>"57875563000140"</x:f>
        <x:v>57875563000140</x:v>
      </x:c>
      <x:c r="E3496" s="22" t="str">
        <x:f>"57875563000140"</x:f>
        <x:v>57875563000140</x:v>
      </x:c>
      <x:c r="F3496" s="22" t="str">
        <x:f>"40518000672"</x:f>
        <x:v>40518000672</x:v>
      </x:c>
      <x:c r="G3496" s="22" t="str">
        <x:f>"40518000672"</x:f>
        <x:v>40518000672</x:v>
      </x:c>
      <x:c r="H3496" s="23" t="str">
        <x:v>gegeteixeira1959@gmail.com</x:v>
      </x:c>
      <x:c r="I3496" s="22" t="str">
        <x:f>"034 987216619"</x:f>
        <x:v>034 987216619</x:v>
      </x:c>
      <x:c r="J3496" s="23" t="str">
        <x:v>SPOT</x:v>
      </x:c>
      <x:c r="K3496" s="23" t="str">
        <x:v>favored_only</x:v>
      </x:c>
      <x:c r="L3496" s="24" t="b">
        <x:v>1</x:v>
      </x:c>
      <x:c r="M3496" s="23" t="n">
        <x:v>1</x:v>
      </x:c>
      <x:c r="N3496" s="28" t="n">
        <x:v>46203.921824756944</x:v>
      </x:c>
      <x:c r="O3496" s="28" t="n">
        <x:v>46203.921824756944</x:v>
      </x:c>
      <x:c r="P3496" s="23" t="str"/>
      <x:c r="Q3496" s="30" t="str"/>
      <x:c r="R3496" s="22" t="str"/>
      <x:c r="S3496" s="23" t="str"/>
      <x:c r="T3496" s="22" t="str"/>
      <x:c r="U3496" s="23" t="str">
        <x:v>SUZANA EGIDIA NUNES</x:v>
      </x:c>
      <x:c r="V3496" s="22" t="str">
        <x:f>"40518000672"</x:f>
        <x:v>40518000672</x:v>
      </x:c>
      <x:c r="W3496" s="22" t="str">
        <x:f>"40518000672"</x:f>
        <x:v>40518000672</x:v>
      </x:c>
      <x:c r="X3496" s="23" t="str">
        <x:v>gegeteixeira1959@gmail.com</x:v>
      </x:c>
      <x:c r="Y3496" s="22" t="str">
        <x:f>"034 987216619"</x:f>
        <x:v>034 987216619</x:v>
      </x:c>
      <x:c r="Z3496" s="30" t="str"/>
    </x:row>
    <x:row r="3497" ht="18" customHeight="1">
      <x:c r="A3497" s="22" t="str">
        <x:f>"d2413a47-159a-4323-9eb0-00156b94ed90"</x:f>
        <x:v>d2413a47-159a-4323-9eb0-00156b94ed90</x:v>
      </x:c>
      <x:c r="B3497" s="23" t="str">
        <x:v>SUZANE ALVES NETTO</x:v>
      </x:c>
      <x:c r="C3497" s="23" t="str">
        <x:v>suzane alves netto</x:v>
      </x:c>
      <x:c r="D3497" s="22" t="str">
        <x:f>"64.020.911/0001-63"</x:f>
        <x:v>64.020.911/0001-63</x:v>
      </x:c>
      <x:c r="E3497" s="22" t="str">
        <x:f>"64020911000163"</x:f>
        <x:v>64020911000163</x:v>
      </x:c>
      <x:c r="F3497" s="22" t="str">
        <x:f>"201.610.547-06"</x:f>
        <x:v>201.610.547-06</x:v>
      </x:c>
      <x:c r="G3497" s="22" t="str">
        <x:f>"20161054706"</x:f>
        <x:v>20161054706</x:v>
      </x:c>
      <x:c r="H3497" s="23" t="str">
        <x:v>parceirasusu@hotmail.com</x:v>
      </x:c>
      <x:c r="I3497" s="22" t="str">
        <x:f>"21973973578"</x:f>
        <x:v>21973973578</x:v>
      </x:c>
      <x:c r="J3497" s="23" t="str">
        <x:v>SPOT</x:v>
      </x:c>
      <x:c r="K3497" s="23" t="str">
        <x:v>favored_only</x:v>
      </x:c>
      <x:c r="L3497" s="24" t="b">
        <x:v>1</x:v>
      </x:c>
      <x:c r="M3497" s="23" t="n">
        <x:v>1</x:v>
      </x:c>
      <x:c r="N3497" s="28" t="n">
        <x:v>46219.812988715275</x:v>
      </x:c>
      <x:c r="O3497" s="28" t="n">
        <x:v>46219.812988715275</x:v>
      </x:c>
      <x:c r="P3497" s="23" t="str">
        <x:v>QUEIMADOS</x:v>
      </x:c>
      <x:c r="Q3497" s="30" t="n">
        <x:v>36399</x:v>
      </x:c>
      <x:c r="R3497" s="22" t="str">
        <x:f>"277200853"</x:f>
        <x:v>277200853</x:v>
      </x:c>
      <x:c r="S3497" s="23" t="str">
        <x:v>feminino</x:v>
      </x:c>
      <x:c r="T3497" s="22" t="str">
        <x:f>"LKK7G26"</x:f>
        <x:v>LKK7G26</x:v>
      </x:c>
      <x:c r="U3497" s="23" t="str">
        <x:v>SUZANE ALVES NETTO</x:v>
      </x:c>
      <x:c r="V3497" s="22" t="str">
        <x:f>"201.610.547-06"</x:f>
        <x:v>201.610.547-06</x:v>
      </x:c>
      <x:c r="W3497" s="22" t="str">
        <x:f>"20161054706"</x:f>
        <x:v>20161054706</x:v>
      </x:c>
      <x:c r="X3497" s="23" t="str">
        <x:v>parceirasusu@hotmail.com</x:v>
      </x:c>
      <x:c r="Y3497" s="22" t="str">
        <x:f>"21973973578"</x:f>
        <x:v>21973973578</x:v>
      </x:c>
      <x:c r="Z3497" s="30" t="n">
        <x:v>46500</x:v>
      </x:c>
    </x:row>
    <x:row r="3498" ht="18" customHeight="1">
      <x:c r="A3498" s="22" t="str">
        <x:f>"0ef18325-cae1-4981-ac82-5c0186409df1"</x:f>
        <x:v>0ef18325-cae1-4981-ac82-5c0186409df1</x:v>
      </x:c>
      <x:c r="B3498" s="23" t="str">
        <x:v>SUZANNA DIAS GOMES</x:v>
      </x:c>
      <x:c r="C3498" s="23" t="str">
        <x:v>suzanna dias gomes</x:v>
      </x:c>
      <x:c r="D3498" s="22" t="str">
        <x:f>"62.670.317/0001-92"</x:f>
        <x:v>62.670.317/0001-92</x:v>
      </x:c>
      <x:c r="E3498" s="22" t="str">
        <x:f>"62670317000192"</x:f>
        <x:v>62670317000192</x:v>
      </x:c>
      <x:c r="F3498" s="22" t="str">
        <x:f>"145.684.097-56"</x:f>
        <x:v>145.684.097-56</x:v>
      </x:c>
      <x:c r="G3498" s="22" t="str">
        <x:f>"14568409756"</x:f>
        <x:v>14568409756</x:v>
      </x:c>
      <x:c r="H3498" s="23" t="str">
        <x:v>suzannadgomesz@gmail.com</x:v>
      </x:c>
      <x:c r="I3498" s="22" t="str">
        <x:f>"22999662050"</x:f>
        <x:v>22999662050</x:v>
      </x:c>
      <x:c r="J3498" s="23" t="str">
        <x:v>SPOT</x:v>
      </x:c>
      <x:c r="K3498" s="23" t="str">
        <x:v>favored_only</x:v>
      </x:c>
      <x:c r="L3498" s="24" t="b">
        <x:v>1</x:v>
      </x:c>
      <x:c r="M3498" s="23" t="n">
        <x:v>2</x:v>
      </x:c>
      <x:c r="N3498" s="28" t="n">
        <x:v>46203.92186462963</x:v>
      </x:c>
      <x:c r="O3498" s="28" t="n">
        <x:v>46203.92186462963</x:v>
      </x:c>
      <x:c r="P3498" s="23" t="str"/>
      <x:c r="Q3498" s="30" t="str"/>
      <x:c r="R3498" s="22" t="str"/>
      <x:c r="S3498" s="23" t="str"/>
      <x:c r="T3498" s="22" t="str"/>
      <x:c r="U3498" s="23" t="str">
        <x:v>SUZANNA DIAS GOMES</x:v>
      </x:c>
      <x:c r="V3498" s="22" t="str">
        <x:f>"145.684.097-56"</x:f>
        <x:v>145.684.097-56</x:v>
      </x:c>
      <x:c r="W3498" s="22" t="str">
        <x:f>"14568409756"</x:f>
        <x:v>14568409756</x:v>
      </x:c>
      <x:c r="X3498" s="23" t="str">
        <x:v>suzannadgomesz@gmail.com</x:v>
      </x:c>
      <x:c r="Y3498" s="22" t="str">
        <x:f>"22999662050"</x:f>
        <x:v>22999662050</x:v>
      </x:c>
      <x:c r="Z3498" s="30" t="str"/>
    </x:row>
    <x:row r="3499" ht="18" customHeight="1">
      <x:c r="A3499" s="22" t="str">
        <x:f>"86fc1ecd-b7bc-460c-8c9b-4fc7e2545f00"</x:f>
        <x:v>86fc1ecd-b7bc-460c-8c9b-4fc7e2545f00</x:v>
      </x:c>
      <x:c r="B3499" s="23" t="str">
        <x:v>SYLVIO GABRIEL FERREIRA DE ARAUJO</x:v>
      </x:c>
      <x:c r="C3499" s="23" t="str">
        <x:v>sylvio gabriel ferreira de araujo</x:v>
      </x:c>
      <x:c r="D3499" s="22" t="str">
        <x:f>"59.680.078/0001-47"</x:f>
        <x:v>59.680.078/0001-47</x:v>
      </x:c>
      <x:c r="E3499" s="22" t="str">
        <x:f>"59680078000147"</x:f>
        <x:v>59680078000147</x:v>
      </x:c>
      <x:c r="F3499" s="22" t="str">
        <x:f>"157.167.697-05"</x:f>
        <x:v>157.167.697-05</x:v>
      </x:c>
      <x:c r="G3499" s="22" t="str">
        <x:f>"15716769705"</x:f>
        <x:v>15716769705</x:v>
      </x:c>
      <x:c r="H3499" s="23" t="str">
        <x:v>sylvioferreiraaraujo@gmail.com</x:v>
      </x:c>
      <x:c r="I3499" s="22" t="str">
        <x:f>"21968226701"</x:f>
        <x:v>21968226701</x:v>
      </x:c>
      <x:c r="J3499" s="23" t="str">
        <x:v>SPOT</x:v>
      </x:c>
      <x:c r="K3499" s="23" t="str">
        <x:v>favored_only</x:v>
      </x:c>
      <x:c r="L3499" s="24" t="b">
        <x:v>1</x:v>
      </x:c>
      <x:c r="M3499" s="23" t="n">
        <x:v>1</x:v>
      </x:c>
      <x:c r="N3499" s="28" t="n">
        <x:v>46219.812988715275</x:v>
      </x:c>
      <x:c r="O3499" s="28" t="n">
        <x:v>46219.812988715275</x:v>
      </x:c>
      <x:c r="P3499" s="23" t="str">
        <x:v>CORDOVIL</x:v>
      </x:c>
      <x:c r="Q3499" s="30" t="n">
        <x:v>36978</x:v>
      </x:c>
      <x:c r="R3499" s="22" t="str">
        <x:f>"296788268"</x:f>
        <x:v>296788268</x:v>
      </x:c>
      <x:c r="S3499" s="23" t="str">
        <x:v>feminino</x:v>
      </x:c>
      <x:c r="T3499" s="22" t="str">
        <x:f>"MQY8H91"</x:f>
        <x:v>MQY8H91</x:v>
      </x:c>
      <x:c r="U3499" s="23" t="str">
        <x:v>SYLVIO GABRIEL FERREIRA DE ARAUJO</x:v>
      </x:c>
      <x:c r="V3499" s="22" t="str">
        <x:f>"157.167.697-05"</x:f>
        <x:v>157.167.697-05</x:v>
      </x:c>
      <x:c r="W3499" s="22" t="str">
        <x:f>"15716769705"</x:f>
        <x:v>15716769705</x:v>
      </x:c>
      <x:c r="X3499" s="23" t="str">
        <x:v>sylvioferreiraaraujo@gmail.com</x:v>
      </x:c>
      <x:c r="Y3499" s="22" t="str">
        <x:f>"21968226701"</x:f>
        <x:v>21968226701</x:v>
      </x:c>
      <x:c r="Z3499" s="30" t="n">
        <x:v>46471</x:v>
      </x:c>
    </x:row>
    <x:row r="3500" ht="18" customHeight="1">
      <x:c r="A3500" s="22" t="str">
        <x:f>"6fc25fb3-625c-4ea9-920c-5af46ea2da71"</x:f>
        <x:v>6fc25fb3-625c-4ea9-920c-5af46ea2da71</x:v>
      </x:c>
      <x:c r="B3500" s="23" t="str">
        <x:v>TAILTON FABRICIO VIANA</x:v>
      </x:c>
      <x:c r="C3500" s="23" t="str">
        <x:v>tailton fabricio viana</x:v>
      </x:c>
      <x:c r="D3500" s="22" t="str">
        <x:f>"51.359.326/0001-40"</x:f>
        <x:v>51.359.326/0001-40</x:v>
      </x:c>
      <x:c r="E3500" s="22" t="str">
        <x:f>"51359326000140"</x:f>
        <x:v>51359326000140</x:v>
      </x:c>
      <x:c r="F3500" s="22" t="str">
        <x:f>"081.952.766-10"</x:f>
        <x:v>081.952.766-10</x:v>
      </x:c>
      <x:c r="G3500" s="22" t="str">
        <x:f>"08195276610"</x:f>
        <x:v>08195276610</x:v>
      </x:c>
      <x:c r="H3500" s="23" t="str">
        <x:v>tailtonviana@gmail.com</x:v>
      </x:c>
      <x:c r="I3500" s="22" t="str">
        <x:f>"31997551502"</x:f>
        <x:v>31997551502</x:v>
      </x:c>
      <x:c r="J3500" s="23" t="str">
        <x:v>SPOT</x:v>
      </x:c>
      <x:c r="K3500" s="23" t="str">
        <x:v>favored_only</x:v>
      </x:c>
      <x:c r="L3500" s="24" t="b">
        <x:v>1</x:v>
      </x:c>
      <x:c r="M3500" s="23" t="n">
        <x:v>1</x:v>
      </x:c>
      <x:c r="N3500" s="28" t="n">
        <x:v>46219.812988715275</x:v>
      </x:c>
      <x:c r="O3500" s="28" t="n">
        <x:v>46219.812988715275</x:v>
      </x:c>
      <x:c r="P3500" s="23" t="str">
        <x:v>NOVA LIMA</x:v>
      </x:c>
      <x:c r="Q3500" s="30" t="n">
        <x:v>33649</x:v>
      </x:c>
      <x:c r="R3500" s="22" t="str">
        <x:f>"12810236"</x:f>
        <x:v>12810236</x:v>
      </x:c>
      <x:c r="S3500" s="23" t="str">
        <x:v>masculino</x:v>
      </x:c>
      <x:c r="T3500" s="22" t="str">
        <x:f>"QPE4G83"</x:f>
        <x:v>QPE4G83</x:v>
      </x:c>
      <x:c r="U3500" s="23" t="str">
        <x:v>TAILTON FABRICIO VIANA</x:v>
      </x:c>
      <x:c r="V3500" s="22" t="str">
        <x:f>"081.952.766-10"</x:f>
        <x:v>081.952.766-10</x:v>
      </x:c>
      <x:c r="W3500" s="22" t="str">
        <x:f>"08195276610"</x:f>
        <x:v>08195276610</x:v>
      </x:c>
      <x:c r="X3500" s="23" t="str">
        <x:v>tailtonviana@gmail.com</x:v>
      </x:c>
      <x:c r="Y3500" s="22" t="str">
        <x:f>"31997551502"</x:f>
        <x:v>31997551502</x:v>
      </x:c>
      <x:c r="Z3500" s="30" t="n">
        <x:v>46557</x:v>
      </x:c>
    </x:row>
    <x:row r="3501" ht="18" customHeight="1">
      <x:c r="A3501" s="22" t="str">
        <x:f>"ee331cf5-0c01-4bad-b1ba-712f778b1e5b"</x:f>
        <x:v>ee331cf5-0c01-4bad-b1ba-712f778b1e5b</x:v>
      </x:c>
      <x:c r="B3501" s="23" t="str">
        <x:v>TAINA RODRIGUES FELIX SOUSA</x:v>
      </x:c>
      <x:c r="C3501" s="23" t="str">
        <x:v>taina rodrigues felix sousa</x:v>
      </x:c>
      <x:c r="D3501" s="22" t="str">
        <x:f>"19.686.776/0001-35"</x:f>
        <x:v>19.686.776/0001-35</x:v>
      </x:c>
      <x:c r="E3501" s="22" t="str">
        <x:f>"19686776000135"</x:f>
        <x:v>19686776000135</x:v>
      </x:c>
      <x:c r="F3501" s="22" t="str">
        <x:f>"357.166.388-80"</x:f>
        <x:v>357.166.388-80</x:v>
      </x:c>
      <x:c r="G3501" s="22" t="str">
        <x:f>"35716638880"</x:f>
        <x:v>35716638880</x:v>
      </x:c>
      <x:c r="H3501" s="23" t="str">
        <x:v>tainatytafelix@gmail.com</x:v>
      </x:c>
      <x:c r="I3501" s="22" t="str">
        <x:f>"17 98162-3918"</x:f>
        <x:v>17 98162-3918</x:v>
      </x:c>
      <x:c r="J3501" s="23" t="str">
        <x:v>SPOT</x:v>
      </x:c>
      <x:c r="K3501" s="23" t="str">
        <x:v>favored_only</x:v>
      </x:c>
      <x:c r="L3501" s="24" t="b">
        <x:v>1</x:v>
      </x:c>
      <x:c r="M3501" s="23" t="n">
        <x:v>1</x:v>
      </x:c>
      <x:c r="N3501" s="28" t="n">
        <x:v>46203.92186462963</x:v>
      </x:c>
      <x:c r="O3501" s="28" t="n">
        <x:v>46219.812988715275</x:v>
      </x:c>
      <x:c r="P3501" s="23" t="str">
        <x:v>BARRETOS</x:v>
      </x:c>
      <x:c r="Q3501" s="30" t="n">
        <x:v>30558</x:v>
      </x:c>
      <x:c r="R3501" s="22" t="str">
        <x:f>"41617697"</x:f>
        <x:v>41617697</x:v>
      </x:c>
      <x:c r="S3501" s="23" t="str">
        <x:v>feminino</x:v>
      </x:c>
      <x:c r="T3501" s="22" t="str">
        <x:f>"EIZ4E25"</x:f>
        <x:v>EIZ4E25</x:v>
      </x:c>
      <x:c r="U3501" s="23" t="str">
        <x:v>TAINA RODRIGUES FELIX SOUSA</x:v>
      </x:c>
      <x:c r="V3501" s="22" t="str">
        <x:f>"357.166.388-80"</x:f>
        <x:v>357.166.388-80</x:v>
      </x:c>
      <x:c r="W3501" s="22" t="str">
        <x:f>"35716638880"</x:f>
        <x:v>35716638880</x:v>
      </x:c>
      <x:c r="X3501" s="23" t="str">
        <x:v>tainatytafelix@gmail.com</x:v>
      </x:c>
      <x:c r="Y3501" s="22" t="str">
        <x:f>"17 98162-3918"</x:f>
        <x:v>17 98162-3918</x:v>
      </x:c>
      <x:c r="Z3501" s="30" t="n">
        <x:v>46278</x:v>
      </x:c>
    </x:row>
    <x:row r="3502" ht="18" customHeight="1">
      <x:c r="A3502" s="22" t="str">
        <x:f>"e867f70f-d210-4551-a84d-66f7309ef881"</x:f>
        <x:v>e867f70f-d210-4551-a84d-66f7309ef881</x:v>
      </x:c>
      <x:c r="B3502" s="23" t="str">
        <x:v>TAIS ALVEZ RODRIGUES</x:v>
      </x:c>
      <x:c r="C3502" s="23" t="str">
        <x:v>tais alvez rodrigues</x:v>
      </x:c>
      <x:c r="D3502" s="22" t="str">
        <x:f>"65.631.626/0001-41"</x:f>
        <x:v>65.631.626/0001-41</x:v>
      </x:c>
      <x:c r="E3502" s="22" t="str">
        <x:f>"65631626000141"</x:f>
        <x:v>65631626000141</x:v>
      </x:c>
      <x:c r="F3502" s="22" t="str">
        <x:f>"143.603.836-73"</x:f>
        <x:v>143.603.836-73</x:v>
      </x:c>
      <x:c r="G3502" s="22" t="str">
        <x:f>"14360383673"</x:f>
        <x:v>14360383673</x:v>
      </x:c>
      <x:c r="H3502" s="23" t="str">
        <x:v>testeemail732@gmail.com</x:v>
      </x:c>
      <x:c r="I3502" s="22" t="str">
        <x:f>"(31) 98969-5641"</x:f>
        <x:v>(31) 98969-5641</x:v>
      </x:c>
      <x:c r="J3502" s="23" t="str">
        <x:v>SPOT</x:v>
      </x:c>
      <x:c r="K3502" s="23" t="str">
        <x:v>favored_only</x:v>
      </x:c>
      <x:c r="L3502" s="24" t="b">
        <x:v>1</x:v>
      </x:c>
      <x:c r="M3502" s="23" t="n">
        <x:v>1</x:v>
      </x:c>
      <x:c r="N3502" s="28" t="n">
        <x:v>46219.812988715275</x:v>
      </x:c>
      <x:c r="O3502" s="28" t="n">
        <x:v>46219.812988715275</x:v>
      </x:c>
      <x:c r="P3502" s="23" t="str">
        <x:v>VESPASIANO</x:v>
      </x:c>
      <x:c r="Q3502" s="30" t="n">
        <x:v>35412</x:v>
      </x:c>
      <x:c r="R3502" s="22" t="str">
        <x:f>"MG 20.010.309"</x:f>
        <x:v>MG 20.010.309</x:v>
      </x:c>
      <x:c r="S3502" s="23" t="str">
        <x:v>feminino</x:v>
      </x:c>
      <x:c r="T3502" s="22" t="str">
        <x:f>"HAX4H14"</x:f>
        <x:v>HAX4H14</x:v>
      </x:c>
      <x:c r="U3502" s="23" t="str">
        <x:v>TAIS ALVEZ RODRIGUES</x:v>
      </x:c>
      <x:c r="V3502" s="22" t="str">
        <x:f>"143.603.836-73"</x:f>
        <x:v>143.603.836-73</x:v>
      </x:c>
      <x:c r="W3502" s="22" t="str">
        <x:f>"14360383673"</x:f>
        <x:v>14360383673</x:v>
      </x:c>
      <x:c r="X3502" s="23" t="str">
        <x:v>testeemail732@gmail.com</x:v>
      </x:c>
      <x:c r="Y3502" s="22" t="str">
        <x:f>"(31) 98969-5641"</x:f>
        <x:v>(31) 98969-5641</x:v>
      </x:c>
      <x:c r="Z3502" s="30" t="n">
        <x:v>46541</x:v>
      </x:c>
    </x:row>
    <x:row r="3503" ht="18" customHeight="1">
      <x:c r="A3503" s="22" t="str">
        <x:f>"1645eb42-adc4-4030-92f9-c4c703f4a7ca"</x:f>
        <x:v>1645eb42-adc4-4030-92f9-c4c703f4a7ca</x:v>
      </x:c>
      <x:c r="B3503" s="23" t="str">
        <x:v>TAIS APARECIDA DA SILVA</x:v>
      </x:c>
      <x:c r="C3503" s="23" t="str">
        <x:v>tais aparecida da silva</x:v>
      </x:c>
      <x:c r="D3503" s="22" t="str">
        <x:f>"62.150.334/0001-07"</x:f>
        <x:v>62.150.334/0001-07</x:v>
      </x:c>
      <x:c r="E3503" s="22" t="str">
        <x:f>"62150334000107"</x:f>
        <x:v>62150334000107</x:v>
      </x:c>
      <x:c r="F3503" s="22" t="str">
        <x:f>"423.024.348-03"</x:f>
        <x:v>423.024.348-03</x:v>
      </x:c>
      <x:c r="G3503" s="22" t="str">
        <x:f>"42302434803"</x:f>
        <x:v>42302434803</x:v>
      </x:c>
      <x:c r="H3503" s="23" t="str">
        <x:v>TAAIS.ASILVA@HOTMAIL.COM</x:v>
      </x:c>
      <x:c r="I3503" s="22" t="str">
        <x:f>"14996292187"</x:f>
        <x:v>14996292187</x:v>
      </x:c>
      <x:c r="J3503" s="23" t="str">
        <x:v>RENTAL</x:v>
      </x:c>
      <x:c r="K3503" s="23" t="str">
        <x:v>rental_company</x:v>
      </x:c>
      <x:c r="L3503" s="24" t="b">
        <x:v>1</x:v>
      </x:c>
      <x:c r="M3503" s="23" t="n">
        <x:v>1</x:v>
      </x:c>
      <x:c r="N3503" s="28" t="n">
        <x:v>46203.921852962965</x:v>
      </x:c>
      <x:c r="O3503" s="28" t="n">
        <x:v>46219.812988715275</x:v>
      </x:c>
      <x:c r="P3503" s="23" t="str">
        <x:v>MARILIA</x:v>
      </x:c>
      <x:c r="Q3503" s="30" t="n">
        <x:v>34182</x:v>
      </x:c>
      <x:c r="R3503" s="22" t="str">
        <x:f>"40492993"</x:f>
        <x:v>40492993</x:v>
      </x:c>
      <x:c r="S3503" s="23" t="str">
        <x:v>feminino</x:v>
      </x:c>
      <x:c r="T3503" s="22" t="str"/>
      <x:c r="U3503" s="23" t="str">
        <x:v>TAIS APARECIDA DA SILVA</x:v>
      </x:c>
      <x:c r="V3503" s="22" t="str">
        <x:f>"423.024.348-03"</x:f>
        <x:v>423.024.348-03</x:v>
      </x:c>
      <x:c r="W3503" s="22" t="str">
        <x:f>"42302434803"</x:f>
        <x:v>42302434803</x:v>
      </x:c>
      <x:c r="X3503" s="23" t="str">
        <x:v>TAAIS.ASILVA@HOTMAIL.COM</x:v>
      </x:c>
      <x:c r="Y3503" s="22" t="str">
        <x:f>"14996292187"</x:f>
        <x:v>14996292187</x:v>
      </x:c>
      <x:c r="Z3503" s="30" t="n">
        <x:v>46246</x:v>
      </x:c>
    </x:row>
    <x:row r="3504" ht="18" customHeight="1">
      <x:c r="A3504" s="22" t="str">
        <x:f>"a0ad99e8-c720-40c2-86dc-1b020c4e46cc"</x:f>
        <x:v>a0ad99e8-c720-40c2-86dc-1b020c4e46cc</x:v>
      </x:c>
      <x:c r="B3504" s="23" t="str">
        <x:v>TAISNAN GABRIELE SANTOS RODRIGUES</x:v>
      </x:c>
      <x:c r="C3504" s="23" t="str">
        <x:v>taisnan gabriele santos rodrigues</x:v>
      </x:c>
      <x:c r="D3504" s="22" t="str">
        <x:f>"50.210.799/0001-19"</x:f>
        <x:v>50.210.799/0001-19</x:v>
      </x:c>
      <x:c r="E3504" s="22" t="str">
        <x:f>"50210799000119"</x:f>
        <x:v>50210799000119</x:v>
      </x:c>
      <x:c r="F3504" s="22" t="str">
        <x:f>"496.502.438-95"</x:f>
        <x:v>496.502.438-95</x:v>
      </x:c>
      <x:c r="G3504" s="22" t="str">
        <x:f>"49650243895"</x:f>
        <x:v>49650243895</x:v>
      </x:c>
      <x:c r="H3504" s="23" t="str">
        <x:v>thais-rodriguess2@hotmail.com</x:v>
      </x:c>
      <x:c r="I3504" s="22" t="str">
        <x:f>"16 996467302"</x:f>
        <x:v>16 996467302</x:v>
      </x:c>
      <x:c r="J3504" s="23" t="str">
        <x:v>RENTAL</x:v>
      </x:c>
      <x:c r="K3504" s="23" t="str">
        <x:v>rental_company</x:v>
      </x:c>
      <x:c r="L3504" s="24" t="b">
        <x:v>1</x:v>
      </x:c>
      <x:c r="M3504" s="23" t="n">
        <x:v>1</x:v>
      </x:c>
      <x:c r="N3504" s="28" t="n">
        <x:v>46203.92183017361</x:v>
      </x:c>
      <x:c r="O3504" s="28" t="n">
        <x:v>46219.812988715275</x:v>
      </x:c>
      <x:c r="P3504" s="23" t="str">
        <x:v>SÃO CARLOS</x:v>
      </x:c>
      <x:c r="Q3504" s="30" t="n">
        <x:v>36044</x:v>
      </x:c>
      <x:c r="R3504" s="22" t="str">
        <x:f>"59839073x"</x:f>
        <x:v>59839073x</x:v>
      </x:c>
      <x:c r="S3504" s="23" t="str">
        <x:v>feminino</x:v>
      </x:c>
      <x:c r="T3504" s="22" t="str"/>
      <x:c r="U3504" s="23" t="str">
        <x:v>TAISNAN GABRIELE SANTOS RODRIGUES</x:v>
      </x:c>
      <x:c r="V3504" s="22" t="str">
        <x:f>"496.502.438-95"</x:f>
        <x:v>496.502.438-95</x:v>
      </x:c>
      <x:c r="W3504" s="22" t="str">
        <x:f>"49650243895"</x:f>
        <x:v>49650243895</x:v>
      </x:c>
      <x:c r="X3504" s="23" t="str">
        <x:v>thais-rodriguess2@hotmail.com</x:v>
      </x:c>
      <x:c r="Y3504" s="22" t="str">
        <x:f>"16 996467302"</x:f>
        <x:v>16 996467302</x:v>
      </x:c>
      <x:c r="Z3504" s="30" t="n">
        <x:v>46523</x:v>
      </x:c>
    </x:row>
    <x:row r="3505" ht="18" customHeight="1">
      <x:c r="A3505" s="22" t="str">
        <x:f>"ad635a6f-5bf6-40ca-ac97-ef803a4e6bec"</x:f>
        <x:v>ad635a6f-5bf6-40ca-ac97-ef803a4e6bec</x:v>
      </x:c>
      <x:c r="B3505" s="23" t="str">
        <x:v>TALES ALEXANDRE DA SILVA FELIX</x:v>
      </x:c>
      <x:c r="C3505" s="23" t="str">
        <x:v>tales alexandre da silva felix</x:v>
      </x:c>
      <x:c r="D3505" s="22" t="str">
        <x:f>"53.036.632/0001-71"</x:f>
        <x:v>53.036.632/0001-71</x:v>
      </x:c>
      <x:c r="E3505" s="22" t="str">
        <x:f>"53036632000171"</x:f>
        <x:v>53036632000171</x:v>
      </x:c>
      <x:c r="F3505" s="22" t="str">
        <x:f>"140.541.426-05"</x:f>
        <x:v>140.541.426-05</x:v>
      </x:c>
      <x:c r="G3505" s="22" t="str">
        <x:f>"14054142605"</x:f>
        <x:v>14054142605</x:v>
      </x:c>
      <x:c r="H3505" s="23" t="str">
        <x:v>suelen.engcivil@hotmail.com</x:v>
      </x:c>
      <x:c r="I3505" s="22" t="str">
        <x:f>"34 9112-3408"</x:f>
        <x:v>34 9112-3408</x:v>
      </x:c>
      <x:c r="J3505" s="23" t="str">
        <x:v>SPOT</x:v>
      </x:c>
      <x:c r="K3505" s="23" t="str">
        <x:v>favored_only</x:v>
      </x:c>
      <x:c r="L3505" s="24" t="b">
        <x:v>1</x:v>
      </x:c>
      <x:c r="M3505" s="23" t="n">
        <x:v>1</x:v>
      </x:c>
      <x:c r="N3505" s="28" t="n">
        <x:v>46205.60706318287</x:v>
      </x:c>
      <x:c r="O3505" s="28" t="n">
        <x:v>46219.812988715275</x:v>
      </x:c>
      <x:c r="P3505" s="23" t="str">
        <x:v>ARAXÁ</x:v>
      </x:c>
      <x:c r="Q3505" s="30" t="n">
        <x:v>36465</x:v>
      </x:c>
      <x:c r="R3505" s="22" t="str">
        <x:f>"MG19959067"</x:f>
        <x:v>MG19959067</x:v>
      </x:c>
      <x:c r="S3505" s="23" t="str">
        <x:v>masculino</x:v>
      </x:c>
      <x:c r="T3505" s="22" t="str">
        <x:f>"GZX0C90"</x:f>
        <x:v>GZX0C90</x:v>
      </x:c>
      <x:c r="U3505" s="23" t="str">
        <x:v>SUELEN NAYARA DA COSTA SILVA</x:v>
      </x:c>
      <x:c r="V3505" s="22" t="str">
        <x:f>"105.427.756-70"</x:f>
        <x:v>105.427.756-70</x:v>
      </x:c>
      <x:c r="W3505" s="22" t="str">
        <x:f>"10542775670"</x:f>
        <x:v>10542775670</x:v>
      </x:c>
      <x:c r="X3505" s="23" t="str">
        <x:v>suelen.engcivil@hotmail.com</x:v>
      </x:c>
      <x:c r="Y3505" s="22" t="str">
        <x:f>"34 9112-3408"</x:f>
        <x:v>34 9112-3408</x:v>
      </x:c>
      <x:c r="Z3505" s="30" t="n">
        <x:v>46395</x:v>
      </x:c>
    </x:row>
    <x:row r="3506" ht="18" customHeight="1">
      <x:c r="A3506" s="22" t="str">
        <x:f>"3289635e-2fda-40d6-9761-80215670101c"</x:f>
        <x:v>3289635e-2fda-40d6-9761-80215670101c</x:v>
      </x:c>
      <x:c r="B3506" s="23" t="str">
        <x:v>TALYS DHYLAN SOUZA CLEMENTE</x:v>
      </x:c>
      <x:c r="C3506" s="23" t="str">
        <x:v>talys dhylan souza clemente</x:v>
      </x:c>
      <x:c r="D3506" s="22" t="str">
        <x:f>"48.249.024/0001-05"</x:f>
        <x:v>48.249.024/0001-05</x:v>
      </x:c>
      <x:c r="E3506" s="22" t="str">
        <x:f>"48249024000105"</x:f>
        <x:v>48249024000105</x:v>
      </x:c>
      <x:c r="F3506" s="22" t="str">
        <x:f>"118.378.646-83"</x:f>
        <x:v>118.378.646-83</x:v>
      </x:c>
      <x:c r="G3506" s="22" t="str">
        <x:f>"11837864683"</x:f>
        <x:v>11837864683</x:v>
      </x:c>
      <x:c r="H3506" s="23" t="str">
        <x:v>talysbrow@hotmail.com</x:v>
      </x:c>
      <x:c r="I3506" s="22" t="str">
        <x:f>"31 7121-9395"</x:f>
        <x:v>31 7121-9395</x:v>
      </x:c>
      <x:c r="J3506" s="23" t="str">
        <x:v>RENTAL</x:v>
      </x:c>
      <x:c r="K3506" s="23" t="str">
        <x:v>rental_company</x:v>
      </x:c>
      <x:c r="L3506" s="24" t="b">
        <x:v>1</x:v>
      </x:c>
      <x:c r="M3506" s="23" t="n">
        <x:v>1</x:v>
      </x:c>
      <x:c r="N3506" s="28" t="n">
        <x:v>46203.92184908565</x:v>
      </x:c>
      <x:c r="O3506" s="28" t="n">
        <x:v>46219.812988715275</x:v>
      </x:c>
      <x:c r="P3506" s="23" t="str">
        <x:v>IPATINGA</x:v>
      </x:c>
      <x:c r="Q3506" s="30" t="n">
        <x:v>35351</x:v>
      </x:c>
      <x:c r="R3506" s="22" t="str">
        <x:f>"19408062"</x:f>
        <x:v>19408062</x:v>
      </x:c>
      <x:c r="S3506" s="23" t="str">
        <x:v>masculino</x:v>
      </x:c>
      <x:c r="T3506" s="22" t="str"/>
      <x:c r="U3506" s="23" t="str">
        <x:v>TALYS DHYLAN SOUZA CLEMENTE</x:v>
      </x:c>
      <x:c r="V3506" s="22" t="str">
        <x:f>"118.378.646-83"</x:f>
        <x:v>118.378.646-83</x:v>
      </x:c>
      <x:c r="W3506" s="22" t="str">
        <x:f>"11837864683"</x:f>
        <x:v>11837864683</x:v>
      </x:c>
      <x:c r="X3506" s="23" t="str">
        <x:v>talysbrow@hotmail.com</x:v>
      </x:c>
      <x:c r="Y3506" s="22" t="str">
        <x:f>"31 7121-9395"</x:f>
        <x:v>31 7121-9395</x:v>
      </x:c>
      <x:c r="Z3506" s="30" t="n">
        <x:v>46240</x:v>
      </x:c>
    </x:row>
    <x:row r="3507" ht="18" customHeight="1">
      <x:c r="A3507" s="22" t="str">
        <x:f>"ebc381de-e9fe-4343-966a-1ac5a2ffc6ed"</x:f>
        <x:v>ebc381de-e9fe-4343-966a-1ac5a2ffc6ed</x:v>
      </x:c>
      <x:c r="B3507" s="23" t="str">
        <x:v>TALYSSON CARLOS ROSA NASCIMENTO</x:v>
      </x:c>
      <x:c r="C3507" s="23" t="str">
        <x:v>talysson carlos rosa nascimento</x:v>
      </x:c>
      <x:c r="D3507" s="22" t="str">
        <x:f>"65.864.847/0001-60"</x:f>
        <x:v>65.864.847/0001-60</x:v>
      </x:c>
      <x:c r="E3507" s="22" t="str">
        <x:f>"65864847000160"</x:f>
        <x:v>65864847000160</x:v>
      </x:c>
      <x:c r="F3507" s="22" t="str">
        <x:f>"117.754.316-81"</x:f>
        <x:v>117.754.316-81</x:v>
      </x:c>
      <x:c r="G3507" s="22" t="str">
        <x:f>"11775431681"</x:f>
        <x:v>11775431681</x:v>
      </x:c>
      <x:c r="H3507" s="23" t="str">
        <x:v>talyssoncarlos697@gmail.com</x:v>
      </x:c>
      <x:c r="I3507" s="22" t="str">
        <x:f>"31998635371"</x:f>
        <x:v>31998635371</x:v>
      </x:c>
      <x:c r="J3507" s="23" t="str">
        <x:v>SPOT</x:v>
      </x:c>
      <x:c r="K3507" s="23" t="str">
        <x:v>favored_only</x:v>
      </x:c>
      <x:c r="L3507" s="24" t="b">
        <x:v>1</x:v>
      </x:c>
      <x:c r="M3507" s="23" t="n">
        <x:v>1</x:v>
      </x:c>
      <x:c r="N3507" s="28" t="n">
        <x:v>46219.812988715275</x:v>
      </x:c>
      <x:c r="O3507" s="28" t="n">
        <x:v>46219.812988715275</x:v>
      </x:c>
      <x:c r="P3507" s="23" t="str">
        <x:v>VESPASIANO</x:v>
      </x:c>
      <x:c r="Q3507" s="30" t="n">
        <x:v>34533</x:v>
      </x:c>
      <x:c r="R3507" s="22" t="str">
        <x:f>"18162792"</x:f>
        <x:v>18162792</x:v>
      </x:c>
      <x:c r="S3507" s="23" t="str">
        <x:v>masculino</x:v>
      </x:c>
      <x:c r="T3507" s="22" t="str">
        <x:f>"MML6F83"</x:f>
        <x:v>MML6F83</x:v>
      </x:c>
      <x:c r="U3507" s="23" t="str">
        <x:v>TALYSSON CARLOS ROSA NASCIMENTO</x:v>
      </x:c>
      <x:c r="V3507" s="22" t="str">
        <x:f>"117.754.316-81"</x:f>
        <x:v>117.754.316-81</x:v>
      </x:c>
      <x:c r="W3507" s="22" t="str">
        <x:f>"11775431681"</x:f>
        <x:v>11775431681</x:v>
      </x:c>
      <x:c r="X3507" s="23" t="str">
        <x:v>talyssoncarlos697@gmail.com</x:v>
      </x:c>
      <x:c r="Y3507" s="22" t="str">
        <x:f>"31998635371"</x:f>
        <x:v>31998635371</x:v>
      </x:c>
      <x:c r="Z3507" s="30" t="n">
        <x:v>46521</x:v>
      </x:c>
    </x:row>
    <x:row r="3508" ht="18" customHeight="1">
      <x:c r="A3508" s="22" t="str">
        <x:f>"0d6fad3c-369e-45ce-b66d-2539350fd190"</x:f>
        <x:v>0d6fad3c-369e-45ce-b66d-2539350fd190</x:v>
      </x:c>
      <x:c r="B3508" s="23" t="str">
        <x:v>TALYTA RAMOS FERREIRA</x:v>
      </x:c>
      <x:c r="C3508" s="23" t="str">
        <x:v>talyta ramos ferreira</x:v>
      </x:c>
      <x:c r="D3508" s="22" t="str">
        <x:f>"63.611.211/0001-80"</x:f>
        <x:v>63.611.211/0001-80</x:v>
      </x:c>
      <x:c r="E3508" s="22" t="str">
        <x:f>"63611211000180"</x:f>
        <x:v>63611211000180</x:v>
      </x:c>
      <x:c r="F3508" s="22" t="str">
        <x:f>"061.736.941-07"</x:f>
        <x:v>061.736.941-07</x:v>
      </x:c>
      <x:c r="G3508" s="22" t="str">
        <x:f>"06173694107"</x:f>
        <x:v>06173694107</x:v>
      </x:c>
      <x:c r="H3508" s="23" t="str">
        <x:v>talytaramos10@gmail.com</x:v>
      </x:c>
      <x:c r="I3508" s="22" t="str">
        <x:f>"+55 66 9622-8234"</x:f>
        <x:v>+55 66 9622-8234</x:v>
      </x:c>
      <x:c r="J3508" s="23" t="str">
        <x:v>SPOT</x:v>
      </x:c>
      <x:c r="K3508" s="23" t="str">
        <x:v>favored_only</x:v>
      </x:c>
      <x:c r="L3508" s="24" t="b">
        <x:v>1</x:v>
      </x:c>
      <x:c r="M3508" s="23" t="n">
        <x:v>1</x:v>
      </x:c>
      <x:c r="N3508" s="28" t="n">
        <x:v>46203.92191240741</x:v>
      </x:c>
      <x:c r="O3508" s="28" t="n">
        <x:v>46205.60891034722</x:v>
      </x:c>
      <x:c r="P3508" s="23" t="str">
        <x:v>SINOP</x:v>
      </x:c>
      <x:c r="Q3508" s="30" t="n">
        <x:v>37629</x:v>
      </x:c>
      <x:c r="R3508" s="22" t="str">
        <x:f>"07851066679"</x:f>
        <x:v>07851066679</x:v>
      </x:c>
      <x:c r="S3508" s="23" t="str">
        <x:v>Feminino</x:v>
      </x:c>
      <x:c r="T3508" s="22" t="str">
        <x:f>"RRL8I74"</x:f>
        <x:v>RRL8I74</x:v>
      </x:c>
      <x:c r="U3508" s="23" t="str">
        <x:v>TALYTA RAMOS FERREIRA</x:v>
      </x:c>
      <x:c r="V3508" s="22" t="str">
        <x:f>"06173694107"</x:f>
        <x:v>06173694107</x:v>
      </x:c>
      <x:c r="W3508" s="22" t="str">
        <x:f>"06173694107"</x:f>
        <x:v>06173694107</x:v>
      </x:c>
      <x:c r="X3508" s="23" t="str">
        <x:v>talytaramos10@gmail.com</x:v>
      </x:c>
      <x:c r="Y3508" s="22" t="str">
        <x:f>"+55 66 9622-8234"</x:f>
        <x:v>+55 66 9622-8234</x:v>
      </x:c>
      <x:c r="Z3508" s="30" t="n">
        <x:v>46564</x:v>
      </x:c>
    </x:row>
    <x:row r="3509" ht="18" customHeight="1">
      <x:c r="A3509" s="22" t="str">
        <x:f>"2663385e-6a9e-48cb-9a56-afe4bc78b9ce"</x:f>
        <x:v>2663385e-6a9e-48cb-9a56-afe4bc78b9ce</x:v>
      </x:c>
      <x:c r="B3509" s="23" t="str">
        <x:v>Tamires Cristina de Aguiar costa.</x:v>
      </x:c>
      <x:c r="C3509" s="23" t="str">
        <x:v>tamires cristina de aguiar costa</x:v>
      </x:c>
      <x:c r="D3509" s="22" t="str">
        <x:f>"31155838000188"</x:f>
        <x:v>31155838000188</x:v>
      </x:c>
      <x:c r="E3509" s="22" t="str">
        <x:f>"31155838000188"</x:f>
        <x:v>31155838000188</x:v>
      </x:c>
      <x:c r="F3509" s="22" t="str">
        <x:f>"11423189663"</x:f>
        <x:v>11423189663</x:v>
      </x:c>
      <x:c r="G3509" s="22" t="str">
        <x:f>"11423189663"</x:f>
        <x:v>11423189663</x:v>
      </x:c>
      <x:c r="H3509" s="23" t="str">
        <x:v>tamirescacosta@gmail.com</x:v>
      </x:c>
      <x:c r="I3509" s="22" t="str">
        <x:f>"(31) 994235545"</x:f>
        <x:v>(31) 994235545</x:v>
      </x:c>
      <x:c r="J3509" s="23" t="str">
        <x:v>SPOT</x:v>
      </x:c>
      <x:c r="K3509" s="23" t="str">
        <x:v>favored_only</x:v>
      </x:c>
      <x:c r="L3509" s="24" t="b">
        <x:v>1</x:v>
      </x:c>
      <x:c r="M3509" s="23" t="n">
        <x:v>1</x:v>
      </x:c>
      <x:c r="N3509" s="28" t="n">
        <x:v>46203.9219084375</x:v>
      </x:c>
      <x:c r="O3509" s="28" t="n">
        <x:v>46203.9219084375</x:v>
      </x:c>
      <x:c r="P3509" s="23" t="str"/>
      <x:c r="Q3509" s="30" t="str"/>
      <x:c r="R3509" s="22" t="str"/>
      <x:c r="S3509" s="23" t="str"/>
      <x:c r="T3509" s="22" t="str"/>
      <x:c r="U3509" s="23" t="str">
        <x:v>Tamires Cristina de Aguiar costa.</x:v>
      </x:c>
      <x:c r="V3509" s="22" t="str">
        <x:f>"11423189663"</x:f>
        <x:v>11423189663</x:v>
      </x:c>
      <x:c r="W3509" s="22" t="str">
        <x:f>"11423189663"</x:f>
        <x:v>11423189663</x:v>
      </x:c>
      <x:c r="X3509" s="23" t="str">
        <x:v>tamirescacosta@gmail.com</x:v>
      </x:c>
      <x:c r="Y3509" s="22" t="str">
        <x:f>"(31) 994235545"</x:f>
        <x:v>(31) 994235545</x:v>
      </x:c>
      <x:c r="Z3509" s="30" t="str"/>
    </x:row>
    <x:row r="3510" ht="18" customHeight="1">
      <x:c r="A3510" s="22" t="str">
        <x:f>"df69d264-ba92-495a-a860-03d52a3389c3"</x:f>
        <x:v>df69d264-ba92-495a-a860-03d52a3389c3</x:v>
      </x:c>
      <x:c r="B3510" s="23" t="str">
        <x:v>Tamires Quirino Mendes Abreu</x:v>
      </x:c>
      <x:c r="C3510" s="23" t="str">
        <x:v>tamires quirino mendes abreu</x:v>
      </x:c>
      <x:c r="D3510" s="22" t="str">
        <x:f>"54.996.198/0001-34"</x:f>
        <x:v>54.996.198/0001-34</x:v>
      </x:c>
      <x:c r="E3510" s="22" t="str">
        <x:f>"54996198000134"</x:f>
        <x:v>54996198000134</x:v>
      </x:c>
      <x:c r="F3510" s="22" t="str">
        <x:f>"06458454180"</x:f>
        <x:v>06458454180</x:v>
      </x:c>
      <x:c r="G3510" s="22" t="str">
        <x:f>"06458454180"</x:f>
        <x:v>06458454180</x:v>
      </x:c>
      <x:c r="H3510" s="23" t="str">
        <x:v>Tamiresqs01@gmail.com</x:v>
      </x:c>
      <x:c r="I3510" s="22" t="str">
        <x:f>"67 9321-2876"</x:f>
        <x:v>67 9321-2876</x:v>
      </x:c>
      <x:c r="J3510" s="23" t="str">
        <x:v>SPOT</x:v>
      </x:c>
      <x:c r="K3510" s="23" t="str">
        <x:v>favored_only</x:v>
      </x:c>
      <x:c r="L3510" s="24" t="b">
        <x:v>1</x:v>
      </x:c>
      <x:c r="M3510" s="23" t="n">
        <x:v>1</x:v>
      </x:c>
      <x:c r="N3510" s="28" t="n">
        <x:v>46203.92191240741</x:v>
      </x:c>
      <x:c r="O3510" s="28" t="n">
        <x:v>46203.92191240741</x:v>
      </x:c>
      <x:c r="P3510" s="23" t="str"/>
      <x:c r="Q3510" s="30" t="str"/>
      <x:c r="R3510" s="22" t="str"/>
      <x:c r="S3510" s="23" t="str"/>
      <x:c r="T3510" s="22" t="str"/>
      <x:c r="U3510" s="23" t="str">
        <x:v>Tamires Quirino Mendes Abreu</x:v>
      </x:c>
      <x:c r="V3510" s="22" t="str">
        <x:f>"06458454180"</x:f>
        <x:v>06458454180</x:v>
      </x:c>
      <x:c r="W3510" s="22" t="str">
        <x:f>"06458454180"</x:f>
        <x:v>06458454180</x:v>
      </x:c>
      <x:c r="X3510" s="23" t="str">
        <x:v>Tamiresqs01@gmail.com</x:v>
      </x:c>
      <x:c r="Y3510" s="22" t="str">
        <x:f>"67 9321-2876"</x:f>
        <x:v>67 9321-2876</x:v>
      </x:c>
      <x:c r="Z3510" s="30" t="str"/>
    </x:row>
    <x:row r="3511" ht="18" customHeight="1">
      <x:c r="A3511" s="22" t="str">
        <x:f>"e4fd812d-483a-4305-8425-883b28efe7f5"</x:f>
        <x:v>e4fd812d-483a-4305-8425-883b28efe7f5</x:v>
      </x:c>
      <x:c r="B3511" s="23" t="str">
        <x:v>TATIANE ARRUDA PEREIRA</x:v>
      </x:c>
      <x:c r="C3511" s="23" t="str">
        <x:v>tatiane arruda pereira</x:v>
      </x:c>
      <x:c r="D3511" s="22" t="str">
        <x:f>"55.783.923/0001-59"</x:f>
        <x:v>55.783.923/0001-59</x:v>
      </x:c>
      <x:c r="E3511" s="22" t="str">
        <x:f>"55783923000159"</x:f>
        <x:v>55783923000159</x:v>
      </x:c>
      <x:c r="F3511" s="22" t="str">
        <x:f>"017.966.031-47"</x:f>
        <x:v>017.966.031-47</x:v>
      </x:c>
      <x:c r="G3511" s="22" t="str">
        <x:f>"01796603147"</x:f>
        <x:v>01796603147</x:v>
      </x:c>
      <x:c r="H3511" s="23" t="str">
        <x:v>tatiarrud@hotmail.com</x:v>
      </x:c>
      <x:c r="I3511" s="22" t="str">
        <x:f>"65992041318"</x:f>
        <x:v>65992041318</x:v>
      </x:c>
      <x:c r="J3511" s="23" t="str">
        <x:v>SPOT</x:v>
      </x:c>
      <x:c r="K3511" s="23" t="str">
        <x:v>favored_only</x:v>
      </x:c>
      <x:c r="L3511" s="24" t="b">
        <x:v>1</x:v>
      </x:c>
      <x:c r="M3511" s="23" t="n">
        <x:v>2</x:v>
      </x:c>
      <x:c r="N3511" s="28" t="n">
        <x:v>46205.604544444446</x:v>
      </x:c>
      <x:c r="O3511" s="28" t="n">
        <x:v>46219.812988715275</x:v>
      </x:c>
      <x:c r="P3511" s="23" t="str">
        <x:v>CÁCERES</x:v>
      </x:c>
      <x:c r="Q3511" s="30" t="n">
        <x:v>31440</x:v>
      </x:c>
      <x:c r="R3511" s="22" t="str">
        <x:f>"16218833"</x:f>
        <x:v>16218833</x:v>
      </x:c>
      <x:c r="S3511" s="23" t="str">
        <x:v>feminino</x:v>
      </x:c>
      <x:c r="T3511" s="22" t="str">
        <x:f>"OBH2B91"</x:f>
        <x:v>OBH2B91</x:v>
      </x:c>
      <x:c r="U3511" s="23" t="str">
        <x:v>CAIQUE HENRIQUE DA CRUZ</x:v>
      </x:c>
      <x:c r="V3511" s="22" t="str">
        <x:f>"058.062.901-58"</x:f>
        <x:v>058.062.901-58</x:v>
      </x:c>
      <x:c r="W3511" s="22" t="str">
        <x:f>"05806290158"</x:f>
        <x:v>05806290158</x:v>
      </x:c>
      <x:c r="X3511" s="23" t="str">
        <x:v>caiquehenrique112@gmail.com</x:v>
      </x:c>
      <x:c r="Y3511" s="22" t="str">
        <x:f>"65981695365"</x:f>
        <x:v>65981695365</x:v>
      </x:c>
      <x:c r="Z3511" s="30" t="n">
        <x:v>46333</x:v>
      </x:c>
    </x:row>
    <x:row r="3512" ht="18" customHeight="1">
      <x:c r="A3512" s="22" t="str">
        <x:f>"88fad2da-b3e5-4768-a14a-2b841bde1588"</x:f>
        <x:v>88fad2da-b3e5-4768-a14a-2b841bde1588</x:v>
      </x:c>
      <x:c r="B3512" s="23" t="str">
        <x:v>TATIANE CRISTINA DE ALMEIDA CAMPOS</x:v>
      </x:c>
      <x:c r="C3512" s="23" t="str">
        <x:v>tatiane cristina de almeida campos</x:v>
      </x:c>
      <x:c r="D3512" s="22" t="str">
        <x:f>"61.506.211/0001-95"</x:f>
        <x:v>61.506.211/0001-95</x:v>
      </x:c>
      <x:c r="E3512" s="22" t="str">
        <x:f>"61506211000195"</x:f>
        <x:v>61506211000195</x:v>
      </x:c>
      <x:c r="F3512" s="22" t="str">
        <x:f>"107.984.876-23"</x:f>
        <x:v>107.984.876-23</x:v>
      </x:c>
      <x:c r="G3512" s="22" t="str">
        <x:f>"10798487623"</x:f>
        <x:v>10798487623</x:v>
      </x:c>
      <x:c r="H3512" s="23" t="str">
        <x:v>tatianecsalmeida@gmail.com</x:v>
      </x:c>
      <x:c r="I3512" s="22" t="str">
        <x:f>"(34) 99150-1442"</x:f>
        <x:v>(34) 99150-1442</x:v>
      </x:c>
      <x:c r="J3512" s="23" t="str">
        <x:v>SPOT</x:v>
      </x:c>
      <x:c r="K3512" s="23" t="str">
        <x:v>favored_only</x:v>
      </x:c>
      <x:c r="L3512" s="24" t="b">
        <x:v>1</x:v>
      </x:c>
      <x:c r="M3512" s="23" t="n">
        <x:v>1</x:v>
      </x:c>
      <x:c r="N3512" s="28" t="n">
        <x:v>46205.604017847225</x:v>
      </x:c>
      <x:c r="O3512" s="28" t="n">
        <x:v>46219.812988715275</x:v>
      </x:c>
      <x:c r="P3512" s="23" t="str">
        <x:v>ARAXÁ</x:v>
      </x:c>
      <x:c r="Q3512" s="30" t="n">
        <x:v>34174</x:v>
      </x:c>
      <x:c r="R3512" s="22" t="str">
        <x:f>"MG17296834"</x:f>
        <x:v>MG17296834</x:v>
      </x:c>
      <x:c r="S3512" s="23" t="str">
        <x:v>feminino</x:v>
      </x:c>
      <x:c r="T3512" s="22" t="str">
        <x:f>"OQM5B96"</x:f>
        <x:v>OQM5B96</x:v>
      </x:c>
      <x:c r="U3512" s="23" t="str">
        <x:v>TATIANE CRISTINA DE ALMEIDA CAMPOS</x:v>
      </x:c>
      <x:c r="V3512" s="22" t="str">
        <x:f>"107.984.876-23"</x:f>
        <x:v>107.984.876-23</x:v>
      </x:c>
      <x:c r="W3512" s="22" t="str">
        <x:f>"10798487623"</x:f>
        <x:v>10798487623</x:v>
      </x:c>
      <x:c r="X3512" s="23" t="str">
        <x:v>tatianecsalmeida@gmail.com</x:v>
      </x:c>
      <x:c r="Y3512" s="22" t="str">
        <x:f>"(34) 99150-1442"</x:f>
        <x:v>(34) 99150-1442</x:v>
      </x:c>
      <x:c r="Z3512" s="30" t="n">
        <x:v>46253</x:v>
      </x:c>
    </x:row>
    <x:row r="3513" ht="18" customHeight="1">
      <x:c r="A3513" s="22" t="str">
        <x:f>"1171c117-b576-4d4a-9eb2-d75fcd783796"</x:f>
        <x:v>1171c117-b576-4d4a-9eb2-d75fcd783796</x:v>
      </x:c>
      <x:c r="B3513" s="23" t="str">
        <x:v>TATIANE DOS PASSOS</x:v>
      </x:c>
      <x:c r="C3513" s="23" t="str">
        <x:v>tatiane dos passos</x:v>
      </x:c>
      <x:c r="D3513" s="22" t="str">
        <x:f>"53.622.008/0001-56"</x:f>
        <x:v>53.622.008/0001-56</x:v>
      </x:c>
      <x:c r="E3513" s="22" t="str">
        <x:f>"53622008000156"</x:f>
        <x:v>53622008000156</x:v>
      </x:c>
      <x:c r="F3513" s="22" t="str">
        <x:f>"105.616.316-03"</x:f>
        <x:v>105.616.316-03</x:v>
      </x:c>
      <x:c r="G3513" s="22" t="str">
        <x:f>"10561631603"</x:f>
        <x:v>10561631603</x:v>
      </x:c>
      <x:c r="H3513" s="23" t="str">
        <x:v>thatyanepassos.06@gmail.com</x:v>
      </x:c>
      <x:c r="I3513" s="22" t="str">
        <x:f>"15996844054"</x:f>
        <x:v>15996844054</x:v>
      </x:c>
      <x:c r="J3513" s="23" t="str">
        <x:v>SPOT</x:v>
      </x:c>
      <x:c r="K3513" s="23" t="str">
        <x:v>favored_only</x:v>
      </x:c>
      <x:c r="L3513" s="24" t="b">
        <x:v>1</x:v>
      </x:c>
      <x:c r="M3513" s="23" t="n">
        <x:v>1</x:v>
      </x:c>
      <x:c r="N3513" s="28" t="n">
        <x:v>46203.921904421295</x:v>
      </x:c>
      <x:c r="O3513" s="28" t="n">
        <x:v>46219.812988715275</x:v>
      </x:c>
      <x:c r="P3513" s="23" t="str">
        <x:v>ARAXÁ</x:v>
      </x:c>
      <x:c r="Q3513" s="30" t="n">
        <x:v>33610</x:v>
      </x:c>
      <x:c r="R3513" s="22" t="str">
        <x:f>"65751099"</x:f>
        <x:v>65751099</x:v>
      </x:c>
      <x:c r="S3513" s="23" t="str">
        <x:v>feminino</x:v>
      </x:c>
      <x:c r="T3513" s="22" t="str">
        <x:f>"RMR1E90"</x:f>
        <x:v>RMR1E90</x:v>
      </x:c>
      <x:c r="U3513" s="23" t="str">
        <x:v>TATIANE DOS PASSOS</x:v>
      </x:c>
      <x:c r="V3513" s="22" t="str">
        <x:f>"105.616.316-03"</x:f>
        <x:v>105.616.316-03</x:v>
      </x:c>
      <x:c r="W3513" s="22" t="str">
        <x:f>"10561631603"</x:f>
        <x:v>10561631603</x:v>
      </x:c>
      <x:c r="X3513" s="23" t="str">
        <x:v>thatyanepassos.06@gmail.com</x:v>
      </x:c>
      <x:c r="Y3513" s="22" t="str">
        <x:f>"15996844054"</x:f>
        <x:v>15996844054</x:v>
      </x:c>
      <x:c r="Z3513" s="30" t="n">
        <x:v>46372</x:v>
      </x:c>
    </x:row>
    <x:row r="3514" ht="18" customHeight="1">
      <x:c r="A3514" s="22" t="str">
        <x:f>"8c9273f2-9a02-471f-804c-94b39586890a"</x:f>
        <x:v>8c9273f2-9a02-471f-804c-94b39586890a</x:v>
      </x:c>
      <x:c r="B3514" s="23" t="str">
        <x:v>TATIANNE RIBEIRO DE BRITO SANT ANA</x:v>
      </x:c>
      <x:c r="C3514" s="23" t="str">
        <x:v>tatianne ribeiro de brito sant ana</x:v>
      </x:c>
      <x:c r="D3514" s="22" t="str">
        <x:f>"65.853.390/0001-98"</x:f>
        <x:v>65.853.390/0001-98</x:v>
      </x:c>
      <x:c r="E3514" s="22" t="str">
        <x:f>"65853390000198"</x:f>
        <x:v>65853390000198</x:v>
      </x:c>
      <x:c r="F3514" s="22" t="str">
        <x:f>"093.832.957-08"</x:f>
        <x:v>093.832.957-08</x:v>
      </x:c>
      <x:c r="G3514" s="22" t="str">
        <x:f>"09383295708"</x:f>
        <x:v>09383295708</x:v>
      </x:c>
      <x:c r="H3514" s="23" t="str">
        <x:v>cansanttt86@gmail.com</x:v>
      </x:c>
      <x:c r="I3514" s="22" t="str">
        <x:f>"21968931903"</x:f>
        <x:v>21968931903</x:v>
      </x:c>
      <x:c r="J3514" s="23" t="str">
        <x:v>spot</x:v>
      </x:c>
      <x:c r="K3514" s="23" t="str">
        <x:v>favored_only</x:v>
      </x:c>
      <x:c r="L3514" s="24" t="b">
        <x:v>1</x:v>
      </x:c>
      <x:c r="M3514" s="23" t="n">
        <x:v>1</x:v>
      </x:c>
      <x:c r="N3514" s="28" t="n">
        <x:v>46219.812988715275</x:v>
      </x:c>
      <x:c r="O3514" s="28" t="n">
        <x:v>46219.812988715275</x:v>
      </x:c>
      <x:c r="P3514" s="23" t="str">
        <x:v>CAMPO GRANDE</x:v>
      </x:c>
      <x:c r="Q3514" s="30" t="n">
        <x:v>30088</x:v>
      </x:c>
      <x:c r="R3514" s="22" t="str">
        <x:f>"130078249"</x:f>
        <x:v>130078249</x:v>
      </x:c>
      <x:c r="S3514" s="23" t="str">
        <x:v>feminino</x:v>
      </x:c>
      <x:c r="T3514" s="22" t="str">
        <x:f>"LRH7046"</x:f>
        <x:v>LRH7046</x:v>
      </x:c>
      <x:c r="U3514" s="23" t="str">
        <x:v>CARLOS ANDREI DA SILVA SANT ANA</x:v>
      </x:c>
      <x:c r="V3514" s="22" t="str">
        <x:f>"082.703.807-09"</x:f>
        <x:v>082.703.807-09</x:v>
      </x:c>
      <x:c r="W3514" s="22" t="str">
        <x:f>"08270380709"</x:f>
        <x:v>08270380709</x:v>
      </x:c>
      <x:c r="X3514" s="23" t="str">
        <x:v>cansanttt86@gmail.com</x:v>
      </x:c>
      <x:c r="Y3514" s="22" t="str">
        <x:f>"21968489150"</x:f>
        <x:v>21968489150</x:v>
      </x:c>
      <x:c r="Z3514" s="30" t="n">
        <x:v>46515</x:v>
      </x:c>
    </x:row>
    <x:row r="3515" ht="18" customHeight="1">
      <x:c r="A3515" s="22" t="str">
        <x:f>"f2ee189b-3dd0-4d52-a34d-9a3bffde9a2b"</x:f>
        <x:v>f2ee189b-3dd0-4d52-a34d-9a3bffde9a2b</x:v>
      </x:c>
      <x:c r="B3515" s="23" t="str">
        <x:v>TAUA DE SOUZA RIBEIRO</x:v>
      </x:c>
      <x:c r="C3515" s="23" t="str">
        <x:v>taua de souza ribeiro</x:v>
      </x:c>
      <x:c r="D3515" s="22" t="str">
        <x:f>"61.125.242/0001-04"</x:f>
        <x:v>61.125.242/0001-04</x:v>
      </x:c>
      <x:c r="E3515" s="22" t="str">
        <x:f>"61125242000104"</x:f>
        <x:v>61125242000104</x:v>
      </x:c>
      <x:c r="F3515" s="22" t="str">
        <x:f>"448.587.028-63"</x:f>
        <x:v>448.587.028-63</x:v>
      </x:c>
      <x:c r="G3515" s="22" t="str">
        <x:f>"44858702863"</x:f>
        <x:v>44858702863</x:v>
      </x:c>
      <x:c r="H3515" s="23" t="str">
        <x:v>tauaribeiro14@gmail.com</x:v>
      </x:c>
      <x:c r="I3515" s="22" t="str">
        <x:f>"11988767362"</x:f>
        <x:v>11988767362</x:v>
      </x:c>
      <x:c r="J3515" s="23" t="str">
        <x:v>SPOT</x:v>
      </x:c>
      <x:c r="K3515" s="23" t="str">
        <x:v>favored_only</x:v>
      </x:c>
      <x:c r="L3515" s="24" t="b">
        <x:v>1</x:v>
      </x:c>
      <x:c r="M3515" s="23" t="n">
        <x:v>1</x:v>
      </x:c>
      <x:c r="N3515" s="28" t="n">
        <x:v>46203.921858726855</x:v>
      </x:c>
      <x:c r="O3515" s="28" t="n">
        <x:v>46219.812988715275</x:v>
      </x:c>
      <x:c r="P3515" s="23" t="str">
        <x:v>BARUERI</x:v>
      </x:c>
      <x:c r="Q3515" s="30" t="n">
        <x:v>35138</x:v>
      </x:c>
      <x:c r="R3515" s="22" t="str">
        <x:f>"419233088"</x:f>
        <x:v>419233088</x:v>
      </x:c>
      <x:c r="S3515" s="23" t="str">
        <x:v>masculino</x:v>
      </x:c>
      <x:c r="T3515" s="22" t="str">
        <x:f>"EEH1A71"</x:f>
        <x:v>EEH1A71</x:v>
      </x:c>
      <x:c r="U3515" s="23" t="str">
        <x:v>TAUA DE SOUZA RIBEIRO</x:v>
      </x:c>
      <x:c r="V3515" s="22" t="str">
        <x:f>"448.587.028-63"</x:f>
        <x:v>448.587.028-63</x:v>
      </x:c>
      <x:c r="W3515" s="22" t="str">
        <x:f>"44858702863"</x:f>
        <x:v>44858702863</x:v>
      </x:c>
      <x:c r="X3515" s="23" t="str">
        <x:v>tauaribeiro14@gmail.com</x:v>
      </x:c>
      <x:c r="Y3515" s="22" t="str">
        <x:f>"11988767362"</x:f>
        <x:v>11988767362</x:v>
      </x:c>
      <x:c r="Z3515" s="30" t="n">
        <x:v>46257</x:v>
      </x:c>
    </x:row>
    <x:row r="3516" ht="18" customHeight="1">
      <x:c r="A3516" s="22" t="str">
        <x:f>"f37e6054-0117-44c6-a6ad-7aab930c1688"</x:f>
        <x:v>f37e6054-0117-44c6-a6ad-7aab930c1688</x:v>
      </x:c>
      <x:c r="B3516" s="23" t="str">
        <x:v>TAUA DE SOUZA RIBEIRO</x:v>
      </x:c>
      <x:c r="C3516" s="23" t="str">
        <x:v>taua de souza ribeiro</x:v>
      </x:c>
      <x:c r="D3516" s="22" t="str">
        <x:f>"48.538.752/0001-37"</x:f>
        <x:v>48.538.752/0001-37</x:v>
      </x:c>
      <x:c r="E3516" s="22" t="str">
        <x:f>"48538752000137"</x:f>
        <x:v>48538752000137</x:v>
      </x:c>
      <x:c r="F3516" s="22" t="str">
        <x:f>"448.587.028-63"</x:f>
        <x:v>448.587.028-63</x:v>
      </x:c>
      <x:c r="G3516" s="22" t="str">
        <x:f>"44858702863"</x:f>
        <x:v>44858702863</x:v>
      </x:c>
      <x:c r="H3516" s="23" t="str">
        <x:v>tauaribeiro14@gmail.com</x:v>
      </x:c>
      <x:c r="I3516" s="22" t="str">
        <x:f>"11993805210"</x:f>
        <x:v>11993805210</x:v>
      </x:c>
      <x:c r="J3516" s="23" t="str">
        <x:v>SPOT</x:v>
      </x:c>
      <x:c r="K3516" s="23" t="str">
        <x:v>favored_only</x:v>
      </x:c>
      <x:c r="L3516" s="24" t="b">
        <x:v>1</x:v>
      </x:c>
      <x:c r="M3516" s="23" t="n">
        <x:v>1</x:v>
      </x:c>
      <x:c r="N3516" s="28" t="n">
        <x:v>46219.812988715275</x:v>
      </x:c>
      <x:c r="O3516" s="28" t="n">
        <x:v>46219.812988715275</x:v>
      </x:c>
      <x:c r="P3516" s="23" t="str">
        <x:v>BARUERI</x:v>
      </x:c>
      <x:c r="Q3516" s="30" t="n">
        <x:v>35138</x:v>
      </x:c>
      <x:c r="R3516" s="22" t="str">
        <x:f>"419233088"</x:f>
        <x:v>419233088</x:v>
      </x:c>
      <x:c r="S3516" s="23" t="str">
        <x:v>masculino</x:v>
      </x:c>
      <x:c r="T3516" s="22" t="str">
        <x:f>"QCF3G12"</x:f>
        <x:v>QCF3G12</x:v>
      </x:c>
      <x:c r="U3516" s="23" t="str">
        <x:v>MARIZA ROBERTA RODRIGUES DOS SANTOS</x:v>
      </x:c>
      <x:c r="V3516" s="22" t="str">
        <x:f>"413.851.658-12"</x:f>
        <x:v>413.851.658-12</x:v>
      </x:c>
      <x:c r="W3516" s="22" t="str">
        <x:f>"41385165812"</x:f>
        <x:v>41385165812</x:v>
      </x:c>
      <x:c r="X3516" s="23" t="str">
        <x:v>marizaroberta15@gmail.com</x:v>
      </x:c>
      <x:c r="Y3516" s="22" t="str">
        <x:f>"11 99380-5210"</x:f>
        <x:v>11 99380-5210</x:v>
      </x:c>
      <x:c r="Z3516" s="30" t="n">
        <x:v>46479</x:v>
      </x:c>
    </x:row>
    <x:row r="3517" ht="18" customHeight="1">
      <x:c r="A3517" s="22" t="str">
        <x:f>"e1579573-7dff-4569-a459-bb6abdf2e50c"</x:f>
        <x:v>e1579573-7dff-4569-a459-bb6abdf2e50c</x:v>
      </x:c>
      <x:c r="B3517" s="23" t="str">
        <x:v>TAYNARA FERNADES ALVES DA SILVA</x:v>
      </x:c>
      <x:c r="C3517" s="23" t="str">
        <x:v>taynara fernades alves da silva</x:v>
      </x:c>
      <x:c r="D3517" s="22" t="str">
        <x:f>"46.001.540/0001-90"</x:f>
        <x:v>46.001.540/0001-90</x:v>
      </x:c>
      <x:c r="E3517" s="22" t="str">
        <x:f>"46001540000190"</x:f>
        <x:v>46001540000190</x:v>
      </x:c>
      <x:c r="F3517" s="22" t="str">
        <x:f>"112.206.126-93"</x:f>
        <x:v>112.206.126-93</x:v>
      </x:c>
      <x:c r="G3517" s="22" t="str">
        <x:f>"11220612693"</x:f>
        <x:v>11220612693</x:v>
      </x:c>
      <x:c r="H3517" s="23" t="str">
        <x:v>taynarafernandes08@hotmail.com</x:v>
      </x:c>
      <x:c r="I3517" s="22" t="str">
        <x:f>"(34)9 9975-2909"</x:f>
        <x:v>(34)9 9975-2909</x:v>
      </x:c>
      <x:c r="J3517" s="23" t="str">
        <x:v>RENTAL</x:v>
      </x:c>
      <x:c r="K3517" s="23" t="str">
        <x:v>rental_company</x:v>
      </x:c>
      <x:c r="L3517" s="24" t="b">
        <x:v>1</x:v>
      </x:c>
      <x:c r="M3517" s="23" t="n">
        <x:v>1</x:v>
      </x:c>
      <x:c r="N3517" s="28" t="n">
        <x:v>46203.9219084375</x:v>
      </x:c>
      <x:c r="O3517" s="28" t="n">
        <x:v>46219.812988715275</x:v>
      </x:c>
      <x:c r="P3517" s="23" t="str">
        <x:v>UBERLANDIA</x:v>
      </x:c>
      <x:c r="Q3517" s="30" t="n">
        <x:v>35187</x:v>
      </x:c>
      <x:c r="R3517" s="22" t="str">
        <x:f>"17718388"</x:f>
        <x:v>17718388</x:v>
      </x:c>
      <x:c r="S3517" s="23" t="str">
        <x:v>feminino</x:v>
      </x:c>
      <x:c r="T3517" s="22" t="str"/>
      <x:c r="U3517" s="23" t="str">
        <x:v>TAYNARA FERNADES ALVES DA SILVA</x:v>
      </x:c>
      <x:c r="V3517" s="22" t="str">
        <x:f>"112.206.126-93"</x:f>
        <x:v>112.206.126-93</x:v>
      </x:c>
      <x:c r="W3517" s="22" t="str">
        <x:f>"11220612693"</x:f>
        <x:v>11220612693</x:v>
      </x:c>
      <x:c r="X3517" s="23" t="str">
        <x:v>taynarafernandes08@hotmail.com</x:v>
      </x:c>
      <x:c r="Y3517" s="22" t="str">
        <x:f>"(34)9 9975-2909"</x:f>
        <x:v>(34)9 9975-2909</x:v>
      </x:c>
      <x:c r="Z3517" s="30" t="n">
        <x:v>46395</x:v>
      </x:c>
    </x:row>
    <x:row r="3518" ht="18" customHeight="1">
      <x:c r="A3518" s="22" t="str">
        <x:f>"4c93c7ac-4d5e-4248-9e77-1c44a158fa88"</x:f>
        <x:v>4c93c7ac-4d5e-4248-9e77-1c44a158fa88</x:v>
      </x:c>
      <x:c r="B3518" s="23" t="str">
        <x:v>TAYNNARA RENATA DUARTE SILVA</x:v>
      </x:c>
      <x:c r="C3518" s="23" t="str">
        <x:v>taynnara renata duarte silva</x:v>
      </x:c>
      <x:c r="D3518" s="22" t="str">
        <x:f>"57.684.950/0001-08"</x:f>
        <x:v>57.684.950/0001-08</x:v>
      </x:c>
      <x:c r="E3518" s="22" t="str">
        <x:f>"57684950000108"</x:f>
        <x:v>57684950000108</x:v>
      </x:c>
      <x:c r="F3518" s="22" t="str">
        <x:f>"041.897.931-67"</x:f>
        <x:v>041.897.931-67</x:v>
      </x:c>
      <x:c r="G3518" s="22" t="str">
        <x:f>"04189793167"</x:f>
        <x:v>04189793167</x:v>
      </x:c>
      <x:c r="H3518" s="23" t="str">
        <x:v>tayduarth@icloud.com</x:v>
      </x:c>
      <x:c r="I3518" s="22" t="str">
        <x:f>"65 99338-5465"</x:f>
        <x:v>65 99338-5465</x:v>
      </x:c>
      <x:c r="J3518" s="23" t="str">
        <x:v>SPOT</x:v>
      </x:c>
      <x:c r="K3518" s="23" t="str">
        <x:v>favored_only</x:v>
      </x:c>
      <x:c r="L3518" s="24" t="b">
        <x:v>1</x:v>
      </x:c>
      <x:c r="M3518" s="23" t="n">
        <x:v>1</x:v>
      </x:c>
      <x:c r="N3518" s="28" t="n">
        <x:v>46219.812988715275</x:v>
      </x:c>
      <x:c r="O3518" s="28" t="n">
        <x:v>46219.812988715275</x:v>
      </x:c>
      <x:c r="P3518" s="23" t="str">
        <x:v>CUIABA</x:v>
      </x:c>
      <x:c r="Q3518" s="30" t="n">
        <x:v>37807</x:v>
      </x:c>
      <x:c r="R3518" s="22" t="str">
        <x:f>"2943935-3"</x:f>
        <x:v>2943935-3</x:v>
      </x:c>
      <x:c r="S3518" s="23" t="str">
        <x:v>feminino</x:v>
      </x:c>
      <x:c r="T3518" s="22" t="str">
        <x:f>"RTU6D04"</x:f>
        <x:v>RTU6D04</x:v>
      </x:c>
      <x:c r="U3518" s="23" t="str">
        <x:v>THIAGO JUNIOR MEDEIROS RIBEIRO</x:v>
      </x:c>
      <x:c r="V3518" s="22" t="str">
        <x:f>"081.891.721-07"</x:f>
        <x:v>081.891.721-07</x:v>
      </x:c>
      <x:c r="W3518" s="22" t="str">
        <x:f>"08189172107"</x:f>
        <x:v>08189172107</x:v>
      </x:c>
      <x:c r="X3518" s="23" t="str">
        <x:v>thiagocba1000@gmail.com</x:v>
      </x:c>
      <x:c r="Y3518" s="22" t="str">
        <x:f>"65993005648"</x:f>
        <x:v>65993005648</x:v>
      </x:c>
      <x:c r="Z3518" s="30" t="n">
        <x:v>46462</x:v>
      </x:c>
    </x:row>
    <x:row r="3519" ht="18" customHeight="1">
      <x:c r="A3519" s="22" t="str">
        <x:f>"250004c6-172b-44f6-ac9c-6cdb4a5979db"</x:f>
        <x:v>250004c6-172b-44f6-ac9c-6cdb4a5979db</x:v>
      </x:c>
      <x:c r="B3519" s="23" t="str">
        <x:v>TEILOR LIMA BARBOSA</x:v>
      </x:c>
      <x:c r="C3519" s="23" t="str">
        <x:v>teilor lima barbosa</x:v>
      </x:c>
      <x:c r="D3519" s="22" t="str">
        <x:f>"67.949.192/0001-58"</x:f>
        <x:v>67.949.192/0001-58</x:v>
      </x:c>
      <x:c r="E3519" s="22" t="str">
        <x:f>"67949192000158"</x:f>
        <x:v>67949192000158</x:v>
      </x:c>
      <x:c r="F3519" s="22" t="str">
        <x:f>"146.948.897-37"</x:f>
        <x:v>146.948.897-37</x:v>
      </x:c>
      <x:c r="G3519" s="22" t="str">
        <x:f>"14694889737"</x:f>
        <x:v>14694889737</x:v>
      </x:c>
      <x:c r="H3519" s="23" t="str">
        <x:v>teilorlima2018@gmail.com</x:v>
      </x:c>
      <x:c r="I3519" s="22" t="str">
        <x:f>"21 96978-3243"</x:f>
        <x:v>21 96978-3243</x:v>
      </x:c>
      <x:c r="J3519" s="23" t="str">
        <x:v>RENTAL</x:v>
      </x:c>
      <x:c r="K3519" s="23" t="str">
        <x:v>rental_company</x:v>
      </x:c>
      <x:c r="L3519" s="24" t="b">
        <x:v>1</x:v>
      </x:c>
      <x:c r="M3519" s="23" t="n">
        <x:v>1</x:v>
      </x:c>
      <x:c r="N3519" s="28" t="n">
        <x:v>46219.812988715275</x:v>
      </x:c>
      <x:c r="O3519" s="28" t="n">
        <x:v>46219.812988715275</x:v>
      </x:c>
      <x:c r="P3519" s="23" t="str">
        <x:v>SÃO JOSE DO RIO PRETO</x:v>
      </x:c>
      <x:c r="Q3519" s="30" t="n">
        <x:v>33905</x:v>
      </x:c>
      <x:c r="R3519" s="22" t="str">
        <x:f>"264299835"</x:f>
        <x:v>264299835</x:v>
      </x:c>
      <x:c r="S3519" s="23" t="str">
        <x:v>masculino</x:v>
      </x:c>
      <x:c r="T3519" s="22" t="str"/>
      <x:c r="U3519" s="23" t="str">
        <x:v>TEILOR LIMA BARBOSA</x:v>
      </x:c>
      <x:c r="V3519" s="22" t="str">
        <x:f>"146.948.897-37"</x:f>
        <x:v>146.948.897-37</x:v>
      </x:c>
      <x:c r="W3519" s="22" t="str">
        <x:f>"14694889737"</x:f>
        <x:v>14694889737</x:v>
      </x:c>
      <x:c r="X3519" s="23" t="str">
        <x:v>teilorlima2018@gmail.com</x:v>
      </x:c>
      <x:c r="Y3519" s="22" t="str">
        <x:f>"21 96978-3243"</x:f>
        <x:v>21 96978-3243</x:v>
      </x:c>
      <x:c r="Z3519" s="30" t="n">
        <x:v>46578</x:v>
      </x:c>
    </x:row>
    <x:row r="3520" ht="18" customHeight="1">
      <x:c r="A3520" s="22" t="str">
        <x:f>"9a5e7d0d-0e05-41e8-8df6-2fc444cbb6a4"</x:f>
        <x:v>9a5e7d0d-0e05-41e8-8df6-2fc444cbb6a4</x:v>
      </x:c>
      <x:c r="B3520" s="23" t="str">
        <x:v>TEILOR LIMA BARBOSA</x:v>
      </x:c>
      <x:c r="C3520" s="23" t="str">
        <x:v>teilor lima barbosa</x:v>
      </x:c>
      <x:c r="D3520" s="22" t="str">
        <x:f>"67.837.102/0001-37"</x:f>
        <x:v>67.837.102/0001-37</x:v>
      </x:c>
      <x:c r="E3520" s="22" t="str">
        <x:f>"67837102000137"</x:f>
        <x:v>67837102000137</x:v>
      </x:c>
      <x:c r="F3520" s="22" t="str">
        <x:f>"146.948.897-37"</x:f>
        <x:v>146.948.897-37</x:v>
      </x:c>
      <x:c r="G3520" s="22" t="str">
        <x:f>"14694889737"</x:f>
        <x:v>14694889737</x:v>
      </x:c>
      <x:c r="H3520" s="23" t="str">
        <x:v>teilorlima2018@gmail.com</x:v>
      </x:c>
      <x:c r="I3520" s="22" t="str">
        <x:f>"21 96978-3243"</x:f>
        <x:v>21 96978-3243</x:v>
      </x:c>
      <x:c r="J3520" s="23" t="str">
        <x:v>RENTAL</x:v>
      </x:c>
      <x:c r="K3520" s="23" t="str">
        <x:v>rental_company</x:v>
      </x:c>
      <x:c r="L3520" s="24" t="b">
        <x:v>1</x:v>
      </x:c>
      <x:c r="M3520" s="23" t="n">
        <x:v>1</x:v>
      </x:c>
      <x:c r="N3520" s="28" t="n">
        <x:v>46219.812988715275</x:v>
      </x:c>
      <x:c r="O3520" s="28" t="n">
        <x:v>46219.812988715275</x:v>
      </x:c>
      <x:c r="P3520" s="23" t="str">
        <x:v>SÃO JOSE DO RIO PRETO</x:v>
      </x:c>
      <x:c r="Q3520" s="30" t="n">
        <x:v>33905</x:v>
      </x:c>
      <x:c r="R3520" s="22" t="str">
        <x:f>"264299835"</x:f>
        <x:v>264299835</x:v>
      </x:c>
      <x:c r="S3520" s="23" t="str">
        <x:v>masculino</x:v>
      </x:c>
      <x:c r="T3520" s="22" t="str"/>
      <x:c r="U3520" s="23" t="str">
        <x:v>TEILOR LIMA BARBOSA</x:v>
      </x:c>
      <x:c r="V3520" s="22" t="str">
        <x:f>"146.948.897-37"</x:f>
        <x:v>146.948.897-37</x:v>
      </x:c>
      <x:c r="W3520" s="22" t="str">
        <x:f>"14694889737"</x:f>
        <x:v>14694889737</x:v>
      </x:c>
      <x:c r="X3520" s="23" t="str">
        <x:v>teilorlima2018@gmail.com</x:v>
      </x:c>
      <x:c r="Y3520" s="22" t="str">
        <x:f>"21 96978-3243"</x:f>
        <x:v>21 96978-3243</x:v>
      </x:c>
      <x:c r="Z3520" s="30" t="n">
        <x:v>46574</x:v>
      </x:c>
    </x:row>
    <x:row r="3521" ht="18" customHeight="1">
      <x:c r="A3521" s="22" t="str">
        <x:f>"23fefa3d-f8b4-46ae-95ad-6ecf9c374355"</x:f>
        <x:v>23fefa3d-f8b4-46ae-95ad-6ecf9c374355</x:v>
      </x:c>
      <x:c r="B3521" s="23" t="str">
        <x:v>TERESINHA AUGUSTA PIMENTA MIRANDA</x:v>
      </x:c>
      <x:c r="C3521" s="23" t="str">
        <x:v>teresinha augusta pimenta miranda</x:v>
      </x:c>
      <x:c r="D3521" s="22" t="str">
        <x:f>"42.109.115/0001-69"</x:f>
        <x:v>42.109.115/0001-69</x:v>
      </x:c>
      <x:c r="E3521" s="22" t="str">
        <x:f>"42109115000169"</x:f>
        <x:v>42109115000169</x:v>
      </x:c>
      <x:c r="F3521" s="22" t="str">
        <x:f>"710.509.656-04"</x:f>
        <x:v>710.509.656-04</x:v>
      </x:c>
      <x:c r="G3521" s="22" t="str">
        <x:f>"71050965604"</x:f>
        <x:v>71050965604</x:v>
      </x:c>
      <x:c r="H3521" s="23" t="str">
        <x:v>terezinhapimenta1205@gmail.com</x:v>
      </x:c>
      <x:c r="I3521" s="22" t="str">
        <x:f>"3399809-7938"</x:f>
        <x:v>3399809-7938</x:v>
      </x:c>
      <x:c r="J3521" s="23" t="str">
        <x:v>spot</x:v>
      </x:c>
      <x:c r="K3521" s="23" t="str">
        <x:v>favored_only</x:v>
      </x:c>
      <x:c r="L3521" s="24" t="b">
        <x:v>1</x:v>
      </x:c>
      <x:c r="M3521" s="23" t="n">
        <x:v>1</x:v>
      </x:c>
      <x:c r="N3521" s="28" t="n">
        <x:v>46219.812988715275</x:v>
      </x:c>
      <x:c r="O3521" s="28" t="n">
        <x:v>46219.812988715275</x:v>
      </x:c>
      <x:c r="P3521" s="23" t="str">
        <x:v>GUANHAES</x:v>
      </x:c>
      <x:c r="Q3521" s="30" t="n">
        <x:v>24239</x:v>
      </x:c>
      <x:c r="R3521" s="22" t="str">
        <x:f>"4062560"</x:f>
        <x:v>4062560</x:v>
      </x:c>
      <x:c r="S3521" s="23" t="str">
        <x:v>feminino</x:v>
      </x:c>
      <x:c r="T3521" s="22" t="str">
        <x:f>"RNY4J04"</x:f>
        <x:v>RNY4J04</x:v>
      </x:c>
      <x:c r="U3521" s="23" t="str">
        <x:v>CLAUDOMIRO PASCOAL DE MIRANDA</x:v>
      </x:c>
      <x:c r="V3521" s="22" t="str">
        <x:f>"550.372.246-91"</x:f>
        <x:v>550.372.246-91</x:v>
      </x:c>
      <x:c r="W3521" s="22" t="str">
        <x:f>"55037224691"</x:f>
        <x:v>55037224691</x:v>
      </x:c>
      <x:c r="X3521" s="23" t="str">
        <x:v>claudomiromirandausa1205@gmail.com</x:v>
      </x:c>
      <x:c r="Y3521" s="22" t="str">
        <x:f>"33999541205"</x:f>
        <x:v>33999541205</x:v>
      </x:c>
      <x:c r="Z3521" s="30" t="n">
        <x:v>46562</x:v>
      </x:c>
    </x:row>
    <x:row r="3522" ht="18" customHeight="1">
      <x:c r="A3522" s="22" t="str">
        <x:f>"ab0b42a1-97da-409f-8208-28b6cce80f79"</x:f>
        <x:v>ab0b42a1-97da-409f-8208-28b6cce80f79</x:v>
      </x:c>
      <x:c r="B3522" s="23" t="str">
        <x:v>THAINA ALEXANDRE MENDONCA</x:v>
      </x:c>
      <x:c r="C3522" s="23" t="str">
        <x:v>thaina alexandre mendonca</x:v>
      </x:c>
      <x:c r="D3522" s="22" t="str">
        <x:f>"68.036.340/0001-06"</x:f>
        <x:v>68.036.340/0001-06</x:v>
      </x:c>
      <x:c r="E3522" s="22" t="str">
        <x:f>"68036340000106"</x:f>
        <x:v>68036340000106</x:v>
      </x:c>
      <x:c r="F3522" s="22" t="str">
        <x:f>"561.490.668-19"</x:f>
        <x:v>561.490.668-19</x:v>
      </x:c>
      <x:c r="G3522" s="22" t="str">
        <x:f>"56149066819"</x:f>
        <x:v>56149066819</x:v>
      </x:c>
      <x:c r="H3522" s="23" t="str">
        <x:v>Thaymoreno01@outlook.com</x:v>
      </x:c>
      <x:c r="I3522" s="22" t="str">
        <x:f>"16992153413"</x:f>
        <x:v>16992153413</x:v>
      </x:c>
      <x:c r="J3522" s="23" t="str">
        <x:v>RENTAL</x:v>
      </x:c>
      <x:c r="K3522" s="23" t="str">
        <x:v>rental_company</x:v>
      </x:c>
      <x:c r="L3522" s="24" t="b">
        <x:v>1</x:v>
      </x:c>
      <x:c r="M3522" s="23" t="n">
        <x:v>1</x:v>
      </x:c>
      <x:c r="N3522" s="28" t="n">
        <x:v>46219.812988715275</x:v>
      </x:c>
      <x:c r="O3522" s="28" t="n">
        <x:v>46219.812988715275</x:v>
      </x:c>
      <x:c r="P3522" s="23" t="str">
        <x:v>SÃO CARLOS</x:v>
      </x:c>
      <x:c r="Q3522" s="30" t="n">
        <x:v>37590</x:v>
      </x:c>
      <x:c r="R3522" s="22" t="str">
        <x:f>"561.490.668-19"</x:f>
        <x:v>561.490.668-19</x:v>
      </x:c>
      <x:c r="S3522" s="23" t="str">
        <x:v>feminino</x:v>
      </x:c>
      <x:c r="T3522" s="22" t="str"/>
      <x:c r="U3522" s="23" t="str">
        <x:v>THAINA ALEXANDRE MENDONCA</x:v>
      </x:c>
      <x:c r="V3522" s="22" t="str">
        <x:f>"561.490.668-19"</x:f>
        <x:v>561.490.668-19</x:v>
      </x:c>
      <x:c r="W3522" s="22" t="str">
        <x:f>"56149066819"</x:f>
        <x:v>56149066819</x:v>
      </x:c>
      <x:c r="X3522" s="23" t="str">
        <x:v>Thaymoreno01@outlook.com</x:v>
      </x:c>
      <x:c r="Y3522" s="22" t="str">
        <x:f>"16992153413"</x:f>
        <x:v>16992153413</x:v>
      </x:c>
      <x:c r="Z3522" s="30" t="n">
        <x:v>46583</x:v>
      </x:c>
    </x:row>
    <x:row r="3523" ht="18" customHeight="1">
      <x:c r="A3523" s="22" t="str">
        <x:f>"26b655e3-f884-4896-80d5-1620d58e8c15"</x:f>
        <x:v>26b655e3-f884-4896-80d5-1620d58e8c15</x:v>
      </x:c>
      <x:c r="B3523" s="23" t="str">
        <x:v>THAINA APARECIDA BARBOZA</x:v>
      </x:c>
      <x:c r="C3523" s="23" t="str">
        <x:v>thaina aparecida barboza</x:v>
      </x:c>
      <x:c r="D3523" s="22" t="str">
        <x:f>"31.095.678/0001-29"</x:f>
        <x:v>31.095.678/0001-29</x:v>
      </x:c>
      <x:c r="E3523" s="22" t="str">
        <x:f>"31095678000129"</x:f>
        <x:v>31095678000129</x:v>
      </x:c>
      <x:c r="F3523" s="22" t="str">
        <x:f>"131.218.316-07"</x:f>
        <x:v>131.218.316-07</x:v>
      </x:c>
      <x:c r="G3523" s="22" t="str">
        <x:f>"13121831607"</x:f>
        <x:v>13121831607</x:v>
      </x:c>
      <x:c r="H3523" s="23" t="str">
        <x:v>THAINABARBOZA1@HOTMAIL.COM</x:v>
      </x:c>
      <x:c r="I3523" s="22" t="str">
        <x:f>"34999181742"</x:f>
        <x:v>34999181742</x:v>
      </x:c>
      <x:c r="J3523" s="23" t="str">
        <x:v>SPOT</x:v>
      </x:c>
      <x:c r="K3523" s="23" t="str">
        <x:v>favored_only</x:v>
      </x:c>
      <x:c r="L3523" s="24" t="b">
        <x:v>1</x:v>
      </x:c>
      <x:c r="M3523" s="23" t="n">
        <x:v>1</x:v>
      </x:c>
      <x:c r="N3523" s="28" t="n">
        <x:v>46205.60436590278</x:v>
      </x:c>
      <x:c r="O3523" s="28" t="n">
        <x:v>46219.812988715275</x:v>
      </x:c>
      <x:c r="P3523" s="23" t="str">
        <x:v>ARAXÁ</x:v>
      </x:c>
      <x:c r="Q3523" s="30" t="n">
        <x:v>35388</x:v>
      </x:c>
      <x:c r="R3523" s="22" t="str">
        <x:f>"18853459"</x:f>
        <x:v>18853459</x:v>
      </x:c>
      <x:c r="S3523" s="23" t="str">
        <x:v>feminino</x:v>
      </x:c>
      <x:c r="T3523" s="22" t="str">
        <x:f>"RNQ9I24"</x:f>
        <x:v>RNQ9I24</x:v>
      </x:c>
      <x:c r="U3523" s="23" t="str">
        <x:v>NATHALIA CAROLINE GOMES DA SILVA</x:v>
      </x:c>
      <x:c r="V3523" s="22" t="str">
        <x:f>"103.851.366-92"</x:f>
        <x:v>103.851.366-92</x:v>
      </x:c>
      <x:c r="W3523" s="22" t="str">
        <x:f>"10385136692"</x:f>
        <x:v>10385136692</x:v>
      </x:c>
      <x:c r="X3523" s="23" t="str">
        <x:v>Nathaliasilvaclara13@outlook.com</x:v>
      </x:c>
      <x:c r="Y3523" s="22" t="str">
        <x:f>"34988633933"</x:f>
        <x:v>34988633933</x:v>
      </x:c>
      <x:c r="Z3523" s="30" t="n">
        <x:v>46270</x:v>
      </x:c>
    </x:row>
    <x:row r="3524" ht="18" customHeight="1">
      <x:c r="A3524" s="22" t="str">
        <x:f>"1ddbcbc0-d49d-4e73-9cf1-c9b00d11283d"</x:f>
        <x:v>1ddbcbc0-d49d-4e73-9cf1-c9b00d11283d</x:v>
      </x:c>
      <x:c r="B3524" s="23" t="str">
        <x:v>THAINAN PATRIC MACIEL DE OLIVEIRA</x:v>
      </x:c>
      <x:c r="C3524" s="23" t="str">
        <x:v>thainan patric maciel de oliveira</x:v>
      </x:c>
      <x:c r="D3524" s="22" t="str">
        <x:f>"58.591.638/0001-24"</x:f>
        <x:v>58.591.638/0001-24</x:v>
      </x:c>
      <x:c r="E3524" s="22" t="str">
        <x:f>"58591638000124"</x:f>
        <x:v>58591638000124</x:v>
      </x:c>
      <x:c r="F3524" s="22" t="str">
        <x:f>"516.736.098-64"</x:f>
        <x:v>516.736.098-64</x:v>
      </x:c>
      <x:c r="G3524" s="22" t="str">
        <x:f>"51673609864"</x:f>
        <x:v>51673609864</x:v>
      </x:c>
      <x:c r="H3524" s="23" t="str">
        <x:v>thainan18@icloud.com</x:v>
      </x:c>
      <x:c r="I3524" s="22" t="str">
        <x:f>"17 99669-3162"</x:f>
        <x:v>17 99669-3162</x:v>
      </x:c>
      <x:c r="J3524" s="23" t="str">
        <x:v>RENTAL</x:v>
      </x:c>
      <x:c r="K3524" s="23" t="str">
        <x:v>rental_company</x:v>
      </x:c>
      <x:c r="L3524" s="24" t="b">
        <x:v>1</x:v>
      </x:c>
      <x:c r="M3524" s="23" t="n">
        <x:v>1</x:v>
      </x:c>
      <x:c r="N3524" s="28" t="n">
        <x:v>46219.812988715275</x:v>
      </x:c>
      <x:c r="O3524" s="28" t="n">
        <x:v>46219.812988715275</x:v>
      </x:c>
      <x:c r="P3524" s="23" t="str">
        <x:v>SÃO JOSE DO RIO PRETO</x:v>
      </x:c>
      <x:c r="Q3524" s="30" t="n">
        <x:v>37335</x:v>
      </x:c>
      <x:c r="R3524" s="22" t="str">
        <x:f>"569520861"</x:f>
        <x:v>569520861</x:v>
      </x:c>
      <x:c r="S3524" s="23" t="str">
        <x:v>masculino</x:v>
      </x:c>
      <x:c r="T3524" s="22" t="str"/>
      <x:c r="U3524" s="23" t="str">
        <x:v>THAINAN PATRIC MACIEL DE OLIVEIRA</x:v>
      </x:c>
      <x:c r="V3524" s="22" t="str">
        <x:f>"516.736.098-64"</x:f>
        <x:v>516.736.098-64</x:v>
      </x:c>
      <x:c r="W3524" s="22" t="str">
        <x:f>"51673609864"</x:f>
        <x:v>51673609864</x:v>
      </x:c>
      <x:c r="X3524" s="23" t="str">
        <x:v>thainan18@icloud.com</x:v>
      </x:c>
      <x:c r="Y3524" s="22" t="str">
        <x:f>"17 99669-3162"</x:f>
        <x:v>17 99669-3162</x:v>
      </x:c>
      <x:c r="Z3524" s="30" t="n">
        <x:v>46553</x:v>
      </x:c>
    </x:row>
    <x:row r="3525" ht="18" customHeight="1">
      <x:c r="A3525" s="22" t="str">
        <x:f>"6bb3ca7c-e45f-4579-862e-a7d98344bf5e"</x:f>
        <x:v>6bb3ca7c-e45f-4579-862e-a7d98344bf5e</x:v>
      </x:c>
      <x:c r="B3525" s="23" t="str">
        <x:v>THAISA RUELA PEREIRA</x:v>
      </x:c>
      <x:c r="C3525" s="23" t="str">
        <x:v>thaisa ruela pereira</x:v>
      </x:c>
      <x:c r="D3525" s="22" t="str">
        <x:f>"55.644.895/0001-99"</x:f>
        <x:v>55.644.895/0001-99</x:v>
      </x:c>
      <x:c r="E3525" s="22" t="str">
        <x:f>"55644895000199"</x:f>
        <x:v>55644895000199</x:v>
      </x:c>
      <x:c r="F3525" s="22" t="str">
        <x:f>"103.995.716-12"</x:f>
        <x:v>103.995.716-12</x:v>
      </x:c>
      <x:c r="G3525" s="22" t="str">
        <x:f>"10399571612"</x:f>
        <x:v>10399571612</x:v>
      </x:c>
      <x:c r="H3525" s="23" t="str">
        <x:v>thaisarezende2015@gmail.com</x:v>
      </x:c>
      <x:c r="I3525" s="22" t="str">
        <x:f>"(34) 99257-8374"</x:f>
        <x:v>(34) 99257-8374</x:v>
      </x:c>
      <x:c r="J3525" s="23" t="str">
        <x:v>RENTAL</x:v>
      </x:c>
      <x:c r="K3525" s="23" t="str">
        <x:v>rental_company</x:v>
      </x:c>
      <x:c r="L3525" s="24" t="b">
        <x:v>1</x:v>
      </x:c>
      <x:c r="M3525" s="23" t="n">
        <x:v>1</x:v>
      </x:c>
      <x:c r="N3525" s="28" t="n">
        <x:v>46203.921824756944</x:v>
      </x:c>
      <x:c r="O3525" s="28" t="n">
        <x:v>46219.812988715275</x:v>
      </x:c>
      <x:c r="P3525" s="23" t="str">
        <x:v>UBERABA</x:v>
      </x:c>
      <x:c r="Q3525" s="30" t="n">
        <x:v>34211</x:v>
      </x:c>
      <x:c r="R3525" s="22" t="str">
        <x:f>"17717696"</x:f>
        <x:v>17717696</x:v>
      </x:c>
      <x:c r="S3525" s="23" t="str">
        <x:v>feminino</x:v>
      </x:c>
      <x:c r="T3525" s="22" t="str"/>
      <x:c r="U3525" s="23" t="str">
        <x:v>THAISA RUELA PEREIRA</x:v>
      </x:c>
      <x:c r="V3525" s="22" t="str">
        <x:f>"103.995.716-12"</x:f>
        <x:v>103.995.716-12</x:v>
      </x:c>
      <x:c r="W3525" s="22" t="str">
        <x:f>"10399571612"</x:f>
        <x:v>10399571612</x:v>
      </x:c>
      <x:c r="X3525" s="23" t="str">
        <x:v>thaisarezende2015@gmail.com</x:v>
      </x:c>
      <x:c r="Y3525" s="22" t="str">
        <x:f>"(34) 99257-8374"</x:f>
        <x:v>(34) 99257-8374</x:v>
      </x:c>
      <x:c r="Z3525" s="30" t="n">
        <x:v>46521</x:v>
      </x:c>
    </x:row>
    <x:row r="3526" ht="18" customHeight="1">
      <x:c r="A3526" s="22" t="str">
        <x:f>"45b83d6f-5e1d-4832-a228-0b16202f7e0f"</x:f>
        <x:v>45b83d6f-5e1d-4832-a228-0b16202f7e0f</x:v>
      </x:c>
      <x:c r="B3526" s="23" t="str">
        <x:v>Thais Ferreira de Carvalho</x:v>
      </x:c>
      <x:c r="C3526" s="23" t="str">
        <x:v>thais ferreira de carvalho</x:v>
      </x:c>
      <x:c r="D3526" s="22" t="str">
        <x:f>"53.278.127/0001-23"</x:f>
        <x:v>53.278.127/0001-23</x:v>
      </x:c>
      <x:c r="E3526" s="22" t="str">
        <x:f>"53278127000123"</x:f>
        <x:v>53278127000123</x:v>
      </x:c>
      <x:c r="F3526" s="22" t="str">
        <x:f>"13109655608"</x:f>
        <x:v>13109655608</x:v>
      </x:c>
      <x:c r="G3526" s="22" t="str">
        <x:f>"13109655608"</x:f>
        <x:v>13109655608</x:v>
      </x:c>
      <x:c r="H3526" s="23" t="str">
        <x:v>thaafcarvalho@gmail.com</x:v>
      </x:c>
      <x:c r="I3526" s="22" t="str">
        <x:f>"35992369383"</x:f>
        <x:v>35992369383</x:v>
      </x:c>
      <x:c r="J3526" s="23" t="str">
        <x:v>SPOT</x:v>
      </x:c>
      <x:c r="K3526" s="23" t="str">
        <x:v>favored_only</x:v>
      </x:c>
      <x:c r="L3526" s="24" t="b">
        <x:v>1</x:v>
      </x:c>
      <x:c r="M3526" s="23" t="n">
        <x:v>1</x:v>
      </x:c>
      <x:c r="N3526" s="28" t="n">
        <x:v>46203.92189349537</x:v>
      </x:c>
      <x:c r="O3526" s="28" t="n">
        <x:v>46203.92189349537</x:v>
      </x:c>
      <x:c r="P3526" s="23" t="str"/>
      <x:c r="Q3526" s="30" t="str"/>
      <x:c r="R3526" s="22" t="str"/>
      <x:c r="S3526" s="23" t="str"/>
      <x:c r="T3526" s="22" t="str"/>
      <x:c r="U3526" s="23" t="str">
        <x:v>Thais Ferreira de Carvalho</x:v>
      </x:c>
      <x:c r="V3526" s="22" t="str">
        <x:f>"13109655608"</x:f>
        <x:v>13109655608</x:v>
      </x:c>
      <x:c r="W3526" s="22" t="str">
        <x:f>"13109655608"</x:f>
        <x:v>13109655608</x:v>
      </x:c>
      <x:c r="X3526" s="23" t="str">
        <x:v>thaafcarvalho@gmail.com</x:v>
      </x:c>
      <x:c r="Y3526" s="22" t="str">
        <x:f>"35992369383"</x:f>
        <x:v>35992369383</x:v>
      </x:c>
      <x:c r="Z3526" s="30" t="str"/>
    </x:row>
    <x:row r="3527" ht="18" customHeight="1">
      <x:c r="A3527" s="22" t="str">
        <x:f>"f63ecea2-94ac-4679-93cf-ec24e7cd36a5"</x:f>
        <x:v>f63ecea2-94ac-4679-93cf-ec24e7cd36a5</x:v>
      </x:c>
      <x:c r="B3527" s="23" t="str">
        <x:v>THAIS REGINA CASSANTI DE FARIA</x:v>
      </x:c>
      <x:c r="C3527" s="23" t="str">
        <x:v>thais regina cassanti de faria</x:v>
      </x:c>
      <x:c r="D3527" s="22" t="str">
        <x:f>"41.060.516/0001-09"</x:f>
        <x:v>41.060.516/0001-09</x:v>
      </x:c>
      <x:c r="E3527" s="22" t="str">
        <x:f>"41060516000109"</x:f>
        <x:v>41060516000109</x:v>
      </x:c>
      <x:c r="F3527" s="22" t="str">
        <x:f>"454.747.848-13"</x:f>
        <x:v>454.747.848-13</x:v>
      </x:c>
      <x:c r="G3527" s="22" t="str">
        <x:f>"45474784813"</x:f>
        <x:v>45474784813</x:v>
      </x:c>
      <x:c r="H3527" s="23" t="str">
        <x:v>thais.reginacfaria@gmail.com</x:v>
      </x:c>
      <x:c r="I3527" s="22" t="str">
        <x:f>"18 981020079"</x:f>
        <x:v>18 981020079</x:v>
      </x:c>
      <x:c r="J3527" s="23" t="str">
        <x:v>SPOT</x:v>
      </x:c>
      <x:c r="K3527" s="23" t="str">
        <x:v>favored_only</x:v>
      </x:c>
      <x:c r="L3527" s="24" t="b">
        <x:v>1</x:v>
      </x:c>
      <x:c r="M3527" s="23" t="n">
        <x:v>1</x:v>
      </x:c>
      <x:c r="N3527" s="28" t="n">
        <x:v>46203.92186462963</x:v>
      </x:c>
      <x:c r="O3527" s="28" t="n">
        <x:v>46219.812988715275</x:v>
      </x:c>
      <x:c r="P3527" s="23" t="str">
        <x:v>ARAÇATUBA</x:v>
      </x:c>
      <x:c r="Q3527" s="30" t="n">
        <x:v>34320</x:v>
      </x:c>
      <x:c r="R3527" s="22" t="str">
        <x:f>"43697525"</x:f>
        <x:v>43697525</x:v>
      </x:c>
      <x:c r="S3527" s="23" t="str">
        <x:v>feminino</x:v>
      </x:c>
      <x:c r="T3527" s="22" t="str">
        <x:f>"FHT1J61"</x:f>
        <x:v>FHT1J61</x:v>
      </x:c>
      <x:c r="U3527" s="23" t="str">
        <x:v>THAIS REGINA CASSANTI DE FARIA</x:v>
      </x:c>
      <x:c r="V3527" s="22" t="str">
        <x:f>"454.747.848-13"</x:f>
        <x:v>454.747.848-13</x:v>
      </x:c>
      <x:c r="W3527" s="22" t="str">
        <x:f>"45474784813"</x:f>
        <x:v>45474784813</x:v>
      </x:c>
      <x:c r="X3527" s="23" t="str">
        <x:v>thais.reginacfaria@gmail.com</x:v>
      </x:c>
      <x:c r="Y3527" s="22" t="str">
        <x:f>"18 981020079"</x:f>
        <x:v>18 981020079</x:v>
      </x:c>
      <x:c r="Z3527" s="30" t="n">
        <x:v>46276</x:v>
      </x:c>
    </x:row>
    <x:row r="3528" ht="18" customHeight="1">
      <x:c r="A3528" s="22" t="str">
        <x:f>"143ea976-9c47-4013-beb2-458291783b8a"</x:f>
        <x:v>143ea976-9c47-4013-beb2-458291783b8a</x:v>
      </x:c>
      <x:c r="B3528" s="23" t="str">
        <x:v>THALES ALVES DA SILVA</x:v>
      </x:c>
      <x:c r="C3528" s="23" t="str">
        <x:v>thales alves da silva</x:v>
      </x:c>
      <x:c r="D3528" s="22" t="str">
        <x:f>"65.461.913/0001-50"</x:f>
        <x:v>65.461.913/0001-50</x:v>
      </x:c>
      <x:c r="E3528" s="22" t="str">
        <x:f>"65461913000150"</x:f>
        <x:v>65461913000150</x:v>
      </x:c>
      <x:c r="F3528" s="22" t="str">
        <x:f>"400.058.128-79"</x:f>
        <x:v>400.058.128-79</x:v>
      </x:c>
      <x:c r="G3528" s="22" t="str">
        <x:f>"40005812879"</x:f>
        <x:v>40005812879</x:v>
      </x:c>
      <x:c r="H3528" s="23" t="str">
        <x:v>thalesalves733@gmail.com</x:v>
      </x:c>
      <x:c r="I3528" s="22" t="str">
        <x:f>"11958669845"</x:f>
        <x:v>11958669845</x:v>
      </x:c>
      <x:c r="J3528" s="23" t="str">
        <x:v>RENTAL</x:v>
      </x:c>
      <x:c r="K3528" s="23" t="str">
        <x:v>rental_company</x:v>
      </x:c>
      <x:c r="L3528" s="24" t="b">
        <x:v>1</x:v>
      </x:c>
      <x:c r="M3528" s="23" t="n">
        <x:v>1</x:v>
      </x:c>
      <x:c r="N3528" s="28" t="n">
        <x:v>46219.812988715275</x:v>
      </x:c>
      <x:c r="O3528" s="28" t="n">
        <x:v>46219.812988715275</x:v>
      </x:c>
      <x:c r="P3528" s="23" t="str">
        <x:v>BARUERI</x:v>
      </x:c>
      <x:c r="Q3528" s="30" t="n">
        <x:v>35773</x:v>
      </x:c>
      <x:c r="R3528" s="22" t="str">
        <x:f>"522673764"</x:f>
        <x:v>522673764</x:v>
      </x:c>
      <x:c r="S3528" s="23" t="str">
        <x:v>masculino</x:v>
      </x:c>
      <x:c r="T3528" s="22" t="str"/>
      <x:c r="U3528" s="23" t="str">
        <x:v>THALES ALVES DA SILVA</x:v>
      </x:c>
      <x:c r="V3528" s="22" t="str">
        <x:f>"400.058.128-79"</x:f>
        <x:v>400.058.128-79</x:v>
      </x:c>
      <x:c r="W3528" s="22" t="str">
        <x:f>"40005812879"</x:f>
        <x:v>40005812879</x:v>
      </x:c>
      <x:c r="X3528" s="23" t="str">
        <x:v>thalesalves733@gmail.com</x:v>
      </x:c>
      <x:c r="Y3528" s="22" t="str">
        <x:f>"11958669845"</x:f>
        <x:v>11958669845</x:v>
      </x:c>
      <x:c r="Z3528" s="30" t="n">
        <x:v>46519</x:v>
      </x:c>
    </x:row>
    <x:row r="3529" ht="18" customHeight="1">
      <x:c r="A3529" s="22" t="str">
        <x:f>"e5ddfeaf-f245-4144-9813-81431b53abf2"</x:f>
        <x:v>e5ddfeaf-f245-4144-9813-81431b53abf2</x:v>
      </x:c>
      <x:c r="B3529" s="23" t="str">
        <x:v>THALES DANIEL MARQUES</x:v>
      </x:c>
      <x:c r="C3529" s="23" t="str">
        <x:v>thales daniel marques</x:v>
      </x:c>
      <x:c r="D3529" s="22" t="str">
        <x:f>"57.292.557/0001-60"</x:f>
        <x:v>57.292.557/0001-60</x:v>
      </x:c>
      <x:c r="E3529" s="22" t="str">
        <x:f>"57292557000160"</x:f>
        <x:v>57292557000160</x:v>
      </x:c>
      <x:c r="F3529" s="22" t="str">
        <x:f>"122.617.706-93"</x:f>
        <x:v>122.617.706-93</x:v>
      </x:c>
      <x:c r="G3529" s="22" t="str">
        <x:f>"12261770693"</x:f>
        <x:v>12261770693</x:v>
      </x:c>
      <x:c r="H3529" s="23" t="str">
        <x:v>thalesmarques.baldim@gmail.com</x:v>
      </x:c>
      <x:c r="I3529" s="22" t="str">
        <x:f>"31995917426"</x:f>
        <x:v>31995917426</x:v>
      </x:c>
      <x:c r="J3529" s="23" t="str">
        <x:v>SPOT</x:v>
      </x:c>
      <x:c r="K3529" s="23" t="str">
        <x:v>favored_only</x:v>
      </x:c>
      <x:c r="L3529" s="24" t="b">
        <x:v>1</x:v>
      </x:c>
      <x:c r="M3529" s="23" t="n">
        <x:v>1</x:v>
      </x:c>
      <x:c r="N3529" s="28" t="n">
        <x:v>46205.60588833333</x:v>
      </x:c>
      <x:c r="O3529" s="28" t="n">
        <x:v>46219.812988715275</x:v>
      </x:c>
      <x:c r="P3529" s="23" t="str">
        <x:v>GUANHAES</x:v>
      </x:c>
      <x:c r="Q3529" s="30" t="n">
        <x:v>36888</x:v>
      </x:c>
      <x:c r="R3529" s="22" t="str">
        <x:f>"20728496"</x:f>
        <x:v>20728496</x:v>
      </x:c>
      <x:c r="S3529" s="23" t="str">
        <x:v>masculino</x:v>
      </x:c>
      <x:c r="T3529" s="22" t="str">
        <x:f>"PZN-5394"</x:f>
        <x:v>PZN-5394</x:v>
      </x:c>
      <x:c r="U3529" s="23" t="str">
        <x:v>JOSEMARA PONTES PINTO BORGES</x:v>
      </x:c>
      <x:c r="V3529" s="22" t="str">
        <x:f>"122.203.287-24"</x:f>
        <x:v>122.203.287-24</x:v>
      </x:c>
      <x:c r="W3529" s="22" t="str">
        <x:f>"12220328724"</x:f>
        <x:v>12220328724</x:v>
      </x:c>
      <x:c r="X3529" s="23" t="str">
        <x:v>josemaraborges35@gmail.com</x:v>
      </x:c>
      <x:c r="Y3529" s="22" t="str">
        <x:f>"31983784745"</x:f>
        <x:v>31983784745</x:v>
      </x:c>
      <x:c r="Z3529" s="30" t="n">
        <x:v>46337</x:v>
      </x:c>
    </x:row>
    <x:row r="3530" ht="18" customHeight="1">
      <x:c r="A3530" s="22" t="str">
        <x:f>"967c56db-f21f-4b63-a915-03865937bc13"</x:f>
        <x:v>967c56db-f21f-4b63-a915-03865937bc13</x:v>
      </x:c>
      <x:c r="B3530" s="23" t="str">
        <x:v>THALES NOGUEIRA PINHEIRO</x:v>
      </x:c>
      <x:c r="C3530" s="23" t="str">
        <x:v>thales nogueira pinheiro</x:v>
      </x:c>
      <x:c r="D3530" s="22" t="str">
        <x:f>"60.118.034/0001-07"</x:f>
        <x:v>60.118.034/0001-07</x:v>
      </x:c>
      <x:c r="E3530" s="22" t="str">
        <x:f>"60118034000107"</x:f>
        <x:v>60118034000107</x:v>
      </x:c>
      <x:c r="F3530" s="22" t="str">
        <x:f>"113.497.996-70"</x:f>
        <x:v>113.497.996-70</x:v>
      </x:c>
      <x:c r="G3530" s="22" t="str">
        <x:f>"11349799670"</x:f>
        <x:v>11349799670</x:v>
      </x:c>
      <x:c r="H3530" s="23" t="str">
        <x:v>thalespinheiro01@icloud.com</x:v>
      </x:c>
      <x:c r="I3530" s="22" t="str">
        <x:f>"(31)99106-5106"</x:f>
        <x:v>(31)99106-5106</x:v>
      </x:c>
      <x:c r="J3530" s="23" t="str">
        <x:v>SPOT</x:v>
      </x:c>
      <x:c r="K3530" s="23" t="str">
        <x:v>favored_only</x:v>
      </x:c>
      <x:c r="L3530" s="24" t="b">
        <x:v>1</x:v>
      </x:c>
      <x:c r="M3530" s="23" t="n">
        <x:v>1</x:v>
      </x:c>
      <x:c r="N3530" s="28" t="n">
        <x:v>46219.812988715275</x:v>
      </x:c>
      <x:c r="O3530" s="28" t="n">
        <x:v>46219.812988715275</x:v>
      </x:c>
      <x:c r="P3530" s="23" t="str">
        <x:v>VESPASIANO</x:v>
      </x:c>
      <x:c r="Q3530" s="30" t="n">
        <x:v>34644</x:v>
      </x:c>
      <x:c r="R3530" s="22" t="str">
        <x:f>"MG14909067"</x:f>
        <x:v>MG14909067</x:v>
      </x:c>
      <x:c r="S3530" s="23" t="str">
        <x:v>masculino</x:v>
      </x:c>
      <x:c r="T3530" s="22" t="str">
        <x:f>"HOB6587"</x:f>
        <x:v>HOB6587</x:v>
      </x:c>
      <x:c r="U3530" s="23" t="str">
        <x:v>THALES NOGUEIRA PINHEIRO</x:v>
      </x:c>
      <x:c r="V3530" s="22" t="str">
        <x:f>"113.497.996-70"</x:f>
        <x:v>113.497.996-70</x:v>
      </x:c>
      <x:c r="W3530" s="22" t="str">
        <x:f>"11349799670"</x:f>
        <x:v>11349799670</x:v>
      </x:c>
      <x:c r="X3530" s="23" t="str">
        <x:v>thalespinheiro01@icloud.com</x:v>
      </x:c>
      <x:c r="Y3530" s="22" t="str">
        <x:f>"(31)99106-5106"</x:f>
        <x:v>(31)99106-5106</x:v>
      </x:c>
      <x:c r="Z3530" s="30" t="n">
        <x:v>46492</x:v>
      </x:c>
    </x:row>
    <x:row r="3531" ht="18" customHeight="1">
      <x:c r="A3531" s="22" t="str">
        <x:f>"d5597be7-eee9-41d3-9f75-cfc5aa5046ab"</x:f>
        <x:v>d5597be7-eee9-41d3-9f75-cfc5aa5046ab</x:v>
      </x:c>
      <x:c r="B3531" s="23" t="str">
        <x:v>Thalita Silva Arena</x:v>
      </x:c>
      <x:c r="C3531" s="23" t="str">
        <x:v>thalita silva arena</x:v>
      </x:c>
      <x:c r="D3531" s="22" t="str">
        <x:f>"58.396.530/0001-80"</x:f>
        <x:v>58.396.530/0001-80</x:v>
      </x:c>
      <x:c r="E3531" s="22" t="str">
        <x:f>"58396530000180"</x:f>
        <x:v>58396530000180</x:v>
      </x:c>
      <x:c r="F3531" s="22" t="str">
        <x:f>"021.450.801-39"</x:f>
        <x:v>021.450.801-39</x:v>
      </x:c>
      <x:c r="G3531" s="22" t="str">
        <x:f>"02145080139"</x:f>
        <x:v>02145080139</x:v>
      </x:c>
      <x:c r="H3531" s="23" t="str">
        <x:v>thalita_arena@live.com</x:v>
      </x:c>
      <x:c r="I3531" s="22" t="str">
        <x:f>"65 992242096"</x:f>
        <x:v>65 992242096</x:v>
      </x:c>
      <x:c r="J3531" s="23" t="str">
        <x:v>SPOT</x:v>
      </x:c>
      <x:c r="K3531" s="23" t="str">
        <x:v>favored_only</x:v>
      </x:c>
      <x:c r="L3531" s="24" t="b">
        <x:v>1</x:v>
      </x:c>
      <x:c r="M3531" s="23" t="n">
        <x:v>1</x:v>
      </x:c>
      <x:c r="N3531" s="28" t="n">
        <x:v>46203.92186888889</x:v>
      </x:c>
      <x:c r="O3531" s="28" t="n">
        <x:v>46203.92186888889</x:v>
      </x:c>
      <x:c r="P3531" s="23" t="str"/>
      <x:c r="Q3531" s="30" t="str"/>
      <x:c r="R3531" s="22" t="str"/>
      <x:c r="S3531" s="23" t="str"/>
      <x:c r="T3531" s="22" t="str"/>
      <x:c r="U3531" s="23" t="str">
        <x:v>Thalita Silva Arena</x:v>
      </x:c>
      <x:c r="V3531" s="22" t="str">
        <x:f>"021.450.801-39"</x:f>
        <x:v>021.450.801-39</x:v>
      </x:c>
      <x:c r="W3531" s="22" t="str">
        <x:f>"02145080139"</x:f>
        <x:v>02145080139</x:v>
      </x:c>
      <x:c r="X3531" s="23" t="str">
        <x:v>thalita_arena@live.com</x:v>
      </x:c>
      <x:c r="Y3531" s="22" t="str">
        <x:f>"65 992242096"</x:f>
        <x:v>65 992242096</x:v>
      </x:c>
      <x:c r="Z3531" s="30" t="str"/>
    </x:row>
    <x:row r="3532" ht="18" customHeight="1">
      <x:c r="A3532" s="22" t="str">
        <x:f>"d99098b3-ea30-405b-bac5-8f785e5e02b3"</x:f>
        <x:v>d99098b3-ea30-405b-bac5-8f785e5e02b3</x:v>
      </x:c>
      <x:c r="B3532" s="23" t="str">
        <x:v>THALLES ALVES LAUBE SANTOS</x:v>
      </x:c>
      <x:c r="C3532" s="23" t="str">
        <x:v>thalles alves laube santos</x:v>
      </x:c>
      <x:c r="D3532" s="22" t="str">
        <x:f>"59.811.114/0001-64"</x:f>
        <x:v>59.811.114/0001-64</x:v>
      </x:c>
      <x:c r="E3532" s="22" t="str">
        <x:f>"59811114000164"</x:f>
        <x:v>59811114000164</x:v>
      </x:c>
      <x:c r="F3532" s="22" t="str">
        <x:f>"126.546.116-39"</x:f>
        <x:v>126.546.116-39</x:v>
      </x:c>
      <x:c r="G3532" s="22" t="str">
        <x:f>"12654611639"</x:f>
        <x:v>12654611639</x:v>
      </x:c>
      <x:c r="H3532" s="23" t="str">
        <x:v>laubethalles36@gmail.com</x:v>
      </x:c>
      <x:c r="I3532" s="22" t="str">
        <x:f>"(33) 99964-4107"</x:f>
        <x:v>(33) 99964-4107</x:v>
      </x:c>
      <x:c r="J3532" s="23" t="str">
        <x:v>SPOT</x:v>
      </x:c>
      <x:c r="K3532" s="23" t="str">
        <x:v>favored_only</x:v>
      </x:c>
      <x:c r="L3532" s="24" t="b">
        <x:v>1</x:v>
      </x:c>
      <x:c r="M3532" s="23" t="n">
        <x:v>1</x:v>
      </x:c>
      <x:c r="N3532" s="28" t="n">
        <x:v>46205.60394898148</x:v>
      </x:c>
      <x:c r="O3532" s="28" t="n">
        <x:v>46219.812988715275</x:v>
      </x:c>
      <x:c r="P3532" s="23" t="str">
        <x:v>TEOFILO OTONI</x:v>
      </x:c>
      <x:c r="Q3532" s="30" t="n">
        <x:v>36791</x:v>
      </x:c>
      <x:c r="R3532" s="22" t="str">
        <x:f>"18983808"</x:f>
        <x:v>18983808</x:v>
      </x:c>
      <x:c r="S3532" s="23" t="str">
        <x:v>masculino</x:v>
      </x:c>
      <x:c r="T3532" s="22" t="str">
        <x:f>"EYQ6G62"</x:f>
        <x:v>EYQ6G62</x:v>
      </x:c>
      <x:c r="U3532" s="23" t="str">
        <x:v>ANTONIO CARLOS COELHO RAMOS</x:v>
      </x:c>
      <x:c r="V3532" s="22" t="str">
        <x:f>"704.892.846-80"</x:f>
        <x:v>704.892.846-80</x:v>
      </x:c>
      <x:c r="W3532" s="22" t="str">
        <x:f>"70489284680"</x:f>
        <x:v>70489284680</x:v>
      </x:c>
      <x:c r="X3532" s="23" t="str">
        <x:v>accrto19@gmail.com</x:v>
      </x:c>
      <x:c r="Y3532" s="22" t="str">
        <x:f>"(33) 99943-0626"</x:f>
        <x:v>(33) 99943-0626</x:v>
      </x:c>
      <x:c r="Z3532" s="30" t="n">
        <x:v>46249</x:v>
      </x:c>
    </x:row>
    <x:row r="3533" ht="18" customHeight="1">
      <x:c r="A3533" s="22" t="str">
        <x:f>"e84e0b77-4fd8-40da-8be5-812a170c7a3e"</x:f>
        <x:v>e84e0b77-4fd8-40da-8be5-812a170c7a3e</x:v>
      </x:c>
      <x:c r="B3533" s="23" t="str">
        <x:v>THALLES BRENDOW SOARES DE ALMEIDA</x:v>
      </x:c>
      <x:c r="C3533" s="23" t="str">
        <x:v>thalles brendow soares de almeida</x:v>
      </x:c>
      <x:c r="D3533" s="22" t="str">
        <x:f>"63.259.547/0001-26"</x:f>
        <x:v>63.259.547/0001-26</x:v>
      </x:c>
      <x:c r="E3533" s="22" t="str">
        <x:f>"63259547000126"</x:f>
        <x:v>63259547000126</x:v>
      </x:c>
      <x:c r="F3533" s="22" t="str">
        <x:f>"143.130.186-89"</x:f>
        <x:v>143.130.186-89</x:v>
      </x:c>
      <x:c r="G3533" s="22" t="str">
        <x:f>"14313018689"</x:f>
        <x:v>14313018689</x:v>
      </x:c>
      <x:c r="H3533" s="23" t="str">
        <x:v>Thallesgames84@gmail.com</x:v>
      </x:c>
      <x:c r="I3533" s="22" t="str">
        <x:f>"31995148662"</x:f>
        <x:v>31995148662</x:v>
      </x:c>
      <x:c r="J3533" s="23" t="str">
        <x:v>SPOT</x:v>
      </x:c>
      <x:c r="K3533" s="23" t="str">
        <x:v>favored_only</x:v>
      </x:c>
      <x:c r="L3533" s="24" t="b">
        <x:v>1</x:v>
      </x:c>
      <x:c r="M3533" s="23" t="n">
        <x:v>1</x:v>
      </x:c>
      <x:c r="N3533" s="28" t="n">
        <x:v>46203.92191240741</x:v>
      </x:c>
      <x:c r="O3533" s="28" t="n">
        <x:v>46205.60886428241</x:v>
      </x:c>
      <x:c r="P3533" s="23" t="str">
        <x:v>VESPASIANO</x:v>
      </x:c>
      <x:c r="Q3533" s="30" t="n">
        <x:v>36029</x:v>
      </x:c>
      <x:c r="R3533" s="22" t="str">
        <x:f>"20747223"</x:f>
        <x:v>20747223</x:v>
      </x:c>
      <x:c r="S3533" s="23" t="str">
        <x:v>Masculino</x:v>
      </x:c>
      <x:c r="T3533" s="22" t="str">
        <x:f>"RFC2C32"</x:f>
        <x:v>RFC2C32</x:v>
      </x:c>
      <x:c r="U3533" s="23" t="str">
        <x:v>THALLES BRENDOW SOARES DE ALMEIDA</x:v>
      </x:c>
      <x:c r="V3533" s="22" t="str">
        <x:f>"14314018689"</x:f>
        <x:v>14314018689</x:v>
      </x:c>
      <x:c r="W3533" s="22" t="str">
        <x:f>"14314018689"</x:f>
        <x:v>14314018689</x:v>
      </x:c>
      <x:c r="X3533" s="23" t="str">
        <x:v>Thallesgames84@gmail.com</x:v>
      </x:c>
      <x:c r="Y3533" s="22" t="str">
        <x:f>"31995148662"</x:f>
        <x:v>31995148662</x:v>
      </x:c>
      <x:c r="Z3533" s="30" t="n">
        <x:v>46203</x:v>
      </x:c>
    </x:row>
    <x:row r="3534" ht="18" customHeight="1">
      <x:c r="A3534" s="22" t="str">
        <x:f>"4b3b5c58-0079-4d1b-9ffd-c577c9963b91"</x:f>
        <x:v>4b3b5c58-0079-4d1b-9ffd-c577c9963b91</x:v>
      </x:c>
      <x:c r="B3534" s="23" t="str">
        <x:v>THALLES MARTINS SILVA</x:v>
      </x:c>
      <x:c r="C3534" s="23" t="str">
        <x:v>thalles martins silva</x:v>
      </x:c>
      <x:c r="D3534" s="22" t="str">
        <x:f>"63.435.030/0001-40"</x:f>
        <x:v>63.435.030/0001-40</x:v>
      </x:c>
      <x:c r="E3534" s="22" t="str">
        <x:f>"63435030000140"</x:f>
        <x:v>63435030000140</x:v>
      </x:c>
      <x:c r="F3534" s="22" t="str">
        <x:f>"471.114.598-22"</x:f>
        <x:v>471.114.598-22</x:v>
      </x:c>
      <x:c r="G3534" s="22" t="str">
        <x:f>"47111459822"</x:f>
        <x:v>47111459822</x:v>
      </x:c>
      <x:c r="H3534" s="23" t="str">
        <x:v>thallesmartinssilva02@gmail.com</x:v>
      </x:c>
      <x:c r="I3534" s="22" t="str">
        <x:f>"11 942599686"</x:f>
        <x:v>11 942599686</x:v>
      </x:c>
      <x:c r="J3534" s="23" t="str">
        <x:v>RENTAL</x:v>
      </x:c>
      <x:c r="K3534" s="23" t="str">
        <x:v>rental_company</x:v>
      </x:c>
      <x:c r="L3534" s="24" t="b">
        <x:v>1</x:v>
      </x:c>
      <x:c r="M3534" s="23" t="n">
        <x:v>1</x:v>
      </x:c>
      <x:c r="N3534" s="28" t="n">
        <x:v>46203.921887453704</x:v>
      </x:c>
      <x:c r="O3534" s="28" t="n">
        <x:v>46219.812988715275</x:v>
      </x:c>
      <x:c r="P3534" s="23" t="str">
        <x:v>MADEIRA MADEIRA</x:v>
      </x:c>
      <x:c r="Q3534" s="30" t="n">
        <x:v>36164</x:v>
      </x:c>
      <x:c r="R3534" s="22" t="str">
        <x:f>"444894172"</x:f>
        <x:v>444894172</x:v>
      </x:c>
      <x:c r="S3534" s="23" t="str">
        <x:v>masculino</x:v>
      </x:c>
      <x:c r="T3534" s="22" t="str"/>
      <x:c r="U3534" s="23" t="str">
        <x:v>THALLES MARTINS SILVA</x:v>
      </x:c>
      <x:c r="V3534" s="22" t="str">
        <x:f>"471.114.598-22"</x:f>
        <x:v>471.114.598-22</x:v>
      </x:c>
      <x:c r="W3534" s="22" t="str">
        <x:f>"47111459822"</x:f>
        <x:v>47111459822</x:v>
      </x:c>
      <x:c r="X3534" s="23" t="str">
        <x:v>thallesmartinssilva02@gmail.com</x:v>
      </x:c>
      <x:c r="Y3534" s="22" t="str">
        <x:f>"11 942599686"</x:f>
        <x:v>11 942599686</x:v>
      </x:c>
      <x:c r="Z3534" s="30" t="n">
        <x:v>46325</x:v>
      </x:c>
    </x:row>
    <x:row r="3535" ht="18" customHeight="1">
      <x:c r="A3535" s="22" t="str">
        <x:f>"f2e835c5-95c9-4560-a8eb-efdece3bf2eb"</x:f>
        <x:v>f2e835c5-95c9-4560-a8eb-efdece3bf2eb</x:v>
      </x:c>
      <x:c r="B3535" s="23" t="str">
        <x:v>Thalys Varella</x:v>
      </x:c>
      <x:c r="C3535" s="23" t="str">
        <x:v>thalys varella</x:v>
      </x:c>
      <x:c r="D3535" s="22" t="str">
        <x:f>"37.823.997/0001-90"</x:f>
        <x:v>37.823.997/0001-90</x:v>
      </x:c>
      <x:c r="E3535" s="22" t="str">
        <x:f>"37823997000190"</x:f>
        <x:v>37823997000190</x:v>
      </x:c>
      <x:c r="F3535" s="22" t="str">
        <x:f>"052.262.811-70"</x:f>
        <x:v>052.262.811-70</x:v>
      </x:c>
      <x:c r="G3535" s="22" t="str">
        <x:f>"05226281170"</x:f>
        <x:v>05226281170</x:v>
      </x:c>
      <x:c r="H3535" s="23" t="str">
        <x:v>thalysitalia@gmail.com</x:v>
      </x:c>
      <x:c r="I3535" s="22" t="str">
        <x:f>"99637-1944"</x:f>
        <x:v>99637-1944</x:v>
      </x:c>
      <x:c r="J3535" s="23" t="str">
        <x:v>SPOT</x:v>
      </x:c>
      <x:c r="K3535" s="23" t="str">
        <x:v>favored_only</x:v>
      </x:c>
      <x:c r="L3535" s="24" t="b">
        <x:v>1</x:v>
      </x:c>
      <x:c r="M3535" s="23" t="n">
        <x:v>1</x:v>
      </x:c>
      <x:c r="N3535" s="28" t="n">
        <x:v>46205.60335415509</x:v>
      </x:c>
      <x:c r="O3535" s="28" t="n">
        <x:v>46205.604898935184</x:v>
      </x:c>
      <x:c r="P3535" s="23" t="str">
        <x:v>GOIANIA</x:v>
      </x:c>
      <x:c r="Q3535" s="30" t="n">
        <x:v>35277</x:v>
      </x:c>
      <x:c r="R3535" s="22" t="str">
        <x:f>"5988615"</x:f>
        <x:v>5988615</x:v>
      </x:c>
      <x:c r="S3535" s="23" t="str">
        <x:v>Masculino</x:v>
      </x:c>
      <x:c r="T3535" s="22" t="str">
        <x:f>"OGW-3I33"</x:f>
        <x:v>OGW-3I33</x:v>
      </x:c>
      <x:c r="U3535" s="23" t="str">
        <x:v>Danillo Baciel Almeida</x:v>
      </x:c>
      <x:c r="V3535" s="22" t="str">
        <x:f>"37.823.997/0001-90"</x:f>
        <x:v>37.823.997/0001-90</x:v>
      </x:c>
      <x:c r="W3535" s="22" t="str">
        <x:f>"37823997000190"</x:f>
        <x:v>37823997000190</x:v>
      </x:c>
      <x:c r="X3535" s="23" t="str">
        <x:v>rpt.cargas@gmail.com</x:v>
      </x:c>
      <x:c r="Y3535" s="22" t="str">
        <x:f>"62 996610607"</x:f>
        <x:v>62 996610607</x:v>
      </x:c>
      <x:c r="Z3535" s="30" t="n">
        <x:v>46217</x:v>
      </x:c>
    </x:row>
    <x:row r="3536" ht="18" customHeight="1">
      <x:c r="A3536" s="22" t="str">
        <x:f>"2bb4d6eb-ebae-4086-b3d4-390fe470c33b"</x:f>
        <x:v>2bb4d6eb-ebae-4086-b3d4-390fe470c33b</x:v>
      </x:c>
      <x:c r="B3536" s="23" t="str">
        <x:v>THAMIRES FERREIRA GONCALVES GARCIA</x:v>
      </x:c>
      <x:c r="C3536" s="23" t="str">
        <x:v>thamires ferreira goncalves garcia</x:v>
      </x:c>
      <x:c r="D3536" s="22" t="str">
        <x:f>"51.964.698/0001-04"</x:f>
        <x:v>51.964.698/0001-04</x:v>
      </x:c>
      <x:c r="E3536" s="22" t="str">
        <x:f>"51964698000104"</x:f>
        <x:v>51964698000104</x:v>
      </x:c>
      <x:c r="F3536" s="22" t="str">
        <x:f>"136.440.807-47"</x:f>
        <x:v>136.440.807-47</x:v>
      </x:c>
      <x:c r="G3536" s="22" t="str">
        <x:f>"13644080747"</x:f>
        <x:v>13644080747</x:v>
      </x:c>
      <x:c r="H3536" s="23" t="str">
        <x:v>thamiresfgg@hotmail.com</x:v>
      </x:c>
      <x:c r="I3536" s="22" t="str">
        <x:f>"21975294015"</x:f>
        <x:v>21975294015</x:v>
      </x:c>
      <x:c r="J3536" s="23" t="str">
        <x:v>SPOT</x:v>
      </x:c>
      <x:c r="K3536" s="23" t="str">
        <x:v>favored_only</x:v>
      </x:c>
      <x:c r="L3536" s="24" t="b">
        <x:v>1</x:v>
      </x:c>
      <x:c r="M3536" s="23" t="n">
        <x:v>1</x:v>
      </x:c>
      <x:c r="N3536" s="28" t="n">
        <x:v>46219.812988715275</x:v>
      </x:c>
      <x:c r="O3536" s="28" t="n">
        <x:v>46219.812988715275</x:v>
      </x:c>
      <x:c r="P3536" s="23" t="str">
        <x:v>CORDOVIL</x:v>
      </x:c>
      <x:c r="Q3536" s="30" t="n">
        <x:v>34692</x:v>
      </x:c>
      <x:c r="R3536" s="22" t="str">
        <x:f>"66291S177"</x:f>
        <x:v>66291S177</x:v>
      </x:c>
      <x:c r="S3536" s="23" t="str">
        <x:v>masculino</x:v>
      </x:c>
      <x:c r="T3536" s="22" t="str">
        <x:f>"KYK9305"</x:f>
        <x:v>KYK9305</x:v>
      </x:c>
      <x:c r="U3536" s="23" t="str">
        <x:v>THAMIRES FERREIRA GONCALVES GARCIA</x:v>
      </x:c>
      <x:c r="V3536" s="22" t="str">
        <x:f>"136.440.807-47"</x:f>
        <x:v>136.440.807-47</x:v>
      </x:c>
      <x:c r="W3536" s="22" t="str">
        <x:f>"13644080747"</x:f>
        <x:v>13644080747</x:v>
      </x:c>
      <x:c r="X3536" s="23" t="str">
        <x:v>thamiresfgg@hotmail.com</x:v>
      </x:c>
      <x:c r="Y3536" s="22" t="str">
        <x:f>"21975294015"</x:f>
        <x:v>21975294015</x:v>
      </x:c>
      <x:c r="Z3536" s="30" t="n">
        <x:v>46464</x:v>
      </x:c>
    </x:row>
    <x:row r="3537" ht="18" customHeight="1">
      <x:c r="A3537" s="22" t="str">
        <x:f>"87ab1403-70e2-4542-8689-a0baa278066a"</x:f>
        <x:v>87ab1403-70e2-4542-8689-a0baa278066a</x:v>
      </x:c>
      <x:c r="B3537" s="23" t="str">
        <x:v>THARCIA SERPA E SOUZA DE AQUINO</x:v>
      </x:c>
      <x:c r="C3537" s="23" t="str">
        <x:v>tharcia serpa e souza de aquino</x:v>
      </x:c>
      <x:c r="D3537" s="22" t="str">
        <x:f>"64.230.366/0001-30"</x:f>
        <x:v>64.230.366/0001-30</x:v>
      </x:c>
      <x:c r="E3537" s="22" t="str">
        <x:f>"64230366000130"</x:f>
        <x:v>64230366000130</x:v>
      </x:c>
      <x:c r="F3537" s="22" t="str">
        <x:f>"130.754.777-02"</x:f>
        <x:v>130.754.777-02</x:v>
      </x:c>
      <x:c r="G3537" s="22" t="str">
        <x:f>"13075477702"</x:f>
        <x:v>13075477702</x:v>
      </x:c>
      <x:c r="H3537" s="23" t="str">
        <x:v>tharciasouza@gmail.com</x:v>
      </x:c>
      <x:c r="I3537" s="22" t="str">
        <x:f>"21979090139"</x:f>
        <x:v>21979090139</x:v>
      </x:c>
      <x:c r="J3537" s="23" t="str">
        <x:v>SPOT</x:v>
      </x:c>
      <x:c r="K3537" s="23" t="str">
        <x:v>favored_only</x:v>
      </x:c>
      <x:c r="L3537" s="24" t="b">
        <x:v>1</x:v>
      </x:c>
      <x:c r="M3537" s="23" t="n">
        <x:v>1</x:v>
      </x:c>
      <x:c r="N3537" s="28" t="n">
        <x:v>46219.812988715275</x:v>
      </x:c>
      <x:c r="O3537" s="28" t="n">
        <x:v>46219.812988715275</x:v>
      </x:c>
      <x:c r="P3537" s="23" t="str">
        <x:v>CAMPO GRANDE</x:v>
      </x:c>
      <x:c r="Q3537" s="30" t="n">
        <x:v>33632</x:v>
      </x:c>
      <x:c r="R3537" s="22" t="str">
        <x:f>"246223929"</x:f>
        <x:v>246223929</x:v>
      </x:c>
      <x:c r="S3537" s="23" t="str">
        <x:v>feminino</x:v>
      </x:c>
      <x:c r="T3537" s="22" t="str">
        <x:f>"KRQ6465"</x:f>
        <x:v>KRQ6465</x:v>
      </x:c>
      <x:c r="U3537" s="23" t="str">
        <x:v>THARCIA SERPA E SOUZA DE AQUINO</x:v>
      </x:c>
      <x:c r="V3537" s="22" t="str">
        <x:f>"130.754.777-02"</x:f>
        <x:v>130.754.777-02</x:v>
      </x:c>
      <x:c r="W3537" s="22" t="str">
        <x:f>"13075477702"</x:f>
        <x:v>13075477702</x:v>
      </x:c>
      <x:c r="X3537" s="23" t="str">
        <x:v>tharciasouza@gmail.com</x:v>
      </x:c>
      <x:c r="Y3537" s="22" t="str">
        <x:f>"21979090139"</x:f>
        <x:v>21979090139</x:v>
      </x:c>
      <x:c r="Z3537" s="30" t="n">
        <x:v>46492</x:v>
      </x:c>
    </x:row>
    <x:row r="3538" ht="18" customHeight="1">
      <x:c r="A3538" s="22" t="str">
        <x:f>"af7f7f12-41a1-431d-a600-4bdb3f15eb6f"</x:f>
        <x:v>af7f7f12-41a1-431d-a600-4bdb3f15eb6f</x:v>
      </x:c>
      <x:c r="B3538" s="23" t="str">
        <x:v>THAUA GOMES SANTOS</x:v>
      </x:c>
      <x:c r="C3538" s="23" t="str">
        <x:v>thaua gomes santos</x:v>
      </x:c>
      <x:c r="D3538" s="22" t="str">
        <x:f>"64.379.404/0001-10"</x:f>
        <x:v>64.379.404/0001-10</x:v>
      </x:c>
      <x:c r="E3538" s="22" t="str">
        <x:f>"64379404000110"</x:f>
        <x:v>64379404000110</x:v>
      </x:c>
      <x:c r="F3538" s="22" t="str">
        <x:f>"587.104.948-63"</x:f>
        <x:v>587.104.948-63</x:v>
      </x:c>
      <x:c r="G3538" s="22" t="str">
        <x:f>"58710494863"</x:f>
        <x:v>58710494863</x:v>
      </x:c>
      <x:c r="H3538" s="23" t="str">
        <x:v>thauagomes6@gmail.com</x:v>
      </x:c>
      <x:c r="I3538" s="22" t="str">
        <x:f>"16997424533"</x:f>
        <x:v>16997424533</x:v>
      </x:c>
      <x:c r="J3538" s="23" t="str">
        <x:v>RENTAL</x:v>
      </x:c>
      <x:c r="K3538" s="23" t="str">
        <x:v>rental_company</x:v>
      </x:c>
      <x:c r="L3538" s="24" t="b">
        <x:v>1</x:v>
      </x:c>
      <x:c r="M3538" s="23" t="n">
        <x:v>1</x:v>
      </x:c>
      <x:c r="N3538" s="28" t="n">
        <x:v>46219.812988715275</x:v>
      </x:c>
      <x:c r="O3538" s="28" t="n">
        <x:v>46219.812988715275</x:v>
      </x:c>
      <x:c r="P3538" s="23" t="str">
        <x:v>SÃO CARLOS</x:v>
      </x:c>
      <x:c r="Q3538" s="30" t="n">
        <x:v>37928</x:v>
      </x:c>
      <x:c r="R3538" s="22" t="str">
        <x:f>"595843311"</x:f>
        <x:v>595843311</x:v>
      </x:c>
      <x:c r="S3538" s="23" t="str">
        <x:v>masculino</x:v>
      </x:c>
      <x:c r="T3538" s="22" t="str"/>
      <x:c r="U3538" s="23" t="str">
        <x:v>THAUA GOMES SANTOS</x:v>
      </x:c>
      <x:c r="V3538" s="22" t="str">
        <x:f>"587.104.948-63"</x:f>
        <x:v>587.104.948-63</x:v>
      </x:c>
      <x:c r="W3538" s="22" t="str">
        <x:f>"58710494863"</x:f>
        <x:v>58710494863</x:v>
      </x:c>
      <x:c r="X3538" s="23" t="str">
        <x:v>thauagomes6@gmail.com</x:v>
      </x:c>
      <x:c r="Y3538" s="22" t="str">
        <x:f>"16997424533"</x:f>
        <x:v>16997424533</x:v>
      </x:c>
      <x:c r="Z3538" s="30" t="n">
        <x:v>46567</x:v>
      </x:c>
    </x:row>
    <x:row r="3539" ht="18" customHeight="1">
      <x:c r="A3539" s="22" t="str">
        <x:f>"b6ac453f-aee0-4a75-9d47-82f60b335147"</x:f>
        <x:v>b6ac453f-aee0-4a75-9d47-82f60b335147</x:v>
      </x:c>
      <x:c r="B3539" s="23" t="str">
        <x:v>THAYLAN NERES ESTEVAM</x:v>
      </x:c>
      <x:c r="C3539" s="23" t="str">
        <x:v>thaylan neres estevam</x:v>
      </x:c>
      <x:c r="D3539" s="22" t="str">
        <x:f>"58.661.437/0001-56"</x:f>
        <x:v>58.661.437/0001-56</x:v>
      </x:c>
      <x:c r="E3539" s="22" t="str">
        <x:f>"58661437000156"</x:f>
        <x:v>58661437000156</x:v>
      </x:c>
      <x:c r="F3539" s="22" t="str">
        <x:f>"018.640.616-93"</x:f>
        <x:v>018.640.616-93</x:v>
      </x:c>
      <x:c r="G3539" s="22" t="str">
        <x:f>"01864061693"</x:f>
        <x:v>01864061693</x:v>
      </x:c>
      <x:c r="H3539" s="23" t="str">
        <x:v>thaylanneres@hotmail.com</x:v>
      </x:c>
      <x:c r="I3539" s="22" t="str">
        <x:f>"31983872285"</x:f>
        <x:v>31983872285</x:v>
      </x:c>
      <x:c r="J3539" s="23" t="str">
        <x:v>RENTAL</x:v>
      </x:c>
      <x:c r="K3539" s="23" t="str">
        <x:v>rental_company</x:v>
      </x:c>
      <x:c r="L3539" s="24" t="b">
        <x:v>1</x:v>
      </x:c>
      <x:c r="M3539" s="23" t="n">
        <x:v>1</x:v>
      </x:c>
      <x:c r="N3539" s="28" t="n">
        <x:v>46203.921824756944</x:v>
      </x:c>
      <x:c r="O3539" s="28" t="n">
        <x:v>46219.812988715275</x:v>
      </x:c>
      <x:c r="P3539" s="23" t="str">
        <x:v>CONTAGEM</x:v>
      </x:c>
      <x:c r="Q3539" s="30" t="n">
        <x:v>35127</x:v>
      </x:c>
      <x:c r="R3539" s="22" t="str">
        <x:f>"18439790"</x:f>
        <x:v>18439790</x:v>
      </x:c>
      <x:c r="S3539" s="23" t="str">
        <x:v>masculino</x:v>
      </x:c>
      <x:c r="T3539" s="22" t="str"/>
      <x:c r="U3539" s="23" t="str">
        <x:v>THAYLAN NERES ESTEVAM</x:v>
      </x:c>
      <x:c r="V3539" s="22" t="str">
        <x:f>"018.640.616-93"</x:f>
        <x:v>018.640.616-93</x:v>
      </x:c>
      <x:c r="W3539" s="22" t="str">
        <x:f>"01864061693"</x:f>
        <x:v>01864061693</x:v>
      </x:c>
      <x:c r="X3539" s="23" t="str">
        <x:v>thaylanneres@hotmail.com</x:v>
      </x:c>
      <x:c r="Y3539" s="22" t="str">
        <x:f>"31983872285"</x:f>
        <x:v>31983872285</x:v>
      </x:c>
      <x:c r="Z3539" s="30" t="n">
        <x:v>46375</x:v>
      </x:c>
    </x:row>
    <x:row r="3540" ht="18" customHeight="1">
      <x:c r="A3540" s="22" t="str">
        <x:f>"41a18b2d-758e-423e-a090-41c01a45dbf1"</x:f>
        <x:v>41a18b2d-758e-423e-a090-41c01a45dbf1</x:v>
      </x:c>
      <x:c r="B3540" s="23" t="str">
        <x:v>THAYMMY PARAGUACU DO AMARAL SANTOS</x:v>
      </x:c>
      <x:c r="C3540" s="23" t="str">
        <x:v>thaymmy paraguacu do amaral santos</x:v>
      </x:c>
      <x:c r="D3540" s="22" t="str">
        <x:f>"47.499.478/0001-71"</x:f>
        <x:v>47.499.478/0001-71</x:v>
      </x:c>
      <x:c r="E3540" s="22" t="str">
        <x:f>"47499478000171"</x:f>
        <x:v>47499478000171</x:v>
      </x:c>
      <x:c r="F3540" s="22" t="str">
        <x:f>"068.777.076-99"</x:f>
        <x:v>068.777.076-99</x:v>
      </x:c>
      <x:c r="G3540" s="22" t="str">
        <x:f>"06877707699"</x:f>
        <x:v>06877707699</x:v>
      </x:c>
      <x:c r="H3540" s="23" t="str">
        <x:v>santosthaymmy@gmail.com</x:v>
      </x:c>
      <x:c r="I3540" s="22" t="str">
        <x:f>"31990618273"</x:f>
        <x:v>31990618273</x:v>
      </x:c>
      <x:c r="J3540" s="23" t="str">
        <x:v>SPOT</x:v>
      </x:c>
      <x:c r="K3540" s="23" t="str">
        <x:v>favored_only</x:v>
      </x:c>
      <x:c r="L3540" s="24" t="b">
        <x:v>1</x:v>
      </x:c>
      <x:c r="M3540" s="23" t="n">
        <x:v>1</x:v>
      </x:c>
      <x:c r="N3540" s="28" t="n">
        <x:v>46203.921858726855</x:v>
      </x:c>
      <x:c r="O3540" s="28" t="n">
        <x:v>46219.812988715275</x:v>
      </x:c>
      <x:c r="P3540" s="23" t="str">
        <x:v>CONTAGEM</x:v>
      </x:c>
      <x:c r="Q3540" s="30" t="n">
        <x:v>30507</x:v>
      </x:c>
      <x:c r="R3540" s="22" t="str">
        <x:f>"10138203"</x:f>
        <x:v>10138203</x:v>
      </x:c>
      <x:c r="S3540" s="23" t="str">
        <x:v>feminino</x:v>
      </x:c>
      <x:c r="T3540" s="22" t="str">
        <x:f>"QOC6J33"</x:f>
        <x:v>QOC6J33</x:v>
      </x:c>
      <x:c r="U3540" s="23" t="str">
        <x:v>THAYMMY PARAGUACU DO AMARAL SANTOS</x:v>
      </x:c>
      <x:c r="V3540" s="22" t="str">
        <x:f>"068.777.076-99"</x:f>
        <x:v>068.777.076-99</x:v>
      </x:c>
      <x:c r="W3540" s="22" t="str">
        <x:f>"06877707699"</x:f>
        <x:v>06877707699</x:v>
      </x:c>
      <x:c r="X3540" s="23" t="str">
        <x:v>santosthaymmy@gmail.com</x:v>
      </x:c>
      <x:c r="Y3540" s="22" t="str">
        <x:f>"31990618273"</x:f>
        <x:v>31990618273</x:v>
      </x:c>
      <x:c r="Z3540" s="30" t="n">
        <x:v>46260</x:v>
      </x:c>
    </x:row>
    <x:row r="3541" ht="18" customHeight="1">
      <x:c r="A3541" s="22" t="str">
        <x:f>"0772e893-99f0-4f2e-8b42-880abc982760"</x:f>
        <x:v>0772e893-99f0-4f2e-8b42-880abc982760</x:v>
      </x:c>
      <x:c r="B3541" s="23" t="str">
        <x:v>THAYNA DA CONCEICAO PRATA</x:v>
      </x:c>
      <x:c r="C3541" s="23" t="str">
        <x:v>thayna da conceicao prata</x:v>
      </x:c>
      <x:c r="D3541" s="22" t="str">
        <x:f>"58.743.937/0001-37"</x:f>
        <x:v>58.743.937/0001-37</x:v>
      </x:c>
      <x:c r="E3541" s="22" t="str">
        <x:f>"58743937000137"</x:f>
        <x:v>58743937000137</x:v>
      </x:c>
      <x:c r="F3541" s="22" t="str">
        <x:f>"160.016.707-14"</x:f>
        <x:v>160.016.707-14</x:v>
      </x:c>
      <x:c r="G3541" s="22" t="str">
        <x:f>"16001670714"</x:f>
        <x:v>16001670714</x:v>
      </x:c>
      <x:c r="H3541" s="23" t="str">
        <x:v>thaynaprataa@gmail.com</x:v>
      </x:c>
      <x:c r="I3541" s="22" t="str">
        <x:f>"11947076986"</x:f>
        <x:v>11947076986</x:v>
      </x:c>
      <x:c r="J3541" s="23" t="str">
        <x:v>SPOT</x:v>
      </x:c>
      <x:c r="K3541" s="23" t="str">
        <x:v>favored_only</x:v>
      </x:c>
      <x:c r="L3541" s="24" t="b">
        <x:v>1</x:v>
      </x:c>
      <x:c r="M3541" s="23" t="n">
        <x:v>1</x:v>
      </x:c>
      <x:c r="N3541" s="28" t="n">
        <x:v>46219.812988715275</x:v>
      </x:c>
      <x:c r="O3541" s="28" t="n">
        <x:v>46219.812988715275</x:v>
      </x:c>
      <x:c r="P3541" s="23" t="str">
        <x:v>ITABORAI</x:v>
      </x:c>
      <x:c r="Q3541" s="30" t="n">
        <x:v>34817</x:v>
      </x:c>
      <x:c r="R3541" s="22" t="str">
        <x:f>"288285174"</x:f>
        <x:v>288285174</x:v>
      </x:c>
      <x:c r="S3541" s="23" t="str">
        <x:v>feminino</x:v>
      </x:c>
      <x:c r="T3541" s="22" t="str">
        <x:f>"TBP8A63"</x:f>
        <x:v>TBP8A63</x:v>
      </x:c>
      <x:c r="U3541" s="23" t="str">
        <x:v>THAYNA DA CONCEICAO PRATA</x:v>
      </x:c>
      <x:c r="V3541" s="22" t="str">
        <x:f>"160.016.707-14"</x:f>
        <x:v>160.016.707-14</x:v>
      </x:c>
      <x:c r="W3541" s="22" t="str">
        <x:f>"16001670714"</x:f>
        <x:v>16001670714</x:v>
      </x:c>
      <x:c r="X3541" s="23" t="str">
        <x:v>thaynaprataa@gmail.com</x:v>
      </x:c>
      <x:c r="Y3541" s="22" t="str">
        <x:f>"11947076986"</x:f>
        <x:v>11947076986</x:v>
      </x:c>
      <x:c r="Z3541" s="30" t="n">
        <x:v>46572</x:v>
      </x:c>
    </x:row>
    <x:row r="3542" ht="18" customHeight="1">
      <x:c r="A3542" s="22" t="str">
        <x:f>"2d97bbe4-0962-4498-b025-ac797c1d7574"</x:f>
        <x:v>2d97bbe4-0962-4498-b025-ac797c1d7574</x:v>
      </x:c>
      <x:c r="B3542" s="23" t="str">
        <x:v>THAYSSA ARANTES DIONIZIO</x:v>
      </x:c>
      <x:c r="C3542" s="23" t="str">
        <x:v>thayssa arantes dionizio</x:v>
      </x:c>
      <x:c r="D3542" s="22" t="str">
        <x:f>"25.421.144/0001-42"</x:f>
        <x:v>25.421.144/0001-42</x:v>
      </x:c>
      <x:c r="E3542" s="22" t="str">
        <x:f>"25421144000142"</x:f>
        <x:v>25421144000142</x:v>
      </x:c>
      <x:c r="F3542" s="22" t="str">
        <x:f>"159.977.686-35"</x:f>
        <x:v>159.977.686-35</x:v>
      </x:c>
      <x:c r="G3542" s="22" t="str">
        <x:f>"15997768635"</x:f>
        <x:v>15997768635</x:v>
      </x:c>
      <x:c r="H3542" s="23" t="str">
        <x:v>thayssaarantes500@gmail.com</x:v>
      </x:c>
      <x:c r="I3542" s="22" t="str">
        <x:f>"(35) 99889-8775"</x:f>
        <x:v>(35) 99889-8775</x:v>
      </x:c>
      <x:c r="J3542" s="23" t="str">
        <x:v>SPOT</x:v>
      </x:c>
      <x:c r="K3542" s="23" t="str">
        <x:v>favored_only</x:v>
      </x:c>
      <x:c r="L3542" s="24" t="b">
        <x:v>1</x:v>
      </x:c>
      <x:c r="M3542" s="23" t="n">
        <x:v>1</x:v>
      </x:c>
      <x:c r="N3542" s="28" t="n">
        <x:v>46219.812988715275</x:v>
      </x:c>
      <x:c r="O3542" s="28" t="n">
        <x:v>46219.812988715275</x:v>
      </x:c>
      <x:c r="P3542" s="23" t="str">
        <x:v>POUSO ALEGRE</x:v>
      </x:c>
      <x:c r="Q3542" s="30" t="n">
        <x:v>37626</x:v>
      </x:c>
      <x:c r="R3542" s="22" t="str">
        <x:f>"17851790 SSP MG"</x:f>
        <x:v>17851790 SSP MG</x:v>
      </x:c>
      <x:c r="S3542" s="23" t="str">
        <x:v>feminino</x:v>
      </x:c>
      <x:c r="T3542" s="22" t="str">
        <x:f>"QHY1B73"</x:f>
        <x:v>QHY1B73</x:v>
      </x:c>
      <x:c r="U3542" s="23" t="str">
        <x:v>THAYSSA ARANTES DIONIZIO</x:v>
      </x:c>
      <x:c r="V3542" s="22" t="str">
        <x:f>"159.977.686-35"</x:f>
        <x:v>159.977.686-35</x:v>
      </x:c>
      <x:c r="W3542" s="22" t="str">
        <x:f>"15997768635"</x:f>
        <x:v>15997768635</x:v>
      </x:c>
      <x:c r="X3542" s="23" t="str">
        <x:v>thayssaarantes500@gmail.com</x:v>
      </x:c>
      <x:c r="Y3542" s="22" t="str">
        <x:f>"(35) 99889-8775"</x:f>
        <x:v>(35) 99889-8775</x:v>
      </x:c>
      <x:c r="Z3542" s="30" t="n">
        <x:v>46414</x:v>
      </x:c>
    </x:row>
    <x:row r="3543" ht="18" customHeight="1">
      <x:c r="A3543" s="22" t="str">
        <x:f>"e1d8aac2-1260-4393-a424-b4c5fd7b2656"</x:f>
        <x:v>e1d8aac2-1260-4393-a424-b4c5fd7b2656</x:v>
      </x:c>
      <x:c r="B3543" s="23" t="str">
        <x:v>THELIO HRNRIQUE SANTOS DA SILVA</x:v>
      </x:c>
      <x:c r="C3543" s="23" t="str">
        <x:v>thelio hrnrique santos da silva</x:v>
      </x:c>
      <x:c r="D3543" s="22" t="str">
        <x:f>"61.965.311/0001-80"</x:f>
        <x:v>61.965.311/0001-80</x:v>
      </x:c>
      <x:c r="E3543" s="22" t="str">
        <x:f>"61965311000180"</x:f>
        <x:v>61965311000180</x:v>
      </x:c>
      <x:c r="F3543" s="22" t="str">
        <x:f>"403.073.268-29"</x:f>
        <x:v>403.073.268-29</x:v>
      </x:c>
      <x:c r="G3543" s="22" t="str">
        <x:f>"40307326829"</x:f>
        <x:v>40307326829</x:v>
      </x:c>
      <x:c r="H3543" s="23" t="str">
        <x:v>theliohsilva@gmai.com</x:v>
      </x:c>
      <x:c r="I3543" s="22" t="str">
        <x:f>"(12)99614-9888"</x:f>
        <x:v>(12)99614-9888</x:v>
      </x:c>
      <x:c r="J3543" s="23" t="str">
        <x:v>RENTAL</x:v>
      </x:c>
      <x:c r="K3543" s="23" t="str">
        <x:v>rental_company</x:v>
      </x:c>
      <x:c r="L3543" s="24" t="b">
        <x:v>1</x:v>
      </x:c>
      <x:c r="M3543" s="23" t="n">
        <x:v>1</x:v>
      </x:c>
      <x:c r="N3543" s="28" t="n">
        <x:v>46203.92184908565</x:v>
      </x:c>
      <x:c r="O3543" s="28" t="n">
        <x:v>46205.60519565972</x:v>
      </x:c>
      <x:c r="P3543" s="23" t="str">
        <x:v>POUSO ALEGRE</x:v>
      </x:c>
      <x:c r="Q3543" s="30" t="n">
        <x:v>32897</x:v>
      </x:c>
      <x:c r="R3543" s="22" t="str">
        <x:f>"478787923 SSP SP"</x:f>
        <x:v>478787923 SSP SP</x:v>
      </x:c>
      <x:c r="S3543" s="23" t="str">
        <x:v>Masculino</x:v>
      </x:c>
      <x:c r="T3543" s="22" t="str"/>
      <x:c r="U3543" s="23" t="str">
        <x:v>THELIO HRNRIQUE SANTOS DA SILVA</x:v>
      </x:c>
      <x:c r="V3543" s="22" t="str">
        <x:f>"403.073.268-29"</x:f>
        <x:v>403.073.268-29</x:v>
      </x:c>
      <x:c r="W3543" s="22" t="str">
        <x:f>"40307326829"</x:f>
        <x:v>40307326829</x:v>
      </x:c>
      <x:c r="X3543" s="23" t="str">
        <x:v>theliohsilva@gmai.com</x:v>
      </x:c>
      <x:c r="Y3543" s="22" t="str">
        <x:f>"(12)99614-9888"</x:f>
        <x:v>(12)99614-9888</x:v>
      </x:c>
      <x:c r="Z3543" s="30" t="n">
        <x:v>46232</x:v>
      </x:c>
    </x:row>
    <x:row r="3544" ht="18" customHeight="1">
      <x:c r="A3544" s="22" t="str">
        <x:f>"91860469-5d07-4c9e-806c-96d451bcadbf"</x:f>
        <x:v>91860469-5d07-4c9e-806c-96d451bcadbf</x:v>
      </x:c>
      <x:c r="B3544" s="23" t="str">
        <x:v>THELLYS PATRIK DE DEUS SILVA</x:v>
      </x:c>
      <x:c r="C3544" s="23" t="str">
        <x:v>thellys patrik de deus silva</x:v>
      </x:c>
      <x:c r="D3544" s="22" t="str">
        <x:f>"46.624.116/0001-00"</x:f>
        <x:v>46.624.116/0001-00</x:v>
      </x:c>
      <x:c r="E3544" s="22" t="str">
        <x:f>"46624116000100"</x:f>
        <x:v>46624116000100</x:v>
      </x:c>
      <x:c r="F3544" s="22" t="str">
        <x:f>"110.318.516-07"</x:f>
        <x:v>110.318.516-07</x:v>
      </x:c>
      <x:c r="G3544" s="22" t="str">
        <x:f>"11031851607"</x:f>
        <x:v>11031851607</x:v>
      </x:c>
      <x:c r="H3544" s="23" t="str">
        <x:v>thellysdrive@gmail.com</x:v>
      </x:c>
      <x:c r="I3544" s="22" t="str">
        <x:f>"31 9 9546 0230"</x:f>
        <x:v>31 9 9546 0230</x:v>
      </x:c>
      <x:c r="J3544" s="23" t="str">
        <x:v>SPOT</x:v>
      </x:c>
      <x:c r="K3544" s="23" t="str">
        <x:v>favored_only</x:v>
      </x:c>
      <x:c r="L3544" s="24" t="b">
        <x:v>1</x:v>
      </x:c>
      <x:c r="M3544" s="23" t="n">
        <x:v>1</x:v>
      </x:c>
      <x:c r="N3544" s="28" t="n">
        <x:v>46219.812988715275</x:v>
      </x:c>
      <x:c r="O3544" s="28" t="n">
        <x:v>46219.812988715275</x:v>
      </x:c>
      <x:c r="P3544" s="23" t="str">
        <x:v>NOVA LIMA</x:v>
      </x:c>
      <x:c r="Q3544" s="30" t="n">
        <x:v>33139</x:v>
      </x:c>
      <x:c r="R3544" s="22" t="str">
        <x:f>"1724551"</x:f>
        <x:v>1724551</x:v>
      </x:c>
      <x:c r="S3544" s="23" t="str">
        <x:v>masculino</x:v>
      </x:c>
      <x:c r="T3544" s="22" t="str">
        <x:f>"PYE9H42"</x:f>
        <x:v>PYE9H42</x:v>
      </x:c>
      <x:c r="U3544" s="23" t="str">
        <x:v>THELLYS PATRIK DE DEUS SILVA</x:v>
      </x:c>
      <x:c r="V3544" s="22" t="str">
        <x:f>"110.318.516-07"</x:f>
        <x:v>110.318.516-07</x:v>
      </x:c>
      <x:c r="W3544" s="22" t="str">
        <x:f>"11031851607"</x:f>
        <x:v>11031851607</x:v>
      </x:c>
      <x:c r="X3544" s="23" t="str">
        <x:v>thellysdrive@gmail.com</x:v>
      </x:c>
      <x:c r="Y3544" s="22" t="str">
        <x:f>"31 9 9546 0230"</x:f>
        <x:v>31 9 9546 0230</x:v>
      </x:c>
      <x:c r="Z3544" s="30" t="n">
        <x:v>46470</x:v>
      </x:c>
    </x:row>
    <x:row r="3545" ht="18" customHeight="1">
      <x:c r="A3545" s="22" t="str">
        <x:f>"a8bd1307-c09a-479f-b2f8-c45b12160460"</x:f>
        <x:v>a8bd1307-c09a-479f-b2f8-c45b12160460</x:v>
      </x:c>
      <x:c r="B3545" s="23" t="str">
        <x:v>THIAGO ALVES RANGEL</x:v>
      </x:c>
      <x:c r="C3545" s="23" t="str">
        <x:v>thiago alves rangel</x:v>
      </x:c>
      <x:c r="D3545" s="22" t="str">
        <x:f>"17.190.920/0001-12"</x:f>
        <x:v>17.190.920/0001-12</x:v>
      </x:c>
      <x:c r="E3545" s="22" t="str">
        <x:f>"17190920000112"</x:f>
        <x:v>17190920000112</x:v>
      </x:c>
      <x:c r="F3545" s="22" t="str">
        <x:f>"101.811.907-88"</x:f>
        <x:v>101.811.907-88</x:v>
      </x:c>
      <x:c r="G3545" s="22" t="str">
        <x:f>"10181190788"</x:f>
        <x:v>10181190788</x:v>
      </x:c>
      <x:c r="H3545" s="23" t="str">
        <x:v>athiagorangel@gmail.com</x:v>
      </x:c>
      <x:c r="I3545" s="22" t="str">
        <x:f>"22 996227527"</x:f>
        <x:v>22 996227527</x:v>
      </x:c>
      <x:c r="J3545" s="23" t="str">
        <x:v>SPOT</x:v>
      </x:c>
      <x:c r="K3545" s="23" t="str">
        <x:v>favored_only</x:v>
      </x:c>
      <x:c r="L3545" s="24" t="b">
        <x:v>1</x:v>
      </x:c>
      <x:c r="M3545" s="23" t="n">
        <x:v>1</x:v>
      </x:c>
      <x:c r="N3545" s="28" t="n">
        <x:v>46205.60582679398</x:v>
      </x:c>
      <x:c r="O3545" s="28" t="n">
        <x:v>46219.812988715275</x:v>
      </x:c>
      <x:c r="P3545" s="23" t="str">
        <x:v>CAMPOS DOS GOYTACAZES</x:v>
      </x:c>
      <x:c r="Q3545" s="30" t="n">
        <x:v>31476</x:v>
      </x:c>
      <x:c r="R3545" s="22" t="str">
        <x:f>"92418S136"</x:f>
        <x:v>92418S136</x:v>
      </x:c>
      <x:c r="S3545" s="23" t="str">
        <x:v>masculino</x:v>
      </x:c>
      <x:c r="T3545" s="22" t="str">
        <x:f>"KWQ6029"</x:f>
        <x:v>KWQ6029</x:v>
      </x:c>
      <x:c r="U3545" s="23" t="str">
        <x:v>RAPHAEL PESSANHA DE SOUZA</x:v>
      </x:c>
      <x:c r="V3545" s="22" t="str">
        <x:f>"144.998.167-42"</x:f>
        <x:v>144.998.167-42</x:v>
      </x:c>
      <x:c r="W3545" s="22" t="str">
        <x:f>"14499816742"</x:f>
        <x:v>14499816742</x:v>
      </x:c>
      <x:c r="X3545" s="23" t="str">
        <x:v>darocaraphael@gmail.com</x:v>
      </x:c>
      <x:c r="Y3545" s="22" t="str">
        <x:f>"22 998066974"</x:f>
        <x:v>22 998066974</x:v>
      </x:c>
      <x:c r="Z3545" s="30" t="n">
        <x:v>46336</x:v>
      </x:c>
    </x:row>
    <x:row r="3546" ht="18" customHeight="1">
      <x:c r="A3546" s="22" t="str">
        <x:f>"804c46ba-471b-4783-b87f-5adf1bb2ddb3"</x:f>
        <x:v>804c46ba-471b-4783-b87f-5adf1bb2ddb3</x:v>
      </x:c>
      <x:c r="B3546" s="23" t="str">
        <x:v>THIAGO ANDRE SILVA DE SOUZA</x:v>
      </x:c>
      <x:c r="C3546" s="23" t="str">
        <x:v>thiago andre silva de souza</x:v>
      </x:c>
      <x:c r="D3546" s="22" t="str">
        <x:f>"67.070.295/0001-43"</x:f>
        <x:v>67.070.295/0001-43</x:v>
      </x:c>
      <x:c r="E3546" s="22" t="str">
        <x:f>"67070295000143"</x:f>
        <x:v>67070295000143</x:v>
      </x:c>
      <x:c r="F3546" s="22" t="str">
        <x:f>"062.569.697-23"</x:f>
        <x:v>062.569.697-23</x:v>
      </x:c>
      <x:c r="G3546" s="22" t="str">
        <x:f>"06256969723"</x:f>
        <x:v>06256969723</x:v>
      </x:c>
      <x:c r="H3546" s="23" t="str">
        <x:v>itejq2019@gmail.com</x:v>
      </x:c>
      <x:c r="I3546" s="22" t="str">
        <x:f>"21990567678"</x:f>
        <x:v>21990567678</x:v>
      </x:c>
      <x:c r="J3546" s="23" t="str">
        <x:v>RENTAL</x:v>
      </x:c>
      <x:c r="K3546" s="23" t="str">
        <x:v>rental_company</x:v>
      </x:c>
      <x:c r="L3546" s="24" t="b">
        <x:v>1</x:v>
      </x:c>
      <x:c r="M3546" s="23" t="n">
        <x:v>1</x:v>
      </x:c>
      <x:c r="N3546" s="28" t="n">
        <x:v>46219.812988715275</x:v>
      </x:c>
      <x:c r="O3546" s="28" t="n">
        <x:v>46219.812988715275</x:v>
      </x:c>
      <x:c r="P3546" s="23" t="str">
        <x:v>QUEIMADOS</x:v>
      </x:c>
      <x:c r="Q3546" s="30" t="n">
        <x:v>36717</x:v>
      </x:c>
      <x:c r="R3546" s="22" t="str">
        <x:f>"324558113"</x:f>
        <x:v>324558113</x:v>
      </x:c>
      <x:c r="S3546" s="23" t="str">
        <x:v>masculino</x:v>
      </x:c>
      <x:c r="T3546" s="22" t="str"/>
      <x:c r="U3546" s="23" t="str">
        <x:v>THIAGO ANDRE SILVA DE SOUZA</x:v>
      </x:c>
      <x:c r="V3546" s="22" t="str">
        <x:f>"062.569.697-23"</x:f>
        <x:v>062.569.697-23</x:v>
      </x:c>
      <x:c r="W3546" s="22" t="str">
        <x:f>"06256969723"</x:f>
        <x:v>06256969723</x:v>
      </x:c>
      <x:c r="X3546" s="23" t="str">
        <x:v>itejq2019@gmail.com</x:v>
      </x:c>
      <x:c r="Y3546" s="22" t="str">
        <x:f>"21990567678"</x:f>
        <x:v>21990567678</x:v>
      </x:c>
      <x:c r="Z3546" s="30" t="n">
        <x:v>46537</x:v>
      </x:c>
    </x:row>
    <x:row r="3547" ht="18" customHeight="1">
      <x:c r="A3547" s="22" t="str">
        <x:f>"92766223-a8ca-4a7b-8c43-111e8e7ffa47"</x:f>
        <x:v>92766223-a8ca-4a7b-8c43-111e8e7ffa47</x:v>
      </x:c>
      <x:c r="B3547" s="23" t="str">
        <x:v>THIAGO APARECIDO DE CARVALHO SILVA</x:v>
      </x:c>
      <x:c r="C3547" s="23" t="str">
        <x:v>thiago aparecido de carvalho silva</x:v>
      </x:c>
      <x:c r="D3547" s="22" t="str">
        <x:f>"48.992.695/0001-61"</x:f>
        <x:v>48.992.695/0001-61</x:v>
      </x:c>
      <x:c r="E3547" s="22" t="str">
        <x:f>"48992695000161"</x:f>
        <x:v>48992695000161</x:v>
      </x:c>
      <x:c r="F3547" s="22" t="str">
        <x:f>"304.674.788-80"</x:f>
        <x:v>304.674.788-80</x:v>
      </x:c>
      <x:c r="G3547" s="22" t="str">
        <x:f>"30467478880"</x:f>
        <x:v>30467478880</x:v>
      </x:c>
      <x:c r="H3547" s="23" t="str">
        <x:v>thiagocarvalhotranspote@gmail.com</x:v>
      </x:c>
      <x:c r="I3547" s="22" t="str">
        <x:f>"18 99699-5838"</x:f>
        <x:v>18 99699-5838</x:v>
      </x:c>
      <x:c r="J3547" s="23" t="str">
        <x:v>SPOT</x:v>
      </x:c>
      <x:c r="K3547" s="23" t="str">
        <x:v>favored_only</x:v>
      </x:c>
      <x:c r="L3547" s="24" t="b">
        <x:v>1</x:v>
      </x:c>
      <x:c r="M3547" s="23" t="n">
        <x:v>1</x:v>
      </x:c>
      <x:c r="N3547" s="28" t="n">
        <x:v>46219.79396105324</x:v>
      </x:c>
      <x:c r="O3547" s="28" t="n">
        <x:v>46219.812988715275</x:v>
      </x:c>
      <x:c r="P3547" s="23" t="str">
        <x:v>ARAÇATUBA</x:v>
      </x:c>
      <x:c r="Q3547" s="30" t="n">
        <x:v>30279</x:v>
      </x:c>
      <x:c r="R3547" s="22" t="str">
        <x:f>"33854839"</x:f>
        <x:v>33854839</x:v>
      </x:c>
      <x:c r="S3547" s="23" t="str">
        <x:v>masculino</x:v>
      </x:c>
      <x:c r="T3547" s="22" t="str">
        <x:f>"GIK7B62"</x:f>
        <x:v>GIK7B62</x:v>
      </x:c>
      <x:c r="U3547" s="23" t="str">
        <x:v>PAULO ROBERTO AGUILAR FARIAS</x:v>
      </x:c>
      <x:c r="V3547" s="22" t="str">
        <x:f>"110.082.456-06"</x:f>
        <x:v>110.082.456-06</x:v>
      </x:c>
      <x:c r="W3547" s="22" t="str">
        <x:f>"11008245606"</x:f>
        <x:v>11008245606</x:v>
      </x:c>
      <x:c r="X3547" s="23" t="str">
        <x:v>paulorobertoaguilarfarias@gmail.com</x:v>
      </x:c>
      <x:c r="Y3547" s="22" t="str">
        <x:f>"18 99617-0705"</x:f>
        <x:v>18 99617-0705</x:v>
      </x:c>
      <x:c r="Z3547" s="30" t="n">
        <x:v>46284</x:v>
      </x:c>
    </x:row>
    <x:row r="3548" ht="18" customHeight="1">
      <x:c r="A3548" s="22" t="str">
        <x:f>"9f220089-f437-4aab-89fa-c5d086b4d730"</x:f>
        <x:v>9f220089-f437-4aab-89fa-c5d086b4d730</x:v>
      </x:c>
      <x:c r="B3548" s="23" t="str">
        <x:v>THIAGO APARECIDO DE CARVALHO SILVA</x:v>
      </x:c>
      <x:c r="C3548" s="23" t="str">
        <x:v>thiago aparecido de carvalho silva</x:v>
      </x:c>
      <x:c r="D3548" s="22" t="str">
        <x:f>"63.922.442/0001-05"</x:f>
        <x:v>63.922.442/0001-05</x:v>
      </x:c>
      <x:c r="E3548" s="22" t="str">
        <x:f>"63922442000105"</x:f>
        <x:v>63922442000105</x:v>
      </x:c>
      <x:c r="F3548" s="22" t="str">
        <x:f>"304.674.788-80"</x:f>
        <x:v>304.674.788-80</x:v>
      </x:c>
      <x:c r="G3548" s="22" t="str">
        <x:f>"30467478880"</x:f>
        <x:v>30467478880</x:v>
      </x:c>
      <x:c r="H3548" s="23" t="str">
        <x:v>thiagocarvalhotransporte@gmail.com</x:v>
      </x:c>
      <x:c r="I3548" s="22" t="str">
        <x:f>"18 99699-5838"</x:f>
        <x:v>18 99699-5838</x:v>
      </x:c>
      <x:c r="J3548" s="23" t="str">
        <x:v>SPOT</x:v>
      </x:c>
      <x:c r="K3548" s="23" t="str">
        <x:v>favored_only</x:v>
      </x:c>
      <x:c r="L3548" s="24" t="b">
        <x:v>1</x:v>
      </x:c>
      <x:c r="M3548" s="23" t="n">
        <x:v>1</x:v>
      </x:c>
      <x:c r="N3548" s="28" t="n">
        <x:v>46203.921904421295</x:v>
      </x:c>
      <x:c r="O3548" s="28" t="n">
        <x:v>46219.812988715275</x:v>
      </x:c>
      <x:c r="P3548" s="23" t="str">
        <x:v>ARAÇATUBA</x:v>
      </x:c>
      <x:c r="Q3548" s="30" t="n">
        <x:v>30279</x:v>
      </x:c>
      <x:c r="R3548" s="22" t="str">
        <x:f>"33854839"</x:f>
        <x:v>33854839</x:v>
      </x:c>
      <x:c r="S3548" s="23" t="str">
        <x:v>masculino</x:v>
      </x:c>
      <x:c r="T3548" s="22" t="str">
        <x:f>"FRS2D50"</x:f>
        <x:v>FRS2D50</x:v>
      </x:c>
      <x:c r="U3548" s="23" t="str">
        <x:v>THIAGO APARECIDO DE CARVALHO SILVA</x:v>
      </x:c>
      <x:c r="V3548" s="22" t="str">
        <x:f>"304.674.788-80"</x:f>
        <x:v>304.674.788-80</x:v>
      </x:c>
      <x:c r="W3548" s="22" t="str">
        <x:f>"30467478880"</x:f>
        <x:v>30467478880</x:v>
      </x:c>
      <x:c r="X3548" s="23" t="str">
        <x:v>thiagocarvalhotransporte@gmail.com</x:v>
      </x:c>
      <x:c r="Y3548" s="22" t="str">
        <x:f>"18 99699-5838"</x:f>
        <x:v>18 99699-5838</x:v>
      </x:c>
      <x:c r="Z3548" s="30" t="n">
        <x:v>46366</x:v>
      </x:c>
    </x:row>
    <x:row r="3549" ht="18" customHeight="1">
      <x:c r="A3549" s="22" t="str">
        <x:f>"1ab0ae69-f8ab-42ff-9652-14b2ccc7ca7f"</x:f>
        <x:v>1ab0ae69-f8ab-42ff-9652-14b2ccc7ca7f</x:v>
      </x:c>
      <x:c r="B3549" s="23" t="str">
        <x:v>THIAGO AUGUSTO PEREIRA MEDINA</x:v>
      </x:c>
      <x:c r="C3549" s="23" t="str">
        <x:v>thiago augusto pereira medina</x:v>
      </x:c>
      <x:c r="D3549" s="22" t="str">
        <x:f>"55.126.997/0001-12"</x:f>
        <x:v>55.126.997/0001-12</x:v>
      </x:c>
      <x:c r="E3549" s="22" t="str">
        <x:f>"55126997000112"</x:f>
        <x:v>55126997000112</x:v>
      </x:c>
      <x:c r="F3549" s="22" t="str">
        <x:f>"135.721.526-66"</x:f>
        <x:v>135.721.526-66</x:v>
      </x:c>
      <x:c r="G3549" s="22" t="str">
        <x:f>"13572152666"</x:f>
        <x:v>13572152666</x:v>
      </x:c>
      <x:c r="H3549" s="23" t="str">
        <x:v>thiagoaugustopereiramedina@gmail.com</x:v>
      </x:c>
      <x:c r="I3549" s="22" t="str">
        <x:f>"33 988690722"</x:f>
        <x:v>33 988690722</x:v>
      </x:c>
      <x:c r="J3549" s="23" t="str">
        <x:v>SPOT</x:v>
      </x:c>
      <x:c r="K3549" s="23" t="str">
        <x:v>favored_only</x:v>
      </x:c>
      <x:c r="L3549" s="24" t="b">
        <x:v>1</x:v>
      </x:c>
      <x:c r="M3549" s="23" t="n">
        <x:v>1</x:v>
      </x:c>
      <x:c r="N3549" s="28" t="n">
        <x:v>46203.92186462963</x:v>
      </x:c>
      <x:c r="O3549" s="28" t="n">
        <x:v>46219.812988715275</x:v>
      </x:c>
      <x:c r="P3549" s="23" t="str">
        <x:v>GUANHAES</x:v>
      </x:c>
      <x:c r="Q3549" s="30" t="str"/>
      <x:c r="R3549" s="22" t="str">
        <x:f>"20919450"</x:f>
        <x:v>20919450</x:v>
      </x:c>
      <x:c r="S3549" s="23" t="str">
        <x:v>masculino</x:v>
      </x:c>
      <x:c r="T3549" s="22" t="str">
        <x:f>"OLT8744"</x:f>
        <x:v>OLT8744</x:v>
      </x:c>
      <x:c r="U3549" s="23" t="str">
        <x:v>THIAGO AUGUSTO PEREIRA MEDINA</x:v>
      </x:c>
      <x:c r="V3549" s="22" t="str">
        <x:f>"135.721.526-66"</x:f>
        <x:v>135.721.526-66</x:v>
      </x:c>
      <x:c r="W3549" s="22" t="str">
        <x:f>"13572152666"</x:f>
        <x:v>13572152666</x:v>
      </x:c>
      <x:c r="X3549" s="23" t="str">
        <x:v>thiagoaugustopereiramedina@gmail.com</x:v>
      </x:c>
      <x:c r="Y3549" s="22" t="str">
        <x:f>"33988690722"</x:f>
        <x:v>33988690722</x:v>
      </x:c>
      <x:c r="Z3549" s="30" t="n">
        <x:v>46244</x:v>
      </x:c>
    </x:row>
    <x:row r="3550" ht="18" customHeight="1">
      <x:c r="A3550" s="22" t="str">
        <x:f>"28a56509-92f7-456a-9805-66ce3c485ca0"</x:f>
        <x:v>28a56509-92f7-456a-9805-66ce3c485ca0</x:v>
      </x:c>
      <x:c r="B3550" s="23" t="str">
        <x:v>THIAGO AUGUSTO SILVA FIGUEIREDO</x:v>
      </x:c>
      <x:c r="C3550" s="23" t="str">
        <x:v>thiago augusto silva figueiredo</x:v>
      </x:c>
      <x:c r="D3550" s="22" t="str">
        <x:f>"52.431.456/0001-00"</x:f>
        <x:v>52.431.456/0001-00</x:v>
      </x:c>
      <x:c r="E3550" s="22" t="str">
        <x:f>"52431456000100"</x:f>
        <x:v>52431456000100</x:v>
      </x:c>
      <x:c r="F3550" s="22" t="str">
        <x:f>"062.850.261-30"</x:f>
        <x:v>062.850.261-30</x:v>
      </x:c>
      <x:c r="G3550" s="22" t="str">
        <x:f>"06285026130"</x:f>
        <x:v>06285026130</x:v>
      </x:c>
      <x:c r="H3550" s="23" t="str">
        <x:v>thiago.augusto.figueiredo01@gmail.com</x:v>
      </x:c>
      <x:c r="I3550" s="22" t="str">
        <x:f>"65 99267-3400"</x:f>
        <x:v>65 99267-3400</x:v>
      </x:c>
      <x:c r="J3550" s="23" t="str">
        <x:v>RENTAL</x:v>
      </x:c>
      <x:c r="K3550" s="23" t="str">
        <x:v>rental_company</x:v>
      </x:c>
      <x:c r="L3550" s="24" t="b">
        <x:v>1</x:v>
      </x:c>
      <x:c r="M3550" s="23" t="n">
        <x:v>1</x:v>
      </x:c>
      <x:c r="N3550" s="28" t="n">
        <x:v>46203.92186888889</x:v>
      </x:c>
      <x:c r="O3550" s="28" t="n">
        <x:v>46219.812988715275</x:v>
      </x:c>
      <x:c r="P3550" s="23" t="str">
        <x:v>CUIABA</x:v>
      </x:c>
      <x:c r="Q3550" s="30" t="n">
        <x:v>36330</x:v>
      </x:c>
      <x:c r="R3550" s="22" t="str">
        <x:f>"28711688"</x:f>
        <x:v>28711688</x:v>
      </x:c>
      <x:c r="S3550" s="23" t="str">
        <x:v>masculino</x:v>
      </x:c>
      <x:c r="T3550" s="22" t="str"/>
      <x:c r="U3550" s="23" t="str">
        <x:v>THIAGO AUGUSTO SILVA FIGUEIREDO</x:v>
      </x:c>
      <x:c r="V3550" s="22" t="str">
        <x:f>"062.850.261-30"</x:f>
        <x:v>062.850.261-30</x:v>
      </x:c>
      <x:c r="W3550" s="22" t="str">
        <x:f>"06285026130"</x:f>
        <x:v>06285026130</x:v>
      </x:c>
      <x:c r="X3550" s="23" t="str">
        <x:v>thiago.augusto.figueiredo01@gmail.com</x:v>
      </x:c>
      <x:c r="Y3550" s="22" t="str">
        <x:f>"65 99267-3400"</x:f>
        <x:v>65 99267-3400</x:v>
      </x:c>
      <x:c r="Z3550" s="30" t="n">
        <x:v>46303</x:v>
      </x:c>
    </x:row>
    <x:row r="3551" ht="18" customHeight="1">
      <x:c r="A3551" s="22" t="str">
        <x:f>"c94df17f-f010-4040-8f96-9fc4a97df109"</x:f>
        <x:v>c94df17f-f010-4040-8f96-9fc4a97df109</x:v>
      </x:c>
      <x:c r="B3551" s="23" t="str">
        <x:v>THIAGO BARBOSA MACHADO GOMES</x:v>
      </x:c>
      <x:c r="C3551" s="23" t="str">
        <x:v>thiago barbosa machado gomes</x:v>
      </x:c>
      <x:c r="D3551" s="22" t="str">
        <x:f>"50.416.382/0001-07"</x:f>
        <x:v>50.416.382/0001-07</x:v>
      </x:c>
      <x:c r="E3551" s="22" t="str">
        <x:f>"50416382000107"</x:f>
        <x:v>50416382000107</x:v>
      </x:c>
      <x:c r="F3551" s="22" t="str">
        <x:f>"058.477.007-33"</x:f>
        <x:v>058.477.007-33</x:v>
      </x:c>
      <x:c r="G3551" s="22" t="str">
        <x:f>"05847700733"</x:f>
        <x:v>05847700733</x:v>
      </x:c>
      <x:c r="H3551" s="23" t="str">
        <x:v>machado-tb@bol.com.br</x:v>
      </x:c>
      <x:c r="I3551" s="22" t="str">
        <x:f>"22998657718"</x:f>
        <x:v>22998657718</x:v>
      </x:c>
      <x:c r="J3551" s="23" t="str">
        <x:v>SPOT</x:v>
      </x:c>
      <x:c r="K3551" s="23" t="str">
        <x:v>favored_only</x:v>
      </x:c>
      <x:c r="L3551" s="24" t="b">
        <x:v>1</x:v>
      </x:c>
      <x:c r="M3551" s="23" t="n">
        <x:v>1</x:v>
      </x:c>
      <x:c r="N3551" s="28" t="n">
        <x:v>46203.9218771875</x:v>
      </x:c>
      <x:c r="O3551" s="28" t="n">
        <x:v>46219.812988715275</x:v>
      </x:c>
      <x:c r="P3551" s="23" t="str">
        <x:v>CAMPOS DOS GOYTACAZES</x:v>
      </x:c>
      <x:c r="Q3551" s="30" t="n">
        <x:v>31705</x:v>
      </x:c>
      <x:c r="R3551" s="22" t="str">
        <x:f>"212051122"</x:f>
        <x:v>212051122</x:v>
      </x:c>
      <x:c r="S3551" s="23" t="str">
        <x:v>masculino</x:v>
      </x:c>
      <x:c r="T3551" s="22" t="str">
        <x:f>"OYE4A40"</x:f>
        <x:v>OYE4A40</x:v>
      </x:c>
      <x:c r="U3551" s="23" t="str">
        <x:v>THIAGO BARBOSA MACHADO GOMES</x:v>
      </x:c>
      <x:c r="V3551" s="22" t="str">
        <x:f>"058.477.007-33"</x:f>
        <x:v>058.477.007-33</x:v>
      </x:c>
      <x:c r="W3551" s="22" t="str">
        <x:f>"05847700733"</x:f>
        <x:v>05847700733</x:v>
      </x:c>
      <x:c r="X3551" s="23" t="str">
        <x:v>machado-tb@bol.com.br</x:v>
      </x:c>
      <x:c r="Y3551" s="22" t="str">
        <x:f>"22998657718"</x:f>
        <x:v>22998657718</x:v>
      </x:c>
      <x:c r="Z3551" s="30" t="n">
        <x:v>46308</x:v>
      </x:c>
    </x:row>
    <x:row r="3552" ht="18" customHeight="1">
      <x:c r="A3552" s="22" t="str">
        <x:f>"914c5382-5b93-4675-85b4-3ceb940b15c1"</x:f>
        <x:v>914c5382-5b93-4675-85b4-3ceb940b15c1</x:v>
      </x:c>
      <x:c r="B3552" s="23" t="str">
        <x:v>THIAGO BARBOZA MENDES</x:v>
      </x:c>
      <x:c r="C3552" s="23" t="str">
        <x:v>thiago barboza mendes</x:v>
      </x:c>
      <x:c r="D3552" s="22" t="str">
        <x:f>"36.205.267/0001-62"</x:f>
        <x:v>36.205.267/0001-62</x:v>
      </x:c>
      <x:c r="E3552" s="22" t="str">
        <x:f>"36205267000162"</x:f>
        <x:v>36205267000162</x:v>
      </x:c>
      <x:c r="F3552" s="22" t="str">
        <x:f>"122.567.357-70"</x:f>
        <x:v>122.567.357-70</x:v>
      </x:c>
      <x:c r="G3552" s="22" t="str">
        <x:f>"12256735770"</x:f>
        <x:v>12256735770</x:v>
      </x:c>
      <x:c r="H3552" s="23" t="str">
        <x:v>thiagofoxpipas@gmail.com</x:v>
      </x:c>
      <x:c r="I3552" s="22" t="str">
        <x:f>"21981711911"</x:f>
        <x:v>21981711911</x:v>
      </x:c>
      <x:c r="J3552" s="23" t="str">
        <x:v>SPOT</x:v>
      </x:c>
      <x:c r="K3552" s="23" t="str">
        <x:v>favored_only</x:v>
      </x:c>
      <x:c r="L3552" s="24" t="b">
        <x:v>1</x:v>
      </x:c>
      <x:c r="M3552" s="23" t="n">
        <x:v>1</x:v>
      </x:c>
      <x:c r="N3552" s="28" t="n">
        <x:v>46203.9219084375</x:v>
      </x:c>
      <x:c r="O3552" s="28" t="n">
        <x:v>46219.812988715275</x:v>
      </x:c>
      <x:c r="P3552" s="23" t="str">
        <x:v>CAMPO GRANDE</x:v>
      </x:c>
      <x:c r="Q3552" s="30" t="n">
        <x:v>32034</x:v>
      </x:c>
      <x:c r="R3552" s="22" t="str">
        <x:f>"214101925"</x:f>
        <x:v>214101925</x:v>
      </x:c>
      <x:c r="S3552" s="23" t="str">
        <x:v>feminino</x:v>
      </x:c>
      <x:c r="T3552" s="22" t="str">
        <x:f>"PES1D36"</x:f>
        <x:v>PES1D36</x:v>
      </x:c>
      <x:c r="U3552" s="23" t="str">
        <x:v>THIAGO BARBOZA MENDES</x:v>
      </x:c>
      <x:c r="V3552" s="22" t="str">
        <x:f>"122.567.357-70"</x:f>
        <x:v>122.567.357-70</x:v>
      </x:c>
      <x:c r="W3552" s="22" t="str">
        <x:f>"12256735770"</x:f>
        <x:v>12256735770</x:v>
      </x:c>
      <x:c r="X3552" s="23" t="str">
        <x:v>thiagofoxpipas@gmail.com</x:v>
      </x:c>
      <x:c r="Y3552" s="22" t="str">
        <x:f>"21981711911"</x:f>
        <x:v>21981711911</x:v>
      </x:c>
      <x:c r="Z3552" s="30" t="n">
        <x:v>46385</x:v>
      </x:c>
    </x:row>
    <x:row r="3553" ht="18" customHeight="1">
      <x:c r="A3553" s="22" t="str">
        <x:f>"b40315b6-49a9-4896-a3c1-b152261edcad"</x:f>
        <x:v>b40315b6-49a9-4896-a3c1-b152261edcad</x:v>
      </x:c>
      <x:c r="B3553" s="23" t="str">
        <x:v>THIAGO CARLOS FERREIRA DA SILVA</x:v>
      </x:c>
      <x:c r="C3553" s="23" t="str">
        <x:v>thiago carlos ferreira da silva</x:v>
      </x:c>
      <x:c r="D3553" s="22" t="str">
        <x:f>"62.495.751/0001-83"</x:f>
        <x:v>62.495.751/0001-83</x:v>
      </x:c>
      <x:c r="E3553" s="22" t="str">
        <x:f>"62495751000183"</x:f>
        <x:v>62495751000183</x:v>
      </x:c>
      <x:c r="F3553" s="22" t="str">
        <x:f>"325.442.168-08"</x:f>
        <x:v>325.442.168-08</x:v>
      </x:c>
      <x:c r="G3553" s="22" t="str">
        <x:f>"32544216808"</x:f>
        <x:v>32544216808</x:v>
      </x:c>
      <x:c r="H3553" s="23" t="str">
        <x:v>thiagocarlosthccarlos@gmail.com</x:v>
      </x:c>
      <x:c r="I3553" s="22" t="str">
        <x:f>"11 945770833"</x:f>
        <x:v>11 945770833</x:v>
      </x:c>
      <x:c r="J3553" s="23" t="str">
        <x:v>SPOT</x:v>
      </x:c>
      <x:c r="K3553" s="23" t="str">
        <x:v>favored_only</x:v>
      </x:c>
      <x:c r="L3553" s="24" t="b">
        <x:v>1</x:v>
      </x:c>
      <x:c r="M3553" s="23" t="n">
        <x:v>1</x:v>
      </x:c>
      <x:c r="N3553" s="28" t="n">
        <x:v>46205.60493105324</x:v>
      </x:c>
      <x:c r="O3553" s="28" t="n">
        <x:v>46219.812988715275</x:v>
      </x:c>
      <x:c r="P3553" s="23" t="str">
        <x:v>BARUERI</x:v>
      </x:c>
      <x:c r="Q3553" s="30" t="n">
        <x:v>30656</x:v>
      </x:c>
      <x:c r="R3553" s="22" t="str">
        <x:f>"40602287"</x:f>
        <x:v>40602287</x:v>
      </x:c>
      <x:c r="S3553" s="23" t="str">
        <x:v>masculino</x:v>
      </x:c>
      <x:c r="T3553" s="22" t="str">
        <x:f>"EVP5E25"</x:f>
        <x:v>EVP5E25</x:v>
      </x:c>
      <x:c r="U3553" s="23" t="str">
        <x:v>ROSANGELA RONAILVA ALVES DE VASCONCELOS</x:v>
      </x:c>
      <x:c r="V3553" s="22" t="str">
        <x:f>"259.313.238-80"</x:f>
        <x:v>259.313.238-80</x:v>
      </x:c>
      <x:c r="W3553" s="22" t="str">
        <x:f>"25931323880"</x:f>
        <x:v>25931323880</x:v>
      </x:c>
      <x:c r="X3553" s="23" t="str">
        <x:v>montana.power25@gmail.com</x:v>
      </x:c>
      <x:c r="Y3553" s="22" t="str">
        <x:f>"11911282358"</x:f>
        <x:v>11911282358</x:v>
      </x:c>
      <x:c r="Z3553" s="30" t="n">
        <x:v>46303</x:v>
      </x:c>
    </x:row>
    <x:row r="3554" ht="18" customHeight="1">
      <x:c r="A3554" s="22" t="str">
        <x:f>"0c6747e0-78f8-4721-b53d-8374c516319c"</x:f>
        <x:v>0c6747e0-78f8-4721-b53d-8374c516319c</x:v>
      </x:c>
      <x:c r="B3554" s="23" t="str">
        <x:v>THIAGO CORREA DOS SANTOS</x:v>
      </x:c>
      <x:c r="C3554" s="23" t="str">
        <x:v>thiago correa dos santos</x:v>
      </x:c>
      <x:c r="D3554" s="22" t="str">
        <x:f>"36.032.368/0001-89"</x:f>
        <x:v>36.032.368/0001-89</x:v>
      </x:c>
      <x:c r="E3554" s="22" t="str">
        <x:f>"36032368000189"</x:f>
        <x:v>36032368000189</x:v>
      </x:c>
      <x:c r="F3554" s="22" t="str">
        <x:f>"105.664.017-03"</x:f>
        <x:v>105.664.017-03</x:v>
      </x:c>
      <x:c r="G3554" s="22" t="str">
        <x:f>"10566401703"</x:f>
        <x:v>10566401703</x:v>
      </x:c>
      <x:c r="H3554" s="23" t="str">
        <x:v>thiagosanttos1537@gmail.com</x:v>
      </x:c>
      <x:c r="I3554" s="22" t="str">
        <x:f>"22992120387"</x:f>
        <x:v>22992120387</x:v>
      </x:c>
      <x:c r="J3554" s="23" t="str">
        <x:v>SPOT</x:v>
      </x:c>
      <x:c r="K3554" s="23" t="str">
        <x:v>favored_only</x:v>
      </x:c>
      <x:c r="L3554" s="24" t="b">
        <x:v>1</x:v>
      </x:c>
      <x:c r="M3554" s="23" t="n">
        <x:v>1</x:v>
      </x:c>
      <x:c r="N3554" s="28" t="n">
        <x:v>46203.921858726855</x:v>
      </x:c>
      <x:c r="O3554" s="28" t="n">
        <x:v>46219.812988715275</x:v>
      </x:c>
      <x:c r="P3554" s="23" t="str">
        <x:v>CAMPOS DOS GOYTACAZES</x:v>
      </x:c>
      <x:c r="Q3554" s="30" t="n">
        <x:v>30982</x:v>
      </x:c>
      <x:c r="R3554" s="22" t="str">
        <x:f>"200288645"</x:f>
        <x:v>200288645</x:v>
      </x:c>
      <x:c r="S3554" s="23" t="str">
        <x:v>masculino</x:v>
      </x:c>
      <x:c r="T3554" s="22" t="str">
        <x:f>"OQQ5D63"</x:f>
        <x:v>OQQ5D63</x:v>
      </x:c>
      <x:c r="U3554" s="23" t="str">
        <x:v>THIAGO CORREA DOS SANTOS</x:v>
      </x:c>
      <x:c r="V3554" s="22" t="str">
        <x:f>"105.664.017-03"</x:f>
        <x:v>105.664.017-03</x:v>
      </x:c>
      <x:c r="W3554" s="22" t="str">
        <x:f>"10566401703"</x:f>
        <x:v>10566401703</x:v>
      </x:c>
      <x:c r="X3554" s="23" t="str">
        <x:v>thiagosanttos1537@gmail.com</x:v>
      </x:c>
      <x:c r="Y3554" s="22" t="str">
        <x:f>"22992120387"</x:f>
        <x:v>22992120387</x:v>
      </x:c>
      <x:c r="Z3554" s="30" t="n">
        <x:v>46261</x:v>
      </x:c>
    </x:row>
    <x:row r="3555" ht="18" customHeight="1">
      <x:c r="A3555" s="22" t="str">
        <x:f>"9adc6b48-9a67-4dab-8548-e02c1fd56552"</x:f>
        <x:v>9adc6b48-9a67-4dab-8548-e02c1fd56552</x:v>
      </x:c>
      <x:c r="B3555" s="23" t="str">
        <x:v>THIAGO CORREA DOS SANTOS</x:v>
      </x:c>
      <x:c r="C3555" s="23" t="str">
        <x:v>thiago correa dos santos</x:v>
      </x:c>
      <x:c r="D3555" s="22" t="str">
        <x:f>"43.863.189/0001-59"</x:f>
        <x:v>43.863.189/0001-59</x:v>
      </x:c>
      <x:c r="E3555" s="22" t="str">
        <x:f>"43863189000159"</x:f>
        <x:v>43863189000159</x:v>
      </x:c>
      <x:c r="F3555" s="22" t="str">
        <x:f>"105.664.017-03"</x:f>
        <x:v>105.664.017-03</x:v>
      </x:c>
      <x:c r="G3555" s="22" t="str">
        <x:f>"10566401703"</x:f>
        <x:v>10566401703</x:v>
      </x:c>
      <x:c r="H3555" s="23" t="str">
        <x:v>thiagocorrea1537@gmail.com</x:v>
      </x:c>
      <x:c r="I3555" s="22" t="str">
        <x:f>"22992120387"</x:f>
        <x:v>22992120387</x:v>
      </x:c>
      <x:c r="J3555" s="23" t="str">
        <x:v>SPOT</x:v>
      </x:c>
      <x:c r="K3555" s="23" t="str">
        <x:v>favored_only</x:v>
      </x:c>
      <x:c r="L3555" s="24" t="b">
        <x:v>1</x:v>
      </x:c>
      <x:c r="M3555" s="23" t="n">
        <x:v>1</x:v>
      </x:c>
      <x:c r="N3555" s="28" t="n">
        <x:v>46205.60498831019</x:v>
      </x:c>
      <x:c r="O3555" s="28" t="n">
        <x:v>46219.812988715275</x:v>
      </x:c>
      <x:c r="P3555" s="23" t="str">
        <x:v>CAMPOS DOS GOYTACAZES</x:v>
      </x:c>
      <x:c r="Q3555" s="30" t="n">
        <x:v>30982</x:v>
      </x:c>
      <x:c r="R3555" s="22" t="str">
        <x:f>"200288645"</x:f>
        <x:v>200288645</x:v>
      </x:c>
      <x:c r="S3555" s="23" t="str">
        <x:v>masculino</x:v>
      </x:c>
      <x:c r="T3555" s="22" t="str">
        <x:f>"OQQ5D63"</x:f>
        <x:v>OQQ5D63</x:v>
      </x:c>
      <x:c r="U3555" s="23" t="str">
        <x:v>JOCYANA REGINALDO DA PAIXAO</x:v>
      </x:c>
      <x:c r="V3555" s="22" t="str">
        <x:f>"157.359.517-93"</x:f>
        <x:v>157.359.517-93</x:v>
      </x:c>
      <x:c r="W3555" s="22" t="str">
        <x:f>"15735951793"</x:f>
        <x:v>15735951793</x:v>
      </x:c>
      <x:c r="X3555" s="23" t="str">
        <x:v>alr_silveira@yahoo.com.br</x:v>
      </x:c>
      <x:c r="Y3555" s="22" t="str">
        <x:f>"22 997020496"</x:f>
        <x:v>22 997020496</x:v>
      </x:c>
      <x:c r="Z3555" s="30" t="n">
        <x:v>46261</x:v>
      </x:c>
    </x:row>
    <x:row r="3556" ht="18" customHeight="1">
      <x:c r="A3556" s="22" t="str">
        <x:f>"08d96ca7-5fdf-4b21-99bc-8fc0a1f9965a"</x:f>
        <x:v>08d96ca7-5fdf-4b21-99bc-8fc0a1f9965a</x:v>
      </x:c>
      <x:c r="B3556" s="23" t="str">
        <x:v>THIAGO DA CAMARA MAGALHAES</x:v>
      </x:c>
      <x:c r="C3556" s="23" t="str">
        <x:v>thiago da camara magalhaes</x:v>
      </x:c>
      <x:c r="D3556" s="22" t="str">
        <x:f>"59.242.505/0001-05"</x:f>
        <x:v>59.242.505/0001-05</x:v>
      </x:c>
      <x:c r="E3556" s="22" t="str">
        <x:f>"59242505000105"</x:f>
        <x:v>59242505000105</x:v>
      </x:c>
      <x:c r="F3556" s="22" t="str">
        <x:f>"139.950.047-33"</x:f>
        <x:v>139.950.047-33</x:v>
      </x:c>
      <x:c r="G3556" s="22" t="str">
        <x:f>"13995004733"</x:f>
        <x:v>13995004733</x:v>
      </x:c>
      <x:c r="H3556" s="23" t="str">
        <x:v>thiagopizzashow@gmail.com</x:v>
      </x:c>
      <x:c r="I3556" s="22" t="str">
        <x:f>"21990953210"</x:f>
        <x:v>21990953210</x:v>
      </x:c>
      <x:c r="J3556" s="23" t="str">
        <x:v>SPOT</x:v>
      </x:c>
      <x:c r="K3556" s="23" t="str">
        <x:v>favored_only</x:v>
      </x:c>
      <x:c r="L3556" s="24" t="b">
        <x:v>1</x:v>
      </x:c>
      <x:c r="M3556" s="23" t="n">
        <x:v>1</x:v>
      </x:c>
      <x:c r="N3556" s="28" t="n">
        <x:v>46205.60693542824</x:v>
      </x:c>
      <x:c r="O3556" s="28" t="n">
        <x:v>46219.812988715275</x:v>
      </x:c>
      <x:c r="P3556" s="23" t="str">
        <x:v>QUEIMADOS</x:v>
      </x:c>
      <x:c r="Q3556" s="30" t="n">
        <x:v>33650</x:v>
      </x:c>
      <x:c r="R3556" s="22" t="str">
        <x:f>"270889249"</x:f>
        <x:v>270889249</x:v>
      </x:c>
      <x:c r="S3556" s="23" t="str">
        <x:v>masculino</x:v>
      </x:c>
      <x:c r="T3556" s="22" t="str">
        <x:f>"KPY9J48"</x:f>
        <x:v>KPY9J48</x:v>
      </x:c>
      <x:c r="U3556" s="23" t="str">
        <x:v>LEONARDO DA CAMARA MAGALHAES</x:v>
      </x:c>
      <x:c r="V3556" s="22" t="str">
        <x:f>"134.658.047-24"</x:f>
        <x:v>134.658.047-24</x:v>
      </x:c>
      <x:c r="W3556" s="22" t="str">
        <x:f>"13465804724"</x:f>
        <x:v>13465804724</x:v>
      </x:c>
      <x:c r="X3556" s="23" t="str">
        <x:v>thiagopizzashow@gmail.com</x:v>
      </x:c>
      <x:c r="Y3556" s="22" t="str">
        <x:f>"21990953210"</x:f>
        <x:v>21990953210</x:v>
      </x:c>
      <x:c r="Z3556" s="30" t="n">
        <x:v>46364</x:v>
      </x:c>
    </x:row>
    <x:row r="3557" ht="18" customHeight="1">
      <x:c r="A3557" s="22" t="str">
        <x:f>"3f22ec79-9333-4033-ae4f-b525bce9b341"</x:f>
        <x:v>3f22ec79-9333-4033-ae4f-b525bce9b341</x:v>
      </x:c>
      <x:c r="B3557" s="23" t="str">
        <x:v>THIAGO DA CAMARA MAGALHAES</x:v>
      </x:c>
      <x:c r="C3557" s="23" t="str">
        <x:v>thiago da camara magalhaes</x:v>
      </x:c>
      <x:c r="D3557" s="22" t="str">
        <x:f>"43.592.791/0001-07"</x:f>
        <x:v>43.592.791/0001-07</x:v>
      </x:c>
      <x:c r="E3557" s="22" t="str">
        <x:f>"43592791000107"</x:f>
        <x:v>43592791000107</x:v>
      </x:c>
      <x:c r="F3557" s="22" t="str">
        <x:f>"139.950.047-33"</x:f>
        <x:v>139.950.047-33</x:v>
      </x:c>
      <x:c r="G3557" s="22" t="str">
        <x:f>"13995004733"</x:f>
        <x:v>13995004733</x:v>
      </x:c>
      <x:c r="H3557" s="23" t="str">
        <x:v>thiagopizzashow@gmail.com</x:v>
      </x:c>
      <x:c r="I3557" s="22" t="str">
        <x:f>"21990953210"</x:f>
        <x:v>21990953210</x:v>
      </x:c>
      <x:c r="J3557" s="23" t="str">
        <x:v>SPOT</x:v>
      </x:c>
      <x:c r="K3557" s="23" t="str">
        <x:v>favored_only</x:v>
      </x:c>
      <x:c r="L3557" s="24" t="b">
        <x:v>1</x:v>
      </x:c>
      <x:c r="M3557" s="23" t="n">
        <x:v>2</x:v>
      </x:c>
      <x:c r="N3557" s="28" t="n">
        <x:v>46219.812988715275</x:v>
      </x:c>
      <x:c r="O3557" s="28" t="n">
        <x:v>46219.812988715275</x:v>
      </x:c>
      <x:c r="P3557" s="23" t="str">
        <x:v>QUEIMADOS</x:v>
      </x:c>
      <x:c r="Q3557" s="30" t="n">
        <x:v>33650</x:v>
      </x:c>
      <x:c r="R3557" s="22" t="str">
        <x:f>"270889249"</x:f>
        <x:v>270889249</x:v>
      </x:c>
      <x:c r="S3557" s="23" t="str">
        <x:v>masculino</x:v>
      </x:c>
      <x:c r="T3557" s="22" t="str">
        <x:f>"KPY9J48"</x:f>
        <x:v>KPY9J48</x:v>
      </x:c>
      <x:c r="U3557" s="23" t="str">
        <x:v>THIAGO DA CAMARA MAGALHAES</x:v>
      </x:c>
      <x:c r="V3557" s="22" t="str">
        <x:f>"139.950.047-33"</x:f>
        <x:v>139.950.047-33</x:v>
      </x:c>
      <x:c r="W3557" s="22" t="str">
        <x:f>"13995004733"</x:f>
        <x:v>13995004733</x:v>
      </x:c>
      <x:c r="X3557" s="23" t="str">
        <x:v>thiagopizzashow@gmail.com</x:v>
      </x:c>
      <x:c r="Y3557" s="22" t="str">
        <x:f>"21990953210"</x:f>
        <x:v>21990953210</x:v>
      </x:c>
      <x:c r="Z3557" s="30" t="n">
        <x:v>46407</x:v>
      </x:c>
    </x:row>
    <x:row r="3558" ht="18" customHeight="1">
      <x:c r="A3558" s="22" t="str">
        <x:f>"c10dba5b-afae-437b-b5bc-b0dd40ce28d9"</x:f>
        <x:v>c10dba5b-afae-437b-b5bc-b0dd40ce28d9</x:v>
      </x:c>
      <x:c r="B3558" s="23" t="str">
        <x:v>THIAGO DE ALMEIDA TIBURCIO</x:v>
      </x:c>
      <x:c r="C3558" s="23" t="str">
        <x:v>thiago de almeida tiburcio</x:v>
      </x:c>
      <x:c r="D3558" s="22" t="str">
        <x:f>"13.282.930/0001-27"</x:f>
        <x:v>13.282.930/0001-27</x:v>
      </x:c>
      <x:c r="E3558" s="22" t="str">
        <x:f>"13282930000127"</x:f>
        <x:v>13282930000127</x:v>
      </x:c>
      <x:c r="F3558" s="22" t="str">
        <x:f>"096.779.444-79"</x:f>
        <x:v>096.779.444-79</x:v>
      </x:c>
      <x:c r="G3558" s="22" t="str">
        <x:f>"09677944479"</x:f>
        <x:v>09677944479</x:v>
      </x:c>
      <x:c r="H3558" s="23" t="str">
        <x:v>thiagoalmeida2221@gmail.com</x:v>
      </x:c>
      <x:c r="I3558" s="22" t="str">
        <x:f>"11 982431301"</x:f>
        <x:v>11 982431301</x:v>
      </x:c>
      <x:c r="J3558" s="23" t="str">
        <x:v>SPOT</x:v>
      </x:c>
      <x:c r="K3558" s="23" t="str">
        <x:v>favored_only</x:v>
      </x:c>
      <x:c r="L3558" s="24" t="b">
        <x:v>1</x:v>
      </x:c>
      <x:c r="M3558" s="23" t="n">
        <x:v>1</x:v>
      </x:c>
      <x:c r="N3558" s="28" t="n">
        <x:v>46203.9218771875</x:v>
      </x:c>
      <x:c r="O3558" s="28" t="n">
        <x:v>46219.812988715275</x:v>
      </x:c>
      <x:c r="P3558" s="23" t="str">
        <x:v>BARUERI</x:v>
      </x:c>
      <x:c r="Q3558" s="30" t="n">
        <x:v>33395</x:v>
      </x:c>
      <x:c r="R3558" s="22" t="str">
        <x:f>"34339230"</x:f>
        <x:v>34339230</x:v>
      </x:c>
      <x:c r="S3558" s="23" t="str">
        <x:v>masculino</x:v>
      </x:c>
      <x:c r="T3558" s="22" t="str">
        <x:f>"DUI2A78"</x:f>
        <x:v>DUI2A78</x:v>
      </x:c>
      <x:c r="U3558" s="23" t="str">
        <x:v>THIAGO DE ALMEIDA TIBURCIO</x:v>
      </x:c>
      <x:c r="V3558" s="22" t="str">
        <x:f>"096.779.444-79"</x:f>
        <x:v>096.779.444-79</x:v>
      </x:c>
      <x:c r="W3558" s="22" t="str">
        <x:f>"09677944479"</x:f>
        <x:v>09677944479</x:v>
      </x:c>
      <x:c r="X3558" s="23" t="str">
        <x:v>thiagoalmeida2221@gmail.com</x:v>
      </x:c>
      <x:c r="Y3558" s="22" t="str">
        <x:f>"11 982431301"</x:f>
        <x:v>11 982431301</x:v>
      </x:c>
      <x:c r="Z3558" s="30" t="n">
        <x:v>46311</x:v>
      </x:c>
    </x:row>
    <x:row r="3559" ht="18" customHeight="1">
      <x:c r="A3559" s="22" t="str">
        <x:f>"1e47e95e-9be3-41b9-b224-170adf5881f1"</x:f>
        <x:v>1e47e95e-9be3-41b9-b224-170adf5881f1</x:v>
      </x:c>
      <x:c r="B3559" s="23" t="str">
        <x:v>THIAGO DE PAULA RIBEIRO</x:v>
      </x:c>
      <x:c r="C3559" s="23" t="str">
        <x:v>thiago de paula ribeiro</x:v>
      </x:c>
      <x:c r="D3559" s="22" t="str">
        <x:f>"35.088.163/0001-52"</x:f>
        <x:v>35.088.163/0001-52</x:v>
      </x:c>
      <x:c r="E3559" s="22" t="str">
        <x:f>"35088163000152"</x:f>
        <x:v>35088163000152</x:v>
      </x:c>
      <x:c r="F3559" s="22" t="str">
        <x:f>"125.282.327-48"</x:f>
        <x:v>125.282.327-48</x:v>
      </x:c>
      <x:c r="G3559" s="22" t="str">
        <x:f>"12528232748"</x:f>
        <x:v>12528232748</x:v>
      </x:c>
      <x:c r="H3559" s="23" t="str">
        <x:v>thiagoribeiroth01@gmail.com</x:v>
      </x:c>
      <x:c r="I3559" s="22" t="str">
        <x:f>"21989818406"</x:f>
        <x:v>21989818406</x:v>
      </x:c>
      <x:c r="J3559" s="23" t="str">
        <x:v>SPOT</x:v>
      </x:c>
      <x:c r="K3559" s="23" t="str">
        <x:v>favored_only</x:v>
      </x:c>
      <x:c r="L3559" s="24" t="b">
        <x:v>1</x:v>
      </x:c>
      <x:c r="M3559" s="23" t="n">
        <x:v>1</x:v>
      </x:c>
      <x:c r="N3559" s="28" t="n">
        <x:v>46219.812988715275</x:v>
      </x:c>
      <x:c r="O3559" s="28" t="n">
        <x:v>46219.812988715275</x:v>
      </x:c>
      <x:c r="P3559" s="23" t="str">
        <x:v>ITABORAI</x:v>
      </x:c>
      <x:c r="Q3559" s="30" t="n">
        <x:v>32949</x:v>
      </x:c>
      <x:c r="R3559" s="22" t="str">
        <x:f>"230533242"</x:f>
        <x:v>230533242</x:v>
      </x:c>
      <x:c r="S3559" s="23" t="str">
        <x:v>masculino</x:v>
      </x:c>
      <x:c r="T3559" s="22" t="str">
        <x:f>"KXG9C90"</x:f>
        <x:v>KXG9C90</x:v>
      </x:c>
      <x:c r="U3559" s="23" t="str">
        <x:v>THIAGO DE PAULA RIBEIRO</x:v>
      </x:c>
      <x:c r="V3559" s="22" t="str">
        <x:f>"125.282.327-48"</x:f>
        <x:v>125.282.327-48</x:v>
      </x:c>
      <x:c r="W3559" s="22" t="str">
        <x:f>"12528232748"</x:f>
        <x:v>12528232748</x:v>
      </x:c>
      <x:c r="X3559" s="23" t="str">
        <x:v>thiagoribeiroth01@gmail.com</x:v>
      </x:c>
      <x:c r="Y3559" s="22" t="str">
        <x:f>"21989818406"</x:f>
        <x:v>21989818406</x:v>
      </x:c>
      <x:c r="Z3559" s="30" t="n">
        <x:v>46476</x:v>
      </x:c>
    </x:row>
    <x:row r="3560" ht="18" customHeight="1">
      <x:c r="A3560" s="22" t="str">
        <x:f>"8cf5848b-181a-43fb-a83a-771308fc2add"</x:f>
        <x:v>8cf5848b-181a-43fb-a83a-771308fc2add</x:v>
      </x:c>
      <x:c r="B3560" s="23" t="str">
        <x:v>THIAGO DIAS DA SILVA</x:v>
      </x:c>
      <x:c r="C3560" s="23" t="str">
        <x:v>thiago dias da silva</x:v>
      </x:c>
      <x:c r="D3560" s="22" t="str">
        <x:f>"63.041.521/0001-07"</x:f>
        <x:v>63.041.521/0001-07</x:v>
      </x:c>
      <x:c r="E3560" s="22" t="str">
        <x:f>"63041521000107"</x:f>
        <x:v>63041521000107</x:v>
      </x:c>
      <x:c r="F3560" s="22" t="str">
        <x:f>"016.893.971-10"</x:f>
        <x:v>016.893.971-10</x:v>
      </x:c>
      <x:c r="G3560" s="22" t="str">
        <x:f>"01689397110"</x:f>
        <x:v>01689397110</x:v>
      </x:c>
      <x:c r="H3560" s="23" t="str">
        <x:v>mlaurentino46g@gmail.com</x:v>
      </x:c>
      <x:c r="I3560" s="22" t="str">
        <x:f>"65992900556"</x:f>
        <x:v>65992900556</x:v>
      </x:c>
      <x:c r="J3560" s="23" t="str">
        <x:v>SPOT</x:v>
      </x:c>
      <x:c r="K3560" s="23" t="str">
        <x:v>favored_only</x:v>
      </x:c>
      <x:c r="L3560" s="24" t="b">
        <x:v>1</x:v>
      </x:c>
      <x:c r="M3560" s="23" t="n">
        <x:v>1</x:v>
      </x:c>
      <x:c r="N3560" s="28" t="n">
        <x:v>46219.812988715275</x:v>
      </x:c>
      <x:c r="O3560" s="28" t="n">
        <x:v>46219.812988715275</x:v>
      </x:c>
      <x:c r="P3560" s="23" t="str">
        <x:v>CUIABA</x:v>
      </x:c>
      <x:c r="Q3560" s="30" t="n">
        <x:v>31727</x:v>
      </x:c>
      <x:c r="R3560" s="22" t="str">
        <x:f>"15116875"</x:f>
        <x:v>15116875</x:v>
      </x:c>
      <x:c r="S3560" s="23" t="str">
        <x:v>masculino</x:v>
      </x:c>
      <x:c r="T3560" s="22" t="str">
        <x:f>"QCX7B73"</x:f>
        <x:v>QCX7B73</x:v>
      </x:c>
      <x:c r="U3560" s="23" t="str">
        <x:v>RURIQUE THIAGO DOS SANTOS LAURENTINO</x:v>
      </x:c>
      <x:c r="V3560" s="22" t="str">
        <x:f>"083.824.141-76"</x:f>
        <x:v>083.824.141-76</x:v>
      </x:c>
      <x:c r="W3560" s="22" t="str">
        <x:f>"08382414176"</x:f>
        <x:v>08382414176</x:v>
      </x:c>
      <x:c r="X3560" s="23" t="str">
        <x:v>ruriquethiago610@gmail.com</x:v>
      </x:c>
      <x:c r="Y3560" s="22" t="str">
        <x:f>"65 996021638"</x:f>
        <x:v>65 996021638</x:v>
      </x:c>
      <x:c r="Z3560" s="30" t="n">
        <x:v>46497</x:v>
      </x:c>
    </x:row>
    <x:row r="3561" ht="18" customHeight="1">
      <x:c r="A3561" s="22" t="str">
        <x:f>"02fa8212-82ec-4832-8f6f-9cb0ec283367"</x:f>
        <x:v>02fa8212-82ec-4832-8f6f-9cb0ec283367</x:v>
      </x:c>
      <x:c r="B3561" s="23" t="str">
        <x:v>THIAGO DOS SANTOS COSTA</x:v>
      </x:c>
      <x:c r="C3561" s="23" t="str">
        <x:v>thiago dos santos costa</x:v>
      </x:c>
      <x:c r="D3561" s="22" t="str">
        <x:f>"64.234.534/0001-65"</x:f>
        <x:v>64.234.534/0001-65</x:v>
      </x:c>
      <x:c r="E3561" s="22" t="str">
        <x:f>"64234534000165"</x:f>
        <x:v>64234534000165</x:v>
      </x:c>
      <x:c r="F3561" s="22" t="str">
        <x:f>"364.059.958-78"</x:f>
        <x:v>364.059.958-78</x:v>
      </x:c>
      <x:c r="G3561" s="22" t="str">
        <x:f>"36405995878"</x:f>
        <x:v>36405995878</x:v>
      </x:c>
      <x:c r="H3561" s="23" t="str">
        <x:v>tc210142@gmail.com</x:v>
      </x:c>
      <x:c r="I3561" s="22" t="str">
        <x:f>"18997216641"</x:f>
        <x:v>18997216641</x:v>
      </x:c>
      <x:c r="J3561" s="23" t="str">
        <x:v>RENTAL</x:v>
      </x:c>
      <x:c r="K3561" s="23" t="str">
        <x:v>rental_company</x:v>
      </x:c>
      <x:c r="L3561" s="24" t="b">
        <x:v>1</x:v>
      </x:c>
      <x:c r="M3561" s="23" t="n">
        <x:v>1</x:v>
      </x:c>
      <x:c r="N3561" s="28" t="n">
        <x:v>46203.9219084375</x:v>
      </x:c>
      <x:c r="O3561" s="28" t="n">
        <x:v>46219.812988715275</x:v>
      </x:c>
      <x:c r="P3561" s="23" t="str">
        <x:v>PRESIDENTE PRUDENTE</x:v>
      </x:c>
      <x:c r="Q3561" s="30" t="n">
        <x:v>32482</x:v>
      </x:c>
      <x:c r="R3561" s="22" t="str">
        <x:f>"44573789"</x:f>
        <x:v>44573789</x:v>
      </x:c>
      <x:c r="S3561" s="23" t="str">
        <x:v>masculino</x:v>
      </x:c>
      <x:c r="T3561" s="22" t="str"/>
      <x:c r="U3561" s="23" t="str">
        <x:v>THIAGO DOS SANTOS COSTA</x:v>
      </x:c>
      <x:c r="V3561" s="22" t="str">
        <x:f>"364.059.958-78"</x:f>
        <x:v>364.059.958-78</x:v>
      </x:c>
      <x:c r="W3561" s="22" t="str">
        <x:f>"36405995878"</x:f>
        <x:v>36405995878</x:v>
      </x:c>
      <x:c r="X3561" s="23" t="str">
        <x:v>tc210142@gmail.com</x:v>
      </x:c>
      <x:c r="Y3561" s="22" t="str">
        <x:f>"18997216641"</x:f>
        <x:v>18997216641</x:v>
      </x:c>
      <x:c r="Z3561" s="30" t="n">
        <x:v>46392</x:v>
      </x:c>
    </x:row>
    <x:row r="3562" ht="18" customHeight="1">
      <x:c r="A3562" s="22" t="str">
        <x:f>"ef5aacc5-7c91-4829-9af1-4a98d016a9e2"</x:f>
        <x:v>ef5aacc5-7c91-4829-9af1-4a98d016a9e2</x:v>
      </x:c>
      <x:c r="B3562" s="23" t="str">
        <x:v>THIAGO FELIX DE OLIVEIRA CHRISPIM</x:v>
      </x:c>
      <x:c r="C3562" s="23" t="str">
        <x:v>thiago felix de oliveira chrispim</x:v>
      </x:c>
      <x:c r="D3562" s="22" t="str">
        <x:f>"49.161.609/0001-31"</x:f>
        <x:v>49.161.609/0001-31</x:v>
      </x:c>
      <x:c r="E3562" s="22" t="str">
        <x:f>"49161609000131"</x:f>
        <x:v>49161609000131</x:v>
      </x:c>
      <x:c r="F3562" s="22" t="str">
        <x:f>"160.774.997-14"</x:f>
        <x:v>160.774.997-14</x:v>
      </x:c>
      <x:c r="G3562" s="22" t="str">
        <x:f>"16077499714"</x:f>
        <x:v>16077499714</x:v>
      </x:c>
      <x:c r="H3562" s="23" t="str">
        <x:v>thiago.felix12@hotmail.com</x:v>
      </x:c>
      <x:c r="I3562" s="22" t="str">
        <x:f>"21 99288-3778"</x:f>
        <x:v>21 99288-3778</x:v>
      </x:c>
      <x:c r="J3562" s="23" t="str">
        <x:v>SPOT</x:v>
      </x:c>
      <x:c r="K3562" s="23" t="str">
        <x:v>favored_only</x:v>
      </x:c>
      <x:c r="L3562" s="24" t="b">
        <x:v>1</x:v>
      </x:c>
      <x:c r="M3562" s="23" t="n">
        <x:v>1</x:v>
      </x:c>
      <x:c r="N3562" s="28" t="n">
        <x:v>46203.921887453704</x:v>
      </x:c>
      <x:c r="O3562" s="28" t="n">
        <x:v>46219.812988715275</x:v>
      </x:c>
      <x:c r="P3562" s="23" t="str">
        <x:v>CAMPO GRANDE</x:v>
      </x:c>
      <x:c r="Q3562" s="30" t="n">
        <x:v>34185</x:v>
      </x:c>
      <x:c r="R3562" s="22" t="str">
        <x:f>"288540818"</x:f>
        <x:v>288540818</x:v>
      </x:c>
      <x:c r="S3562" s="23" t="str">
        <x:v>masculino</x:v>
      </x:c>
      <x:c r="T3562" s="22" t="str">
        <x:f>"QQR4G53"</x:f>
        <x:v>QQR4G53</x:v>
      </x:c>
      <x:c r="U3562" s="23" t="str">
        <x:v>THIAGO FELIX DE OLIVEIRA CHRISPIM</x:v>
      </x:c>
      <x:c r="V3562" s="22" t="str">
        <x:f>"160.774.997-14"</x:f>
        <x:v>160.774.997-14</x:v>
      </x:c>
      <x:c r="W3562" s="22" t="str">
        <x:f>"16077499714"</x:f>
        <x:v>16077499714</x:v>
      </x:c>
      <x:c r="X3562" s="23" t="str">
        <x:v>thiago.felix12@hotmail.com</x:v>
      </x:c>
      <x:c r="Y3562" s="22" t="str">
        <x:f>"21 99288-3778"</x:f>
        <x:v>21 99288-3778</x:v>
      </x:c>
      <x:c r="Z3562" s="30" t="n">
        <x:v>46328</x:v>
      </x:c>
    </x:row>
    <x:row r="3563" ht="18" customHeight="1">
      <x:c r="A3563" s="22" t="str">
        <x:f>"0a9297c4-0524-40e4-8893-4f4d9478b921"</x:f>
        <x:v>0a9297c4-0524-40e4-8893-4f4d9478b921</x:v>
      </x:c>
      <x:c r="B3563" s="23" t="str">
        <x:v>THIAGO FRANCISCO FERREIRA</x:v>
      </x:c>
      <x:c r="C3563" s="23" t="str">
        <x:v>thiago francisco ferreira</x:v>
      </x:c>
      <x:c r="D3563" s="22" t="str">
        <x:f>"60.365.497/0001-73"</x:f>
        <x:v>60.365.497/0001-73</x:v>
      </x:c>
      <x:c r="E3563" s="22" t="str">
        <x:f>"60365497000173"</x:f>
        <x:v>60365497000173</x:v>
      </x:c>
      <x:c r="F3563" s="22" t="str">
        <x:f>"473.613.208-64"</x:f>
        <x:v>473.613.208-64</x:v>
      </x:c>
      <x:c r="G3563" s="22" t="str">
        <x:f>"47361320864"</x:f>
        <x:v>47361320864</x:v>
      </x:c>
      <x:c r="H3563" s="23" t="str">
        <x:v>thiagoferreira172015@gmail.com</x:v>
      </x:c>
      <x:c r="I3563" s="22" t="str">
        <x:f>"17992845069"</x:f>
        <x:v>17992845069</x:v>
      </x:c>
      <x:c r="J3563" s="23" t="str">
        <x:v>RENTAL</x:v>
      </x:c>
      <x:c r="K3563" s="23" t="str">
        <x:v>rental_company</x:v>
      </x:c>
      <x:c r="L3563" s="24" t="b">
        <x:v>1</x:v>
      </x:c>
      <x:c r="M3563" s="23" t="n">
        <x:v>1</x:v>
      </x:c>
      <x:c r="N3563" s="28" t="n">
        <x:v>46203.92183017361</x:v>
      </x:c>
      <x:c r="O3563" s="28" t="n">
        <x:v>46219.812988715275</x:v>
      </x:c>
      <x:c r="P3563" s="23" t="str">
        <x:v>BARRETOS</x:v>
      </x:c>
      <x:c r="Q3563" s="30" t="n">
        <x:v>35670</x:v>
      </x:c>
      <x:c r="R3563" s="22" t="str">
        <x:f>"57868881"</x:f>
        <x:v>57868881</x:v>
      </x:c>
      <x:c r="S3563" s="23" t="str">
        <x:v>masculino</x:v>
      </x:c>
      <x:c r="T3563" s="22" t="str"/>
      <x:c r="U3563" s="23" t="str">
        <x:v>THIAGO FRANCISCO FERREIRA</x:v>
      </x:c>
      <x:c r="V3563" s="22" t="str">
        <x:f>"473.613.208-64"</x:f>
        <x:v>473.613.208-64</x:v>
      </x:c>
      <x:c r="W3563" s="22" t="str">
        <x:f>"47361320864"</x:f>
        <x:v>47361320864</x:v>
      </x:c>
      <x:c r="X3563" s="23" t="str">
        <x:v>thiagoferreira172015@gmail.com</x:v>
      </x:c>
      <x:c r="Y3563" s="22" t="str">
        <x:f>"17992845069"</x:f>
        <x:v>17992845069</x:v>
      </x:c>
      <x:c r="Z3563" s="30" t="n">
        <x:v>46518</x:v>
      </x:c>
    </x:row>
    <x:row r="3564" ht="18" customHeight="1">
      <x:c r="A3564" s="22" t="str">
        <x:f>"c910cee9-39ca-45e1-a1a8-5b84812d3f19"</x:f>
        <x:v>c910cee9-39ca-45e1-a1a8-5b84812d3f19</x:v>
      </x:c>
      <x:c r="B3564" s="23" t="str">
        <x:v>THIAGO FRANKLIN PESSOA DA SILVA</x:v>
      </x:c>
      <x:c r="C3564" s="23" t="str">
        <x:v>thiago franklin pessoa da silva</x:v>
      </x:c>
      <x:c r="D3564" s="22" t="str">
        <x:f>"66.128.135/0001-45"</x:f>
        <x:v>66.128.135/0001-45</x:v>
      </x:c>
      <x:c r="E3564" s="22" t="str">
        <x:f>"66128135000145"</x:f>
        <x:v>66128135000145</x:v>
      </x:c>
      <x:c r="F3564" s="22" t="str">
        <x:f>"084.080.987-56"</x:f>
        <x:v>084.080.987-56</x:v>
      </x:c>
      <x:c r="G3564" s="22" t="str">
        <x:f>"08408098756"</x:f>
        <x:v>08408098756</x:v>
      </x:c>
      <x:c r="H3564" s="23" t="str">
        <x:v>thiagofranklinps@gmail.com</x:v>
      </x:c>
      <x:c r="I3564" s="22" t="str">
        <x:f>"(21)971854014"</x:f>
        <x:v>(21)971854014</x:v>
      </x:c>
      <x:c r="J3564" s="23" t="str">
        <x:v>SPOT</x:v>
      </x:c>
      <x:c r="K3564" s="23" t="str">
        <x:v>favored_only</x:v>
      </x:c>
      <x:c r="L3564" s="24" t="b">
        <x:v>1</x:v>
      </x:c>
      <x:c r="M3564" s="23" t="n">
        <x:v>1</x:v>
      </x:c>
      <x:c r="N3564" s="28" t="n">
        <x:v>46219.812988715275</x:v>
      </x:c>
      <x:c r="O3564" s="28" t="n">
        <x:v>46219.812988715275</x:v>
      </x:c>
      <x:c r="P3564" s="23" t="str">
        <x:v>CORDOVIL</x:v>
      </x:c>
      <x:c r="Q3564" s="30" t="n">
        <x:v>29699</x:v>
      </x:c>
      <x:c r="R3564" s="22" t="str">
        <x:f>"8408098755"</x:f>
        <x:v>8408098755</x:v>
      </x:c>
      <x:c r="S3564" s="23" t="str">
        <x:v>masculino</x:v>
      </x:c>
      <x:c r="T3564" s="22" t="str">
        <x:f>"TLY7C83"</x:f>
        <x:v>TLY7C83</x:v>
      </x:c>
      <x:c r="U3564" s="23" t="str">
        <x:v>THIAGO FRANKLIN PESSOA DA SILVA</x:v>
      </x:c>
      <x:c r="V3564" s="22" t="str">
        <x:f>"084.080.987-56"</x:f>
        <x:v>084.080.987-56</x:v>
      </x:c>
      <x:c r="W3564" s="22" t="str">
        <x:f>"08408098756"</x:f>
        <x:v>08408098756</x:v>
      </x:c>
      <x:c r="X3564" s="23" t="str">
        <x:v>thiagofranklinps@gmail.com</x:v>
      </x:c>
      <x:c r="Y3564" s="22" t="str">
        <x:f>"(21)971854014"</x:f>
        <x:v>(21)971854014</x:v>
      </x:c>
      <x:c r="Z3564" s="30" t="n">
        <x:v>46534</x:v>
      </x:c>
    </x:row>
    <x:row r="3565" ht="18" customHeight="1">
      <x:c r="A3565" s="22" t="str">
        <x:f>"e283a6b5-5f52-4bb6-81ce-bca259bf00ba"</x:f>
        <x:v>e283a6b5-5f52-4bb6-81ce-bca259bf00ba</x:v>
      </x:c>
      <x:c r="B3565" s="23" t="str">
        <x:v>THIAGO FRATESCHI LIMA</x:v>
      </x:c>
      <x:c r="C3565" s="23" t="str">
        <x:v>thiago frateschi lima</x:v>
      </x:c>
      <x:c r="D3565" s="22" t="str">
        <x:f>"63.092.577/0001-90"</x:f>
        <x:v>63.092.577/0001-90</x:v>
      </x:c>
      <x:c r="E3565" s="22" t="str">
        <x:f>"63092577000190"</x:f>
        <x:v>63092577000190</x:v>
      </x:c>
      <x:c r="F3565" s="22" t="str">
        <x:f>"013.451.586-29"</x:f>
        <x:v>013.451.586-29</x:v>
      </x:c>
      <x:c r="G3565" s="22" t="str">
        <x:f>"01345158629"</x:f>
        <x:v>01345158629</x:v>
      </x:c>
      <x:c r="H3565" s="23" t="str">
        <x:v>thifrateschi@hotmail.com</x:v>
      </x:c>
      <x:c r="I3565" s="22" t="str">
        <x:f>"34991553373"</x:f>
        <x:v>34991553373</x:v>
      </x:c>
      <x:c r="J3565" s="23" t="str">
        <x:v>RENTAL</x:v>
      </x:c>
      <x:c r="K3565" s="23" t="str">
        <x:v>rental_company</x:v>
      </x:c>
      <x:c r="L3565" s="24" t="b">
        <x:v>1</x:v>
      </x:c>
      <x:c r="M3565" s="23" t="n">
        <x:v>1</x:v>
      </x:c>
      <x:c r="N3565" s="28" t="n">
        <x:v>46203.92189349537</x:v>
      </x:c>
      <x:c r="O3565" s="28" t="n">
        <x:v>46219.812988715275</x:v>
      </x:c>
      <x:c r="P3565" s="23" t="str">
        <x:v>UBERABA</x:v>
      </x:c>
      <x:c r="Q3565" s="30" t="n">
        <x:v>30341</x:v>
      </x:c>
      <x:c r="R3565" s="22" t="str">
        <x:f>"11407661"</x:f>
        <x:v>11407661</x:v>
      </x:c>
      <x:c r="S3565" s="23" t="str">
        <x:v>masculino</x:v>
      </x:c>
      <x:c r="T3565" s="22" t="str"/>
      <x:c r="U3565" s="23" t="str">
        <x:v>THIAGO FRATESCHI LIMA</x:v>
      </x:c>
      <x:c r="V3565" s="22" t="str">
        <x:f>"013.451.586-29"</x:f>
        <x:v>013.451.586-29</x:v>
      </x:c>
      <x:c r="W3565" s="22" t="str">
        <x:f>"01345158629"</x:f>
        <x:v>01345158629</x:v>
      </x:c>
      <x:c r="X3565" s="23" t="str">
        <x:v>thifrateschi@hotmail.com</x:v>
      </x:c>
      <x:c r="Y3565" s="22" t="str">
        <x:f>"34991553373"</x:f>
        <x:v>34991553373</x:v>
      </x:c>
      <x:c r="Z3565" s="30" t="n">
        <x:v>46336</x:v>
      </x:c>
    </x:row>
    <x:row r="3566" ht="18" customHeight="1">
      <x:c r="A3566" s="22" t="str">
        <x:f>"6cc88cca-8983-495a-8540-1a44a0cacd7a"</x:f>
        <x:v>6cc88cca-8983-495a-8540-1a44a0cacd7a</x:v>
      </x:c>
      <x:c r="B3566" s="23" t="str">
        <x:v>THIAGO FREITAS RODRIGUES</x:v>
      </x:c>
      <x:c r="C3566" s="23" t="str">
        <x:v>thiago freitas rodrigues</x:v>
      </x:c>
      <x:c r="D3566" s="22" t="str">
        <x:f>"61.272.789/0001-24"</x:f>
        <x:v>61.272.789/0001-24</x:v>
      </x:c>
      <x:c r="E3566" s="22" t="str">
        <x:f>"61272789000124"</x:f>
        <x:v>61272789000124</x:v>
      </x:c>
      <x:c r="F3566" s="22" t="str">
        <x:f>"149.943.917-26"</x:f>
        <x:v>149.943.917-26</x:v>
      </x:c>
      <x:c r="G3566" s="22" t="str">
        <x:f>"14994391726"</x:f>
        <x:v>14994391726</x:v>
      </x:c>
      <x:c r="H3566" s="23" t="str">
        <x:v>thiago.f.rodrigues@hotmail.com</x:v>
      </x:c>
      <x:c r="I3566" s="22" t="str">
        <x:f>"22999396350"</x:f>
        <x:v>22999396350</x:v>
      </x:c>
      <x:c r="J3566" s="23" t="str">
        <x:v>SPOT</x:v>
      </x:c>
      <x:c r="K3566" s="23" t="str">
        <x:v>favored_only</x:v>
      </x:c>
      <x:c r="L3566" s="24" t="b">
        <x:v>1</x:v>
      </x:c>
      <x:c r="M3566" s="23" t="n">
        <x:v>1</x:v>
      </x:c>
      <x:c r="N3566" s="28" t="n">
        <x:v>46219.812988715275</x:v>
      </x:c>
      <x:c r="O3566" s="28" t="n">
        <x:v>46219.812988715275</x:v>
      </x:c>
      <x:c r="P3566" s="23" t="str">
        <x:v>CAMPOS DOS GOYTACAZES</x:v>
      </x:c>
      <x:c r="Q3566" s="30" t="n">
        <x:v>33095</x:v>
      </x:c>
      <x:c r="R3566" s="22" t="str">
        <x:f>"245966726"</x:f>
        <x:v>245966726</x:v>
      </x:c>
      <x:c r="S3566" s="23" t="str">
        <x:v>masculino</x:v>
      </x:c>
      <x:c r="T3566" s="22" t="str">
        <x:f>"LMP7A50"</x:f>
        <x:v>LMP7A50</x:v>
      </x:c>
      <x:c r="U3566" s="23" t="str">
        <x:v>WDSON FACIO LIRIO</x:v>
      </x:c>
      <x:c r="V3566" s="22" t="str">
        <x:f>"206.791.847-83"</x:f>
        <x:v>206.791.847-83</x:v>
      </x:c>
      <x:c r="W3566" s="22" t="str">
        <x:f>"20679184783"</x:f>
        <x:v>20679184783</x:v>
      </x:c>
      <x:c r="X3566" s="23" t="str">
        <x:v>wdsonlirio10@gmail.com</x:v>
      </x:c>
      <x:c r="Y3566" s="22" t="str">
        <x:f>"+55 22 99783-6090"</x:f>
        <x:v>+55 22 99783-6090</x:v>
      </x:c>
      <x:c r="Z3566" s="30" t="n">
        <x:v>46553</x:v>
      </x:c>
    </x:row>
    <x:row r="3567" ht="18" customHeight="1">
      <x:c r="A3567" s="22" t="str">
        <x:f>"c7907117-fae1-48ef-ad29-850339e56765"</x:f>
        <x:v>c7907117-fae1-48ef-ad29-850339e56765</x:v>
      </x:c>
      <x:c r="B3567" s="23" t="str">
        <x:v>Thiago Furtado Da Sillva</x:v>
      </x:c>
      <x:c r="C3567" s="23" t="str">
        <x:v>thiago furtado da sillva</x:v>
      </x:c>
      <x:c r="D3567" s="22" t="str">
        <x:f>"37.823.997/0001-90"</x:f>
        <x:v>37.823.997/0001-90</x:v>
      </x:c>
      <x:c r="E3567" s="22" t="str">
        <x:f>"37823997000190"</x:f>
        <x:v>37823997000190</x:v>
      </x:c>
      <x:c r="F3567" s="22" t="str">
        <x:f>"039.257.079-01"</x:f>
        <x:v>039.257.079-01</x:v>
      </x:c>
      <x:c r="G3567" s="22" t="str">
        <x:f>"03925707901"</x:f>
        <x:v>03925707901</x:v>
      </x:c>
      <x:c r="H3567" s="23" t="str">
        <x:v>thiagofurtadoce51@gmail.com</x:v>
      </x:c>
      <x:c r="I3567" s="22" t="str">
        <x:f>"62982487496"</x:f>
        <x:v>62982487496</x:v>
      </x:c>
      <x:c r="J3567" s="23" t="str">
        <x:v>SPOT</x:v>
      </x:c>
      <x:c r="K3567" s="23" t="str">
        <x:v>favored_only</x:v>
      </x:c>
      <x:c r="L3567" s="24" t="b">
        <x:v>1</x:v>
      </x:c>
      <x:c r="M3567" s="23" t="n">
        <x:v>1</x:v>
      </x:c>
      <x:c r="N3567" s="28" t="n">
        <x:v>46205.60331054398</x:v>
      </x:c>
      <x:c r="O3567" s="28" t="n">
        <x:v>46205.6048530787</x:v>
      </x:c>
      <x:c r="P3567" s="23" t="str">
        <x:v>GOIANIA</x:v>
      </x:c>
      <x:c r="Q3567" s="30" t="n">
        <x:v>31823</x:v>
      </x:c>
      <x:c r="R3567" s="22" t="str">
        <x:f>"4750525"</x:f>
        <x:v>4750525</x:v>
      </x:c>
      <x:c r="S3567" s="23" t="str">
        <x:v>Masculino</x:v>
      </x:c>
      <x:c r="T3567" s="22" t="str">
        <x:f>"DEI-6J66"</x:f>
        <x:v>DEI-6J66</x:v>
      </x:c>
      <x:c r="U3567" s="23" t="str">
        <x:v>Danillo Baciel Almeida</x:v>
      </x:c>
      <x:c r="V3567" s="22" t="str">
        <x:f>"37.823.997/0001-90"</x:f>
        <x:v>37.823.997/0001-90</x:v>
      </x:c>
      <x:c r="W3567" s="22" t="str">
        <x:f>"37823997000190"</x:f>
        <x:v>37823997000190</x:v>
      </x:c>
      <x:c r="X3567" s="23" t="str">
        <x:v>rpt.cargas@gmail.com</x:v>
      </x:c>
      <x:c r="Y3567" s="22" t="str">
        <x:f>"62 996610607"</x:f>
        <x:v>62 996610607</x:v>
      </x:c>
      <x:c r="Z3567" s="30" t="n">
        <x:v>46214</x:v>
      </x:c>
    </x:row>
    <x:row r="3568" ht="18" customHeight="1">
      <x:c r="A3568" s="22" t="str">
        <x:f>"db1974fd-9fed-42e2-90c4-ec10d0bf80b7"</x:f>
        <x:v>db1974fd-9fed-42e2-90c4-ec10d0bf80b7</x:v>
      </x:c>
      <x:c r="B3568" s="23" t="str">
        <x:v>THIAGO GONCALVES DA PAIXAO</x:v>
      </x:c>
      <x:c r="C3568" s="23" t="str">
        <x:v>thiago goncalves da paixao</x:v>
      </x:c>
      <x:c r="D3568" s="22" t="str">
        <x:f>"64.706.601/0001-05"</x:f>
        <x:v>64.706.601/0001-05</x:v>
      </x:c>
      <x:c r="E3568" s="22" t="str">
        <x:f>"64706601000105"</x:f>
        <x:v>64706601000105</x:v>
      </x:c>
      <x:c r="F3568" s="22" t="str">
        <x:f>"120.613.237-07"</x:f>
        <x:v>120.613.237-07</x:v>
      </x:c>
      <x:c r="G3568" s="22" t="str">
        <x:f>"12061323707"</x:f>
        <x:v>12061323707</x:v>
      </x:c>
      <x:c r="H3568" s="23" t="str">
        <x:v>thiago2011faby@gmail.com</x:v>
      </x:c>
      <x:c r="I3568" s="22" t="str">
        <x:f>"21964217177"</x:f>
        <x:v>21964217177</x:v>
      </x:c>
      <x:c r="J3568" s="23" t="str">
        <x:v>SPOT</x:v>
      </x:c>
      <x:c r="K3568" s="23" t="str">
        <x:v>favored_only</x:v>
      </x:c>
      <x:c r="L3568" s="24" t="b">
        <x:v>1</x:v>
      </x:c>
      <x:c r="M3568" s="23" t="n">
        <x:v>1</x:v>
      </x:c>
      <x:c r="N3568" s="28" t="n">
        <x:v>46219.812988715275</x:v>
      </x:c>
      <x:c r="O3568" s="28" t="n">
        <x:v>46219.812988715275</x:v>
      </x:c>
      <x:c r="P3568" s="23" t="str">
        <x:v>QUEIMADOS</x:v>
      </x:c>
      <x:c r="Q3568" s="30" t="n">
        <x:v>31249</x:v>
      </x:c>
      <x:c r="R3568" s="22" t="str">
        <x:f>"208822742"</x:f>
        <x:v>208822742</x:v>
      </x:c>
      <x:c r="S3568" s="23" t="str">
        <x:v>masculino</x:v>
      </x:c>
      <x:c r="T3568" s="22" t="str">
        <x:f>"QUY8I25"</x:f>
        <x:v>QUY8I25</x:v>
      </x:c>
      <x:c r="U3568" s="23" t="str">
        <x:v>THIAGO GONCALVES DA PAIXAO</x:v>
      </x:c>
      <x:c r="V3568" s="22" t="str">
        <x:f>"120.613.237-07"</x:f>
        <x:v>120.613.237-07</x:v>
      </x:c>
      <x:c r="W3568" s="22" t="str">
        <x:f>"12061323707"</x:f>
        <x:v>12061323707</x:v>
      </x:c>
      <x:c r="X3568" s="23" t="str">
        <x:v>thiago2011faby@gmail.com</x:v>
      </x:c>
      <x:c r="Y3568" s="22" t="str">
        <x:f>"21964217177"</x:f>
        <x:v>21964217177</x:v>
      </x:c>
      <x:c r="Z3568" s="30" t="n">
        <x:v>46428</x:v>
      </x:c>
    </x:row>
    <x:row r="3569" ht="18" customHeight="1">
      <x:c r="A3569" s="22" t="str">
        <x:f>"4fd6a837-763a-4334-9fce-9c46fa2062b6"</x:f>
        <x:v>4fd6a837-763a-4334-9fce-9c46fa2062b6</x:v>
      </x:c>
      <x:c r="B3569" s="23" t="str">
        <x:v>THIAGO HENRIQUE FERREIRA COSTA</x:v>
      </x:c>
      <x:c r="C3569" s="23" t="str">
        <x:v>thiago henrique ferreira costa</x:v>
      </x:c>
      <x:c r="D3569" s="22" t="str">
        <x:f>"42.614.892/0001-60"</x:f>
        <x:v>42.614.892/0001-60</x:v>
      </x:c>
      <x:c r="E3569" s="22" t="str">
        <x:f>"42614892000160"</x:f>
        <x:v>42614892000160</x:v>
      </x:c>
      <x:c r="F3569" s="22" t="str">
        <x:f>"041.408.107-26"</x:f>
        <x:v>041.408.107-26</x:v>
      </x:c>
      <x:c r="G3569" s="22" t="str">
        <x:f>"04140810726"</x:f>
        <x:v>04140810726</x:v>
      </x:c>
      <x:c r="H3569" s="23" t="str">
        <x:v>trike05@outlook.com</x:v>
      </x:c>
      <x:c r="I3569" s="22" t="str">
        <x:f>"21973361676"</x:f>
        <x:v>21973361676</x:v>
      </x:c>
      <x:c r="J3569" s="23" t="str">
        <x:v>SPOT</x:v>
      </x:c>
      <x:c r="K3569" s="23" t="str">
        <x:v>favored_only</x:v>
      </x:c>
      <x:c r="L3569" s="24" t="b">
        <x:v>1</x:v>
      </x:c>
      <x:c r="M3569" s="23" t="n">
        <x:v>1</x:v>
      </x:c>
      <x:c r="N3569" s="28" t="n">
        <x:v>46219.812988715275</x:v>
      </x:c>
      <x:c r="O3569" s="28" t="n">
        <x:v>46219.812988715275</x:v>
      </x:c>
      <x:c r="P3569" s="23" t="str">
        <x:v>SÃO JOAO DE MERITI</x:v>
      </x:c>
      <x:c r="Q3569" s="30" t="n">
        <x:v>36584</x:v>
      </x:c>
      <x:c r="R3569" s="22" t="str">
        <x:f>"305608804"</x:f>
        <x:v>305608804</x:v>
      </x:c>
      <x:c r="S3569" s="23" t="str">
        <x:v>masculino</x:v>
      </x:c>
      <x:c r="T3569" s="22" t="str">
        <x:f>"KVP9G45"</x:f>
        <x:v>KVP9G45</x:v>
      </x:c>
      <x:c r="U3569" s="23" t="str">
        <x:v>MARCOS VINICIUS GOMES COSTA</x:v>
      </x:c>
      <x:c r="V3569" s="22" t="str">
        <x:f>"041.408.107-26"</x:f>
        <x:v>041.408.107-26</x:v>
      </x:c>
      <x:c r="W3569" s="22" t="str">
        <x:f>"04140810726"</x:f>
        <x:v>04140810726</x:v>
      </x:c>
      <x:c r="X3569" s="23" t="str">
        <x:v>trike05@outlook.com</x:v>
      </x:c>
      <x:c r="Y3569" s="22" t="str">
        <x:f>"21973361676"</x:f>
        <x:v>21973361676</x:v>
      </x:c>
      <x:c r="Z3569" s="30" t="n">
        <x:v>46555</x:v>
      </x:c>
    </x:row>
    <x:row r="3570" ht="18" customHeight="1">
      <x:c r="A3570" s="22" t="str">
        <x:f>"c69f6e1e-24a7-4931-9bfa-db0881a1ba88"</x:f>
        <x:v>c69f6e1e-24a7-4931-9bfa-db0881a1ba88</x:v>
      </x:c>
      <x:c r="B3570" s="23" t="str">
        <x:v>THIAGO HENRIQUE OLIVEIRA DE SOUSA</x:v>
      </x:c>
      <x:c r="C3570" s="23" t="str">
        <x:v>thiago henrique oliveira de sousa</x:v>
      </x:c>
      <x:c r="D3570" s="22" t="str">
        <x:f>"60.832.766/0001-64"</x:f>
        <x:v>60.832.766/0001-64</x:v>
      </x:c>
      <x:c r="E3570" s="22" t="str">
        <x:f>"60832766000164"</x:f>
        <x:v>60832766000164</x:v>
      </x:c>
      <x:c r="F3570" s="22" t="str">
        <x:f>"126.190.837-61"</x:f>
        <x:v>126.190.837-61</x:v>
      </x:c>
      <x:c r="G3570" s="22" t="str">
        <x:f>"12619083761"</x:f>
        <x:v>12619083761</x:v>
      </x:c>
      <x:c r="H3570" s="23" t="str">
        <x:v>thiagohenrique0507@gmail.com</x:v>
      </x:c>
      <x:c r="I3570" s="22" t="str">
        <x:f>"21983814139"</x:f>
        <x:v>21983814139</x:v>
      </x:c>
      <x:c r="J3570" s="23" t="str">
        <x:v>SPOT</x:v>
      </x:c>
      <x:c r="K3570" s="23" t="str">
        <x:v>favored_only</x:v>
      </x:c>
      <x:c r="L3570" s="24" t="b">
        <x:v>1</x:v>
      </x:c>
      <x:c r="M3570" s="23" t="n">
        <x:v>1</x:v>
      </x:c>
      <x:c r="N3570" s="28" t="n">
        <x:v>46219.812988715275</x:v>
      </x:c>
      <x:c r="O3570" s="28" t="n">
        <x:v>46219.812988715275</x:v>
      </x:c>
      <x:c r="P3570" s="23" t="str">
        <x:v>ITABORAI</x:v>
      </x:c>
      <x:c r="Q3570" s="30" t="n">
        <x:v>32329</x:v>
      </x:c>
      <x:c r="R3570" s="22" t="str">
        <x:f>"205997406"</x:f>
        <x:v>205997406</x:v>
      </x:c>
      <x:c r="S3570" s="23" t="str">
        <x:v>masculino</x:v>
      </x:c>
      <x:c r="T3570" s="22" t="str">
        <x:f>"RJC3B49"</x:f>
        <x:v>RJC3B49</x:v>
      </x:c>
      <x:c r="U3570" s="23" t="str">
        <x:v>THIAGO HENRIQUE OLIVEIRA DE SOUSA</x:v>
      </x:c>
      <x:c r="V3570" s="22" t="str">
        <x:f>"126.190.837-61"</x:f>
        <x:v>126.190.837-61</x:v>
      </x:c>
      <x:c r="W3570" s="22" t="str">
        <x:f>"12619083761"</x:f>
        <x:v>12619083761</x:v>
      </x:c>
      <x:c r="X3570" s="23" t="str">
        <x:v>thiagohenrique0507@gmail.com</x:v>
      </x:c>
      <x:c r="Y3570" s="22" t="str">
        <x:f>"21983814139"</x:f>
        <x:v>21983814139</x:v>
      </x:c>
      <x:c r="Z3570" s="30" t="n">
        <x:v>46464</x:v>
      </x:c>
    </x:row>
    <x:row r="3571" ht="18" customHeight="1">
      <x:c r="A3571" s="22" t="str">
        <x:f>"5345e332-19cf-4304-a733-477a9b7c0808"</x:f>
        <x:v>5345e332-19cf-4304-a733-477a9b7c0808</x:v>
      </x:c>
      <x:c r="B3571" s="23" t="str">
        <x:v>THIAGO HENRIQUE SILVA</x:v>
      </x:c>
      <x:c r="C3571" s="23" t="str">
        <x:v>thiago henrique silva</x:v>
      </x:c>
      <x:c r="D3571" s="22" t="str">
        <x:f>"67.633.103/0001-60"</x:f>
        <x:v>67.633.103/0001-60</x:v>
      </x:c>
      <x:c r="E3571" s="22" t="str">
        <x:f>"67633103000160"</x:f>
        <x:v>67633103000160</x:v>
      </x:c>
      <x:c r="F3571" s="22" t="str">
        <x:f>"061.842.691-43"</x:f>
        <x:v>061.842.691-43</x:v>
      </x:c>
      <x:c r="G3571" s="22" t="str">
        <x:f>"06184269143"</x:f>
        <x:v>06184269143</x:v>
      </x:c>
      <x:c r="H3571" s="23" t="str">
        <x:v>thiagohenrique05778@gmail.com</x:v>
      </x:c>
      <x:c r="I3571" s="22" t="str">
        <x:f>"6696099334"</x:f>
        <x:v>6696099334</x:v>
      </x:c>
      <x:c r="J3571" s="23" t="str">
        <x:v>spot</x:v>
      </x:c>
      <x:c r="K3571" s="23" t="str">
        <x:v>favored_only</x:v>
      </x:c>
      <x:c r="L3571" s="24" t="b">
        <x:v>1</x:v>
      </x:c>
      <x:c r="M3571" s="23" t="n">
        <x:v>1</x:v>
      </x:c>
      <x:c r="N3571" s="28" t="n">
        <x:v>46219.812988715275</x:v>
      </x:c>
      <x:c r="O3571" s="28" t="n">
        <x:v>46219.812988715275</x:v>
      </x:c>
      <x:c r="P3571" s="23" t="str">
        <x:v>CHAPADÃO DO SUL</x:v>
      </x:c>
      <x:c r="Q3571" s="30" t="n">
        <x:v>37617</x:v>
      </x:c>
      <x:c r="R3571" s="22" t="str">
        <x:f>"31251390"</x:f>
        <x:v>31251390</x:v>
      </x:c>
      <x:c r="S3571" s="23" t="str">
        <x:v>masculino</x:v>
      </x:c>
      <x:c r="T3571" s="22" t="str">
        <x:f>"RBW6I97"</x:f>
        <x:v>RBW6I97</x:v>
      </x:c>
      <x:c r="U3571" s="23" t="str">
        <x:v>THIAGO HENRIQUE SILVA</x:v>
      </x:c>
      <x:c r="V3571" s="22" t="str">
        <x:f>"061.842.691-43"</x:f>
        <x:v>061.842.691-43</x:v>
      </x:c>
      <x:c r="W3571" s="22" t="str">
        <x:f>"06184269143"</x:f>
        <x:v>06184269143</x:v>
      </x:c>
      <x:c r="X3571" s="23" t="str">
        <x:v>thiagohenrique05778@gmail.com</x:v>
      </x:c>
      <x:c r="Y3571" s="22" t="str">
        <x:f>"6696099334"</x:f>
        <x:v>6696099334</x:v>
      </x:c>
      <x:c r="Z3571" s="30" t="n">
        <x:v>46560</x:v>
      </x:c>
    </x:row>
    <x:row r="3572" ht="18" customHeight="1">
      <x:c r="A3572" s="22" t="str">
        <x:f>"c6e0ab1b-108b-4529-8eae-151a66d8adf7"</x:f>
        <x:v>c6e0ab1b-108b-4529-8eae-151a66d8adf7</x:v>
      </x:c>
      <x:c r="B3572" s="23" t="str">
        <x:v>THIAGO JOSE DA SILVA</x:v>
      </x:c>
      <x:c r="C3572" s="23" t="str">
        <x:v>thiago jose da silva</x:v>
      </x:c>
      <x:c r="D3572" s="22" t="str">
        <x:f>"67.000.990/0001-39"</x:f>
        <x:v>67.000.990/0001-39</x:v>
      </x:c>
      <x:c r="E3572" s="22" t="str">
        <x:f>"67000990000139"</x:f>
        <x:v>67000990000139</x:v>
      </x:c>
      <x:c r="F3572" s="22" t="str">
        <x:f>"460.862.648-56"</x:f>
        <x:v>460.862.648-56</x:v>
      </x:c>
      <x:c r="G3572" s="22" t="str">
        <x:f>"46086264856"</x:f>
        <x:v>46086264856</x:v>
      </x:c>
      <x:c r="H3572" s="23" t="str">
        <x:v>Thiagosilvajse@gmail.com</x:v>
      </x:c>
      <x:c r="I3572" s="22" t="str">
        <x:f>"(19) 99194-0573"</x:f>
        <x:v>(19) 99194-0573</x:v>
      </x:c>
      <x:c r="J3572" s="23" t="str">
        <x:v>RENTAL</x:v>
      </x:c>
      <x:c r="K3572" s="23" t="str">
        <x:v>rental_company</x:v>
      </x:c>
      <x:c r="L3572" s="24" t="b">
        <x:v>1</x:v>
      </x:c>
      <x:c r="M3572" s="23" t="n">
        <x:v>1</x:v>
      </x:c>
      <x:c r="N3572" s="28" t="n">
        <x:v>46219.812988715275</x:v>
      </x:c>
      <x:c r="O3572" s="28" t="n">
        <x:v>46219.812988715275</x:v>
      </x:c>
      <x:c r="P3572" s="23" t="str">
        <x:v>MARILIA</x:v>
      </x:c>
      <x:c r="Q3572" s="30" t="n">
        <x:v>36865</x:v>
      </x:c>
      <x:c r="R3572" s="22" t="str">
        <x:f>"56866276"</x:f>
        <x:v>56866276</x:v>
      </x:c>
      <x:c r="S3572" s="23" t="str">
        <x:v>masculino</x:v>
      </x:c>
      <x:c r="T3572" s="22" t="str"/>
      <x:c r="U3572" s="23" t="str">
        <x:v>THIAGO JOSE DA SILVA</x:v>
      </x:c>
      <x:c r="V3572" s="22" t="str">
        <x:f>"460.862.648-56"</x:f>
        <x:v>460.862.648-56</x:v>
      </x:c>
      <x:c r="W3572" s="22" t="str">
        <x:f>"46086264856"</x:f>
        <x:v>46086264856</x:v>
      </x:c>
      <x:c r="X3572" s="23" t="str">
        <x:v>Thiagosilvajse@gmail.com</x:v>
      </x:c>
      <x:c r="Y3572" s="22" t="str">
        <x:f>"(19) 99194-0573"</x:f>
        <x:v>(19) 99194-0573</x:v>
      </x:c>
      <x:c r="Z3572" s="30" t="n">
        <x:v>46534</x:v>
      </x:c>
    </x:row>
    <x:row r="3573" ht="18" customHeight="1">
      <x:c r="A3573" s="22" t="str">
        <x:f>"ffe39292-e4bb-4d8b-bff6-85b3753e56b2"</x:f>
        <x:v>ffe39292-e4bb-4d8b-bff6-85b3753e56b2</x:v>
      </x:c>
      <x:c r="B3573" s="23" t="str">
        <x:v>THIAGO JUNIOR MEDEIROS RIBEIRO</x:v>
      </x:c>
      <x:c r="C3573" s="23" t="str">
        <x:v>thiago junior medeiros ribeiro</x:v>
      </x:c>
      <x:c r="D3573" s="22" t="str">
        <x:f>"57.684.950/0001-08"</x:f>
        <x:v>57.684.950/0001-08</x:v>
      </x:c>
      <x:c r="E3573" s="22" t="str">
        <x:f>"57684950000108"</x:f>
        <x:v>57684950000108</x:v>
      </x:c>
      <x:c r="F3573" s="22" t="str">
        <x:f>"081.891.721-07"</x:f>
        <x:v>081.891.721-07</x:v>
      </x:c>
      <x:c r="G3573" s="22" t="str">
        <x:f>"08189172107"</x:f>
        <x:v>08189172107</x:v>
      </x:c>
      <x:c r="H3573" s="23" t="str">
        <x:v>thiagocba1000@gmail.com</x:v>
      </x:c>
      <x:c r="I3573" s="22" t="str">
        <x:f>"65993005648"</x:f>
        <x:v>65993005648</x:v>
      </x:c>
      <x:c r="J3573" s="23" t="str">
        <x:v>RENTAL</x:v>
      </x:c>
      <x:c r="K3573" s="23" t="str">
        <x:v>favored_only</x:v>
      </x:c>
      <x:c r="L3573" s="24" t="b">
        <x:v>1</x:v>
      </x:c>
      <x:c r="M3573" s="23" t="n">
        <x:v>2</x:v>
      </x:c>
      <x:c r="N3573" s="28" t="n">
        <x:v>46203.921858726855</x:v>
      </x:c>
      <x:c r="O3573" s="28" t="n">
        <x:v>46219.812988715275</x:v>
      </x:c>
      <x:c r="P3573" s="23" t="str">
        <x:v>CUIABA</x:v>
      </x:c>
      <x:c r="Q3573" s="30" t="n">
        <x:v>38373</x:v>
      </x:c>
      <x:c r="R3573" s="22" t="str">
        <x:f>"30858712"</x:f>
        <x:v>30858712</x:v>
      </x:c>
      <x:c r="S3573" s="23" t="str">
        <x:v>masculino</x:v>
      </x:c>
      <x:c r="T3573" s="22" t="str">
        <x:f>"QXN7G34"</x:f>
        <x:v>QXN7G34</x:v>
      </x:c>
      <x:c r="U3573" s="23" t="str">
        <x:v>THIAGO JUNIOR MEDEIROS RIBEIRO</x:v>
      </x:c>
      <x:c r="V3573" s="22" t="str">
        <x:f>"081.891.721-07"</x:f>
        <x:v>081.891.721-07</x:v>
      </x:c>
      <x:c r="W3573" s="22" t="str">
        <x:f>"08189172107"</x:f>
        <x:v>08189172107</x:v>
      </x:c>
      <x:c r="X3573" s="23" t="str">
        <x:v>thiagocba1000@gmail.com</x:v>
      </x:c>
      <x:c r="Y3573" s="22" t="str">
        <x:f>"65993005648"</x:f>
        <x:v>65993005648</x:v>
      </x:c>
      <x:c r="Z3573" s="30" t="n">
        <x:v>46471</x:v>
      </x:c>
    </x:row>
    <x:row r="3574" ht="18" customHeight="1">
      <x:c r="A3574" s="22" t="str">
        <x:f>"3aead805-2b3f-4cff-a1b9-88f68b030cc3"</x:f>
        <x:v>3aead805-2b3f-4cff-a1b9-88f68b030cc3</x:v>
      </x:c>
      <x:c r="B3574" s="23" t="str">
        <x:v>THIAGO JUNIO RODRIGUES DE ALMEIDA</x:v>
      </x:c>
      <x:c r="C3574" s="23" t="str">
        <x:v>thiago junio rodrigues de almeida</x:v>
      </x:c>
      <x:c r="D3574" s="22" t="str">
        <x:f>"41.584.955/0001-10"</x:f>
        <x:v>41.584.955/0001-10</x:v>
      </x:c>
      <x:c r="E3574" s="22" t="str">
        <x:f>"41584955000110"</x:f>
        <x:v>41584955000110</x:v>
      </x:c>
      <x:c r="F3574" s="22" t="str">
        <x:f>"117.902.406-03"</x:f>
        <x:v>117.902.406-03</x:v>
      </x:c>
      <x:c r="G3574" s="22" t="str">
        <x:f>"11790240603"</x:f>
        <x:v>11790240603</x:v>
      </x:c>
      <x:c r="H3574" s="23" t="str">
        <x:v>tgneett@gmail.com</x:v>
      </x:c>
      <x:c r="I3574" s="22" t="str">
        <x:f>"31997743276"</x:f>
        <x:v>31997743276</x:v>
      </x:c>
      <x:c r="J3574" s="23" t="str">
        <x:v>SPOT</x:v>
      </x:c>
      <x:c r="K3574" s="23" t="str">
        <x:v>favored_only</x:v>
      </x:c>
      <x:c r="L3574" s="24" t="b">
        <x:v>1</x:v>
      </x:c>
      <x:c r="M3574" s="23" t="n">
        <x:v>1</x:v>
      </x:c>
      <x:c r="N3574" s="28" t="n">
        <x:v>46203.9219084375</x:v>
      </x:c>
      <x:c r="O3574" s="28" t="n">
        <x:v>46219.812988715275</x:v>
      </x:c>
      <x:c r="P3574" s="23" t="str">
        <x:v>CONTAGEM</x:v>
      </x:c>
      <x:c r="Q3574" s="30" t="n">
        <x:v>34134</x:v>
      </x:c>
      <x:c r="R3574" s="22" t="str">
        <x:f>"16096120"</x:f>
        <x:v>16096120</x:v>
      </x:c>
      <x:c r="S3574" s="23" t="str">
        <x:v>masculino</x:v>
      </x:c>
      <x:c r="T3574" s="22" t="str">
        <x:f>"DHO9G92"</x:f>
        <x:v>DHO9G92</x:v>
      </x:c>
      <x:c r="U3574" s="23" t="str">
        <x:v>THIAGO JUNIO RODRIGUES DE ALMEIDA</x:v>
      </x:c>
      <x:c r="V3574" s="22" t="str">
        <x:f>"117.902.406-03"</x:f>
        <x:v>117.902.406-03</x:v>
      </x:c>
      <x:c r="W3574" s="22" t="str">
        <x:f>"11790240603"</x:f>
        <x:v>11790240603</x:v>
      </x:c>
      <x:c r="X3574" s="23" t="str">
        <x:v>tgneett@gmail.com</x:v>
      </x:c>
      <x:c r="Y3574" s="22" t="str">
        <x:f>"31997743276"</x:f>
        <x:v>31997743276</x:v>
      </x:c>
      <x:c r="Z3574" s="30" t="n">
        <x:v>46397</x:v>
      </x:c>
    </x:row>
    <x:row r="3575" ht="18" customHeight="1">
      <x:c r="A3575" s="22" t="str">
        <x:f>"f6b6f1d6-1304-4211-99f7-c3e1e6eb5d9d"</x:f>
        <x:v>f6b6f1d6-1304-4211-99f7-c3e1e6eb5d9d</x:v>
      </x:c>
      <x:c r="B3575" s="23" t="str">
        <x:v>THIAGO LEONARDO ANANIAS NUNES</x:v>
      </x:c>
      <x:c r="C3575" s="23" t="str">
        <x:v>thiago leonardo ananias nunes</x:v>
      </x:c>
      <x:c r="D3575" s="22" t="str">
        <x:f>"48.189.692/0001-94"</x:f>
        <x:v>48.189.692/0001-94</x:v>
      </x:c>
      <x:c r="E3575" s="22" t="str">
        <x:f>"48189692000194"</x:f>
        <x:v>48189692000194</x:v>
      </x:c>
      <x:c r="F3575" s="22" t="str">
        <x:f>"014.368.506-65"</x:f>
        <x:v>014.368.506-65</x:v>
      </x:c>
      <x:c r="G3575" s="22" t="str">
        <x:f>"01436850665"</x:f>
        <x:v>01436850665</x:v>
      </x:c>
      <x:c r="H3575" s="23" t="str">
        <x:v>thiagoisaquesara@gmail.com</x:v>
      </x:c>
      <x:c r="I3575" s="22" t="str">
        <x:f>"31988360324"</x:f>
        <x:v>31988360324</x:v>
      </x:c>
      <x:c r="J3575" s="23" t="str">
        <x:v>SPOT</x:v>
      </x:c>
      <x:c r="K3575" s="23" t="str">
        <x:v>favored_only</x:v>
      </x:c>
      <x:c r="L3575" s="24" t="b">
        <x:v>1</x:v>
      </x:c>
      <x:c r="M3575" s="23" t="n">
        <x:v>1</x:v>
      </x:c>
      <x:c r="N3575" s="28" t="n">
        <x:v>46203.921840393516</x:v>
      </x:c>
      <x:c r="O3575" s="28" t="n">
        <x:v>46219.812988715275</x:v>
      </x:c>
      <x:c r="P3575" s="23" t="str">
        <x:v>VESPASIANO</x:v>
      </x:c>
      <x:c r="Q3575" s="30" t="n">
        <x:v>30373</x:v>
      </x:c>
      <x:c r="R3575" s="22" t="str">
        <x:f>"MG 9.321.601"</x:f>
        <x:v>MG 9.321.601</x:v>
      </x:c>
      <x:c r="S3575" s="23" t="str">
        <x:v>masculino</x:v>
      </x:c>
      <x:c r="T3575" s="22" t="str">
        <x:f>"OPX5A29"</x:f>
        <x:v>OPX5A29</x:v>
      </x:c>
      <x:c r="U3575" s="23" t="str">
        <x:v>THIAGO LEONARDO ANANIAS NUNES</x:v>
      </x:c>
      <x:c r="V3575" s="22" t="str">
        <x:f>"014.368.506-65"</x:f>
        <x:v>014.368.506-65</x:v>
      </x:c>
      <x:c r="W3575" s="22" t="str">
        <x:f>"01436850665"</x:f>
        <x:v>01436850665</x:v>
      </x:c>
      <x:c r="X3575" s="23" t="str">
        <x:v>thiagoisaquesara@gmail.com</x:v>
      </x:c>
      <x:c r="Y3575" s="22" t="str">
        <x:f>"31988360324"</x:f>
        <x:v>31988360324</x:v>
      </x:c>
      <x:c r="Z3575" s="30" t="n">
        <x:v>46579</x:v>
      </x:c>
    </x:row>
    <x:row r="3576" ht="18" customHeight="1">
      <x:c r="A3576" s="22" t="str">
        <x:f>"4f876c19-d101-43a9-853f-4afb797965f5"</x:f>
        <x:v>4f876c19-d101-43a9-853f-4afb797965f5</x:v>
      </x:c>
      <x:c r="B3576" s="23" t="str">
        <x:v>THIAGO LUIZ FERRARI</x:v>
      </x:c>
      <x:c r="C3576" s="23" t="str">
        <x:v>thiago luiz ferrari</x:v>
      </x:c>
      <x:c r="D3576" s="22" t="str">
        <x:f>"35.257.544/0001-18"</x:f>
        <x:v>35.257.544/0001-18</x:v>
      </x:c>
      <x:c r="E3576" s="22" t="str">
        <x:f>"35257544000118"</x:f>
        <x:v>35257544000118</x:v>
      </x:c>
      <x:c r="F3576" s="22" t="str">
        <x:f>"349.936.988-52"</x:f>
        <x:v>349.936.988-52</x:v>
      </x:c>
      <x:c r="G3576" s="22" t="str">
        <x:f>"34993698852"</x:f>
        <x:v>34993698852</x:v>
      </x:c>
      <x:c r="H3576" s="23" t="str">
        <x:v>tlferrari44@gmail.com</x:v>
      </x:c>
      <x:c r="I3576" s="22" t="str">
        <x:f>"17 99717-9875"</x:f>
        <x:v>17 99717-9875</x:v>
      </x:c>
      <x:c r="J3576" s="23" t="str">
        <x:v>SPOT</x:v>
      </x:c>
      <x:c r="K3576" s="23" t="str">
        <x:v>favored_only</x:v>
      </x:c>
      <x:c r="L3576" s="24" t="b">
        <x:v>1</x:v>
      </x:c>
      <x:c r="M3576" s="23" t="n">
        <x:v>1</x:v>
      </x:c>
      <x:c r="N3576" s="28" t="n">
        <x:v>46219.812988715275</x:v>
      </x:c>
      <x:c r="O3576" s="28" t="n">
        <x:v>46219.812988715275</x:v>
      </x:c>
      <x:c r="P3576" s="23" t="str">
        <x:v>SÃO JOSE DO RIO PRETO</x:v>
      </x:c>
      <x:c r="Q3576" s="30" t="n">
        <x:v>31685</x:v>
      </x:c>
      <x:c r="R3576" s="22" t="str">
        <x:f>"4245968"</x:f>
        <x:v>4245968</x:v>
      </x:c>
      <x:c r="S3576" s="23" t="str">
        <x:v>masculino</x:v>
      </x:c>
      <x:c r="T3576" s="22" t="str">
        <x:f>"GFD5E24"</x:f>
        <x:v>GFD5E24</x:v>
      </x:c>
      <x:c r="U3576" s="23" t="str">
        <x:v>THIAGO LUIZ FERRARI</x:v>
      </x:c>
      <x:c r="V3576" s="22" t="str">
        <x:f>"349.936.988-52"</x:f>
        <x:v>349.936.988-52</x:v>
      </x:c>
      <x:c r="W3576" s="22" t="str">
        <x:f>"34993698852"</x:f>
        <x:v>34993698852</x:v>
      </x:c>
      <x:c r="X3576" s="23" t="str">
        <x:v>tlferrari44@gmail.com</x:v>
      </x:c>
      <x:c r="Y3576" s="22" t="str">
        <x:f>"17 99717-9875"</x:f>
        <x:v>17 99717-9875</x:v>
      </x:c>
      <x:c r="Z3576" s="30" t="n">
        <x:v>46555</x:v>
      </x:c>
    </x:row>
    <x:row r="3577" ht="18" customHeight="1">
      <x:c r="A3577" s="22" t="str">
        <x:f>"73ead4f0-0ec4-4a5b-a546-2f2e0e3ebca8"</x:f>
        <x:v>73ead4f0-0ec4-4a5b-a546-2f2e0e3ebca8</x:v>
      </x:c>
      <x:c r="B3577" s="23" t="str">
        <x:v>THIAGO MANOEL SILVA</x:v>
      </x:c>
      <x:c r="C3577" s="23" t="str">
        <x:v>thiago manoel silva</x:v>
      </x:c>
      <x:c r="D3577" s="22" t="str">
        <x:f>"63.500.130/0001-03"</x:f>
        <x:v>63.500.130/0001-03</x:v>
      </x:c>
      <x:c r="E3577" s="22" t="str">
        <x:f>"63500130000103"</x:f>
        <x:v>63500130000103</x:v>
      </x:c>
      <x:c r="F3577" s="22" t="str">
        <x:f>"139.012.646-39"</x:f>
        <x:v>139.012.646-39</x:v>
      </x:c>
      <x:c r="G3577" s="22" t="str">
        <x:f>"13901264639"</x:f>
        <x:v>13901264639</x:v>
      </x:c>
      <x:c r="H3577" s="23" t="str">
        <x:v>thiagomanoel300@gmail.com</x:v>
      </x:c>
      <x:c r="I3577" s="22" t="str">
        <x:f>"34998330631"</x:f>
        <x:v>34998330631</x:v>
      </x:c>
      <x:c r="J3577" s="23" t="str">
        <x:v>SPOT</x:v>
      </x:c>
      <x:c r="K3577" s="23" t="str">
        <x:v>favored_only</x:v>
      </x:c>
      <x:c r="L3577" s="24" t="b">
        <x:v>1</x:v>
      </x:c>
      <x:c r="M3577" s="23" t="n">
        <x:v>1</x:v>
      </x:c>
      <x:c r="N3577" s="28" t="n">
        <x:v>46219.812988715275</x:v>
      </x:c>
      <x:c r="O3577" s="28" t="n">
        <x:v>46219.812988715275</x:v>
      </x:c>
      <x:c r="P3577" s="23" t="str">
        <x:v>PATOS DE MINAS</x:v>
      </x:c>
      <x:c r="Q3577" s="30" t="n">
        <x:v>35885</x:v>
      </x:c>
      <x:c r="R3577" s="22" t="str">
        <x:f>"3140715 SESP"</x:f>
        <x:v>3140715 SESP</x:v>
      </x:c>
      <x:c r="S3577" s="23" t="str">
        <x:v>masculino</x:v>
      </x:c>
      <x:c r="T3577" s="22" t="str">
        <x:f>"TZB1I38"</x:f>
        <x:v>TZB1I38</x:v>
      </x:c>
      <x:c r="U3577" s="23" t="str">
        <x:v>FABRICIO PEREIRA DE MAGALHAES</x:v>
      </x:c>
      <x:c r="V3577" s="22" t="str">
        <x:f>"081.789.486-13"</x:f>
        <x:v>081.789.486-13</x:v>
      </x:c>
      <x:c r="W3577" s="22" t="str">
        <x:f>"08178948613"</x:f>
        <x:v>08178948613</x:v>
      </x:c>
      <x:c r="X3577" s="23" t="str">
        <x:v>magalhaes.p.fabricio@gmail.com</x:v>
      </x:c>
      <x:c r="Y3577" s="22" t="str">
        <x:f>"34999759038"</x:f>
        <x:v>34999759038</x:v>
      </x:c>
      <x:c r="Z3577" s="30" t="n">
        <x:v>46487</x:v>
      </x:c>
    </x:row>
    <x:row r="3578" ht="18" customHeight="1">
      <x:c r="A3578" s="22" t="str">
        <x:f>"25cf651e-0699-475e-9d52-f910a8d627c1"</x:f>
        <x:v>25cf651e-0699-475e-9d52-f910a8d627c1</x:v>
      </x:c>
      <x:c r="B3578" s="23" t="str">
        <x:v>THIAGO MENDES DE PAULA</x:v>
      </x:c>
      <x:c r="C3578" s="23" t="str">
        <x:v>thiago mendes de paula</x:v>
      </x:c>
      <x:c r="D3578" s="22" t="str">
        <x:f>"23.389.595/0001-14"</x:f>
        <x:v>23.389.595/0001-14</x:v>
      </x:c>
      <x:c r="E3578" s="22" t="str">
        <x:f>"23389595000114"</x:f>
        <x:v>23389595000114</x:v>
      </x:c>
      <x:c r="F3578" s="22" t="str">
        <x:f>"074.543.066-08"</x:f>
        <x:v>074.543.066-08</x:v>
      </x:c>
      <x:c r="G3578" s="22" t="str">
        <x:f>"07454306608"</x:f>
        <x:v>07454306608</x:v>
      </x:c>
      <x:c r="H3578" s="23" t="str">
        <x:v>thiaguimeyshila1987@gmail.com</x:v>
      </x:c>
      <x:c r="I3578" s="22" t="str">
        <x:f>"31985349267"</x:f>
        <x:v>31985349267</x:v>
      </x:c>
      <x:c r="J3578" s="23" t="str">
        <x:v>RENTAL</x:v>
      </x:c>
      <x:c r="K3578" s="23" t="str">
        <x:v>rental_company</x:v>
      </x:c>
      <x:c r="L3578" s="24" t="b">
        <x:v>1</x:v>
      </x:c>
      <x:c r="M3578" s="23" t="n">
        <x:v>1</x:v>
      </x:c>
      <x:c r="N3578" s="28" t="n">
        <x:v>46203.921824756944</x:v>
      </x:c>
      <x:c r="O3578" s="28" t="n">
        <x:v>46219.812988715275</x:v>
      </x:c>
      <x:c r="P3578" s="23" t="str">
        <x:v>CONTAGEM</x:v>
      </x:c>
      <x:c r="Q3578" s="30" t="n">
        <x:v>31901</x:v>
      </x:c>
      <x:c r="R3578" s="22" t="str">
        <x:f>"12298746"</x:f>
        <x:v>12298746</x:v>
      </x:c>
      <x:c r="S3578" s="23" t="str">
        <x:v>masculino</x:v>
      </x:c>
      <x:c r="T3578" s="22" t="str"/>
      <x:c r="U3578" s="23" t="str">
        <x:v>THIAGO MENDES DE PAULA</x:v>
      </x:c>
      <x:c r="V3578" s="22" t="str">
        <x:f>"074.543.066-08"</x:f>
        <x:v>074.543.066-08</x:v>
      </x:c>
      <x:c r="W3578" s="22" t="str">
        <x:f>"07454306608"</x:f>
        <x:v>07454306608</x:v>
      </x:c>
      <x:c r="X3578" s="23" t="str">
        <x:v>thiaguimeyshila1987@gmail.com</x:v>
      </x:c>
      <x:c r="Y3578" s="22" t="str">
        <x:f>"31985349267"</x:f>
        <x:v>31985349267</x:v>
      </x:c>
      <x:c r="Z3578" s="30" t="n">
        <x:v>46420</x:v>
      </x:c>
    </x:row>
    <x:row r="3579" ht="18" customHeight="1">
      <x:c r="A3579" s="22" t="str">
        <x:f>"f5c0bd05-eef6-4116-b8c1-f220936fbbe9"</x:f>
        <x:v>f5c0bd05-eef6-4116-b8c1-f220936fbbe9</x:v>
      </x:c>
      <x:c r="B3579" s="23" t="str">
        <x:v>THIAGO MYLLER MARTINELI</x:v>
      </x:c>
      <x:c r="C3579" s="23" t="str">
        <x:v>thiago myller martineli</x:v>
      </x:c>
      <x:c r="D3579" s="22" t="str">
        <x:f>"53.401.969/0001-30"</x:f>
        <x:v>53.401.969/0001-30</x:v>
      </x:c>
      <x:c r="E3579" s="22" t="str">
        <x:f>"53401969000130"</x:f>
        <x:v>53401969000130</x:v>
      </x:c>
      <x:c r="F3579" s="22" t="str">
        <x:f>"450.751.348-07"</x:f>
        <x:v>450.751.348-07</x:v>
      </x:c>
      <x:c r="G3579" s="22" t="str">
        <x:f>"45075134807"</x:f>
        <x:v>45075134807</x:v>
      </x:c>
      <x:c r="H3579" s="23" t="str">
        <x:v>thiagomyller235@outlook.com</x:v>
      </x:c>
      <x:c r="I3579" s="22" t="str">
        <x:f>"17 99711‑3850‬"</x:f>
        <x:v>17 99711‑3850‬</x:v>
      </x:c>
      <x:c r="J3579" s="23" t="str">
        <x:v>SPOT</x:v>
      </x:c>
      <x:c r="K3579" s="23" t="str">
        <x:v>favored_only</x:v>
      </x:c>
      <x:c r="L3579" s="24" t="b">
        <x:v>1</x:v>
      </x:c>
      <x:c r="M3579" s="23" t="n">
        <x:v>1</x:v>
      </x:c>
      <x:c r="N3579" s="28" t="n">
        <x:v>46219.812988715275</x:v>
      </x:c>
      <x:c r="O3579" s="28" t="n">
        <x:v>46219.812988715275</x:v>
      </x:c>
      <x:c r="P3579" s="23" t="str">
        <x:v>JALES</x:v>
      </x:c>
      <x:c r="Q3579" s="30" t="n">
        <x:v>34417</x:v>
      </x:c>
      <x:c r="R3579" s="22" t="str">
        <x:f>"40567458"</x:f>
        <x:v>40567458</x:v>
      </x:c>
      <x:c r="S3579" s="23" t="str">
        <x:v>masculino</x:v>
      </x:c>
      <x:c r="T3579" s="22" t="str">
        <x:f>"FNE2I79"</x:f>
        <x:v>FNE2I79</x:v>
      </x:c>
      <x:c r="U3579" s="23" t="str">
        <x:v>JESSYCA EDUARDA DE OLIVEIRA PRIMO</x:v>
      </x:c>
      <x:c r="V3579" s="22" t="str">
        <x:f>"401.408.698-40"</x:f>
        <x:v>401.408.698-40</x:v>
      </x:c>
      <x:c r="W3579" s="22" t="str">
        <x:f>"40140869840"</x:f>
        <x:v>40140869840</x:v>
      </x:c>
      <x:c r="X3579" s="23" t="str">
        <x:v>jessyca_eduarda01@hotmail.com</x:v>
      </x:c>
      <x:c r="Y3579" s="22" t="str">
        <x:f>"17 99606-7816"</x:f>
        <x:v>17 99606-7816</x:v>
      </x:c>
      <x:c r="Z3579" s="30" t="n">
        <x:v>46266</x:v>
      </x:c>
    </x:row>
    <x:row r="3580" ht="18" customHeight="1">
      <x:c r="A3580" s="22" t="str">
        <x:f>"a46177c0-9210-4ff2-983c-eba95b038e03"</x:f>
        <x:v>a46177c0-9210-4ff2-983c-eba95b038e03</x:v>
      </x:c>
      <x:c r="B3580" s="23" t="str">
        <x:v>THIAGO NASCIMENTO DOS SANTOS</x:v>
      </x:c>
      <x:c r="C3580" s="23" t="str">
        <x:v>thiago nascimento dos santos</x:v>
      </x:c>
      <x:c r="D3580" s="22" t="str">
        <x:f>"49677520000122"</x:f>
        <x:v>49677520000122</x:v>
      </x:c>
      <x:c r="E3580" s="22" t="str">
        <x:f>"49677520000122"</x:f>
        <x:v>49677520000122</x:v>
      </x:c>
      <x:c r="F3580" s="22" t="str">
        <x:f>"109.481.107-67"</x:f>
        <x:v>109.481.107-67</x:v>
      </x:c>
      <x:c r="G3580" s="22" t="str">
        <x:f>"10948110767"</x:f>
        <x:v>10948110767</x:v>
      </x:c>
      <x:c r="H3580" s="23" t="str">
        <x:v>ThiagoNascimentot7274@gmail.com</x:v>
      </x:c>
      <x:c r="I3580" s="22" t="str">
        <x:f>"27997505165"</x:f>
        <x:v>27997505165</x:v>
      </x:c>
      <x:c r="J3580" s="23" t="str">
        <x:v>RENTAL</x:v>
      </x:c>
      <x:c r="K3580" s="23" t="str">
        <x:v>rental_company</x:v>
      </x:c>
      <x:c r="L3580" s="24" t="b">
        <x:v>1</x:v>
      </x:c>
      <x:c r="M3580" s="23" t="n">
        <x:v>1</x:v>
      </x:c>
      <x:c r="N3580" s="28" t="n">
        <x:v>46218.62115420139</x:v>
      </x:c>
      <x:c r="O3580" s="28" t="n">
        <x:v>46218.62115420139</x:v>
      </x:c>
      <x:c r="P3580" s="23" t="str"/>
      <x:c r="Q3580" s="30" t="n">
        <x:v>31056</x:v>
      </x:c>
      <x:c r="R3580" s="22" t="str">
        <x:f>"2098012"</x:f>
        <x:v>2098012</x:v>
      </x:c>
      <x:c r="S3580" s="23" t="str">
        <x:v>Masculino</x:v>
      </x:c>
      <x:c r="T3580" s="22" t="str"/>
      <x:c r="U3580" s="23" t="str">
        <x:v>THIAGO NASCIMENTO DOS SANTOS</x:v>
      </x:c>
      <x:c r="V3580" s="22" t="str">
        <x:f>"109.481.107-67"</x:f>
        <x:v>109.481.107-67</x:v>
      </x:c>
      <x:c r="W3580" s="22" t="str">
        <x:f>"10948110767"</x:f>
        <x:v>10948110767</x:v>
      </x:c>
      <x:c r="X3580" s="23" t="str">
        <x:v>ThiagoNascimentot7274@gmail.com</x:v>
      </x:c>
      <x:c r="Y3580" s="22" t="str">
        <x:f>"27997505165"</x:f>
        <x:v>27997505165</x:v>
      </x:c>
      <x:c r="Z3580" s="30" t="n">
        <x:v>46149</x:v>
      </x:c>
    </x:row>
    <x:row r="3581" ht="18" customHeight="1">
      <x:c r="A3581" s="22" t="str">
        <x:f>"6803daba-2d8b-49bd-801f-6fe16c634394"</x:f>
        <x:v>6803daba-2d8b-49bd-801f-6fe16c634394</x:v>
      </x:c>
      <x:c r="B3581" s="23" t="str">
        <x:v>THIAGO ORTIZ DE OLIVEIRA</x:v>
      </x:c>
      <x:c r="C3581" s="23" t="str">
        <x:v>thiago ortiz de oliveira</x:v>
      </x:c>
      <x:c r="D3581" s="22" t="str">
        <x:f>"60.517.012/0001-10"</x:f>
        <x:v>60.517.012/0001-10</x:v>
      </x:c>
      <x:c r="E3581" s="22" t="str">
        <x:f>"60517012000110"</x:f>
        <x:v>60517012000110</x:v>
      </x:c>
      <x:c r="F3581" s="22" t="str">
        <x:f>"414.801.748-07"</x:f>
        <x:v>414.801.748-07</x:v>
      </x:c>
      <x:c r="G3581" s="22" t="str">
        <x:f>"41480174807"</x:f>
        <x:v>41480174807</x:v>
      </x:c>
      <x:c r="H3581" s="23" t="str">
        <x:v>thiago.ortiz02@gmail.com</x:v>
      </x:c>
      <x:c r="I3581" s="22" t="str">
        <x:f>"18 99140-9787"</x:f>
        <x:v>18 99140-9787</x:v>
      </x:c>
      <x:c r="J3581" s="23" t="str">
        <x:v>SPOT</x:v>
      </x:c>
      <x:c r="K3581" s="23" t="str">
        <x:v>favored_only</x:v>
      </x:c>
      <x:c r="L3581" s="24" t="b">
        <x:v>1</x:v>
      </x:c>
      <x:c r="M3581" s="23" t="n">
        <x:v>1</x:v>
      </x:c>
      <x:c r="N3581" s="28" t="n">
        <x:v>46203.92186462963</x:v>
      </x:c>
      <x:c r="O3581" s="28" t="n">
        <x:v>46219.812988715275</x:v>
      </x:c>
      <x:c r="P3581" s="23" t="str">
        <x:v>PRESIDENTE PRUDENTE</x:v>
      </x:c>
      <x:c r="Q3581" s="30" t="n">
        <x:v>35857</x:v>
      </x:c>
      <x:c r="R3581" s="22" t="str">
        <x:f>"53238544"</x:f>
        <x:v>53238544</x:v>
      </x:c>
      <x:c r="S3581" s="23" t="str">
        <x:v>masculino</x:v>
      </x:c>
      <x:c r="T3581" s="22" t="str">
        <x:f>"FEY8B30"</x:f>
        <x:v>FEY8B30</x:v>
      </x:c>
      <x:c r="U3581" s="23" t="str">
        <x:v>THIAGO ORTIZ DE OLIVEIRA</x:v>
      </x:c>
      <x:c r="V3581" s="22" t="str">
        <x:f>"414.801.748-07"</x:f>
        <x:v>414.801.748-07</x:v>
      </x:c>
      <x:c r="W3581" s="22" t="str">
        <x:f>"41480174807"</x:f>
        <x:v>41480174807</x:v>
      </x:c>
      <x:c r="X3581" s="23" t="str">
        <x:v>thiago.ortiz02@gmail.com</x:v>
      </x:c>
      <x:c r="Y3581" s="22" t="str">
        <x:f>"18 99140-9787"</x:f>
        <x:v>18 99140-9787</x:v>
      </x:c>
      <x:c r="Z3581" s="30" t="n">
        <x:v>46285</x:v>
      </x:c>
    </x:row>
    <x:row r="3582" ht="18" customHeight="1">
      <x:c r="A3582" s="22" t="str">
        <x:f>"829b990e-ea39-42dc-bee5-b9e351205e59"</x:f>
        <x:v>829b990e-ea39-42dc-bee5-b9e351205e59</x:v>
      </x:c>
      <x:c r="B3582" s="23" t="str">
        <x:v>THIAGO PEREIRA JACCOUD</x:v>
      </x:c>
      <x:c r="C3582" s="23" t="str">
        <x:v>thiago pereira jaccoud</x:v>
      </x:c>
      <x:c r="D3582" s="22" t="str">
        <x:f>"65.619.394/0001-06"</x:f>
        <x:v>65.619.394/0001-06</x:v>
      </x:c>
      <x:c r="E3582" s="22" t="str">
        <x:f>"65619394000106"</x:f>
        <x:v>65619394000106</x:v>
      </x:c>
      <x:c r="F3582" s="22" t="str">
        <x:f>"120.131.237-01"</x:f>
        <x:v>120.131.237-01</x:v>
      </x:c>
      <x:c r="G3582" s="22" t="str">
        <x:f>"12013123701"</x:f>
        <x:v>12013123701</x:v>
      </x:c>
      <x:c r="H3582" s="23" t="str">
        <x:v>thiago.jacc07@gmail.com</x:v>
      </x:c>
      <x:c r="I3582" s="22" t="str">
        <x:f>"21 96770 6390"</x:f>
        <x:v>21 96770 6390</x:v>
      </x:c>
      <x:c r="J3582" s="23" t="str">
        <x:v>SPOT</x:v>
      </x:c>
      <x:c r="K3582" s="23" t="str">
        <x:v>favored_only</x:v>
      </x:c>
      <x:c r="L3582" s="24" t="b">
        <x:v>1</x:v>
      </x:c>
      <x:c r="M3582" s="23" t="n">
        <x:v>1</x:v>
      </x:c>
      <x:c r="N3582" s="28" t="n">
        <x:v>46219.812988715275</x:v>
      </x:c>
      <x:c r="O3582" s="28" t="n">
        <x:v>46219.812988715275</x:v>
      </x:c>
      <x:c r="P3582" s="23" t="str">
        <x:v>ITABORAI</x:v>
      </x:c>
      <x:c r="Q3582" s="30" t="n">
        <x:v>32418</x:v>
      </x:c>
      <x:c r="R3582" s="22" t="str">
        <x:f>"221077605"</x:f>
        <x:v>221077605</x:v>
      </x:c>
      <x:c r="S3582" s="23" t="str">
        <x:v>masculino</x:v>
      </x:c>
      <x:c r="T3582" s="22" t="str">
        <x:f>"LTX4785"</x:f>
        <x:v>LTX4785</x:v>
      </x:c>
      <x:c r="U3582" s="23" t="str">
        <x:v>THIAGO PEREIRA JACCOUD</x:v>
      </x:c>
      <x:c r="V3582" s="22" t="str">
        <x:f>"120.131.237-01"</x:f>
        <x:v>120.131.237-01</x:v>
      </x:c>
      <x:c r="W3582" s="22" t="str">
        <x:f>"12013123701"</x:f>
        <x:v>12013123701</x:v>
      </x:c>
      <x:c r="X3582" s="23" t="str">
        <x:v>thiago.jacc07@gmail.com</x:v>
      </x:c>
      <x:c r="Y3582" s="22" t="str">
        <x:f>"21 96770 6390"</x:f>
        <x:v>21 96770 6390</x:v>
      </x:c>
      <x:c r="Z3582" s="30" t="n">
        <x:v>46474</x:v>
      </x:c>
    </x:row>
    <x:row r="3583" ht="18" customHeight="1">
      <x:c r="A3583" s="22" t="str">
        <x:f>"83567733-424f-41d1-83a2-9e902329eef6"</x:f>
        <x:v>83567733-424f-41d1-83a2-9e902329eef6</x:v>
      </x:c>
      <x:c r="B3583" s="23" t="str">
        <x:v>THIAGO ROSA TEIXEIRA</x:v>
      </x:c>
      <x:c r="C3583" s="23" t="str">
        <x:v>thiago rosa teixeira</x:v>
      </x:c>
      <x:c r="D3583" s="22" t="str">
        <x:f>"61.102.285/0001-66"</x:f>
        <x:v>61.102.285/0001-66</x:v>
      </x:c>
      <x:c r="E3583" s="22" t="str">
        <x:f>"61102285000166"</x:f>
        <x:v>61102285000166</x:v>
      </x:c>
      <x:c r="F3583" s="22" t="str">
        <x:f>"131.584.696-93"</x:f>
        <x:v>131.584.696-93</x:v>
      </x:c>
      <x:c r="G3583" s="22" t="str">
        <x:f>"13158469693"</x:f>
        <x:v>13158469693</x:v>
      </x:c>
      <x:c r="H3583" s="23" t="str">
        <x:v>thioagodavid1995@gmail.com</x:v>
      </x:c>
      <x:c r="I3583" s="22" t="str">
        <x:f>"31980402152"</x:f>
        <x:v>31980402152</x:v>
      </x:c>
      <x:c r="J3583" s="23" t="str">
        <x:v>RENTAL</x:v>
      </x:c>
      <x:c r="K3583" s="23" t="str">
        <x:v>rental_company</x:v>
      </x:c>
      <x:c r="L3583" s="24" t="b">
        <x:v>1</x:v>
      </x:c>
      <x:c r="M3583" s="23" t="n">
        <x:v>1</x:v>
      </x:c>
      <x:c r="N3583" s="28" t="n">
        <x:v>46219.812988715275</x:v>
      </x:c>
      <x:c r="O3583" s="28" t="n">
        <x:v>46219.812988715275</x:v>
      </x:c>
      <x:c r="P3583" s="23" t="str">
        <x:v>CONTAGEM</x:v>
      </x:c>
      <x:c r="Q3583" s="30" t="n">
        <x:v>35020</x:v>
      </x:c>
      <x:c r="R3583" s="22" t="str">
        <x:f>"18417087"</x:f>
        <x:v>18417087</x:v>
      </x:c>
      <x:c r="S3583" s="23" t="str">
        <x:v>masculino</x:v>
      </x:c>
      <x:c r="T3583" s="22" t="str"/>
      <x:c r="U3583" s="23" t="str">
        <x:v>THIAGO ROSA TEIXEIRA</x:v>
      </x:c>
      <x:c r="V3583" s="22" t="str">
        <x:f>"131.584.696-93"</x:f>
        <x:v>131.584.696-93</x:v>
      </x:c>
      <x:c r="W3583" s="22" t="str">
        <x:f>"13158469693"</x:f>
        <x:v>13158469693</x:v>
      </x:c>
      <x:c r="X3583" s="23" t="str">
        <x:v>thioagodavid1995@gmail.com</x:v>
      </x:c>
      <x:c r="Y3583" s="22" t="str">
        <x:f>"31980402152"</x:f>
        <x:v>31980402152</x:v>
      </x:c>
      <x:c r="Z3583" s="30" t="n">
        <x:v>46458</x:v>
      </x:c>
    </x:row>
    <x:row r="3584" ht="18" customHeight="1">
      <x:c r="A3584" s="22" t="str">
        <x:f>"95119b2c-d33a-41ed-884e-ef59a227ee8d"</x:f>
        <x:v>95119b2c-d33a-41ed-884e-ef59a227ee8d</x:v>
      </x:c>
      <x:c r="B3584" s="23" t="str">
        <x:v>THIAGO SANTANA DA SILVA</x:v>
      </x:c>
      <x:c r="C3584" s="23" t="str">
        <x:v>thiago santana da silva</x:v>
      </x:c>
      <x:c r="D3584" s="22" t="str">
        <x:f>"62.705.787/0001-44"</x:f>
        <x:v>62.705.787/0001-44</x:v>
      </x:c>
      <x:c r="E3584" s="22" t="str">
        <x:f>"62705787000144"</x:f>
        <x:v>62705787000144</x:v>
      </x:c>
      <x:c r="F3584" s="22" t="str">
        <x:f>"123.869.067-01"</x:f>
        <x:v>123.869.067-01</x:v>
      </x:c>
      <x:c r="G3584" s="22" t="str">
        <x:f>"12386906701"</x:f>
        <x:v>12386906701</x:v>
      </x:c>
      <x:c r="H3584" s="23" t="str">
        <x:v>thiagoemanu84@gmail.com</x:v>
      </x:c>
      <x:c r="I3584" s="22" t="str">
        <x:f>"21999993012"</x:f>
        <x:v>21999993012</x:v>
      </x:c>
      <x:c r="J3584" s="23" t="str">
        <x:v>SPOT</x:v>
      </x:c>
      <x:c r="K3584" s="23" t="str">
        <x:v>favored_only</x:v>
      </x:c>
      <x:c r="L3584" s="24" t="b">
        <x:v>1</x:v>
      </x:c>
      <x:c r="M3584" s="23" t="n">
        <x:v>1</x:v>
      </x:c>
      <x:c r="N3584" s="28" t="n">
        <x:v>46203.9218771875</x:v>
      </x:c>
      <x:c r="O3584" s="28" t="n">
        <x:v>46219.812988715275</x:v>
      </x:c>
      <x:c r="P3584" s="23" t="str">
        <x:v>QUEIMADOS</x:v>
      </x:c>
      <x:c r="Q3584" s="30" t="n">
        <x:v>31987</x:v>
      </x:c>
      <x:c r="R3584" s="22" t="str">
        <x:f>"210460457"</x:f>
        <x:v>210460457</x:v>
      </x:c>
      <x:c r="S3584" s="23" t="str">
        <x:v>masculino</x:v>
      </x:c>
      <x:c r="T3584" s="22" t="str">
        <x:f>"GBU0H91"</x:f>
        <x:v>GBU0H91</x:v>
      </x:c>
      <x:c r="U3584" s="23" t="str">
        <x:v>THIAGO SANTANA DA SILVA</x:v>
      </x:c>
      <x:c r="V3584" s="22" t="str">
        <x:f>"123.869.067-01"</x:f>
        <x:v>123.869.067-01</x:v>
      </x:c>
      <x:c r="W3584" s="22" t="str">
        <x:f>"12386906701"</x:f>
        <x:v>12386906701</x:v>
      </x:c>
      <x:c r="X3584" s="23" t="str">
        <x:v>thiagoemanu84@gmail.com</x:v>
      </x:c>
      <x:c r="Y3584" s="22" t="str">
        <x:f>"21999993012"</x:f>
        <x:v>21999993012</x:v>
      </x:c>
      <x:c r="Z3584" s="30" t="n">
        <x:v>46306</x:v>
      </x:c>
    </x:row>
    <x:row r="3585" ht="18" customHeight="1">
      <x:c r="A3585" s="22" t="str">
        <x:f>"642c9fb1-73ac-435e-9954-1f440f01e964"</x:f>
        <x:v>642c9fb1-73ac-435e-9954-1f440f01e964</x:v>
      </x:c>
      <x:c r="B3585" s="23" t="str">
        <x:v>THIAGO SARDINHA ROCHA</x:v>
      </x:c>
      <x:c r="C3585" s="23" t="str">
        <x:v>thiago sardinha rocha</x:v>
      </x:c>
      <x:c r="D3585" s="22" t="str">
        <x:f>"60.380.312/0001-08"</x:f>
        <x:v>60.380.312/0001-08</x:v>
      </x:c>
      <x:c r="E3585" s="22" t="str">
        <x:f>"60380312000108"</x:f>
        <x:v>60380312000108</x:v>
      </x:c>
      <x:c r="F3585" s="22" t="str">
        <x:f>"073.020.396-40"</x:f>
        <x:v>073.020.396-40</x:v>
      </x:c>
      <x:c r="G3585" s="22" t="str">
        <x:f>"07302039640"</x:f>
        <x:v>07302039640</x:v>
      </x:c>
      <x:c r="H3585" s="23" t="str">
        <x:v>sardinha.trocha@gmail.com</x:v>
      </x:c>
      <x:c r="I3585" s="22" t="str">
        <x:f>"11976734110"</x:f>
        <x:v>11976734110</x:v>
      </x:c>
      <x:c r="J3585" s="23" t="str">
        <x:v>SPOT</x:v>
      </x:c>
      <x:c r="K3585" s="23" t="str">
        <x:v>favored_only</x:v>
      </x:c>
      <x:c r="L3585" s="24" t="b">
        <x:v>1</x:v>
      </x:c>
      <x:c r="M3585" s="23" t="n">
        <x:v>1</x:v>
      </x:c>
      <x:c r="N3585" s="28" t="n">
        <x:v>46203.92183332176</x:v>
      </x:c>
      <x:c r="O3585" s="28" t="n">
        <x:v>46219.812988715275</x:v>
      </x:c>
      <x:c r="P3585" s="23" t="str">
        <x:v>BARUERI</x:v>
      </x:c>
      <x:c r="Q3585" s="30" t="n">
        <x:v>30712</x:v>
      </x:c>
      <x:c r="R3585" s="22" t="str">
        <x:f>"424105810"</x:f>
        <x:v>424105810</x:v>
      </x:c>
      <x:c r="S3585" s="23" t="str">
        <x:v>masculino</x:v>
      </x:c>
      <x:c r="T3585" s="22" t="str">
        <x:f>"OLW7C17"</x:f>
        <x:v>OLW7C17</x:v>
      </x:c>
      <x:c r="U3585" s="23" t="str">
        <x:v>THIAGO SARDINHA ROCHA</x:v>
      </x:c>
      <x:c r="V3585" s="22" t="str">
        <x:f>"073.020.396-40"</x:f>
        <x:v>073.020.396-40</x:v>
      </x:c>
      <x:c r="W3585" s="22" t="str">
        <x:f>"07302039640"</x:f>
        <x:v>07302039640</x:v>
      </x:c>
      <x:c r="X3585" s="23" t="str">
        <x:v>sardinha.trocha@gmail.com</x:v>
      </x:c>
      <x:c r="Y3585" s="22" t="str">
        <x:f>"11976734110"</x:f>
        <x:v>11976734110</x:v>
      </x:c>
      <x:c r="Z3585" s="30" t="n">
        <x:v>46344</x:v>
      </x:c>
    </x:row>
    <x:row r="3586" ht="18" customHeight="1">
      <x:c r="A3586" s="22" t="str">
        <x:f>"c932566c-4bb1-43f0-8eea-262fb8937965"</x:f>
        <x:v>c932566c-4bb1-43f0-8eea-262fb8937965</x:v>
      </x:c>
      <x:c r="B3586" s="23" t="str">
        <x:v>thiago saucedo costa leite</x:v>
      </x:c>
      <x:c r="C3586" s="23" t="str">
        <x:v>thiago saucedo costa leite</x:v>
      </x:c>
      <x:c r="D3586" s="22" t="str">
        <x:f>"556154550001-03"</x:f>
        <x:v>556154550001-03</x:v>
      </x:c>
      <x:c r="E3586" s="22" t="str">
        <x:f>"55615455000103"</x:f>
        <x:v>55615455000103</x:v>
      </x:c>
      <x:c r="F3586" s="22" t="str">
        <x:f>"05935211106"</x:f>
        <x:v>05935211106</x:v>
      </x:c>
      <x:c r="G3586" s="22" t="str">
        <x:f>"05935211106"</x:f>
        <x:v>05935211106</x:v>
      </x:c>
      <x:c r="H3586" s="23" t="str">
        <x:v>thiagosaucedocostaleiteml@gmail.com</x:v>
      </x:c>
      <x:c r="I3586" s="22" t="str">
        <x:f>"65996418550"</x:f>
        <x:v>65996418550</x:v>
      </x:c>
      <x:c r="J3586" s="23" t="str">
        <x:v>SPOT</x:v>
      </x:c>
      <x:c r="K3586" s="23" t="str">
        <x:v>favored_only</x:v>
      </x:c>
      <x:c r="L3586" s="24" t="b">
        <x:v>1</x:v>
      </x:c>
      <x:c r="M3586" s="23" t="n">
        <x:v>1</x:v>
      </x:c>
      <x:c r="N3586" s="28" t="n">
        <x:v>46203.92186462963</x:v>
      </x:c>
      <x:c r="O3586" s="28" t="n">
        <x:v>46203.92186462963</x:v>
      </x:c>
      <x:c r="P3586" s="23" t="str"/>
      <x:c r="Q3586" s="30" t="str"/>
      <x:c r="R3586" s="22" t="str"/>
      <x:c r="S3586" s="23" t="str"/>
      <x:c r="T3586" s="22" t="str"/>
      <x:c r="U3586" s="23" t="str">
        <x:v>thiago saucedo costa leite</x:v>
      </x:c>
      <x:c r="V3586" s="22" t="str">
        <x:f>"05935211106"</x:f>
        <x:v>05935211106</x:v>
      </x:c>
      <x:c r="W3586" s="22" t="str">
        <x:f>"05935211106"</x:f>
        <x:v>05935211106</x:v>
      </x:c>
      <x:c r="X3586" s="23" t="str">
        <x:v>thiagosaucedocostaleiteml@gmail.com</x:v>
      </x:c>
      <x:c r="Y3586" s="22" t="str">
        <x:f>"65996418550"</x:f>
        <x:v>65996418550</x:v>
      </x:c>
      <x:c r="Z3586" s="30" t="str"/>
    </x:row>
    <x:row r="3587" ht="18" customHeight="1">
      <x:c r="A3587" s="22" t="str">
        <x:f>"668d8263-9f81-4568-99f1-08f1f71ecba4"</x:f>
        <x:v>668d8263-9f81-4568-99f1-08f1f71ecba4</x:v>
      </x:c>
      <x:c r="B3587" s="23" t="str">
        <x:v>THIAGO WALTER SOUZA SILVA</x:v>
      </x:c>
      <x:c r="C3587" s="23" t="str">
        <x:v>thiago walter souza silva</x:v>
      </x:c>
      <x:c r="D3587" s="22" t="str">
        <x:f>"62.647.992/0001-09"</x:f>
        <x:v>62.647.992/0001-09</x:v>
      </x:c>
      <x:c r="E3587" s="22" t="str">
        <x:f>"62647992000109"</x:f>
        <x:v>62647992000109</x:v>
      </x:c>
      <x:c r="F3587" s="22" t="str">
        <x:f>"071.989.826-97"</x:f>
        <x:v>071.989.826-97</x:v>
      </x:c>
      <x:c r="G3587" s="22" t="str">
        <x:f>"07198982697"</x:f>
        <x:v>07198982697</x:v>
      </x:c>
      <x:c r="H3587" s="23" t="str">
        <x:v>thiagostonesgemas@gmail.com</x:v>
      </x:c>
      <x:c r="I3587" s="22" t="str">
        <x:f>"34991861688"</x:f>
        <x:v>34991861688</x:v>
      </x:c>
      <x:c r="J3587" s="23" t="str">
        <x:v>RENTAL</x:v>
      </x:c>
      <x:c r="K3587" s="23" t="str">
        <x:v>rental_company</x:v>
      </x:c>
      <x:c r="L3587" s="24" t="b">
        <x:v>1</x:v>
      </x:c>
      <x:c r="M3587" s="23" t="n">
        <x:v>1</x:v>
      </x:c>
      <x:c r="N3587" s="28" t="n">
        <x:v>46203.92186462963</x:v>
      </x:c>
      <x:c r="O3587" s="28" t="n">
        <x:v>46219.812988715275</x:v>
      </x:c>
      <x:c r="P3587" s="23" t="str">
        <x:v>CONTAGEM</x:v>
      </x:c>
      <x:c r="Q3587" s="30" t="n">
        <x:v>32204</x:v>
      </x:c>
      <x:c r="R3587" s="22" t="str">
        <x:f>"13604160"</x:f>
        <x:v>13604160</x:v>
      </x:c>
      <x:c r="S3587" s="23" t="str">
        <x:v>masculino</x:v>
      </x:c>
      <x:c r="T3587" s="22" t="str"/>
      <x:c r="U3587" s="23" t="str">
        <x:v>THIAGO WALTER SOUZA SILVA</x:v>
      </x:c>
      <x:c r="V3587" s="22" t="str">
        <x:f>"071.989.826-97"</x:f>
        <x:v>071.989.826-97</x:v>
      </x:c>
      <x:c r="W3587" s="22" t="str">
        <x:f>"07198982697"</x:f>
        <x:v>07198982697</x:v>
      </x:c>
      <x:c r="X3587" s="23" t="str">
        <x:v>thiagostonesgemas@gmail.com</x:v>
      </x:c>
      <x:c r="Y3587" s="22" t="str">
        <x:f>"34991861688"</x:f>
        <x:v>34991861688</x:v>
      </x:c>
      <x:c r="Z3587" s="30" t="n">
        <x:v>46281</x:v>
      </x:c>
    </x:row>
    <x:row r="3588" ht="18" customHeight="1">
      <x:c r="A3588" s="22" t="str">
        <x:f>"5c3e8d7a-66bc-4da9-9116-d990e459b8b8"</x:f>
        <x:v>5c3e8d7a-66bc-4da9-9116-d990e459b8b8</x:v>
      </x:c>
      <x:c r="B3588" s="23" t="str">
        <x:v>THIARLLES GIL ALVES DE CARVALHO</x:v>
      </x:c>
      <x:c r="C3588" s="23" t="str">
        <x:v>thiarlles gil alves de carvalho</x:v>
      </x:c>
      <x:c r="D3588" s="22" t="str">
        <x:f>"44.817.131/0001-31"</x:f>
        <x:v>44.817.131/0001-31</x:v>
      </x:c>
      <x:c r="E3588" s="22" t="str">
        <x:f>"44817131000131"</x:f>
        <x:v>44817131000131</x:v>
      </x:c>
      <x:c r="F3588" s="22" t="str">
        <x:f>"104.719.356-62"</x:f>
        <x:v>104.719.356-62</x:v>
      </x:c>
      <x:c r="G3588" s="22" t="str">
        <x:f>"10471935662"</x:f>
        <x:v>10471935662</x:v>
      </x:c>
      <x:c r="H3588" s="23" t="str">
        <x:v>Gillltht@gmail.com</x:v>
      </x:c>
      <x:c r="I3588" s="22" t="str">
        <x:f>"33997019675"</x:f>
        <x:v>33997019675</x:v>
      </x:c>
      <x:c r="J3588" s="23" t="str">
        <x:v>RENTAL</x:v>
      </x:c>
      <x:c r="K3588" s="23" t="str">
        <x:v>rental_company</x:v>
      </x:c>
      <x:c r="L3588" s="24" t="b">
        <x:v>1</x:v>
      </x:c>
      <x:c r="M3588" s="23" t="n">
        <x:v>1</x:v>
      </x:c>
      <x:c r="N3588" s="28" t="n">
        <x:v>46203.921904421295</x:v>
      </x:c>
      <x:c r="O3588" s="28" t="n">
        <x:v>46219.812988715275</x:v>
      </x:c>
      <x:c r="P3588" s="23" t="str">
        <x:v>GUANHAES</x:v>
      </x:c>
      <x:c r="Q3588" s="30" t="n">
        <x:v>32940</x:v>
      </x:c>
      <x:c r="R3588" s="22" t="str">
        <x:f>"17584983"</x:f>
        <x:v>17584983</x:v>
      </x:c>
      <x:c r="S3588" s="23" t="str">
        <x:v>masculino</x:v>
      </x:c>
      <x:c r="T3588" s="22" t="str"/>
      <x:c r="U3588" s="23" t="str">
        <x:v>THIARLLES GIL ALVES DE CARVALHO</x:v>
      </x:c>
      <x:c r="V3588" s="22" t="str">
        <x:f>"104.719.356-62"</x:f>
        <x:v>104.719.356-62</x:v>
      </x:c>
      <x:c r="W3588" s="22" t="str">
        <x:f>"10471935662"</x:f>
        <x:v>10471935662</x:v>
      </x:c>
      <x:c r="X3588" s="23" t="str">
        <x:v>Gillltht@gmail.com</x:v>
      </x:c>
      <x:c r="Y3588" s="22" t="str">
        <x:f>"33997019675"</x:f>
        <x:v>33997019675</x:v>
      </x:c>
      <x:c r="Z3588" s="30" t="n">
        <x:v>46361</x:v>
      </x:c>
    </x:row>
    <x:row r="3589" ht="18" customHeight="1">
      <x:c r="A3589" s="22" t="str">
        <x:f>"b4cd6082-b6f3-461b-9b29-4480bf08abc6"</x:f>
        <x:v>b4cd6082-b6f3-461b-9b29-4480bf08abc6</x:v>
      </x:c>
      <x:c r="B3589" s="23" t="str">
        <x:v>THULIO JUNIOR ALVES</x:v>
      </x:c>
      <x:c r="C3589" s="23" t="str">
        <x:v>thulio junior alves</x:v>
      </x:c>
      <x:c r="D3589" s="22" t="str">
        <x:f>"53.931.395/0001-02"</x:f>
        <x:v>53.931.395/0001-02</x:v>
      </x:c>
      <x:c r="E3589" s="22" t="str">
        <x:f>"53931395000102"</x:f>
        <x:v>53931395000102</x:v>
      </x:c>
      <x:c r="F3589" s="22" t="str">
        <x:f>"128.931.196-03"</x:f>
        <x:v>128.931.196-03</x:v>
      </x:c>
      <x:c r="G3589" s="22" t="str">
        <x:f>"12893119603"</x:f>
        <x:v>12893119603</x:v>
      </x:c>
      <x:c r="H3589" s="23" t="str">
        <x:v>thuliojunior@hotmail.com</x:v>
      </x:c>
      <x:c r="I3589" s="22" t="str">
        <x:f>"35991863950"</x:f>
        <x:v>35991863950</x:v>
      </x:c>
      <x:c r="J3589" s="23" t="str">
        <x:v>SPOT</x:v>
      </x:c>
      <x:c r="K3589" s="23" t="str">
        <x:v>favored_only</x:v>
      </x:c>
      <x:c r="L3589" s="24" t="b">
        <x:v>1</x:v>
      </x:c>
      <x:c r="M3589" s="23" t="n">
        <x:v>1</x:v>
      </x:c>
      <x:c r="N3589" s="28" t="n">
        <x:v>46205.60337699074</x:v>
      </x:c>
      <x:c r="O3589" s="28" t="n">
        <x:v>46219.812988715275</x:v>
      </x:c>
      <x:c r="P3589" s="23" t="str">
        <x:v>GUAXUPE</x:v>
      </x:c>
      <x:c r="Q3589" s="30" t="n">
        <x:v>34161</x:v>
      </x:c>
      <x:c r="R3589" s="22" t="str">
        <x:f>"15197613"</x:f>
        <x:v>15197613</x:v>
      </x:c>
      <x:c r="S3589" s="23" t="str">
        <x:v>masculino</x:v>
      </x:c>
      <x:c r="T3589" s="22" t="str">
        <x:f>"HKV6G46"</x:f>
        <x:v>HKV6G46</x:v>
      </x:c>
      <x:c r="U3589" s="23" t="str">
        <x:v>RAFAEL LUIZ ALVES</x:v>
      </x:c>
      <x:c r="V3589" s="22" t="str">
        <x:f>"116.097.676-75"</x:f>
        <x:v>116.097.676-75</x:v>
      </x:c>
      <x:c r="W3589" s="22" t="str">
        <x:f>"11609767675"</x:f>
        <x:v>11609767675</x:v>
      </x:c>
      <x:c r="X3589" s="23" t="str">
        <x:v>rafinhaluizalves2@gmail.com</x:v>
      </x:c>
      <x:c r="Y3589" s="22" t="str">
        <x:f>"35 9247-1497"</x:f>
        <x:v>35 9247-1497</x:v>
      </x:c>
      <x:c r="Z3589" s="30" t="n">
        <x:v>46582</x:v>
      </x:c>
    </x:row>
    <x:row r="3590" ht="18" customHeight="1">
      <x:c r="A3590" s="22" t="str">
        <x:f>"1f0f4eb2-29aa-448f-aa15-e80c4b9b4956"</x:f>
        <x:v>1f0f4eb2-29aa-448f-aa15-e80c4b9b4956</x:v>
      </x:c>
      <x:c r="B3590" s="23" t="str">
        <x:v>TIAGO ALMEIDA CALDEIRA</x:v>
      </x:c>
      <x:c r="C3590" s="23" t="str">
        <x:v>tiago almeida caldeira</x:v>
      </x:c>
      <x:c r="D3590" s="22" t="str">
        <x:f>"60.993.611/0001-00"</x:f>
        <x:v>60.993.611/0001-00</x:v>
      </x:c>
      <x:c r="E3590" s="22" t="str">
        <x:f>"60993611000100"</x:f>
        <x:v>60993611000100</x:v>
      </x:c>
      <x:c r="F3590" s="22" t="str">
        <x:f>"476.952.318-19"</x:f>
        <x:v>476.952.318-19</x:v>
      </x:c>
      <x:c r="G3590" s="22" t="str">
        <x:f>"47695231819"</x:f>
        <x:v>47695231819</x:v>
      </x:c>
      <x:c r="H3590" s="23" t="str">
        <x:v>tiagocaldeira016@gmail.com</x:v>
      </x:c>
      <x:c r="I3590" s="22" t="str">
        <x:f>"16993125708"</x:f>
        <x:v>16993125708</x:v>
      </x:c>
      <x:c r="J3590" s="23" t="str">
        <x:v>spot</x:v>
      </x:c>
      <x:c r="K3590" s="23" t="str">
        <x:v>favored_only</x:v>
      </x:c>
      <x:c r="L3590" s="24" t="b">
        <x:v>1</x:v>
      </x:c>
      <x:c r="M3590" s="23" t="n">
        <x:v>1</x:v>
      </x:c>
      <x:c r="N3590" s="28" t="n">
        <x:v>46219.812988715275</x:v>
      </x:c>
      <x:c r="O3590" s="28" t="n">
        <x:v>46219.812988715275</x:v>
      </x:c>
      <x:c r="P3590" s="23" t="str">
        <x:v>RIBEIRAO PRETO</x:v>
      </x:c>
      <x:c r="Q3590" s="30" t="n">
        <x:v>38773</x:v>
      </x:c>
      <x:c r="R3590" s="22" t="str">
        <x:f>"581113809"</x:f>
        <x:v>581113809</x:v>
      </x:c>
      <x:c r="S3590" s="23" t="str">
        <x:v>masculino</x:v>
      </x:c>
      <x:c r="T3590" s="22" t="str">
        <x:f>"EWN7C70"</x:f>
        <x:v>EWN7C70</x:v>
      </x:c>
      <x:c r="U3590" s="23" t="str">
        <x:v>TIAGO ALMEIDA CALDEIRA</x:v>
      </x:c>
      <x:c r="V3590" s="22" t="str">
        <x:f>"476.952.318-19"</x:f>
        <x:v>476.952.318-19</x:v>
      </x:c>
      <x:c r="W3590" s="22" t="str">
        <x:f>"47695231819"</x:f>
        <x:v>47695231819</x:v>
      </x:c>
      <x:c r="X3590" s="23" t="str">
        <x:v>tiagocaldeira016@gmail.com</x:v>
      </x:c>
      <x:c r="Y3590" s="22" t="str">
        <x:f>"16993125708"</x:f>
        <x:v>16993125708</x:v>
      </x:c>
      <x:c r="Z3590" s="30" t="n">
        <x:v>46560</x:v>
      </x:c>
    </x:row>
    <x:row r="3591" ht="18" customHeight="1">
      <x:c r="A3591" s="22" t="str">
        <x:f>"43923cef-df43-409d-beed-c7c2c59814ef"</x:f>
        <x:v>43923cef-df43-409d-beed-c7c2c59814ef</x:v>
      </x:c>
      <x:c r="B3591" s="23" t="str">
        <x:v>TIAGO ARMANDO MARINHO DIAS PESSANHA</x:v>
      </x:c>
      <x:c r="C3591" s="23" t="str">
        <x:v>tiago armando marinho dias pessanha</x:v>
      </x:c>
      <x:c r="D3591" s="22" t="str">
        <x:f>"61.570.598/0001-49"</x:f>
        <x:v>61.570.598/0001-49</x:v>
      </x:c>
      <x:c r="E3591" s="22" t="str">
        <x:f>"61570598000149"</x:f>
        <x:v>61570598000149</x:v>
      </x:c>
      <x:c r="F3591" s="22" t="str">
        <x:f>"140.965.747-75"</x:f>
        <x:v>140.965.747-75</x:v>
      </x:c>
      <x:c r="G3591" s="22" t="str">
        <x:f>"14096574775"</x:f>
        <x:v>14096574775</x:v>
      </x:c>
      <x:c r="H3591" s="23" t="str">
        <x:v>tamdp01@gmail.com</x:v>
      </x:c>
      <x:c r="I3591" s="22" t="str">
        <x:f>"21 9795-53113"</x:f>
        <x:v>21 9795-53113</x:v>
      </x:c>
      <x:c r="J3591" s="23" t="str">
        <x:v>SPOT</x:v>
      </x:c>
      <x:c r="K3591" s="23" t="str">
        <x:v>favored_only</x:v>
      </x:c>
      <x:c r="L3591" s="24" t="b">
        <x:v>1</x:v>
      </x:c>
      <x:c r="M3591" s="23" t="n">
        <x:v>1</x:v>
      </x:c>
      <x:c r="N3591" s="28" t="n">
        <x:v>46219.812988715275</x:v>
      </x:c>
      <x:c r="O3591" s="28" t="n">
        <x:v>46219.812988715275</x:v>
      </x:c>
      <x:c r="P3591" s="23" t="str">
        <x:v>CORDOVIL</x:v>
      </x:c>
      <x:c r="Q3591" s="30" t="n">
        <x:v>32970</x:v>
      </x:c>
      <x:c r="R3591" s="22" t="str">
        <x:f>"21.199.988-3"</x:f>
        <x:v>21.199.988-3</x:v>
      </x:c>
      <x:c r="S3591" s="23" t="str">
        <x:v>masculino</x:v>
      </x:c>
      <x:c r="T3591" s="22" t="str">
        <x:f>"Lrw6d33"</x:f>
        <x:v>Lrw6d33</x:v>
      </x:c>
      <x:c r="U3591" s="23" t="str">
        <x:v>TIAGO ARMANDO MARINHO DIAS PESSANHA</x:v>
      </x:c>
      <x:c r="V3591" s="22" t="str">
        <x:f>"140.965.747-75"</x:f>
        <x:v>140.965.747-75</x:v>
      </x:c>
      <x:c r="W3591" s="22" t="str">
        <x:f>"14096574775"</x:f>
        <x:v>14096574775</x:v>
      </x:c>
      <x:c r="X3591" s="23" t="str">
        <x:v>tamdp01@gmail.com</x:v>
      </x:c>
      <x:c r="Y3591" s="22" t="str">
        <x:f>"21 9795-53113"</x:f>
        <x:v>21 9795-53113</x:v>
      </x:c>
      <x:c r="Z3591" s="30" t="n">
        <x:v>46464</x:v>
      </x:c>
    </x:row>
    <x:row r="3592" ht="18" customHeight="1">
      <x:c r="A3592" s="22" t="str">
        <x:f>"3aa98dfd-84d7-4aeb-803a-365ff5819ad2"</x:f>
        <x:v>3aa98dfd-84d7-4aeb-803a-365ff5819ad2</x:v>
      </x:c>
      <x:c r="B3592" s="23" t="str">
        <x:v>TIAGO BENTO CELESTINO LOURENCO</x:v>
      </x:c>
      <x:c r="C3592" s="23" t="str">
        <x:v>tiago bento celestino lourenco</x:v>
      </x:c>
      <x:c r="D3592" s="22" t="str">
        <x:f>"49.669.795/0001-14"</x:f>
        <x:v>49.669.795/0001-14</x:v>
      </x:c>
      <x:c r="E3592" s="22" t="str">
        <x:f>"49669795000114"</x:f>
        <x:v>49669795000114</x:v>
      </x:c>
      <x:c r="F3592" s="22" t="str">
        <x:f>"749.952.941-04"</x:f>
        <x:v>749.952.941-04</x:v>
      </x:c>
      <x:c r="G3592" s="22" t="str">
        <x:f>"74995294104"</x:f>
        <x:v>74995294104</x:v>
      </x:c>
      <x:c r="H3592" s="23" t="str">
        <x:v>bentotiago93@gmail.com</x:v>
      </x:c>
      <x:c r="I3592" s="22" t="str">
        <x:f>"62 999547413"</x:f>
        <x:v>62 999547413</x:v>
      </x:c>
      <x:c r="J3592" s="23" t="str">
        <x:v>RENTAL</x:v>
      </x:c>
      <x:c r="K3592" s="23" t="str">
        <x:v>rental_company</x:v>
      </x:c>
      <x:c r="L3592" s="24" t="b">
        <x:v>1</x:v>
      </x:c>
      <x:c r="M3592" s="23" t="n">
        <x:v>1</x:v>
      </x:c>
      <x:c r="N3592" s="28" t="n">
        <x:v>46203.92189965278</x:v>
      </x:c>
      <x:c r="O3592" s="28" t="n">
        <x:v>46219.812988715275</x:v>
      </x:c>
      <x:c r="P3592" s="23" t="str">
        <x:v>GOIANIA</x:v>
      </x:c>
      <x:c r="Q3592" s="30" t="n">
        <x:v>34266</x:v>
      </x:c>
      <x:c r="R3592" s="22" t="str">
        <x:f>"4114125"</x:f>
        <x:v>4114125</x:v>
      </x:c>
      <x:c r="S3592" s="23" t="str">
        <x:v>masculino</x:v>
      </x:c>
      <x:c r="T3592" s="22" t="str"/>
      <x:c r="U3592" s="23" t="str">
        <x:v>TIAGO BENTO CELESTINO LOURENCO</x:v>
      </x:c>
      <x:c r="V3592" s="22" t="str">
        <x:f>"749.952.941-04"</x:f>
        <x:v>749.952.941-04</x:v>
      </x:c>
      <x:c r="W3592" s="22" t="str">
        <x:f>"74995294104"</x:f>
        <x:v>74995294104</x:v>
      </x:c>
      <x:c r="X3592" s="23" t="str">
        <x:v>bentotiago93@gmail.com</x:v>
      </x:c>
      <x:c r="Y3592" s="22" t="str">
        <x:f>"62 999547413"</x:f>
        <x:v>62 999547413</x:v>
      </x:c>
      <x:c r="Z3592" s="30" t="n">
        <x:v>46358</x:v>
      </x:c>
    </x:row>
    <x:row r="3593" ht="18" customHeight="1">
      <x:c r="A3593" s="22" t="str">
        <x:f>"27988d46-6e37-4436-ae5d-1469700e601b"</x:f>
        <x:v>27988d46-6e37-4436-ae5d-1469700e601b</x:v>
      </x:c>
      <x:c r="B3593" s="23" t="str">
        <x:v>TIAGO BEZERRA MACEDO</x:v>
      </x:c>
      <x:c r="C3593" s="23" t="str">
        <x:v>tiago bezerra macedo</x:v>
      </x:c>
      <x:c r="D3593" s="22" t="str">
        <x:f>"67.154.645/0001-50"</x:f>
        <x:v>67.154.645/0001-50</x:v>
      </x:c>
      <x:c r="E3593" s="22" t="str">
        <x:f>"67154645000150"</x:f>
        <x:v>67154645000150</x:v>
      </x:c>
      <x:c r="F3593" s="22" t="str">
        <x:f>"070.353.683-89"</x:f>
        <x:v>070.353.683-89</x:v>
      </x:c>
      <x:c r="G3593" s="22" t="str">
        <x:f>"07035368389"</x:f>
        <x:v>07035368389</x:v>
      </x:c>
      <x:c r="H3593" s="23" t="str">
        <x:v>amadodedeuss@gmail.com</x:v>
      </x:c>
      <x:c r="I3593" s="22" t="str">
        <x:f>"6293665709"</x:f>
        <x:v>6293665709</x:v>
      </x:c>
      <x:c r="J3593" s="23" t="str">
        <x:v>rental</x:v>
      </x:c>
      <x:c r="K3593" s="23" t="str">
        <x:v>rental_company</x:v>
      </x:c>
      <x:c r="L3593" s="24" t="b">
        <x:v>1</x:v>
      </x:c>
      <x:c r="M3593" s="23" t="n">
        <x:v>1</x:v>
      </x:c>
      <x:c r="N3593" s="28" t="n">
        <x:v>46219.812988715275</x:v>
      </x:c>
      <x:c r="O3593" s="28" t="n">
        <x:v>46219.812988715275</x:v>
      </x:c>
      <x:c r="P3593" s="23" t="str">
        <x:v>GOIANIA</x:v>
      </x:c>
      <x:c r="Q3593" s="30" t="n">
        <x:v>34720</x:v>
      </x:c>
      <x:c r="R3593" s="22" t="str">
        <x:f>"334149820079"</x:f>
        <x:v>334149820079</x:v>
      </x:c>
      <x:c r="S3593" s="23" t="str">
        <x:v>masculino</x:v>
      </x:c>
      <x:c r="T3593" s="22" t="str"/>
      <x:c r="U3593" s="23" t="str">
        <x:v>TIAGO BEZERRA MACEDO</x:v>
      </x:c>
      <x:c r="V3593" s="22" t="str">
        <x:f>"070.353.683-89"</x:f>
        <x:v>070.353.683-89</x:v>
      </x:c>
      <x:c r="W3593" s="22" t="str">
        <x:f>"07035368389"</x:f>
        <x:v>07035368389</x:v>
      </x:c>
      <x:c r="X3593" s="23" t="str">
        <x:v>amadodedeuss@gmail.com</x:v>
      </x:c>
      <x:c r="Y3593" s="22" t="str">
        <x:f>"6293665709"</x:f>
        <x:v>6293665709</x:v>
      </x:c>
      <x:c r="Z3593" s="30" t="n">
        <x:v>46565</x:v>
      </x:c>
    </x:row>
    <x:row r="3594" ht="18" customHeight="1">
      <x:c r="A3594" s="22" t="str">
        <x:f>"c9c3be9b-2d51-44fb-baab-ae00f1d7b393"</x:f>
        <x:v>c9c3be9b-2d51-44fb-baab-ae00f1d7b393</x:v>
      </x:c>
      <x:c r="B3594" s="23" t="str">
        <x:v>TIAGO BEZERRA MACEDO</x:v>
      </x:c>
      <x:c r="C3594" s="23" t="str">
        <x:v>tiago bezerra macedo</x:v>
      </x:c>
      <x:c r="D3594" s="22" t="str">
        <x:f>"37.823.997/0001-90"</x:f>
        <x:v>37.823.997/0001-90</x:v>
      </x:c>
      <x:c r="E3594" s="22" t="str">
        <x:f>"37823997000190"</x:f>
        <x:v>37823997000190</x:v>
      </x:c>
      <x:c r="F3594" s="22" t="str">
        <x:f>"070.383.683-89"</x:f>
        <x:v>070.383.683-89</x:v>
      </x:c>
      <x:c r="G3594" s="22" t="str">
        <x:f>"07038368389"</x:f>
        <x:v>07038368389</x:v>
      </x:c>
      <x:c r="H3594" s="23" t="str">
        <x:v>amadodedeuss@gmail.com</x:v>
      </x:c>
      <x:c r="I3594" s="22" t="str">
        <x:f>"62992244928"</x:f>
        <x:v>62992244928</x:v>
      </x:c>
      <x:c r="J3594" s="23" t="str">
        <x:v>SPOT</x:v>
      </x:c>
      <x:c r="K3594" s="23" t="str">
        <x:v>favored_only</x:v>
      </x:c>
      <x:c r="L3594" s="24" t="b">
        <x:v>1</x:v>
      </x:c>
      <x:c r="M3594" s="23" t="n">
        <x:v>1</x:v>
      </x:c>
      <x:c r="N3594" s="28" t="n">
        <x:v>46205.60623903935</x:v>
      </x:c>
      <x:c r="O3594" s="28" t="n">
        <x:v>46219.812988715275</x:v>
      </x:c>
      <x:c r="P3594" s="23" t="str">
        <x:v>GOIANIA</x:v>
      </x:c>
      <x:c r="Q3594" s="30" t="n">
        <x:v>34720</x:v>
      </x:c>
      <x:c r="R3594" s="22" t="str">
        <x:f>"334149820079"</x:f>
        <x:v>334149820079</x:v>
      </x:c>
      <x:c r="S3594" s="23" t="str">
        <x:v>masculino</x:v>
      </x:c>
      <x:c r="T3594" s="22" t="str">
        <x:f>"GZO8J27"</x:f>
        <x:v>GZO8J27</x:v>
      </x:c>
      <x:c r="U3594" s="23" t="str">
        <x:v>DANILLO BACIEL ALMEIDA</x:v>
      </x:c>
      <x:c r="V3594" s="22" t="str">
        <x:f>"962.005.291-91"</x:f>
        <x:v>962.005.291-91</x:v>
      </x:c>
      <x:c r="W3594" s="22" t="str">
        <x:f>"96200529191"</x:f>
        <x:v>96200529191</x:v>
      </x:c>
      <x:c r="X3594" s="23" t="str">
        <x:v>rpt.cargas@gmail.com</x:v>
      </x:c>
      <x:c r="Y3594" s="22" t="str">
        <x:f>"(62) 99661-0607"</x:f>
        <x:v>(62) 99661-0607</x:v>
      </x:c>
      <x:c r="Z3594" s="30" t="n">
        <x:v>46350</x:v>
      </x:c>
    </x:row>
    <x:row r="3595" ht="18" customHeight="1">
      <x:c r="A3595" s="22" t="str">
        <x:f>"b43dd376-f7ef-43ad-9c97-c91fa9356d86"</x:f>
        <x:v>b43dd376-f7ef-43ad-9c97-c91fa9356d86</x:v>
      </x:c>
      <x:c r="B3595" s="23" t="str">
        <x:v>TIAGO COSTA SILVA</x:v>
      </x:c>
      <x:c r="C3595" s="23" t="str">
        <x:v>tiago costa silva</x:v>
      </x:c>
      <x:c r="D3595" s="22" t="str">
        <x:f>"47.352.784/0001-80"</x:f>
        <x:v>47.352.784/0001-80</x:v>
      </x:c>
      <x:c r="E3595" s="22" t="str">
        <x:f>"47352784000180"</x:f>
        <x:v>47352784000180</x:v>
      </x:c>
      <x:c r="F3595" s="22" t="str">
        <x:f>"047.861.701-19"</x:f>
        <x:v>047.861.701-19</x:v>
      </x:c>
      <x:c r="G3595" s="22" t="str">
        <x:f>"04786170119"</x:f>
        <x:v>04786170119</x:v>
      </x:c>
      <x:c r="H3595" s="23" t="str">
        <x:v>Tiagocosta1212@gmail.com</x:v>
      </x:c>
      <x:c r="I3595" s="22" t="str">
        <x:f>"+55 65 9306-7067"</x:f>
        <x:v>+55 65 9306-7067</x:v>
      </x:c>
      <x:c r="J3595" s="23" t="str">
        <x:v>SPOT</x:v>
      </x:c>
      <x:c r="K3595" s="23" t="str">
        <x:v>favored_only</x:v>
      </x:c>
      <x:c r="L3595" s="24" t="b">
        <x:v>1</x:v>
      </x:c>
      <x:c r="M3595" s="23" t="n">
        <x:v>1</x:v>
      </x:c>
      <x:c r="N3595" s="28" t="n">
        <x:v>46205.6046040625</x:v>
      </x:c>
      <x:c r="O3595" s="28" t="n">
        <x:v>46219.812988715275</x:v>
      </x:c>
      <x:c r="P3595" s="23" t="str">
        <x:v>PONTES E LACERDA</x:v>
      </x:c>
      <x:c r="Q3595" s="30" t="n">
        <x:v>36456</x:v>
      </x:c>
      <x:c r="R3595" s="22" t="str">
        <x:f>"22601317"</x:f>
        <x:v>22601317</x:v>
      </x:c>
      <x:c r="S3595" s="23" t="str">
        <x:v>masculino</x:v>
      </x:c>
      <x:c r="T3595" s="22" t="str">
        <x:f>"RAY3A20"</x:f>
        <x:v>RAY3A20</x:v>
      </x:c>
      <x:c r="U3595" s="23" t="str">
        <x:v>WESLEY SANTOS ABREU</x:v>
      </x:c>
      <x:c r="V3595" s="22" t="str">
        <x:f>"062.631.491-75"</x:f>
        <x:v>062.631.491-75</x:v>
      </x:c>
      <x:c r="W3595" s="22" t="str">
        <x:f>"06263149175"</x:f>
        <x:v>06263149175</x:v>
      </x:c>
      <x:c r="X3595" s="23" t="str">
        <x:v>wesleysantosabreu13@gmail.com</x:v>
      </x:c>
      <x:c r="Y3595" s="22" t="str">
        <x:f>"65993081162"</x:f>
        <x:v>65993081162</x:v>
      </x:c>
      <x:c r="Z3595" s="30" t="n">
        <x:v>46284</x:v>
      </x:c>
    </x:row>
    <x:row r="3596" ht="18" customHeight="1">
      <x:c r="A3596" s="22" t="str">
        <x:f>"833378af-4b12-49df-9ffe-59e2c7ba344d"</x:f>
        <x:v>833378af-4b12-49df-9ffe-59e2c7ba344d</x:v>
      </x:c>
      <x:c r="B3596" s="23" t="str">
        <x:v>TIAGO CUSTODIO DA SILVA</x:v>
      </x:c>
      <x:c r="C3596" s="23" t="str">
        <x:v>tiago custodio da silva</x:v>
      </x:c>
      <x:c r="D3596" s="22" t="str">
        <x:f>"58.373.340/0001-48"</x:f>
        <x:v>58.373.340/0001-48</x:v>
      </x:c>
      <x:c r="E3596" s="22" t="str">
        <x:f>"58373340000148"</x:f>
        <x:v>58373340000148</x:v>
      </x:c>
      <x:c r="F3596" s="22" t="str">
        <x:f>"386.653.618-63"</x:f>
        <x:v>386.653.618-63</x:v>
      </x:c>
      <x:c r="G3596" s="22" t="str">
        <x:f>"38665361863"</x:f>
        <x:v>38665361863</x:v>
      </x:c>
      <x:c r="H3596" s="23" t="str">
        <x:v>tih.vitor8@gmail.com</x:v>
      </x:c>
      <x:c r="I3596" s="22" t="str">
        <x:f>"11 91588 1848"</x:f>
        <x:v>11 91588 1848</x:v>
      </x:c>
      <x:c r="J3596" s="23" t="str">
        <x:v>RENTAL</x:v>
      </x:c>
      <x:c r="K3596" s="23" t="str">
        <x:v>rental_company</x:v>
      </x:c>
      <x:c r="L3596" s="24" t="b">
        <x:v>1</x:v>
      </x:c>
      <x:c r="M3596" s="23" t="n">
        <x:v>1</x:v>
      </x:c>
      <x:c r="N3596" s="28" t="n">
        <x:v>46203.92183332176</x:v>
      </x:c>
      <x:c r="O3596" s="28" t="n">
        <x:v>46219.812988715275</x:v>
      </x:c>
      <x:c r="P3596" s="23" t="str">
        <x:v>BARUERI</x:v>
      </x:c>
      <x:c r="Q3596" s="30" t="n">
        <x:v>32054</x:v>
      </x:c>
      <x:c r="R3596" s="22" t="str">
        <x:f>"40469194"</x:f>
        <x:v>40469194</x:v>
      </x:c>
      <x:c r="S3596" s="23" t="str">
        <x:v>masculino</x:v>
      </x:c>
      <x:c r="T3596" s="22" t="str"/>
      <x:c r="U3596" s="23" t="str">
        <x:v>TIAGO CUSTODIO DA SILVA</x:v>
      </x:c>
      <x:c r="V3596" s="22" t="str">
        <x:f>"386.653.618-63"</x:f>
        <x:v>386.653.618-63</x:v>
      </x:c>
      <x:c r="W3596" s="22" t="str">
        <x:f>"38665361863"</x:f>
        <x:v>38665361863</x:v>
      </x:c>
      <x:c r="X3596" s="23" t="str">
        <x:v>tih.vitor8@gmail.com</x:v>
      </x:c>
      <x:c r="Y3596" s="22" t="str">
        <x:f>"11 91588 1848"</x:f>
        <x:v>11 91588 1848</x:v>
      </x:c>
      <x:c r="Z3596" s="30" t="n">
        <x:v>46242</x:v>
      </x:c>
    </x:row>
    <x:row r="3597" ht="18" customHeight="1">
      <x:c r="A3597" s="22" t="str">
        <x:f>"6ff650a4-4cb0-4a68-8bbe-05c48ddfecda"</x:f>
        <x:v>6ff650a4-4cb0-4a68-8bbe-05c48ddfecda</x:v>
      </x:c>
      <x:c r="B3597" s="23" t="str">
        <x:v>TIAGO DANIEL CORNELIO DOS SANTOS</x:v>
      </x:c>
      <x:c r="C3597" s="23" t="str">
        <x:v>tiago daniel cornelio dos santos</x:v>
      </x:c>
      <x:c r="D3597" s="22" t="str">
        <x:f>"62.417.546/0001-08"</x:f>
        <x:v>62.417.546/0001-08</x:v>
      </x:c>
      <x:c r="E3597" s="22" t="str">
        <x:f>"62417546000108"</x:f>
        <x:v>62417546000108</x:v>
      </x:c>
      <x:c r="F3597" s="22" t="str">
        <x:f>"120.367.627-19"</x:f>
        <x:v>120.367.627-19</x:v>
      </x:c>
      <x:c r="G3597" s="22" t="str">
        <x:f>"12036762719"</x:f>
        <x:v>12036762719</x:v>
      </x:c>
      <x:c r="H3597" s="23" t="str">
        <x:v>marcelleguedes1292@gmail.com</x:v>
      </x:c>
      <x:c r="I3597" s="22" t="str">
        <x:f>"21966976606"</x:f>
        <x:v>21966976606</x:v>
      </x:c>
      <x:c r="J3597" s="23" t="str">
        <x:v>SPOT</x:v>
      </x:c>
      <x:c r="K3597" s="23" t="str">
        <x:v>favored_only</x:v>
      </x:c>
      <x:c r="L3597" s="24" t="b">
        <x:v>1</x:v>
      </x:c>
      <x:c r="M3597" s="23" t="n">
        <x:v>3</x:v>
      </x:c>
      <x:c r="N3597" s="28" t="n">
        <x:v>46203.92188238426</x:v>
      </x:c>
      <x:c r="O3597" s="28" t="n">
        <x:v>46219.812988715275</x:v>
      </x:c>
      <x:c r="P3597" s="23" t="str">
        <x:v>SÃO JOAO DE MERITI</x:v>
      </x:c>
      <x:c r="Q3597" s="30" t="n">
        <x:v>42808</x:v>
      </x:c>
      <x:c r="R3597" s="22" t="str">
        <x:f>"67815142"</x:f>
        <x:v>67815142</x:v>
      </x:c>
      <x:c r="S3597" s="23" t="str">
        <x:v>masculino</x:v>
      </x:c>
      <x:c r="T3597" s="22" t="str">
        <x:f>"Lmc5409"</x:f>
        <x:v>Lmc5409</x:v>
      </x:c>
      <x:c r="U3597" s="23" t="str">
        <x:v>NANCI ALVES PASTOR</x:v>
      </x:c>
      <x:c r="V3597" s="22" t="str">
        <x:f>"098.935.317-64"</x:f>
        <x:v>098.935.317-64</x:v>
      </x:c>
      <x:c r="W3597" s="22" t="str">
        <x:f>"09893531764"</x:f>
        <x:v>09893531764</x:v>
      </x:c>
      <x:c r="X3597" s="23" t="str">
        <x:v>marcelleguedes1292@gmail.com</x:v>
      </x:c>
      <x:c r="Y3597" s="22" t="str">
        <x:f>"21966976606"</x:f>
        <x:v>21966976606</x:v>
      </x:c>
      <x:c r="Z3597" s="30" t="n">
        <x:v>46478</x:v>
      </x:c>
    </x:row>
    <x:row r="3598" ht="18" customHeight="1">
      <x:c r="A3598" s="22" t="str">
        <x:f>"116d701f-147a-4b0f-9cc6-e7420d84cabe"</x:f>
        <x:v>116d701f-147a-4b0f-9cc6-e7420d84cabe</x:v>
      </x:c>
      <x:c r="B3598" s="23" t="str">
        <x:v>TIAGO DA SILVA VAZ</x:v>
      </x:c>
      <x:c r="C3598" s="23" t="str">
        <x:v>tiago da silva vaz</x:v>
      </x:c>
      <x:c r="D3598" s="22" t="str">
        <x:f>"58.633.036/0001-92"</x:f>
        <x:v>58.633.036/0001-92</x:v>
      </x:c>
      <x:c r="E3598" s="22" t="str">
        <x:f>"58633036000192"</x:f>
        <x:v>58633036000192</x:v>
      </x:c>
      <x:c r="F3598" s="22" t="str">
        <x:f>"061.192.586-98"</x:f>
        <x:v>061.192.586-98</x:v>
      </x:c>
      <x:c r="G3598" s="22" t="str">
        <x:f>"06119258698"</x:f>
        <x:v>06119258698</x:v>
      </x:c>
      <x:c r="H3598" s="23" t="str">
        <x:v>Tiagosilvavaz08@gmail.com</x:v>
      </x:c>
      <x:c r="I3598" s="22" t="str">
        <x:f>"34988646691"</x:f>
        <x:v>34988646691</x:v>
      </x:c>
      <x:c r="J3598" s="23" t="str">
        <x:v>RENTAL</x:v>
      </x:c>
      <x:c r="K3598" s="23" t="str">
        <x:v>rental_company</x:v>
      </x:c>
      <x:c r="L3598" s="24" t="b">
        <x:v>1</x:v>
      </x:c>
      <x:c r="M3598" s="23" t="n">
        <x:v>1</x:v>
      </x:c>
      <x:c r="N3598" s="28" t="n">
        <x:v>46219.812988715275</x:v>
      </x:c>
      <x:c r="O3598" s="28" t="n">
        <x:v>46219.812988715275</x:v>
      </x:c>
      <x:c r="P3598" s="23" t="str">
        <x:v>UBERABA</x:v>
      </x:c>
      <x:c r="Q3598" s="30" t="n">
        <x:v>30720</x:v>
      </x:c>
      <x:c r="R3598" s="22" t="str">
        <x:f>"12620152"</x:f>
        <x:v>12620152</x:v>
      </x:c>
      <x:c r="S3598" s="23" t="str">
        <x:v>masculino</x:v>
      </x:c>
      <x:c r="T3598" s="22" t="str"/>
      <x:c r="U3598" s="23" t="str">
        <x:v>TIAGO DA SILVA VAZ</x:v>
      </x:c>
      <x:c r="V3598" s="22" t="str">
        <x:f>"061.192.586-98"</x:f>
        <x:v>061.192.586-98</x:v>
      </x:c>
      <x:c r="W3598" s="22" t="str">
        <x:f>"06119258698"</x:f>
        <x:v>06119258698</x:v>
      </x:c>
      <x:c r="X3598" s="23" t="str">
        <x:v>Tiagosilvavaz08@gmail.com</x:v>
      </x:c>
      <x:c r="Y3598" s="22" t="str">
        <x:f>"34988646691"</x:f>
        <x:v>34988646691</x:v>
      </x:c>
      <x:c r="Z3598" s="30" t="n">
        <x:v>46575</x:v>
      </x:c>
    </x:row>
    <x:row r="3599" ht="18" customHeight="1">
      <x:c r="A3599" s="22" t="str">
        <x:f>"38595454-f56d-4bc0-b70d-1f285e141e74"</x:f>
        <x:v>38595454-f56d-4bc0-b70d-1f285e141e74</x:v>
      </x:c>
      <x:c r="B3599" s="23" t="str">
        <x:v>TIAGO DE ASSIS FELIX</x:v>
      </x:c>
      <x:c r="C3599" s="23" t="str">
        <x:v>tiago de assis felix</x:v>
      </x:c>
      <x:c r="D3599" s="22" t="str">
        <x:f>"64.843.653/0001-15"</x:f>
        <x:v>64.843.653/0001-15</x:v>
      </x:c>
      <x:c r="E3599" s="22" t="str">
        <x:f>"64843653000115"</x:f>
        <x:v>64843653000115</x:v>
      </x:c>
      <x:c r="F3599" s="22" t="str">
        <x:f>"064.750.076-09"</x:f>
        <x:v>064.750.076-09</x:v>
      </x:c>
      <x:c r="G3599" s="22" t="str">
        <x:f>"06475007609"</x:f>
        <x:v>06475007609</x:v>
      </x:c>
      <x:c r="H3599" s="23" t="str">
        <x:v>minatotaf@gmail.com</x:v>
      </x:c>
      <x:c r="I3599" s="22" t="str">
        <x:f>"(35)99256-6343"</x:f>
        <x:v>(35)99256-6343</x:v>
      </x:c>
      <x:c r="J3599" s="23" t="str">
        <x:v>SPOT</x:v>
      </x:c>
      <x:c r="K3599" s="23" t="str">
        <x:v>favored_only</x:v>
      </x:c>
      <x:c r="L3599" s="24" t="b">
        <x:v>1</x:v>
      </x:c>
      <x:c r="M3599" s="23" t="n">
        <x:v>1</x:v>
      </x:c>
      <x:c r="N3599" s="28" t="n">
        <x:v>46219.812988715275</x:v>
      </x:c>
      <x:c r="O3599" s="28" t="n">
        <x:v>46219.812988715275</x:v>
      </x:c>
      <x:c r="P3599" s="23" t="str">
        <x:v>POUSO ALEGRE</x:v>
      </x:c>
      <x:c r="Q3599" s="30" t="n">
        <x:v>30564</x:v>
      </x:c>
      <x:c r="R3599" s="22" t="str">
        <x:f>"MG13638120 SSP MG"</x:f>
        <x:v>MG13638120 SSP MG</x:v>
      </x:c>
      <x:c r="S3599" s="23" t="str">
        <x:v>masculino</x:v>
      </x:c>
      <x:c r="T3599" s="22" t="str">
        <x:f>"TDO8D54"</x:f>
        <x:v>TDO8D54</x:v>
      </x:c>
      <x:c r="U3599" s="23" t="str">
        <x:v>TIAGO DE ASSIS FELIX</x:v>
      </x:c>
      <x:c r="V3599" s="22" t="str">
        <x:f>"064.750.076-09"</x:f>
        <x:v>064.750.076-09</x:v>
      </x:c>
      <x:c r="W3599" s="22" t="str">
        <x:f>"06475007609"</x:f>
        <x:v>06475007609</x:v>
      </x:c>
      <x:c r="X3599" s="23" t="str">
        <x:v>minatotaf@gmail.com</x:v>
      </x:c>
      <x:c r="Y3599" s="22" t="str">
        <x:f>"(35)99256-6343"</x:f>
        <x:v>(35)99256-6343</x:v>
      </x:c>
      <x:c r="Z3599" s="30" t="n">
        <x:v>46478</x:v>
      </x:c>
    </x:row>
    <x:row r="3600" ht="18" customHeight="1">
      <x:c r="A3600" s="22" t="str">
        <x:f>"da2061d7-2778-4413-9f2a-13f8c1369a8c"</x:f>
        <x:v>da2061d7-2778-4413-9f2a-13f8c1369a8c</x:v>
      </x:c>
      <x:c r="B3600" s="23" t="str">
        <x:v>TIAGO DONATO DE SOUZA</x:v>
      </x:c>
      <x:c r="C3600" s="23" t="str">
        <x:v>tiago donato de souza</x:v>
      </x:c>
      <x:c r="D3600" s="22" t="str">
        <x:f>"62.630.848/0001-51"</x:f>
        <x:v>62.630.848/0001-51</x:v>
      </x:c>
      <x:c r="E3600" s="22" t="str">
        <x:f>"62630848000151"</x:f>
        <x:v>62630848000151</x:v>
      </x:c>
      <x:c r="F3600" s="22" t="str">
        <x:f>"124.542.507-21"</x:f>
        <x:v>124.542.507-21</x:v>
      </x:c>
      <x:c r="G3600" s="22" t="str">
        <x:f>"12454250721"</x:f>
        <x:v>12454250721</x:v>
      </x:c>
      <x:c r="H3600" s="23" t="str">
        <x:v>tiagodonatodesouza@hotmail.com</x:v>
      </x:c>
      <x:c r="I3600" s="22" t="str">
        <x:f>"21 98779-7407"</x:f>
        <x:v>21 98779-7407</x:v>
      </x:c>
      <x:c r="J3600" s="23" t="str">
        <x:v>SPOT</x:v>
      </x:c>
      <x:c r="K3600" s="23" t="str">
        <x:v>favored_only</x:v>
      </x:c>
      <x:c r="L3600" s="24" t="b">
        <x:v>1</x:v>
      </x:c>
      <x:c r="M3600" s="23" t="n">
        <x:v>1</x:v>
      </x:c>
      <x:c r="N3600" s="28" t="n">
        <x:v>46203.921887453704</x:v>
      </x:c>
      <x:c r="O3600" s="28" t="n">
        <x:v>46219.812988715275</x:v>
      </x:c>
      <x:c r="P3600" s="23" t="str">
        <x:v>CAMPO GRANDE</x:v>
      </x:c>
      <x:c r="Q3600" s="30" t="n">
        <x:v>31854</x:v>
      </x:c>
      <x:c r="R3600" s="22" t="str">
        <x:f>"210774428"</x:f>
        <x:v>210774428</x:v>
      </x:c>
      <x:c r="S3600" s="23" t="str">
        <x:v>masculino</x:v>
      </x:c>
      <x:c r="T3600" s="22" t="str">
        <x:f>"KPV2B95"</x:f>
        <x:v>KPV2B95</x:v>
      </x:c>
      <x:c r="U3600" s="23" t="str">
        <x:v>TIAGO DONATO DE SOUZA</x:v>
      </x:c>
      <x:c r="V3600" s="22" t="str">
        <x:f>"124.542.507-21"</x:f>
        <x:v>124.542.507-21</x:v>
      </x:c>
      <x:c r="W3600" s="22" t="str">
        <x:f>"12454250721"</x:f>
        <x:v>12454250721</x:v>
      </x:c>
      <x:c r="X3600" s="23" t="str">
        <x:v>tiagodonatodesouza@hotmail.com</x:v>
      </x:c>
      <x:c r="Y3600" s="22" t="str">
        <x:f>"21 98779-7407"</x:f>
        <x:v>21 98779-7407</x:v>
      </x:c>
      <x:c r="Z3600" s="30" t="n">
        <x:v>46333</x:v>
      </x:c>
    </x:row>
    <x:row r="3601" ht="18" customHeight="1">
      <x:c r="A3601" s="22" t="str">
        <x:f>"f4f30865-f0fd-48ec-a56d-1771747c1864"</x:f>
        <x:v>f4f30865-f0fd-48ec-a56d-1771747c1864</x:v>
      </x:c>
      <x:c r="B3601" s="23" t="str">
        <x:v>TIAGO DOS SANTOS PINTO</x:v>
      </x:c>
      <x:c r="C3601" s="23" t="str">
        <x:v>tiago dos santos pinto</x:v>
      </x:c>
      <x:c r="D3601" s="22" t="str">
        <x:f>"60.391.528/0001-60"</x:f>
        <x:v>60.391.528/0001-60</x:v>
      </x:c>
      <x:c r="E3601" s="22" t="str">
        <x:f>"60391528000160"</x:f>
        <x:v>60391528000160</x:v>
      </x:c>
      <x:c r="F3601" s="22" t="str">
        <x:f>"113.099.957-29"</x:f>
        <x:v>113.099.957-29</x:v>
      </x:c>
      <x:c r="G3601" s="22" t="str">
        <x:f>"11309995729"</x:f>
        <x:v>11309995729</x:v>
      </x:c>
      <x:c r="H3601" s="23" t="str">
        <x:v>tiago_sp.rj@hotmail.com</x:v>
      </x:c>
      <x:c r="I3601" s="22" t="str">
        <x:f>"21974833612"</x:f>
        <x:v>21974833612</x:v>
      </x:c>
      <x:c r="J3601" s="23" t="str">
        <x:v>SPOT</x:v>
      </x:c>
      <x:c r="K3601" s="23" t="str">
        <x:v>favored_only</x:v>
      </x:c>
      <x:c r="L3601" s="24" t="b">
        <x:v>1</x:v>
      </x:c>
      <x:c r="M3601" s="23" t="n">
        <x:v>1</x:v>
      </x:c>
      <x:c r="N3601" s="28" t="n">
        <x:v>46219.812988715275</x:v>
      </x:c>
      <x:c r="O3601" s="28" t="n">
        <x:v>46219.812988715275</x:v>
      </x:c>
      <x:c r="P3601" s="23" t="str">
        <x:v>QUEIMADOS</x:v>
      </x:c>
      <x:c r="Q3601" s="30" t="n">
        <x:v>32329</x:v>
      </x:c>
      <x:c r="R3601" s="22" t="str">
        <x:f>"215218173"</x:f>
        <x:v>215218173</x:v>
      </x:c>
      <x:c r="S3601" s="23" t="str">
        <x:v>masculino</x:v>
      </x:c>
      <x:c r="T3601" s="22" t="str">
        <x:f>"QQV5I81"</x:f>
        <x:v>QQV5I81</x:v>
      </x:c>
      <x:c r="U3601" s="23" t="str">
        <x:v>BLENDON SANTOS DE LIMA</x:v>
      </x:c>
      <x:c r="V3601" s="22" t="str">
        <x:f>"178.512.437-42"</x:f>
        <x:v>178.512.437-42</x:v>
      </x:c>
      <x:c r="W3601" s="22" t="str">
        <x:f>"17851243742"</x:f>
        <x:v>17851243742</x:v>
      </x:c>
      <x:c r="X3601" s="23" t="str">
        <x:v>tiago_sp.rj@hotmail.com</x:v>
      </x:c>
      <x:c r="Y3601" s="22" t="str">
        <x:f>"21974833612"</x:f>
        <x:v>21974833612</x:v>
      </x:c>
      <x:c r="Z3601" s="30" t="n">
        <x:v>46441</x:v>
      </x:c>
    </x:row>
    <x:row r="3602" ht="18" customHeight="1">
      <x:c r="A3602" s="22" t="str">
        <x:f>"36e48113-583f-48d6-bcf4-7548a669c1bb"</x:f>
        <x:v>36e48113-583f-48d6-bcf4-7548a669c1bb</x:v>
      </x:c>
      <x:c r="B3602" s="23" t="str">
        <x:v>TIAGO GONCALVES ARCANJO DOS SANTOS</x:v>
      </x:c>
      <x:c r="C3602" s="23" t="str">
        <x:v>tiago goncalves arcanjo dos santos</x:v>
      </x:c>
      <x:c r="D3602" s="22" t="str">
        <x:f>"62.584.615/0001-60"</x:f>
        <x:v>62.584.615/0001-60</x:v>
      </x:c>
      <x:c r="E3602" s="22" t="str">
        <x:f>"62584615000160"</x:f>
        <x:v>62584615000160</x:v>
      </x:c>
      <x:c r="F3602" s="22" t="str">
        <x:f>"155.221.076-69"</x:f>
        <x:v>155.221.076-69</x:v>
      </x:c>
      <x:c r="G3602" s="22" t="str">
        <x:f>"15522107669"</x:f>
        <x:v>15522107669</x:v>
      </x:c>
      <x:c r="H3602" s="23" t="str">
        <x:v>tiagosan219999@gmail.com</x:v>
      </x:c>
      <x:c r="I3602" s="22" t="str">
        <x:f>"(31)973009757"</x:f>
        <x:v>(31)973009757</x:v>
      </x:c>
      <x:c r="J3602" s="23" t="str">
        <x:v>SPOT</x:v>
      </x:c>
      <x:c r="K3602" s="23" t="str">
        <x:v>favored_only</x:v>
      </x:c>
      <x:c r="L3602" s="24" t="b">
        <x:v>1</x:v>
      </x:c>
      <x:c r="M3602" s="23" t="n">
        <x:v>1</x:v>
      </x:c>
      <x:c r="N3602" s="28" t="n">
        <x:v>46203.92186462963</x:v>
      </x:c>
      <x:c r="O3602" s="28" t="n">
        <x:v>46219.812988715275</x:v>
      </x:c>
      <x:c r="P3602" s="23" t="str">
        <x:v>VESPASIANO</x:v>
      </x:c>
      <x:c r="Q3602" s="30" t="n">
        <x:v>36943</x:v>
      </x:c>
      <x:c r="R3602" s="22" t="str">
        <x:f>"MG20742294"</x:f>
        <x:v>MG20742294</x:v>
      </x:c>
      <x:c r="S3602" s="23" t="str">
        <x:v>masculino</x:v>
      </x:c>
      <x:c r="T3602" s="22" t="str">
        <x:f>"HID1909"</x:f>
        <x:v>HID1909</x:v>
      </x:c>
      <x:c r="U3602" s="23" t="str">
        <x:v>TIAGO GONCALVES ARCANJO DOS SANTOS</x:v>
      </x:c>
      <x:c r="V3602" s="22" t="str">
        <x:f>"155.221.076-69"</x:f>
        <x:v>155.221.076-69</x:v>
      </x:c>
      <x:c r="W3602" s="22" t="str">
        <x:f>"15522107669"</x:f>
        <x:v>15522107669</x:v>
      </x:c>
      <x:c r="X3602" s="23" t="str">
        <x:v>tiagosan219999@gmail.com</x:v>
      </x:c>
      <x:c r="Y3602" s="22" t="str">
        <x:f>"(31)973009757"</x:f>
        <x:v>(31)973009757</x:v>
      </x:c>
      <x:c r="Z3602" s="30" t="n">
        <x:v>46276</x:v>
      </x:c>
    </x:row>
    <x:row r="3603" ht="18" customHeight="1">
      <x:c r="A3603" s="22" t="str">
        <x:f>"f4af790d-1d23-4849-8a92-814ec598e7ca"</x:f>
        <x:v>f4af790d-1d23-4849-8a92-814ec598e7ca</x:v>
      </x:c>
      <x:c r="B3603" s="23" t="str">
        <x:v>TIAGO GONCALVES ARCANJO DOS SANTOS</x:v>
      </x:c>
      <x:c r="C3603" s="23" t="str">
        <x:v>tiago goncalves arcanjo dos santos</x:v>
      </x:c>
      <x:c r="D3603" s="22" t="str">
        <x:f>"59.163.153/0001-00"</x:f>
        <x:v>59.163.153/0001-00</x:v>
      </x:c>
      <x:c r="E3603" s="22" t="str">
        <x:f>"59163153000100"</x:f>
        <x:v>59163153000100</x:v>
      </x:c>
      <x:c r="F3603" s="22" t="str">
        <x:f>"155.221.076-69"</x:f>
        <x:v>155.221.076-69</x:v>
      </x:c>
      <x:c r="G3603" s="22" t="str">
        <x:f>"15522107669"</x:f>
        <x:v>15522107669</x:v>
      </x:c>
      <x:c r="H3603" s="23" t="str">
        <x:v>tiagosan219999@gmail.com</x:v>
      </x:c>
      <x:c r="I3603" s="22" t="str">
        <x:f>"31973009757"</x:f>
        <x:v>31973009757</x:v>
      </x:c>
      <x:c r="J3603" s="23" t="str">
        <x:v>SPOT</x:v>
      </x:c>
      <x:c r="K3603" s="23" t="str">
        <x:v>favored_only</x:v>
      </x:c>
      <x:c r="L3603" s="24" t="b">
        <x:v>1</x:v>
      </x:c>
      <x:c r="M3603" s="23" t="n">
        <x:v>1</x:v>
      </x:c>
      <x:c r="N3603" s="28" t="n">
        <x:v>46205.60390329861</x:v>
      </x:c>
      <x:c r="O3603" s="28" t="n">
        <x:v>46219.812988715275</x:v>
      </x:c>
      <x:c r="P3603" s="23" t="str">
        <x:v>VESPASIANO</x:v>
      </x:c>
      <x:c r="Q3603" s="30" t="n">
        <x:v>36943</x:v>
      </x:c>
      <x:c r="R3603" s="22" t="str">
        <x:f>"MG20742294"</x:f>
        <x:v>MG20742294</x:v>
      </x:c>
      <x:c r="S3603" s="23" t="str">
        <x:v>masculino</x:v>
      </x:c>
      <x:c r="T3603" s="22" t="str">
        <x:f>"PVI9D53"</x:f>
        <x:v>PVI9D53</x:v>
      </x:c>
      <x:c r="U3603" s="23" t="str">
        <x:v>DANIELLE CRISTINA DA SILVA</x:v>
      </x:c>
      <x:c r="V3603" s="22" t="str">
        <x:f>"077.795.096-05"</x:f>
        <x:v>077.795.096-05</x:v>
      </x:c>
      <x:c r="W3603" s="22" t="str">
        <x:f>"07779509605"</x:f>
        <x:v>07779509605</x:v>
      </x:c>
      <x:c r="X3603" s="23" t="str">
        <x:v>daniellecristinasilva@yahoo.com.br</x:v>
      </x:c>
      <x:c r="Y3603" s="22" t="str">
        <x:f>"31999866032"</x:f>
        <x:v>31999866032</x:v>
      </x:c>
      <x:c r="Z3603" s="30" t="n">
        <x:v>46247</x:v>
      </x:c>
    </x:row>
    <x:row r="3604" ht="18" customHeight="1">
      <x:c r="A3604" s="22" t="str">
        <x:f>"fcca8f94-d6b1-471c-82f6-a2f2f7cad44f"</x:f>
        <x:v>fcca8f94-d6b1-471c-82f6-a2f2f7cad44f</x:v>
      </x:c>
      <x:c r="B3604" s="23" t="str">
        <x:v>TIAGO LOPES FERREIRA ROSA</x:v>
      </x:c>
      <x:c r="C3604" s="23" t="str">
        <x:v>tiago lopes ferreira rosa</x:v>
      </x:c>
      <x:c r="D3604" s="22" t="str">
        <x:f>"67.847.456/0001-62"</x:f>
        <x:v>67.847.456/0001-62</x:v>
      </x:c>
      <x:c r="E3604" s="22" t="str">
        <x:f>"67847456000162"</x:f>
        <x:v>67847456000162</x:v>
      </x:c>
      <x:c r="F3604" s="22" t="str">
        <x:f>"129.024.216-05"</x:f>
        <x:v>129.024.216-05</x:v>
      </x:c>
      <x:c r="G3604" s="22" t="str">
        <x:f>"12902421605"</x:f>
        <x:v>12902421605</x:v>
      </x:c>
      <x:c r="H3604" s="23" t="str">
        <x:v>tiago95lopes@gmail.com</x:v>
      </x:c>
      <x:c r="I3604" s="22" t="str">
        <x:f>"31998461232"</x:f>
        <x:v>31998461232</x:v>
      </x:c>
      <x:c r="J3604" s="23" t="str">
        <x:v>RENTAL</x:v>
      </x:c>
      <x:c r="K3604" s="23" t="str">
        <x:v>rental_company</x:v>
      </x:c>
      <x:c r="L3604" s="24" t="b">
        <x:v>1</x:v>
      </x:c>
      <x:c r="M3604" s="23" t="n">
        <x:v>1</x:v>
      </x:c>
      <x:c r="N3604" s="28" t="n">
        <x:v>46219.812988715275</x:v>
      </x:c>
      <x:c r="O3604" s="28" t="n">
        <x:v>46219.812988715275</x:v>
      </x:c>
      <x:c r="P3604" s="23" t="str">
        <x:v>GUANHAES</x:v>
      </x:c>
      <x:c r="Q3604" s="30" t="n">
        <x:v>35009</x:v>
      </x:c>
      <x:c r="R3604" s="22" t="str">
        <x:f>"1795828"</x:f>
        <x:v>1795828</x:v>
      </x:c>
      <x:c r="S3604" s="23" t="str">
        <x:v>masculino</x:v>
      </x:c>
      <x:c r="T3604" s="22" t="str"/>
      <x:c r="U3604" s="23" t="str">
        <x:v>TIAGO LOPES FERREIRA ROSA</x:v>
      </x:c>
      <x:c r="V3604" s="22" t="str">
        <x:f>"129.024.216-05"</x:f>
        <x:v>129.024.216-05</x:v>
      </x:c>
      <x:c r="W3604" s="22" t="str">
        <x:f>"12902421605"</x:f>
        <x:v>12902421605</x:v>
      </x:c>
      <x:c r="X3604" s="23" t="str">
        <x:v>tiago95lopes@gmail.com</x:v>
      </x:c>
      <x:c r="Y3604" s="22" t="str">
        <x:f>"31998461232"</x:f>
        <x:v>31998461232</x:v>
      </x:c>
      <x:c r="Z3604" s="30" t="n">
        <x:v>46572</x:v>
      </x:c>
    </x:row>
    <x:row r="3605" ht="18" customHeight="1">
      <x:c r="A3605" s="22" t="str">
        <x:f>"faeb6111-2c19-489e-b535-70ccbecabb52"</x:f>
        <x:v>faeb6111-2c19-489e-b535-70ccbecabb52</x:v>
      </x:c>
      <x:c r="B3605" s="23" t="str">
        <x:v>TIAGO MARQUES PIRES</x:v>
      </x:c>
      <x:c r="C3605" s="23" t="str">
        <x:v>tiago marques pires</x:v>
      </x:c>
      <x:c r="D3605" s="22" t="str">
        <x:f>"56.979.964/0001-88"</x:f>
        <x:v>56.979.964/0001-88</x:v>
      </x:c>
      <x:c r="E3605" s="22" t="str">
        <x:f>"56979964000188"</x:f>
        <x:v>56979964000188</x:v>
      </x:c>
      <x:c r="F3605" s="22" t="str">
        <x:f>"73388025134"</x:f>
        <x:v>73388025134</x:v>
      </x:c>
      <x:c r="G3605" s="22" t="str">
        <x:f>"73388025134"</x:f>
        <x:v>73388025134</x:v>
      </x:c>
      <x:c r="H3605" s="23" t="str">
        <x:v>presencabebidasrv@gmail.com</x:v>
      </x:c>
      <x:c r="I3605" s="22" t="str">
        <x:f>"64 9331-2020"</x:f>
        <x:v>64 9331-2020</x:v>
      </x:c>
      <x:c r="J3605" s="23" t="str">
        <x:v>SPOT</x:v>
      </x:c>
      <x:c r="K3605" s="23" t="str">
        <x:v>favored_only</x:v>
      </x:c>
      <x:c r="L3605" s="24" t="b">
        <x:v>1</x:v>
      </x:c>
      <x:c r="M3605" s="23" t="n">
        <x:v>1</x:v>
      </x:c>
      <x:c r="N3605" s="28" t="n">
        <x:v>46203.92191240741</x:v>
      </x:c>
      <x:c r="O3605" s="28" t="n">
        <x:v>46203.92191240741</x:v>
      </x:c>
      <x:c r="P3605" s="23" t="str"/>
      <x:c r="Q3605" s="30" t="str"/>
      <x:c r="R3605" s="22" t="str"/>
      <x:c r="S3605" s="23" t="str"/>
      <x:c r="T3605" s="22" t="str"/>
      <x:c r="U3605" s="23" t="str">
        <x:v>TIAGO MARQUES PIRES</x:v>
      </x:c>
      <x:c r="V3605" s="22" t="str">
        <x:f>"73388025134"</x:f>
        <x:v>73388025134</x:v>
      </x:c>
      <x:c r="W3605" s="22" t="str">
        <x:f>"73388025134"</x:f>
        <x:v>73388025134</x:v>
      </x:c>
      <x:c r="X3605" s="23" t="str">
        <x:v>presencabebidasrv@gmail.com</x:v>
      </x:c>
      <x:c r="Y3605" s="22" t="str">
        <x:f>"64 9331-2020"</x:f>
        <x:v>64 9331-2020</x:v>
      </x:c>
      <x:c r="Z3605" s="30" t="str"/>
    </x:row>
    <x:row r="3606" ht="18" customHeight="1">
      <x:c r="A3606" s="22" t="str">
        <x:f>"d53d5705-9c0a-4443-87f6-2acc0ea89987"</x:f>
        <x:v>d53d5705-9c0a-4443-87f6-2acc0ea89987</x:v>
      </x:c>
      <x:c r="B3606" s="23" t="str">
        <x:v>TIAGO MENDES LINHARES</x:v>
      </x:c>
      <x:c r="C3606" s="23" t="str">
        <x:v>tiago mendes linhares</x:v>
      </x:c>
      <x:c r="D3606" s="22" t="str">
        <x:f>"60.393.908/0001-34"</x:f>
        <x:v>60.393.908/0001-34</x:v>
      </x:c>
      <x:c r="E3606" s="22" t="str">
        <x:f>"60393908000134"</x:f>
        <x:v>60393908000134</x:v>
      </x:c>
      <x:c r="F3606" s="22" t="str">
        <x:f>"091.432.696-13"</x:f>
        <x:v>091.432.696-13</x:v>
      </x:c>
      <x:c r="G3606" s="22" t="str">
        <x:f>"09143269613"</x:f>
        <x:v>09143269613</x:v>
      </x:c>
      <x:c r="H3606" s="23" t="str">
        <x:v>tmendeslinhares@gmail.com</x:v>
      </x:c>
      <x:c r="I3606" s="22" t="str">
        <x:f>"33 8739-2333"</x:f>
        <x:v>33 8739-2333</x:v>
      </x:c>
      <x:c r="J3606" s="23" t="str">
        <x:v>SPOT</x:v>
      </x:c>
      <x:c r="K3606" s="23" t="str">
        <x:v>favored_only</x:v>
      </x:c>
      <x:c r="L3606" s="24" t="b">
        <x:v>1</x:v>
      </x:c>
      <x:c r="M3606" s="23" t="n">
        <x:v>1</x:v>
      </x:c>
      <x:c r="N3606" s="28" t="n">
        <x:v>46219.812988715275</x:v>
      </x:c>
      <x:c r="O3606" s="28" t="n">
        <x:v>46219.812988715275</x:v>
      </x:c>
      <x:c r="P3606" s="23" t="str">
        <x:v>GUANHAES</x:v>
      </x:c>
      <x:c r="Q3606" s="30" t="n">
        <x:v>33016</x:v>
      </x:c>
      <x:c r="R3606" s="22" t="str">
        <x:f>"16081187"</x:f>
        <x:v>16081187</x:v>
      </x:c>
      <x:c r="S3606" s="23" t="str">
        <x:v>masculino</x:v>
      </x:c>
      <x:c r="T3606" s="22" t="str">
        <x:f>"BEK9C59"</x:f>
        <x:v>BEK9C59</x:v>
      </x:c>
      <x:c r="U3606" s="23" t="str">
        <x:v>DOUGLAS COELHO LINHARES</x:v>
      </x:c>
      <x:c r="V3606" s="22" t="str">
        <x:f>"134.126.116-62"</x:f>
        <x:v>134.126.116-62</x:v>
      </x:c>
      <x:c r="W3606" s="22" t="str">
        <x:f>"13412611662"</x:f>
        <x:v>13412611662</x:v>
      </x:c>
      <x:c r="X3606" s="23" t="str">
        <x:v>douglascoelho742@gmail.com</x:v>
      </x:c>
      <x:c r="Y3606" s="22" t="str">
        <x:f>"33 8714-3513"</x:f>
        <x:v>33 8714-3513</x:v>
      </x:c>
      <x:c r="Z3606" s="30" t="n">
        <x:v>46256</x:v>
      </x:c>
    </x:row>
    <x:row r="3607" ht="18" customHeight="1">
      <x:c r="A3607" s="22" t="str">
        <x:f>"40c699f7-9423-4bec-8491-1198dc543a0a"</x:f>
        <x:v>40c699f7-9423-4bec-8491-1198dc543a0a</x:v>
      </x:c>
      <x:c r="B3607" s="23" t="str">
        <x:v>TIAGO OLIVEIRA RESENDE</x:v>
      </x:c>
      <x:c r="C3607" s="23" t="str">
        <x:v>tiago oliveira resende</x:v>
      </x:c>
      <x:c r="D3607" s="22" t="str">
        <x:f>"55.546.607/0001-63"</x:f>
        <x:v>55.546.607/0001-63</x:v>
      </x:c>
      <x:c r="E3607" s="22" t="str">
        <x:f>"55546607000163"</x:f>
        <x:v>55546607000163</x:v>
      </x:c>
      <x:c r="F3607" s="22" t="str">
        <x:f>"024.148.601-70"</x:f>
        <x:v>024.148.601-70</x:v>
      </x:c>
      <x:c r="G3607" s="22" t="str">
        <x:f>"02414860170"</x:f>
        <x:v>02414860170</x:v>
      </x:c>
      <x:c r="H3607" s="23" t="str">
        <x:v>tiagolourdes.to@gmail.com</x:v>
      </x:c>
      <x:c r="I3607" s="22" t="str">
        <x:f>"64 99265 9980"</x:f>
        <x:v>64 99265 9980</x:v>
      </x:c>
      <x:c r="J3607" s="23" t="str">
        <x:v>RENTAL</x:v>
      </x:c>
      <x:c r="K3607" s="23" t="str">
        <x:v>rental_company</x:v>
      </x:c>
      <x:c r="L3607" s="24" t="b">
        <x:v>1</x:v>
      </x:c>
      <x:c r="M3607" s="23" t="n">
        <x:v>1</x:v>
      </x:c>
      <x:c r="N3607" s="28" t="n">
        <x:v>46219.812988715275</x:v>
      </x:c>
      <x:c r="O3607" s="28" t="n">
        <x:v>46219.812988715275</x:v>
      </x:c>
      <x:c r="P3607" s="23" t="str">
        <x:v>RIO VERDE</x:v>
      </x:c>
      <x:c r="Q3607" s="30" t="n">
        <x:v>32004</x:v>
      </x:c>
      <x:c r="R3607" s="22" t="str">
        <x:f>"5360500"</x:f>
        <x:v>5360500</x:v>
      </x:c>
      <x:c r="S3607" s="23" t="str">
        <x:v>masculino</x:v>
      </x:c>
      <x:c r="T3607" s="22" t="str"/>
      <x:c r="U3607" s="23" t="str">
        <x:v>TIAGO OLIVEIRA RESENDE</x:v>
      </x:c>
      <x:c r="V3607" s="22" t="str">
        <x:f>"024.148.601-70"</x:f>
        <x:v>024.148.601-70</x:v>
      </x:c>
      <x:c r="W3607" s="22" t="str">
        <x:f>"02414860170"</x:f>
        <x:v>02414860170</x:v>
      </x:c>
      <x:c r="X3607" s="23" t="str">
        <x:v>tiagolourdes.to@gmail.com</x:v>
      </x:c>
      <x:c r="Y3607" s="22" t="str">
        <x:f>"64 99265 9980"</x:f>
        <x:v>64 99265 9980</x:v>
      </x:c>
      <x:c r="Z3607" s="30" t="n">
        <x:v>46408</x:v>
      </x:c>
    </x:row>
    <x:row r="3608" ht="18" customHeight="1">
      <x:c r="A3608" s="22" t="str">
        <x:f>"bdacef85-46c0-4e1e-98c4-796239c4e31b"</x:f>
        <x:v>bdacef85-46c0-4e1e-98c4-796239c4e31b</x:v>
      </x:c>
      <x:c r="B3608" s="23" t="str">
        <x:v>TIAGO PEREIRA ILARIO</x:v>
      </x:c>
      <x:c r="C3608" s="23" t="str">
        <x:v>tiago pereira ilario</x:v>
      </x:c>
      <x:c r="D3608" s="22" t="str">
        <x:f>"54.436.970/0001-63"</x:f>
        <x:v>54.436.970/0001-63</x:v>
      </x:c>
      <x:c r="E3608" s="22" t="str">
        <x:f>"54436970000163"</x:f>
        <x:v>54436970000163</x:v>
      </x:c>
      <x:c r="F3608" s="22" t="str">
        <x:f>"003.789.930-13"</x:f>
        <x:v>003.789.930-13</x:v>
      </x:c>
      <x:c r="G3608" s="22" t="str">
        <x:f>"00378993013"</x:f>
        <x:v>00378993013</x:v>
      </x:c>
      <x:c r="H3608" s="23" t="str">
        <x:v>teachertiagoh@hotmail.com</x:v>
      </x:c>
      <x:c r="I3608" s="22" t="str">
        <x:f>"62983209419"</x:f>
        <x:v>62983209419</x:v>
      </x:c>
      <x:c r="J3608" s="23" t="str">
        <x:v>RENTAL</x:v>
      </x:c>
      <x:c r="K3608" s="23" t="str">
        <x:v>rental_company</x:v>
      </x:c>
      <x:c r="L3608" s="24" t="b">
        <x:v>1</x:v>
      </x:c>
      <x:c r="M3608" s="23" t="n">
        <x:v>1</x:v>
      </x:c>
      <x:c r="N3608" s="28" t="n">
        <x:v>46203.92189349537</x:v>
      </x:c>
      <x:c r="O3608" s="28" t="n">
        <x:v>46219.812988715275</x:v>
      </x:c>
      <x:c r="P3608" s="23" t="str">
        <x:v>GOIANIA</x:v>
      </x:c>
      <x:c r="Q3608" s="30" t="n">
        <x:v>34040</x:v>
      </x:c>
      <x:c r="R3608" s="22" t="str">
        <x:f>"5717370"</x:f>
        <x:v>5717370</x:v>
      </x:c>
      <x:c r="S3608" s="23" t="str">
        <x:v>masculino</x:v>
      </x:c>
      <x:c r="T3608" s="22" t="str"/>
      <x:c r="U3608" s="23" t="str">
        <x:v>TIAGO PEREIRA ILARIO</x:v>
      </x:c>
      <x:c r="V3608" s="22" t="str">
        <x:f>"003.789.930-13"</x:f>
        <x:v>003.789.930-13</x:v>
      </x:c>
      <x:c r="W3608" s="22" t="str">
        <x:f>"00378993013"</x:f>
        <x:v>00378993013</x:v>
      </x:c>
      <x:c r="X3608" s="23" t="str">
        <x:v>teachertiagoh@hotmail.com</x:v>
      </x:c>
      <x:c r="Y3608" s="22" t="str">
        <x:f>"62983209419"</x:f>
        <x:v>62983209419</x:v>
      </x:c>
      <x:c r="Z3608" s="30" t="n">
        <x:v>46338</x:v>
      </x:c>
    </x:row>
    <x:row r="3609" ht="18" customHeight="1">
      <x:c r="A3609" s="22" t="str">
        <x:f>"718baf30-b7d9-4ac9-9cbf-c87f83176a1c"</x:f>
        <x:v>718baf30-b7d9-4ac9-9cbf-c87f83176a1c</x:v>
      </x:c>
      <x:c r="B3609" s="23" t="str">
        <x:v>TIAGO RIBEIRO DOS SANTOS</x:v>
      </x:c>
      <x:c r="C3609" s="23" t="str">
        <x:v>tiago ribeiro dos santos</x:v>
      </x:c>
      <x:c r="D3609" s="22" t="str">
        <x:f>"55.155.112/0001-03"</x:f>
        <x:v>55.155.112/0001-03</x:v>
      </x:c>
      <x:c r="E3609" s="22" t="str">
        <x:f>"55155112000103"</x:f>
        <x:v>55155112000103</x:v>
      </x:c>
      <x:c r="F3609" s="22" t="str">
        <x:f>"361.234.458-71"</x:f>
        <x:v>361.234.458-71</x:v>
      </x:c>
      <x:c r="G3609" s="22" t="str">
        <x:f>"36123445871"</x:f>
        <x:v>36123445871</x:v>
      </x:c>
      <x:c r="H3609" s="23" t="str">
        <x:v>tiagoribeiro53santos@gmail.com</x:v>
      </x:c>
      <x:c r="I3609" s="22" t="str">
        <x:f>"18997910253"</x:f>
        <x:v>18997910253</x:v>
      </x:c>
      <x:c r="J3609" s="23" t="str">
        <x:v>RENTAL</x:v>
      </x:c>
      <x:c r="K3609" s="23" t="str">
        <x:v>rental_company</x:v>
      </x:c>
      <x:c r="L3609" s="24" t="b">
        <x:v>1</x:v>
      </x:c>
      <x:c r="M3609" s="23" t="n">
        <x:v>1</x:v>
      </x:c>
      <x:c r="N3609" s="28" t="n">
        <x:v>46219.812988715275</x:v>
      </x:c>
      <x:c r="O3609" s="28" t="n">
        <x:v>46219.812988715275</x:v>
      </x:c>
      <x:c r="P3609" s="23" t="str">
        <x:v>PRESIDENTE PRUDENTE</x:v>
      </x:c>
      <x:c r="Q3609" s="30" t="n">
        <x:v>31499</x:v>
      </x:c>
      <x:c r="R3609" s="22" t="str">
        <x:f>"43133034"</x:f>
        <x:v>43133034</x:v>
      </x:c>
      <x:c r="S3609" s="23" t="str">
        <x:v>masculino</x:v>
      </x:c>
      <x:c r="T3609" s="22" t="str"/>
      <x:c r="U3609" s="23" t="str">
        <x:v>TIAGO RIBEIRO DOS SANTOS</x:v>
      </x:c>
      <x:c r="V3609" s="22" t="str">
        <x:f>"361.234.458-71"</x:f>
        <x:v>361.234.458-71</x:v>
      </x:c>
      <x:c r="W3609" s="22" t="str">
        <x:f>"36123445871"</x:f>
        <x:v>36123445871</x:v>
      </x:c>
      <x:c r="X3609" s="23" t="str">
        <x:v>tiagoribeiro53santos@gmail.com</x:v>
      </x:c>
      <x:c r="Y3609" s="22" t="str">
        <x:f>"18997910253"</x:f>
        <x:v>18997910253</x:v>
      </x:c>
      <x:c r="Z3609" s="30" t="n">
        <x:v>46476</x:v>
      </x:c>
    </x:row>
    <x:row r="3610" ht="18" customHeight="1">
      <x:c r="A3610" s="22" t="str">
        <x:f>"eab23882-1981-44ad-9c00-d347e19870a9"</x:f>
        <x:v>eab23882-1981-44ad-9c00-d347e19870a9</x:v>
      </x:c>
      <x:c r="B3610" s="23" t="str">
        <x:v>TIAGO RIBEIRO SANTOS ALMEIDA</x:v>
      </x:c>
      <x:c r="C3610" s="23" t="str">
        <x:v>tiago ribeiro santos almeida</x:v>
      </x:c>
      <x:c r="D3610" s="22" t="str">
        <x:f>"65.495.408/0001-27"</x:f>
        <x:v>65.495.408/0001-27</x:v>
      </x:c>
      <x:c r="E3610" s="22" t="str">
        <x:f>"65495408000127"</x:f>
        <x:v>65495408000127</x:v>
      </x:c>
      <x:c r="F3610" s="22" t="str">
        <x:f>"020.598.495-94"</x:f>
        <x:v>020.598.495-94</x:v>
      </x:c>
      <x:c r="G3610" s="22" t="str">
        <x:f>"02059849594"</x:f>
        <x:v>02059849594</x:v>
      </x:c>
      <x:c r="H3610" s="23" t="str">
        <x:v>Tiagoribeirosantosalmeida@gmail.com</x:v>
      </x:c>
      <x:c r="I3610" s="22" t="str">
        <x:f>"31 97304-5655"</x:f>
        <x:v>31 97304-5655</x:v>
      </x:c>
      <x:c r="J3610" s="23" t="str">
        <x:v>RENTAL</x:v>
      </x:c>
      <x:c r="K3610" s="23" t="str">
        <x:v>rental_company</x:v>
      </x:c>
      <x:c r="L3610" s="24" t="b">
        <x:v>1</x:v>
      </x:c>
      <x:c r="M3610" s="23" t="n">
        <x:v>1</x:v>
      </x:c>
      <x:c r="N3610" s="28" t="n">
        <x:v>46219.812988715275</x:v>
      </x:c>
      <x:c r="O3610" s="28" t="n">
        <x:v>46219.812988715275</x:v>
      </x:c>
      <x:c r="P3610" s="23" t="str">
        <x:v>GUANHAES</x:v>
      </x:c>
      <x:c r="Q3610" s="30" t="n">
        <x:v>31108</x:v>
      </x:c>
      <x:c r="R3610" s="22" t="str">
        <x:f>"832922684"</x:f>
        <x:v>832922684</x:v>
      </x:c>
      <x:c r="S3610" s="23" t="str">
        <x:v>masculino</x:v>
      </x:c>
      <x:c r="T3610" s="22" t="str"/>
      <x:c r="U3610" s="23" t="str">
        <x:v>TIAGO RIBEIRO SANTOS ALMEIDA</x:v>
      </x:c>
      <x:c r="V3610" s="22" t="str">
        <x:f>"020.598.495-94"</x:f>
        <x:v>020.598.495-94</x:v>
      </x:c>
      <x:c r="W3610" s="22" t="str">
        <x:f>"02059849594"</x:f>
        <x:v>02059849594</x:v>
      </x:c>
      <x:c r="X3610" s="23" t="str">
        <x:v>Tiagoribeirosantosalmeida@gmail.com</x:v>
      </x:c>
      <x:c r="Y3610" s="22" t="str">
        <x:f>"31 97304-5655"</x:f>
        <x:v>31 97304-5655</x:v>
      </x:c>
      <x:c r="Z3610" s="30" t="n">
        <x:v>46456</x:v>
      </x:c>
    </x:row>
    <x:row r="3611" ht="18" customHeight="1">
      <x:c r="A3611" s="22" t="str">
        <x:f>"52c3f5ad-f047-4712-8b41-f083b0c4c423"</x:f>
        <x:v>52c3f5ad-f047-4712-8b41-f083b0c4c423</x:v>
      </x:c>
      <x:c r="B3611" s="23" t="str">
        <x:v>TIAGO RODRIGUES DE SOUZA</x:v>
      </x:c>
      <x:c r="C3611" s="23" t="str">
        <x:v>tiago rodrigues de souza</x:v>
      </x:c>
      <x:c r="D3611" s="22" t="str">
        <x:f>"33.114.552/0001-80"</x:f>
        <x:v>33.114.552/0001-80</x:v>
      </x:c>
      <x:c r="E3611" s="22" t="str">
        <x:f>"33114552000180"</x:f>
        <x:v>33114552000180</x:v>
      </x:c>
      <x:c r="F3611" s="22" t="str">
        <x:f>"484.279.468-21"</x:f>
        <x:v>484.279.468-21</x:v>
      </x:c>
      <x:c r="G3611" s="22" t="str">
        <x:f>"48427946821"</x:f>
        <x:v>48427946821</x:v>
      </x:c>
      <x:c r="H3611" s="23" t="str">
        <x:v>tiagorodri1201@gmail.com</x:v>
      </x:c>
      <x:c r="I3611" s="22" t="str">
        <x:f>"11951229044"</x:f>
        <x:v>11951229044</x:v>
      </x:c>
      <x:c r="J3611" s="23" t="str">
        <x:v>RENTAL</x:v>
      </x:c>
      <x:c r="K3611" s="23" t="str">
        <x:v>rental_company</x:v>
      </x:c>
      <x:c r="L3611" s="24" t="b">
        <x:v>1</x:v>
      </x:c>
      <x:c r="M3611" s="23" t="n">
        <x:v>1</x:v>
      </x:c>
      <x:c r="N3611" s="28" t="n">
        <x:v>46219.812988715275</x:v>
      </x:c>
      <x:c r="O3611" s="28" t="n">
        <x:v>46219.812988715275</x:v>
      </x:c>
      <x:c r="P3611" s="23" t="str">
        <x:v>BARUERI</x:v>
      </x:c>
      <x:c r="Q3611" s="30" t="n">
        <x:v>36173</x:v>
      </x:c>
      <x:c r="R3611" s="22" t="str">
        <x:f>"53519102"</x:f>
        <x:v>53519102</x:v>
      </x:c>
      <x:c r="S3611" s="23" t="str">
        <x:v>masculino</x:v>
      </x:c>
      <x:c r="T3611" s="22" t="str"/>
      <x:c r="U3611" s="23" t="str">
        <x:v>TIAGO RODRIGUES DE SOUZA</x:v>
      </x:c>
      <x:c r="V3611" s="22" t="str">
        <x:f>"484.279.468-21"</x:f>
        <x:v>484.279.468-21</x:v>
      </x:c>
      <x:c r="W3611" s="22" t="str">
        <x:f>"48427946821"</x:f>
        <x:v>48427946821</x:v>
      </x:c>
      <x:c r="X3611" s="23" t="str">
        <x:v>tiagorodri1201@gmail.com</x:v>
      </x:c>
      <x:c r="Y3611" s="22" t="str">
        <x:f>"11951229044"</x:f>
        <x:v>11951229044</x:v>
      </x:c>
      <x:c r="Z3611" s="30" t="n">
        <x:v>46522</x:v>
      </x:c>
    </x:row>
    <x:row r="3612" ht="18" customHeight="1">
      <x:c r="A3612" s="22" t="str">
        <x:f>"9d46c126-cac7-4b04-8190-e4584437b2c3"</x:f>
        <x:v>9d46c126-cac7-4b04-8190-e4584437b2c3</x:v>
      </x:c>
      <x:c r="B3612" s="23" t="str">
        <x:v>TIAGO SAAR DE SOUZA</x:v>
      </x:c>
      <x:c r="C3612" s="23" t="str">
        <x:v>tiago saar de souza</x:v>
      </x:c>
      <x:c r="D3612" s="22" t="str">
        <x:f>"64.058.719/0001-66"</x:f>
        <x:v>64.058.719/0001-66</x:v>
      </x:c>
      <x:c r="E3612" s="22" t="str">
        <x:f>"64058719000166"</x:f>
        <x:v>64058719000166</x:v>
      </x:c>
      <x:c r="F3612" s="22" t="str">
        <x:f>"141.072.467-01"</x:f>
        <x:v>141.072.467-01</x:v>
      </x:c>
      <x:c r="G3612" s="22" t="str">
        <x:f>"14107246701"</x:f>
        <x:v>14107246701</x:v>
      </x:c>
      <x:c r="H3612" s="23" t="str">
        <x:v>tiagosaaar@gmail.com</x:v>
      </x:c>
      <x:c r="I3612" s="22" t="str">
        <x:f>"21973251133"</x:f>
        <x:v>21973251133</x:v>
      </x:c>
      <x:c r="J3612" s="23" t="str">
        <x:v>SPOT</x:v>
      </x:c>
      <x:c r="K3612" s="23" t="str">
        <x:v>favored_only</x:v>
      </x:c>
      <x:c r="L3612" s="24" t="b">
        <x:v>1</x:v>
      </x:c>
      <x:c r="M3612" s="23" t="n">
        <x:v>1</x:v>
      </x:c>
      <x:c r="N3612" s="28" t="n">
        <x:v>46203.9219084375</x:v>
      </x:c>
      <x:c r="O3612" s="28" t="n">
        <x:v>46219.812988715275</x:v>
      </x:c>
      <x:c r="P3612" s="23" t="str">
        <x:v>QUEIMADOS</x:v>
      </x:c>
      <x:c r="Q3612" s="30" t="n">
        <x:v>32740</x:v>
      </x:c>
      <x:c r="R3612" s="22" t="str">
        <x:f>"257189001"</x:f>
        <x:v>257189001</x:v>
      </x:c>
      <x:c r="S3612" s="23" t="str">
        <x:v>masculino</x:v>
      </x:c>
      <x:c r="T3612" s="22" t="str">
        <x:f>"HLP1285"</x:f>
        <x:v>HLP1285</x:v>
      </x:c>
      <x:c r="U3612" s="23" t="str">
        <x:v>TIAGO SAAR DE SOUZA</x:v>
      </x:c>
      <x:c r="V3612" s="22" t="str">
        <x:f>"141.072.467-01"</x:f>
        <x:v>141.072.467-01</x:v>
      </x:c>
      <x:c r="W3612" s="22" t="str">
        <x:f>"14107246701"</x:f>
        <x:v>14107246701</x:v>
      </x:c>
      <x:c r="X3612" s="23" t="str">
        <x:v>tiagosaaar@gmail.com</x:v>
      </x:c>
      <x:c r="Y3612" s="22" t="str">
        <x:f>"21973251133"</x:f>
        <x:v>21973251133</x:v>
      </x:c>
      <x:c r="Z3612" s="30" t="n">
        <x:v>46382</x:v>
      </x:c>
    </x:row>
    <x:row r="3613" ht="18" customHeight="1">
      <x:c r="A3613" s="22" t="str">
        <x:f>"0bff0c66-c2e3-4b2c-a906-fdf7bf2f194f"</x:f>
        <x:v>0bff0c66-c2e3-4b2c-a906-fdf7bf2f194f</x:v>
      </x:c>
      <x:c r="B3613" s="23" t="str">
        <x:v>TIAGO SANCAO RIBEIRO DOS SANTOS</x:v>
      </x:c>
      <x:c r="C3613" s="23" t="str">
        <x:v>tiago sancao ribeiro dos santos</x:v>
      </x:c>
      <x:c r="D3613" s="22" t="str">
        <x:f>"63.047.094/0001-74"</x:f>
        <x:v>63.047.094/0001-74</x:v>
      </x:c>
      <x:c r="E3613" s="22" t="str">
        <x:f>"63047094000174"</x:f>
        <x:v>63047094000174</x:v>
      </x:c>
      <x:c r="F3613" s="22" t="str">
        <x:f>"507.006.048-12"</x:f>
        <x:v>507.006.048-12</x:v>
      </x:c>
      <x:c r="G3613" s="22" t="str">
        <x:f>"50700604812"</x:f>
        <x:v>50700604812</x:v>
      </x:c>
      <x:c r="H3613" s="23" t="str">
        <x:v>tiagoestudante16@gmail.com</x:v>
      </x:c>
      <x:c r="I3613" s="22" t="str">
        <x:f>"11917457186"</x:f>
        <x:v>11917457186</x:v>
      </x:c>
      <x:c r="J3613" s="23" t="str">
        <x:v>RENTAL</x:v>
      </x:c>
      <x:c r="K3613" s="23" t="str">
        <x:v>rental_company</x:v>
      </x:c>
      <x:c r="L3613" s="24" t="b">
        <x:v>1</x:v>
      </x:c>
      <x:c r="M3613" s="23" t="n">
        <x:v>1</x:v>
      </x:c>
      <x:c r="N3613" s="28" t="n">
        <x:v>46203.921887453704</x:v>
      </x:c>
      <x:c r="O3613" s="28" t="n">
        <x:v>46219.812988715275</x:v>
      </x:c>
      <x:c r="P3613" s="23" t="str">
        <x:v>MADEIRA MADEIRA</x:v>
      </x:c>
      <x:c r="Q3613" s="30" t="n">
        <x:v>37433</x:v>
      </x:c>
      <x:c r="R3613" s="22" t="str">
        <x:f>"593805914"</x:f>
        <x:v>593805914</x:v>
      </x:c>
      <x:c r="S3613" s="23" t="str">
        <x:v>masculino</x:v>
      </x:c>
      <x:c r="T3613" s="22" t="str"/>
      <x:c r="U3613" s="23" t="str">
        <x:v>TIAGO SANCAO RIBEIRO DOS SANTOS</x:v>
      </x:c>
      <x:c r="V3613" s="22" t="str">
        <x:f>"507.006.048-12"</x:f>
        <x:v>507.006.048-12</x:v>
      </x:c>
      <x:c r="W3613" s="22" t="str">
        <x:f>"50700604812"</x:f>
        <x:v>50700604812</x:v>
      </x:c>
      <x:c r="X3613" s="23" t="str">
        <x:v>tiagoestudante16@gmail.com</x:v>
      </x:c>
      <x:c r="Y3613" s="22" t="str">
        <x:f>"11917457186"</x:f>
        <x:v>11917457186</x:v>
      </x:c>
      <x:c r="Z3613" s="30" t="n">
        <x:v>46325</x:v>
      </x:c>
    </x:row>
    <x:row r="3614" ht="18" customHeight="1">
      <x:c r="A3614" s="22" t="str">
        <x:f>"d018936b-e3b1-419d-923e-4e2cdc2fd769"</x:f>
        <x:v>d018936b-e3b1-419d-923e-4e2cdc2fd769</x:v>
      </x:c>
      <x:c r="B3614" s="23" t="str">
        <x:v>TIAGO SANTANA PIVETA</x:v>
      </x:c>
      <x:c r="C3614" s="23" t="str">
        <x:v>tiago santana piveta</x:v>
      </x:c>
      <x:c r="D3614" s="22" t="str">
        <x:f>"56.152.497/0001-18"</x:f>
        <x:v>56.152.497/0001-18</x:v>
      </x:c>
      <x:c r="E3614" s="22" t="str">
        <x:f>"56152497000118"</x:f>
        <x:v>56152497000118</x:v>
      </x:c>
      <x:c r="F3614" s="22" t="str">
        <x:f>"038.760.931-80"</x:f>
        <x:v>038.760.931-80</x:v>
      </x:c>
      <x:c r="G3614" s="22" t="str">
        <x:f>"03876093180"</x:f>
        <x:v>03876093180</x:v>
      </x:c>
      <x:c r="H3614" s="23" t="str">
        <x:v>pivetatiago@gmail.com</x:v>
      </x:c>
      <x:c r="I3614" s="22" t="str">
        <x:f>"62981176569"</x:f>
        <x:v>62981176569</x:v>
      </x:c>
      <x:c r="J3614" s="23" t="str">
        <x:v>RENTAL</x:v>
      </x:c>
      <x:c r="K3614" s="23" t="str">
        <x:v>rental_company</x:v>
      </x:c>
      <x:c r="L3614" s="24" t="b">
        <x:v>1</x:v>
      </x:c>
      <x:c r="M3614" s="23" t="n">
        <x:v>1</x:v>
      </x:c>
      <x:c r="N3614" s="28" t="n">
        <x:v>46203.9219084375</x:v>
      </x:c>
      <x:c r="O3614" s="28" t="n">
        <x:v>46219.812988715275</x:v>
      </x:c>
      <x:c r="P3614" s="23" t="str">
        <x:v>GOIANIA</x:v>
      </x:c>
      <x:c r="Q3614" s="30" t="n">
        <x:v>33823</x:v>
      </x:c>
      <x:c r="R3614" s="22" t="str">
        <x:f>"5548602"</x:f>
        <x:v>5548602</x:v>
      </x:c>
      <x:c r="S3614" s="23" t="str">
        <x:v>masculino</x:v>
      </x:c>
      <x:c r="T3614" s="22" t="str"/>
      <x:c r="U3614" s="23" t="str">
        <x:v>TIAGO SANTANA PIVETA</x:v>
      </x:c>
      <x:c r="V3614" s="22" t="str">
        <x:f>"038.760.931-80"</x:f>
        <x:v>038.760.931-80</x:v>
      </x:c>
      <x:c r="W3614" s="22" t="str">
        <x:f>"03876093180"</x:f>
        <x:v>03876093180</x:v>
      </x:c>
      <x:c r="X3614" s="23" t="str">
        <x:v>pivetatiago@gmail.com</x:v>
      </x:c>
      <x:c r="Y3614" s="22" t="str">
        <x:f>"62981176569"</x:f>
        <x:v>62981176569</x:v>
      </x:c>
      <x:c r="Z3614" s="30" t="n">
        <x:v>46400</x:v>
      </x:c>
    </x:row>
    <x:row r="3615" ht="18" customHeight="1">
      <x:c r="A3615" s="22" t="str">
        <x:f>"7bd75a37-f8bf-47d1-a883-3325498902b8"</x:f>
        <x:v>7bd75a37-f8bf-47d1-a883-3325498902b8</x:v>
      </x:c>
      <x:c r="B3615" s="23" t="str">
        <x:v>TIAGO WESLEN MODESTO DE ASSIS</x:v>
      </x:c>
      <x:c r="C3615" s="23" t="str">
        <x:v>tiago weslen modesto de assis</x:v>
      </x:c>
      <x:c r="D3615" s="22" t="str">
        <x:f>"59.175.178/0001-16"</x:f>
        <x:v>59.175.178/0001-16</x:v>
      </x:c>
      <x:c r="E3615" s="22" t="str">
        <x:f>"59175178000116"</x:f>
        <x:v>59175178000116</x:v>
      </x:c>
      <x:c r="F3615" s="22" t="str">
        <x:f>"700.159.466-06"</x:f>
        <x:v>700.159.466-06</x:v>
      </x:c>
      <x:c r="G3615" s="22" t="str">
        <x:f>"70015946606"</x:f>
        <x:v>70015946606</x:v>
      </x:c>
      <x:c r="H3615" s="23" t="str">
        <x:v>tiagoweslen282@gmail.com</x:v>
      </x:c>
      <x:c r="I3615" s="22" t="str">
        <x:f>"32998098552"</x:f>
        <x:v>32998098552</x:v>
      </x:c>
      <x:c r="J3615" s="23" t="str">
        <x:v>SPOT</x:v>
      </x:c>
      <x:c r="K3615" s="23" t="str">
        <x:v>favored_only</x:v>
      </x:c>
      <x:c r="L3615" s="24" t="b">
        <x:v>1</x:v>
      </x:c>
      <x:c r="M3615" s="23" t="n">
        <x:v>1</x:v>
      </x:c>
      <x:c r="N3615" s="28" t="n">
        <x:v>46203.921824756944</x:v>
      </x:c>
      <x:c r="O3615" s="28" t="n">
        <x:v>46219.812988715275</x:v>
      </x:c>
      <x:c r="P3615" s="23" t="str">
        <x:v>CONCEIÇÃO DO MATO DENTRO</x:v>
      </x:c>
      <x:c r="Q3615" s="30" t="n">
        <x:v>35517</x:v>
      </x:c>
      <x:c r="R3615" s="22" t="str">
        <x:f>"19016868"</x:f>
        <x:v>19016868</x:v>
      </x:c>
      <x:c r="S3615" s="23" t="str">
        <x:v>masculino</x:v>
      </x:c>
      <x:c r="T3615" s="22" t="str">
        <x:f>"HLY3960"</x:f>
        <x:v>HLY3960</x:v>
      </x:c>
      <x:c r="U3615" s="23" t="str">
        <x:v>TIAGO WESLEN MODESTO DE ASSIS</x:v>
      </x:c>
      <x:c r="V3615" s="22" t="str">
        <x:f>"700.159.466-06"</x:f>
        <x:v>700.159.466-06</x:v>
      </x:c>
      <x:c r="W3615" s="22" t="str">
        <x:f>"70015946606"</x:f>
        <x:v>70015946606</x:v>
      </x:c>
      <x:c r="X3615" s="23" t="str">
        <x:v>tiagoweslen282@gmail.com</x:v>
      </x:c>
      <x:c r="Y3615" s="22" t="str">
        <x:f>"32998098552"</x:f>
        <x:v>32998098552</x:v>
      </x:c>
      <x:c r="Z3615" s="30" t="n">
        <x:v>46464</x:v>
      </x:c>
    </x:row>
    <x:row r="3616" ht="18" customHeight="1">
      <x:c r="A3616" s="22" t="str">
        <x:f>"13ade4df-a6d9-444e-85b3-89afaf02792e"</x:f>
        <x:v>13ade4df-a6d9-444e-85b3-89afaf02792e</x:v>
      </x:c>
      <x:c r="B3616" s="23" t="str">
        <x:v>TUANE CRISTINA OLIVEIRA DA SILVA</x:v>
      </x:c>
      <x:c r="C3616" s="23" t="str">
        <x:v>tuane cristina oliveira da silva</x:v>
      </x:c>
      <x:c r="D3616" s="22" t="str">
        <x:f>"49.017.256/0001-09"</x:f>
        <x:v>49.017.256/0001-09</x:v>
      </x:c>
      <x:c r="E3616" s="22" t="str">
        <x:f>"49017256000109"</x:f>
        <x:v>49017256000109</x:v>
      </x:c>
      <x:c r="F3616" s="22" t="str">
        <x:f>"017.914.051-50"</x:f>
        <x:v>017.914.051-50</x:v>
      </x:c>
      <x:c r="G3616" s="22" t="str">
        <x:f>"01791405150"</x:f>
        <x:v>01791405150</x:v>
      </x:c>
      <x:c r="H3616" s="23" t="str">
        <x:v>tuane.karate@gmail.com</x:v>
      </x:c>
      <x:c r="I3616" s="22" t="str">
        <x:f>"6299269-6004"</x:f>
        <x:v>6299269-6004</x:v>
      </x:c>
      <x:c r="J3616" s="23" t="str">
        <x:v>SPOT</x:v>
      </x:c>
      <x:c r="K3616" s="23" t="str">
        <x:v>favored_only</x:v>
      </x:c>
      <x:c r="L3616" s="24" t="b">
        <x:v>1</x:v>
      </x:c>
      <x:c r="M3616" s="23" t="n">
        <x:v>1</x:v>
      </x:c>
      <x:c r="N3616" s="28" t="n">
        <x:v>46203.9218771875</x:v>
      </x:c>
      <x:c r="O3616" s="28" t="n">
        <x:v>46219.812988715275</x:v>
      </x:c>
      <x:c r="P3616" s="23" t="str">
        <x:v>GOIANIA</x:v>
      </x:c>
      <x:c r="Q3616" s="30" t="n">
        <x:v>32550</x:v>
      </x:c>
      <x:c r="R3616" s="22" t="str">
        <x:f>"5034035"</x:f>
        <x:v>5034035</x:v>
      </x:c>
      <x:c r="S3616" s="23" t="str">
        <x:v>feminino</x:v>
      </x:c>
      <x:c r="T3616" s="22" t="str">
        <x:f>"HMF6C98"</x:f>
        <x:v>HMF6C98</x:v>
      </x:c>
      <x:c r="U3616" s="23" t="str">
        <x:v>TUANE CRISTINA OLIVEIRA DA SILVA</x:v>
      </x:c>
      <x:c r="V3616" s="22" t="str">
        <x:f>"017.914.051-50"</x:f>
        <x:v>017.914.051-50</x:v>
      </x:c>
      <x:c r="W3616" s="22" t="str">
        <x:f>"01791405150"</x:f>
        <x:v>01791405150</x:v>
      </x:c>
      <x:c r="X3616" s="23" t="str">
        <x:v>tuane.karate@gmail.com</x:v>
      </x:c>
      <x:c r="Y3616" s="22" t="str">
        <x:f>"6299269-6004"</x:f>
        <x:v>6299269-6004</x:v>
      </x:c>
      <x:c r="Z3616" s="30" t="n">
        <x:v>46313</x:v>
      </x:c>
    </x:row>
    <x:row r="3617" ht="18" customHeight="1">
      <x:c r="A3617" s="22" t="str">
        <x:f>"5da9d507-b1aa-4fdb-b4ce-f8ee2f8d0ce1"</x:f>
        <x:v>5da9d507-b1aa-4fdb-b4ce-f8ee2f8d0ce1</x:v>
      </x:c>
      <x:c r="B3617" s="23" t="str">
        <x:v>TULIO PHELLIPE PADILHA PIRES</x:v>
      </x:c>
      <x:c r="C3617" s="23" t="str">
        <x:v>tulio phellipe padilha pires</x:v>
      </x:c>
      <x:c r="D3617" s="22" t="str">
        <x:f>"42.908.816/0001-68"</x:f>
        <x:v>42.908.816/0001-68</x:v>
      </x:c>
      <x:c r="E3617" s="22" t="str">
        <x:f>"42908816000168"</x:f>
        <x:v>42908816000168</x:v>
      </x:c>
      <x:c r="F3617" s="22" t="str">
        <x:f>"161.620.267-01"</x:f>
        <x:v>161.620.267-01</x:v>
      </x:c>
      <x:c r="G3617" s="22" t="str">
        <x:f>"16162026701"</x:f>
        <x:v>16162026701</x:v>
      </x:c>
      <x:c r="H3617" s="23" t="str">
        <x:v>tulio.padilha96@gmail.com</x:v>
      </x:c>
      <x:c r="I3617" s="22" t="str">
        <x:f>"21991396265"</x:f>
        <x:v>21991396265</x:v>
      </x:c>
      <x:c r="J3617" s="23" t="str">
        <x:v>SPOT</x:v>
      </x:c>
      <x:c r="K3617" s="23" t="str">
        <x:v>favored_only</x:v>
      </x:c>
      <x:c r="L3617" s="24" t="b">
        <x:v>1</x:v>
      </x:c>
      <x:c r="M3617" s="23" t="n">
        <x:v>1</x:v>
      </x:c>
      <x:c r="N3617" s="28" t="n">
        <x:v>46219.812988715275</x:v>
      </x:c>
      <x:c r="O3617" s="28" t="n">
        <x:v>46219.812988715275</x:v>
      </x:c>
      <x:c r="P3617" s="23" t="str">
        <x:v>CORDOVIL</x:v>
      </x:c>
      <x:c r="Q3617" s="30" t="n">
        <x:v>35186</x:v>
      </x:c>
      <x:c r="R3617" s="22" t="str">
        <x:f>"302827118"</x:f>
        <x:v>302827118</x:v>
      </x:c>
      <x:c r="S3617" s="23" t="str">
        <x:v>masculino</x:v>
      </x:c>
      <x:c r="T3617" s="22" t="str">
        <x:f>"PUP2165"</x:f>
        <x:v>PUP2165</x:v>
      </x:c>
      <x:c r="U3617" s="23" t="str">
        <x:v>DEBORAH MONNERAT GREMIAO DE MELLO</x:v>
      </x:c>
      <x:c r="V3617" s="22" t="str">
        <x:f>"142.924.017-21"</x:f>
        <x:v>142.924.017-21</x:v>
      </x:c>
      <x:c r="W3617" s="22" t="str">
        <x:f>"14292401721"</x:f>
        <x:v>14292401721</x:v>
      </x:c>
      <x:c r="X3617" s="23" t="str">
        <x:v>monnerat.ontime@gmail.com</x:v>
      </x:c>
      <x:c r="Y3617" s="22" t="str">
        <x:f>"21991396265"</x:f>
        <x:v>21991396265</x:v>
      </x:c>
      <x:c r="Z3617" s="30" t="n">
        <x:v>46445</x:v>
      </x:c>
    </x:row>
    <x:row r="3618" ht="18" customHeight="1">
      <x:c r="A3618" s="22" t="str">
        <x:f>"b47da580-276c-4e49-8448-5fb1f20a8056"</x:f>
        <x:v>b47da580-276c-4e49-8448-5fb1f20a8056</x:v>
      </x:c>
      <x:c r="B3618" s="23" t="str">
        <x:v>UALISON DE OLIVEIRA</x:v>
      </x:c>
      <x:c r="C3618" s="23" t="str">
        <x:v>ualison de oliveira</x:v>
      </x:c>
      <x:c r="D3618" s="22" t="str">
        <x:f>"54.447.490/0001-06"</x:f>
        <x:v>54.447.490/0001-06</x:v>
      </x:c>
      <x:c r="E3618" s="22" t="str">
        <x:f>"54447490000106"</x:f>
        <x:v>54447490000106</x:v>
      </x:c>
      <x:c r="F3618" s="22" t="str">
        <x:f>"567.539.498-28"</x:f>
        <x:v>567.539.498-28</x:v>
      </x:c>
      <x:c r="G3618" s="22" t="str">
        <x:f>"56753949828"</x:f>
        <x:v>56753949828</x:v>
      </x:c>
      <x:c r="H3618" s="23" t="str">
        <x:v>ualisonoliveira2001@gmail.com</x:v>
      </x:c>
      <x:c r="I3618" s="22" t="str">
        <x:f>"(16)99962-2712"</x:f>
        <x:v>(16)99962-2712</x:v>
      </x:c>
      <x:c r="J3618" s="23" t="str">
        <x:v>RENTAL</x:v>
      </x:c>
      <x:c r="K3618" s="23" t="str">
        <x:v>rental_company</x:v>
      </x:c>
      <x:c r="L3618" s="24" t="b">
        <x:v>1</x:v>
      </x:c>
      <x:c r="M3618" s="23" t="n">
        <x:v>1</x:v>
      </x:c>
      <x:c r="N3618" s="28" t="n">
        <x:v>46203.92183017361</x:v>
      </x:c>
      <x:c r="O3618" s="28" t="n">
        <x:v>46219.812988715275</x:v>
      </x:c>
      <x:c r="P3618" s="23" t="str">
        <x:v>SÃO CARLOS</x:v>
      </x:c>
      <x:c r="Q3618" s="30" t="n">
        <x:v>36962</x:v>
      </x:c>
      <x:c r="R3618" s="22" t="str">
        <x:f>"572653232"</x:f>
        <x:v>572653232</x:v>
      </x:c>
      <x:c r="S3618" s="23" t="str">
        <x:v>masculino</x:v>
      </x:c>
      <x:c r="T3618" s="22" t="str"/>
      <x:c r="U3618" s="23" t="str">
        <x:v>UALISON DE OLIVEIRA</x:v>
      </x:c>
      <x:c r="V3618" s="22" t="str">
        <x:f>"567.539.498-28"</x:f>
        <x:v>567.539.498-28</x:v>
      </x:c>
      <x:c r="W3618" s="22" t="str">
        <x:f>"56753949828"</x:f>
        <x:v>56753949828</x:v>
      </x:c>
      <x:c r="X3618" s="23" t="str">
        <x:v>ualisonoliveira2001@gmail.com</x:v>
      </x:c>
      <x:c r="Y3618" s="22" t="str">
        <x:f>"(16)99962-2712"</x:f>
        <x:v>(16)99962-2712</x:v>
      </x:c>
      <x:c r="Z3618" s="30" t="n">
        <x:v>46527</x:v>
      </x:c>
    </x:row>
    <x:row r="3619" ht="18" customHeight="1">
      <x:c r="A3619" s="22" t="str">
        <x:f>"27b1beb3-1d70-4106-895e-303be17b68ad"</x:f>
        <x:v>27b1beb3-1d70-4106-895e-303be17b68ad</x:v>
      </x:c>
      <x:c r="B3619" s="23" t="str">
        <x:v>UANDRAS DOS SANTOS BANDEIRA</x:v>
      </x:c>
      <x:c r="C3619" s="23" t="str">
        <x:v>uandras dos santos bandeira</x:v>
      </x:c>
      <x:c r="D3619" s="22" t="str">
        <x:f>"58.561.496/0001-52"</x:f>
        <x:v>58.561.496/0001-52</x:v>
      </x:c>
      <x:c r="E3619" s="22" t="str">
        <x:f>"58561496000152"</x:f>
        <x:v>58561496000152</x:v>
      </x:c>
      <x:c r="F3619" s="22" t="str">
        <x:f>"064.526.821-64"</x:f>
        <x:v>064.526.821-64</x:v>
      </x:c>
      <x:c r="G3619" s="22" t="str">
        <x:f>"06452682164"</x:f>
        <x:v>06452682164</x:v>
      </x:c>
      <x:c r="H3619" s="23" t="str">
        <x:v>uandrasdossantosbandeira@gmail.com</x:v>
      </x:c>
      <x:c r="I3619" s="22" t="str">
        <x:f>"62985468589"</x:f>
        <x:v>62985468589</x:v>
      </x:c>
      <x:c r="J3619" s="23" t="str">
        <x:v>SPOT</x:v>
      </x:c>
      <x:c r="K3619" s="23" t="str">
        <x:v>favored_only</x:v>
      </x:c>
      <x:c r="L3619" s="24" t="b">
        <x:v>1</x:v>
      </x:c>
      <x:c r="M3619" s="23" t="n">
        <x:v>1</x:v>
      </x:c>
      <x:c r="N3619" s="28" t="n">
        <x:v>46205.60183666667</x:v>
      </x:c>
      <x:c r="O3619" s="28" t="n">
        <x:v>46219.812988715275</x:v>
      </x:c>
      <x:c r="P3619" s="23" t="str">
        <x:v>MINAÇU</x:v>
      </x:c>
      <x:c r="Q3619" s="30" t="n">
        <x:v>35749</x:v>
      </x:c>
      <x:c r="R3619" s="22" t="str">
        <x:f>"6370645"</x:f>
        <x:v>6370645</x:v>
      </x:c>
      <x:c r="S3619" s="23" t="str">
        <x:v>masculino</x:v>
      </x:c>
      <x:c r="T3619" s="22" t="str">
        <x:f>"QIB0A35"</x:f>
        <x:v>QIB0A35</x:v>
      </x:c>
      <x:c r="U3619" s="23" t="str">
        <x:v>DIOGO BENTO PEREIRA</x:v>
      </x:c>
      <x:c r="V3619" s="22" t="str">
        <x:f>"715.713.431-48"</x:f>
        <x:v>715.713.431-48</x:v>
      </x:c>
      <x:c r="W3619" s="22" t="str">
        <x:f>"71571343148"</x:f>
        <x:v>71571343148</x:v>
      </x:c>
      <x:c r="X3619" s="23" t="str">
        <x:v>diogobentopereira612@gmail.com</x:v>
      </x:c>
      <x:c r="Y3619" s="22" t="str">
        <x:f>"62981327485"</x:f>
        <x:v>62981327485</x:v>
      </x:c>
      <x:c r="Z3619" s="30" t="n">
        <x:v>46522</x:v>
      </x:c>
    </x:row>
    <x:row r="3620" ht="18" customHeight="1">
      <x:c r="A3620" s="22" t="str">
        <x:f>"fd1e7c64-5f68-4856-a3d3-a8ecddd6c435"</x:f>
        <x:v>fd1e7c64-5f68-4856-a3d3-a8ecddd6c435</x:v>
      </x:c>
      <x:c r="B3620" s="23" t="str">
        <x:v>UESLEI FABIANO DOS SANTOS</x:v>
      </x:c>
      <x:c r="C3620" s="23" t="str">
        <x:v>ueslei fabiano dos santos</x:v>
      </x:c>
      <x:c r="D3620" s="22" t="str">
        <x:f>"61.883.065/0001-17"</x:f>
        <x:v>61.883.065/0001-17</x:v>
      </x:c>
      <x:c r="E3620" s="22" t="str">
        <x:f>"61883065000117"</x:f>
        <x:v>61883065000117</x:v>
      </x:c>
      <x:c r="F3620" s="22" t="str">
        <x:f>"025.856.071-19"</x:f>
        <x:v>025.856.071-19</x:v>
      </x:c>
      <x:c r="G3620" s="22" t="str">
        <x:f>"02585607119"</x:f>
        <x:v>02585607119</x:v>
      </x:c>
      <x:c r="H3620" s="23" t="str">
        <x:v>ueslleifds@gmail.com</x:v>
      </x:c>
      <x:c r="I3620" s="22" t="str">
        <x:f>"65981016060"</x:f>
        <x:v>65981016060</x:v>
      </x:c>
      <x:c r="J3620" s="23" t="str">
        <x:v>RENTAL</x:v>
      </x:c>
      <x:c r="K3620" s="23" t="str">
        <x:v>rental_company</x:v>
      </x:c>
      <x:c r="L3620" s="24" t="b">
        <x:v>1</x:v>
      </x:c>
      <x:c r="M3620" s="23" t="n">
        <x:v>1</x:v>
      </x:c>
      <x:c r="N3620" s="28" t="n">
        <x:v>46203.9218771875</x:v>
      </x:c>
      <x:c r="O3620" s="28" t="n">
        <x:v>46219.812988715275</x:v>
      </x:c>
      <x:c r="P3620" s="23" t="str">
        <x:v>CUIABA</x:v>
      </x:c>
      <x:c r="Q3620" s="30" t="n">
        <x:v>32628</x:v>
      </x:c>
      <x:c r="R3620" s="22" t="str">
        <x:f>"18672639"</x:f>
        <x:v>18672639</x:v>
      </x:c>
      <x:c r="S3620" s="23" t="str">
        <x:v>masculino</x:v>
      </x:c>
      <x:c r="T3620" s="22" t="str"/>
      <x:c r="U3620" s="23" t="str">
        <x:v>UESLEI FABIANO DOS SANTOS</x:v>
      </x:c>
      <x:c r="V3620" s="22" t="str">
        <x:f>"025.856.071-19"</x:f>
        <x:v>025.856.071-19</x:v>
      </x:c>
      <x:c r="W3620" s="22" t="str">
        <x:f>"02585607119"</x:f>
        <x:v>02585607119</x:v>
      </x:c>
      <x:c r="X3620" s="23" t="str">
        <x:v>ueslleifds@gmail.com</x:v>
      </x:c>
      <x:c r="Y3620" s="22" t="str">
        <x:f>"65981016060"</x:f>
        <x:v>65981016060</x:v>
      </x:c>
      <x:c r="Z3620" s="30" t="n">
        <x:v>46313</x:v>
      </x:c>
    </x:row>
    <x:row r="3621" ht="18" customHeight="1">
      <x:c r="A3621" s="22" t="str">
        <x:f>"b31ee1f7-99cd-4594-8e49-e14151bac610"</x:f>
        <x:v>b31ee1f7-99cd-4594-8e49-e14151bac610</x:v>
      </x:c>
      <x:c r="B3621" s="23" t="str">
        <x:v>UESLER CEDRONIAS DA SILVA ALMEIDA</x:v>
      </x:c>
      <x:c r="C3621" s="23" t="str">
        <x:v>uesler cedronias da silva almeida</x:v>
      </x:c>
      <x:c r="D3621" s="22" t="str">
        <x:f>"57.830.211/0001-79"</x:f>
        <x:v>57.830.211/0001-79</x:v>
      </x:c>
      <x:c r="E3621" s="22" t="str">
        <x:f>"57830211000179"</x:f>
        <x:v>57830211000179</x:v>
      </x:c>
      <x:c r="F3621" s="22" t="str">
        <x:f>"037.769.071-69"</x:f>
        <x:v>037.769.071-69</x:v>
      </x:c>
      <x:c r="G3621" s="22" t="str">
        <x:f>"03776907169"</x:f>
        <x:v>03776907169</x:v>
      </x:c>
      <x:c r="H3621" s="23" t="str">
        <x:v>uesleralmeida@outlook.com</x:v>
      </x:c>
      <x:c r="I3621" s="22" t="str">
        <x:f>"65992743699"</x:f>
        <x:v>65992743699</x:v>
      </x:c>
      <x:c r="J3621" s="23" t="str">
        <x:v>DESCONHECIDO</x:v>
      </x:c>
      <x:c r="K3621" s="23" t="str">
        <x:v>favored_only</x:v>
      </x:c>
      <x:c r="L3621" s="24" t="b">
        <x:v>1</x:v>
      </x:c>
      <x:c r="M3621" s="23" t="n">
        <x:v>1</x:v>
      </x:c>
      <x:c r="N3621" s="28" t="n">
        <x:v>46203.921858726855</x:v>
      </x:c>
      <x:c r="O3621" s="28" t="n">
        <x:v>46219.812988715275</x:v>
      </x:c>
      <x:c r="P3621" s="23" t="str">
        <x:v>CUIABA</x:v>
      </x:c>
      <x:c r="Q3621" s="30" t="str"/>
      <x:c r="R3621" s="22" t="str">
        <x:f>"20728336"</x:f>
        <x:v>20728336</x:v>
      </x:c>
      <x:c r="S3621" s="23" t="str">
        <x:v>masculino</x:v>
      </x:c>
      <x:c r="T3621" s="22" t="str">
        <x:f>"QCW0A46"</x:f>
        <x:v>QCW0A46</x:v>
      </x:c>
      <x:c r="U3621" s="23" t="str">
        <x:v>UESLER CEDRONIAS DA SILVA ALMEIDA</x:v>
      </x:c>
      <x:c r="V3621" s="22" t="str">
        <x:f>"037.769.071-69"</x:f>
        <x:v>037.769.071-69</x:v>
      </x:c>
      <x:c r="W3621" s="22" t="str">
        <x:f>"03776907169"</x:f>
        <x:v>03776907169</x:v>
      </x:c>
      <x:c r="X3621" s="23" t="str">
        <x:v>uesleralmeida@outlook.com</x:v>
      </x:c>
      <x:c r="Y3621" s="22" t="str">
        <x:f>"65992743699"</x:f>
        <x:v>65992743699</x:v>
      </x:c>
      <x:c r="Z3621" s="30" t="n">
        <x:v>46259</x:v>
      </x:c>
    </x:row>
    <x:row r="3622" ht="18" customHeight="1">
      <x:c r="A3622" s="22" t="str">
        <x:f>"3921032c-8b65-4114-bbe6-64d32c51d938"</x:f>
        <x:v>3921032c-8b65-4114-bbe6-64d32c51d938</x:v>
      </x:c>
      <x:c r="B3622" s="23" t="str">
        <x:v>UIDER PEREIRA</x:v>
      </x:c>
      <x:c r="C3622" s="23" t="str">
        <x:v>uider pereira</x:v>
      </x:c>
      <x:c r="D3622" s="22" t="str">
        <x:f>"52.617.457/0001-43"</x:f>
        <x:v>52.617.457/0001-43</x:v>
      </x:c>
      <x:c r="E3622" s="22" t="str">
        <x:f>"52617457000143"</x:f>
        <x:v>52617457000143</x:v>
      </x:c>
      <x:c r="F3622" s="22" t="str">
        <x:f>"332.180.928-17"</x:f>
        <x:v>332.180.928-17</x:v>
      </x:c>
      <x:c r="G3622" s="22" t="str">
        <x:f>"33218092817"</x:f>
        <x:v>33218092817</x:v>
      </x:c>
      <x:c r="H3622" s="23" t="str">
        <x:v>uiderpereiraUP@gmail.com</x:v>
      </x:c>
      <x:c r="I3622" s="22" t="str">
        <x:f>"17996335393"</x:f>
        <x:v>17996335393</x:v>
      </x:c>
      <x:c r="J3622" s="23" t="str">
        <x:v>RENTAL</x:v>
      </x:c>
      <x:c r="K3622" s="23" t="str">
        <x:v>rental_company</x:v>
      </x:c>
      <x:c r="L3622" s="24" t="b">
        <x:v>1</x:v>
      </x:c>
      <x:c r="M3622" s="23" t="n">
        <x:v>1</x:v>
      </x:c>
      <x:c r="N3622" s="28" t="n">
        <x:v>46203.92184908565</x:v>
      </x:c>
      <x:c r="O3622" s="28" t="n">
        <x:v>46219.812988715275</x:v>
      </x:c>
      <x:c r="P3622" s="23" t="str">
        <x:v>SÃO JOSE DO RIO PRETO</x:v>
      </x:c>
      <x:c r="Q3622" s="30" t="n">
        <x:v>30937</x:v>
      </x:c>
      <x:c r="R3622" s="22" t="str">
        <x:f>"40273333"</x:f>
        <x:v>40273333</x:v>
      </x:c>
      <x:c r="S3622" s="23" t="str">
        <x:v>masculino</x:v>
      </x:c>
      <x:c r="T3622" s="22" t="str"/>
      <x:c r="U3622" s="23" t="str">
        <x:v>UIDER PEREIRA</x:v>
      </x:c>
      <x:c r="V3622" s="22" t="str">
        <x:f>"332.180.928-17"</x:f>
        <x:v>332.180.928-17</x:v>
      </x:c>
      <x:c r="W3622" s="22" t="str">
        <x:f>"33218092817"</x:f>
        <x:v>33218092817</x:v>
      </x:c>
      <x:c r="X3622" s="23" t="str">
        <x:v>uiderpereiraUP@gmail.com</x:v>
      </x:c>
      <x:c r="Y3622" s="22" t="str">
        <x:f>"17996335393"</x:f>
        <x:v>17996335393</x:v>
      </x:c>
      <x:c r="Z3622" s="30" t="n">
        <x:v>46240</x:v>
      </x:c>
    </x:row>
    <x:row r="3623" ht="18" customHeight="1">
      <x:c r="A3623" s="22" t="str">
        <x:f>"488739d9-d92d-46a1-a4df-45780cf537ca"</x:f>
        <x:v>488739d9-d92d-46a1-a4df-45780cf537ca</x:v>
      </x:c>
      <x:c r="B3623" s="23" t="str">
        <x:v>VAGNER APARECIDO GONCALVES</x:v>
      </x:c>
      <x:c r="C3623" s="23" t="str">
        <x:v>vagner aparecido goncalves</x:v>
      </x:c>
      <x:c r="D3623" s="22" t="str">
        <x:f>"61.587.491/0001-03"</x:f>
        <x:v>61.587.491/0001-03</x:v>
      </x:c>
      <x:c r="E3623" s="22" t="str">
        <x:f>"61587491000103"</x:f>
        <x:v>61587491000103</x:v>
      </x:c>
      <x:c r="F3623" s="22" t="str">
        <x:f>"254.135.448-71"</x:f>
        <x:v>254.135.448-71</x:v>
      </x:c>
      <x:c r="G3623" s="22" t="str">
        <x:f>"25413544871"</x:f>
        <x:v>25413544871</x:v>
      </x:c>
      <x:c r="H3623" s="23" t="str">
        <x:v>vagner031617@gmail.com</x:v>
      </x:c>
      <x:c r="I3623" s="22" t="str">
        <x:f>"11 98941-2726"</x:f>
        <x:v>11 98941-2726</x:v>
      </x:c>
      <x:c r="J3623" s="23" t="str">
        <x:v>SPOT</x:v>
      </x:c>
      <x:c r="K3623" s="23" t="str">
        <x:v>favored_only</x:v>
      </x:c>
      <x:c r="L3623" s="24" t="b">
        <x:v>1</x:v>
      </x:c>
      <x:c r="M3623" s="23" t="n">
        <x:v>1</x:v>
      </x:c>
      <x:c r="N3623" s="28" t="n">
        <x:v>46219.812988715275</x:v>
      </x:c>
      <x:c r="O3623" s="28" t="n">
        <x:v>46219.812988715275</x:v>
      </x:c>
      <x:c r="P3623" s="23" t="str">
        <x:v>BARUERI</x:v>
      </x:c>
      <x:c r="Q3623" s="30" t="n">
        <x:v>27701</x:v>
      </x:c>
      <x:c r="R3623" s="22" t="str">
        <x:f>"27286052"</x:f>
        <x:v>27286052</x:v>
      </x:c>
      <x:c r="S3623" s="23" t="str">
        <x:v>masculino</x:v>
      </x:c>
      <x:c r="T3623" s="22" t="str">
        <x:f>"RUX6F53"</x:f>
        <x:v>RUX6F53</x:v>
      </x:c>
      <x:c r="U3623" s="23" t="str">
        <x:v>VAGNER APARECIDO GONCALVES</x:v>
      </x:c>
      <x:c r="V3623" s="22" t="str">
        <x:f>"254.135.448-71"</x:f>
        <x:v>254.135.448-71</x:v>
      </x:c>
      <x:c r="W3623" s="22" t="str">
        <x:f>"25413544871"</x:f>
        <x:v>25413544871</x:v>
      </x:c>
      <x:c r="X3623" s="23" t="str">
        <x:v>vagner031617@gmail.com</x:v>
      </x:c>
      <x:c r="Y3623" s="22" t="str">
        <x:f>"11 98941-2726"</x:f>
        <x:v>11 98941-2726</x:v>
      </x:c>
      <x:c r="Z3623" s="30" t="n">
        <x:v>46561</x:v>
      </x:c>
    </x:row>
    <x:row r="3624" ht="18" customHeight="1">
      <x:c r="A3624" s="22" t="str">
        <x:f>"90635ad0-c2a6-4264-bf0b-5d3d165a1745"</x:f>
        <x:v>90635ad0-c2a6-4264-bf0b-5d3d165a1745</x:v>
      </x:c>
      <x:c r="B3624" s="23" t="str">
        <x:v>VAGNER DE OLIVEIRA</x:v>
      </x:c>
      <x:c r="C3624" s="23" t="str">
        <x:v>vagner de oliveira</x:v>
      </x:c>
      <x:c r="D3624" s="22" t="str">
        <x:f>"21.780.835/0001-81"</x:f>
        <x:v>21.780.835/0001-81</x:v>
      </x:c>
      <x:c r="E3624" s="22" t="str">
        <x:f>"21780835000181"</x:f>
        <x:v>21780835000181</x:v>
      </x:c>
      <x:c r="F3624" s="22" t="str">
        <x:f>"086.983.457-60"</x:f>
        <x:v>086.983.457-60</x:v>
      </x:c>
      <x:c r="G3624" s="22" t="str">
        <x:f>"08698345760"</x:f>
        <x:v>08698345760</x:v>
      </x:c>
      <x:c r="H3624" s="23" t="str">
        <x:v>vagneroll1979@gmail.com</x:v>
      </x:c>
      <x:c r="I3624" s="22" t="str">
        <x:f>"21 96431-2455"</x:f>
        <x:v>21 96431-2455</x:v>
      </x:c>
      <x:c r="J3624" s="23" t="str">
        <x:v>SPOT</x:v>
      </x:c>
      <x:c r="K3624" s="23" t="str">
        <x:v>favored_only</x:v>
      </x:c>
      <x:c r="L3624" s="24" t="b">
        <x:v>1</x:v>
      </x:c>
      <x:c r="M3624" s="23" t="n">
        <x:v>1</x:v>
      </x:c>
      <x:c r="N3624" s="28" t="n">
        <x:v>46203.921887453704</x:v>
      </x:c>
      <x:c r="O3624" s="28" t="n">
        <x:v>46219.812988715275</x:v>
      </x:c>
      <x:c r="P3624" s="23" t="str">
        <x:v>CAMPO GRANDE</x:v>
      </x:c>
      <x:c r="Q3624" s="30" t="n">
        <x:v>29021</x:v>
      </x:c>
      <x:c r="R3624" s="22" t="str">
        <x:f>"128429560"</x:f>
        <x:v>128429560</x:v>
      </x:c>
      <x:c r="S3624" s="23" t="str">
        <x:v>masculino</x:v>
      </x:c>
      <x:c r="T3624" s="22" t="str">
        <x:f>"LQR9H41"</x:f>
        <x:v>LQR9H41</x:v>
      </x:c>
      <x:c r="U3624" s="23" t="str">
        <x:v>VAGNER DE OLIVEIRA</x:v>
      </x:c>
      <x:c r="V3624" s="22" t="str">
        <x:f>"086.983.457-60"</x:f>
        <x:v>086.983.457-60</x:v>
      </x:c>
      <x:c r="W3624" s="22" t="str">
        <x:f>"08698345760"</x:f>
        <x:v>08698345760</x:v>
      </x:c>
      <x:c r="X3624" s="23" t="str">
        <x:v>vagneroll1979@gmail.com</x:v>
      </x:c>
      <x:c r="Y3624" s="22" t="str">
        <x:f>"21 96431-2455"</x:f>
        <x:v>21 96431-2455</x:v>
      </x:c>
      <x:c r="Z3624" s="30" t="n">
        <x:v>46333</x:v>
      </x:c>
    </x:row>
    <x:row r="3625" ht="18" customHeight="1">
      <x:c r="A3625" s="22" t="str">
        <x:f>"1dc89433-b02f-480b-bf11-cbcea03f5325"</x:f>
        <x:v>1dc89433-b02f-480b-bf11-cbcea03f5325</x:v>
      </x:c>
      <x:c r="B3625" s="23" t="str">
        <x:v>VAGNER EDUARDO MATTOS DE CARVALHO</x:v>
      </x:c>
      <x:c r="C3625" s="23" t="str">
        <x:v>vagner eduardo mattos de carvalho</x:v>
      </x:c>
      <x:c r="D3625" s="22" t="str">
        <x:f>"37.823.997/0001-90"</x:f>
        <x:v>37.823.997/0001-90</x:v>
      </x:c>
      <x:c r="E3625" s="22" t="str">
        <x:f>"37823997000190"</x:f>
        <x:v>37823997000190</x:v>
      </x:c>
      <x:c r="F3625" s="22" t="str">
        <x:f>"277.088.768-85"</x:f>
        <x:v>277.088.768-85</x:v>
      </x:c>
      <x:c r="G3625" s="22" t="str">
        <x:f>"27708876885"</x:f>
        <x:v>27708876885</x:v>
      </x:c>
      <x:c r="H3625" s="23" t="str">
        <x:v>carvalhovagner0101@gmail.com</x:v>
      </x:c>
      <x:c r="I3625" s="22" t="str">
        <x:f>"17 99674-9066"</x:f>
        <x:v>17 99674-9066</x:v>
      </x:c>
      <x:c r="J3625" s="23" t="str">
        <x:v>SPOT</x:v>
      </x:c>
      <x:c r="K3625" s="23" t="str">
        <x:v>favored_only</x:v>
      </x:c>
      <x:c r="L3625" s="24" t="b">
        <x:v>1</x:v>
      </x:c>
      <x:c r="M3625" s="23" t="n">
        <x:v>1</x:v>
      </x:c>
      <x:c r="N3625" s="28" t="n">
        <x:v>46219.812988715275</x:v>
      </x:c>
      <x:c r="O3625" s="28" t="n">
        <x:v>46219.812988715275</x:v>
      </x:c>
      <x:c r="P3625" s="23" t="str">
        <x:v>CHAPADÃO DO SUL</x:v>
      </x:c>
      <x:c r="Q3625" s="30" t="n">
        <x:v>28761</x:v>
      </x:c>
      <x:c r="R3625" s="22" t="str">
        <x:f>"34192932"</x:f>
        <x:v>34192932</x:v>
      </x:c>
      <x:c r="S3625" s="23" t="str">
        <x:v>masculino</x:v>
      </x:c>
      <x:c r="T3625" s="22" t="str">
        <x:f>"DSR2G50"</x:f>
        <x:v>DSR2G50</x:v>
      </x:c>
      <x:c r="U3625" s="23" t="str">
        <x:v>RODOPRIME TRANSPORTES E CARGAS LTDA</x:v>
      </x:c>
      <x:c r="V3625" s="22" t="str">
        <x:f>"038.768.901-01"</x:f>
        <x:v>038.768.901-01</x:v>
      </x:c>
      <x:c r="W3625" s="22" t="str">
        <x:f>"03876890101"</x:f>
        <x:v>03876890101</x:v>
      </x:c>
      <x:c r="X3625" s="23" t="str">
        <x:v>rtp.cargas@gmail.com</x:v>
      </x:c>
      <x:c r="Y3625" s="22" t="str">
        <x:f>"62991277279"</x:f>
        <x:v>62991277279</x:v>
      </x:c>
      <x:c r="Z3625" s="30" t="n">
        <x:v>46485</x:v>
      </x:c>
    </x:row>
    <x:row r="3626" ht="18" customHeight="1">
      <x:c r="A3626" s="22" t="str">
        <x:f>"25b57ac6-49da-4e15-9188-c947decf4c01"</x:f>
        <x:v>25b57ac6-49da-4e15-9188-c947decf4c01</x:v>
      </x:c>
      <x:c r="B3626" s="23" t="str">
        <x:v>VAGNER FRANCISCO GONCALVES SOUZA</x:v>
      </x:c>
      <x:c r="C3626" s="23" t="str">
        <x:v>vagner francisco goncalves souza</x:v>
      </x:c>
      <x:c r="D3626" s="22" t="str">
        <x:f>"67.245.773/0001-09"</x:f>
        <x:v>67.245.773/0001-09</x:v>
      </x:c>
      <x:c r="E3626" s="22" t="str">
        <x:f>"67245773000109"</x:f>
        <x:v>67245773000109</x:v>
      </x:c>
      <x:c r="F3626" s="22" t="str">
        <x:f>"307.909.418-21"</x:f>
        <x:v>307.909.418-21</x:v>
      </x:c>
      <x:c r="G3626" s="22" t="str">
        <x:f>"30790941821"</x:f>
        <x:v>30790941821</x:v>
      </x:c>
      <x:c r="H3626" s="23" t="str">
        <x:v>VAGNERFGSOUZA@GMAIL.COM</x:v>
      </x:c>
      <x:c r="I3626" s="22" t="str">
        <x:f>"14998669823"</x:f>
        <x:v>14998669823</x:v>
      </x:c>
      <x:c r="J3626" s="23" t="str">
        <x:v>spot</x:v>
      </x:c>
      <x:c r="K3626" s="23" t="str">
        <x:v>favored_only</x:v>
      </x:c>
      <x:c r="L3626" s="24" t="b">
        <x:v>1</x:v>
      </x:c>
      <x:c r="M3626" s="23" t="n">
        <x:v>1</x:v>
      </x:c>
      <x:c r="N3626" s="28" t="n">
        <x:v>46219.812988715275</x:v>
      </x:c>
      <x:c r="O3626" s="28" t="n">
        <x:v>46219.812988715275</x:v>
      </x:c>
      <x:c r="P3626" s="23" t="str">
        <x:v>SÃO CARLOS</x:v>
      </x:c>
      <x:c r="Q3626" s="30" t="n">
        <x:v>30000</x:v>
      </x:c>
      <x:c r="R3626" s="22" t="str">
        <x:f>"339106116"</x:f>
        <x:v>339106116</x:v>
      </x:c>
      <x:c r="S3626" s="23" t="str">
        <x:v>masculino</x:v>
      </x:c>
      <x:c r="T3626" s="22" t="str">
        <x:f>"FSY4J62"</x:f>
        <x:v>FSY4J62</x:v>
      </x:c>
      <x:c r="U3626" s="23" t="str">
        <x:v>VAGNER FRANCISCO GONCALVES SOUZA</x:v>
      </x:c>
      <x:c r="V3626" s="22" t="str">
        <x:f>"307.909.418-21"</x:f>
        <x:v>307.909.418-21</x:v>
      </x:c>
      <x:c r="W3626" s="22" t="str">
        <x:f>"30790941821"</x:f>
        <x:v>30790941821</x:v>
      </x:c>
      <x:c r="X3626" s="23" t="str">
        <x:v>VAGNERFGSOUZA@GMAIL.COM</x:v>
      </x:c>
      <x:c r="Y3626" s="22" t="str">
        <x:f>"14998669823"</x:f>
        <x:v>14998669823</x:v>
      </x:c>
      <x:c r="Z3626" s="30" t="n">
        <x:v>46562</x:v>
      </x:c>
    </x:row>
    <x:row r="3627" ht="18" customHeight="1">
      <x:c r="A3627" s="22" t="str">
        <x:f>"e964e383-b03f-4f0d-8fd1-54232f68c8fb"</x:f>
        <x:v>e964e383-b03f-4f0d-8fd1-54232f68c8fb</x:v>
      </x:c>
      <x:c r="B3627" s="23" t="str">
        <x:v>VAGNER JUNIOR DE OLIVEIRA LOURENCO</x:v>
      </x:c>
      <x:c r="C3627" s="23" t="str">
        <x:v>vagner junior de oliveira lourenco</x:v>
      </x:c>
      <x:c r="D3627" s="22" t="str">
        <x:f>"60.685.775/0001-70"</x:f>
        <x:v>60.685.775/0001-70</x:v>
      </x:c>
      <x:c r="E3627" s="22" t="str">
        <x:f>"60685775000170"</x:f>
        <x:v>60685775000170</x:v>
      </x:c>
      <x:c r="F3627" s="22" t="str">
        <x:f>"751.279.461-49"</x:f>
        <x:v>751.279.461-49</x:v>
      </x:c>
      <x:c r="G3627" s="22" t="str">
        <x:f>"75127946149"</x:f>
        <x:v>75127946149</x:v>
      </x:c>
      <x:c r="H3627" s="23" t="str">
        <x:v>diolijeans@gmail.com</x:v>
      </x:c>
      <x:c r="I3627" s="22" t="str">
        <x:f>"62996899660"</x:f>
        <x:v>62996899660</x:v>
      </x:c>
      <x:c r="J3627" s="23" t="str">
        <x:v>SPOT</x:v>
      </x:c>
      <x:c r="K3627" s="23" t="str">
        <x:v>favored_only</x:v>
      </x:c>
      <x:c r="L3627" s="24" t="b">
        <x:v>1</x:v>
      </x:c>
      <x:c r="M3627" s="23" t="n">
        <x:v>2</x:v>
      </x:c>
      <x:c r="N3627" s="28" t="n">
        <x:v>46203.92186888889</x:v>
      </x:c>
      <x:c r="O3627" s="28" t="n">
        <x:v>46219.812988715275</x:v>
      </x:c>
      <x:c r="P3627" s="23" t="str">
        <x:v>GOIANIA</x:v>
      </x:c>
      <x:c r="Q3627" s="30" t="n">
        <x:v>34739</x:v>
      </x:c>
      <x:c r="R3627" s="22" t="str">
        <x:f>"5108526"</x:f>
        <x:v>5108526</x:v>
      </x:c>
      <x:c r="S3627" s="23" t="str">
        <x:v>masculino</x:v>
      </x:c>
      <x:c r="T3627" s="22" t="str">
        <x:f>"RVM9H57"</x:f>
        <x:v>RVM9H57</x:v>
      </x:c>
      <x:c r="U3627" s="23" t="str">
        <x:v>VAGNER JUNIO DE OLIVEIRA LOURENCO</x:v>
      </x:c>
      <x:c r="V3627" s="22" t="str">
        <x:f>"751.279.461-49"</x:f>
        <x:v>751.279.461-49</x:v>
      </x:c>
      <x:c r="W3627" s="22" t="str">
        <x:f>"75127946149"</x:f>
        <x:v>75127946149</x:v>
      </x:c>
      <x:c r="X3627" s="23" t="str">
        <x:v>diolijeans@gmail.com</x:v>
      </x:c>
      <x:c r="Y3627" s="22" t="str">
        <x:f>"62 996899660"</x:f>
        <x:v>62 996899660</x:v>
      </x:c>
      <x:c r="Z3627" s="30" t="n">
        <x:v>46441</x:v>
      </x:c>
    </x:row>
    <x:row r="3628" ht="18" customHeight="1">
      <x:c r="A3628" s="22" t="str">
        <x:f>"3b478127-1958-4a3a-bd7a-5d5768aaa860"</x:f>
        <x:v>3b478127-1958-4a3a-bd7a-5d5768aaa860</x:v>
      </x:c>
      <x:c r="B3628" s="23" t="str">
        <x:v>VAGNER VENCESLAU NOVAIS</x:v>
      </x:c>
      <x:c r="C3628" s="23" t="str">
        <x:v>vagner venceslau novais</x:v>
      </x:c>
      <x:c r="D3628" s="22" t="str">
        <x:f>"53.124.703/0001-98"</x:f>
        <x:v>53.124.703/0001-98</x:v>
      </x:c>
      <x:c r="E3628" s="22" t="str">
        <x:f>"53124703000198"</x:f>
        <x:v>53124703000198</x:v>
      </x:c>
      <x:c r="F3628" s="22" t="str">
        <x:f>"325.970.938-08"</x:f>
        <x:v>325.970.938-08</x:v>
      </x:c>
      <x:c r="G3628" s="22" t="str">
        <x:f>"32597093808"</x:f>
        <x:v>32597093808</x:v>
      </x:c>
      <x:c r="H3628" s="23" t="str">
        <x:v>vagnervenceslau@hotmail.com</x:v>
      </x:c>
      <x:c r="I3628" s="22" t="str">
        <x:f>"(35) 99761-3580"</x:f>
        <x:v>(35) 99761-3580</x:v>
      </x:c>
      <x:c r="J3628" s="23" t="str">
        <x:v>SPOT</x:v>
      </x:c>
      <x:c r="K3628" s="23" t="str">
        <x:v>favored_only</x:v>
      </x:c>
      <x:c r="L3628" s="24" t="b">
        <x:v>1</x:v>
      </x:c>
      <x:c r="M3628" s="23" t="n">
        <x:v>1</x:v>
      </x:c>
      <x:c r="N3628" s="28" t="n">
        <x:v>46205.60592297454</x:v>
      </x:c>
      <x:c r="O3628" s="28" t="n">
        <x:v>46219.812988715275</x:v>
      </x:c>
      <x:c r="P3628" s="23" t="str">
        <x:v>POUSO ALEGRE</x:v>
      </x:c>
      <x:c r="Q3628" s="30" t="n">
        <x:v>31069</x:v>
      </x:c>
      <x:c r="R3628" s="22" t="str">
        <x:f>"34490041 SSP SP"</x:f>
        <x:v>34490041 SSP SP</x:v>
      </x:c>
      <x:c r="S3628" s="23" t="str">
        <x:v>masculino</x:v>
      </x:c>
      <x:c r="T3628" s="22" t="str">
        <x:f>"FRG3B15"</x:f>
        <x:v>FRG3B15</x:v>
      </x:c>
      <x:c r="U3628" s="23" t="str">
        <x:v>MIBBRAJARIM GAMA FERREIRA</x:v>
      </x:c>
      <x:c r="V3628" s="22" t="str">
        <x:f>"335.375.608-69"</x:f>
        <x:v>335.375.608-69</x:v>
      </x:c>
      <x:c r="W3628" s="22" t="str">
        <x:f>"33537560869"</x:f>
        <x:v>33537560869</x:v>
      </x:c>
      <x:c r="X3628" s="23" t="str">
        <x:v>Binhojar@gmail.com</x:v>
      </x:c>
      <x:c r="Y3628" s="22" t="str">
        <x:f>"11 94297-6065"</x:f>
        <x:v>11 94297-6065</x:v>
      </x:c>
      <x:c r="Z3628" s="30" t="n">
        <x:v>46337</x:v>
      </x:c>
    </x:row>
    <x:row r="3629" ht="18" customHeight="1">
      <x:c r="A3629" s="22" t="str">
        <x:f>"16872ddf-8c30-49c3-ba88-3f7027e5c709"</x:f>
        <x:v>16872ddf-8c30-49c3-ba88-3f7027e5c709</x:v>
      </x:c>
      <x:c r="B3629" s="23" t="str">
        <x:v>VALBER NEIVA PEREIRA</x:v>
      </x:c>
      <x:c r="C3629" s="23" t="str">
        <x:v>valber neiva pereira</x:v>
      </x:c>
      <x:c r="D3629" s="22" t="str">
        <x:f>"53.461.797/0001-90"</x:f>
        <x:v>53.461.797/0001-90</x:v>
      </x:c>
      <x:c r="E3629" s="22" t="str">
        <x:f>"53461797000190"</x:f>
        <x:v>53461797000190</x:v>
      </x:c>
      <x:c r="F3629" s="22" t="str">
        <x:f>"859.938.095-82"</x:f>
        <x:v>859.938.095-82</x:v>
      </x:c>
      <x:c r="G3629" s="22" t="str">
        <x:f>"85993809582"</x:f>
        <x:v>85993809582</x:v>
      </x:c>
      <x:c r="H3629" s="23" t="str">
        <x:v>valberneiva5@gmail.com</x:v>
      </x:c>
      <x:c r="I3629" s="22" t="str">
        <x:f>"62996368669"</x:f>
        <x:v>62996368669</x:v>
      </x:c>
      <x:c r="J3629" s="23" t="str">
        <x:v>rental</x:v>
      </x:c>
      <x:c r="K3629" s="23" t="str">
        <x:v>rental_company</x:v>
      </x:c>
      <x:c r="L3629" s="24" t="b">
        <x:v>1</x:v>
      </x:c>
      <x:c r="M3629" s="23" t="n">
        <x:v>1</x:v>
      </x:c>
      <x:c r="N3629" s="28" t="n">
        <x:v>46219.812988715275</x:v>
      </x:c>
      <x:c r="O3629" s="28" t="n">
        <x:v>46219.812988715275</x:v>
      </x:c>
      <x:c r="P3629" s="23" t="str">
        <x:v>GOIANIA</x:v>
      </x:c>
      <x:c r="Q3629" s="30" t="n">
        <x:v>34519</x:v>
      </x:c>
      <x:c r="R3629" s="22" t="str">
        <x:f>"3410147"</x:f>
        <x:v>3410147</x:v>
      </x:c>
      <x:c r="S3629" s="23" t="str">
        <x:v>masculino</x:v>
      </x:c>
      <x:c r="T3629" s="22" t="str"/>
      <x:c r="U3629" s="23" t="str">
        <x:v>VALBER NEIVA PEREIRA</x:v>
      </x:c>
      <x:c r="V3629" s="22" t="str">
        <x:f>"859.938.095-82"</x:f>
        <x:v>859.938.095-82</x:v>
      </x:c>
      <x:c r="W3629" s="22" t="str">
        <x:f>"85993809582"</x:f>
        <x:v>85993809582</x:v>
      </x:c>
      <x:c r="X3629" s="23" t="str">
        <x:v>valberneiva5@gmail.com</x:v>
      </x:c>
      <x:c r="Y3629" s="22" t="str">
        <x:f>"62996368669"</x:f>
        <x:v>62996368669</x:v>
      </x:c>
      <x:c r="Z3629" s="30" t="n">
        <x:v>46514</x:v>
      </x:c>
    </x:row>
    <x:row r="3630" ht="18" customHeight="1">
      <x:c r="A3630" s="22" t="str">
        <x:f>"38cbc926-1d7c-45f3-a1ca-bedf7fc09c3e"</x:f>
        <x:v>38cbc926-1d7c-45f3-a1ca-bedf7fc09c3e</x:v>
      </x:c>
      <x:c r="B3630" s="23" t="str">
        <x:v>VALCI DE FREITAS DAS VIRGENS</x:v>
      </x:c>
      <x:c r="C3630" s="23" t="str">
        <x:v>valci de freitas das virgens</x:v>
      </x:c>
      <x:c r="D3630" s="22" t="str">
        <x:f>"60.078.882/0001-30"</x:f>
        <x:v>60.078.882/0001-30</x:v>
      </x:c>
      <x:c r="E3630" s="22" t="str">
        <x:f>"60078882000130"</x:f>
        <x:v>60078882000130</x:v>
      </x:c>
      <x:c r="F3630" s="22" t="str">
        <x:f>"486.725.566-15"</x:f>
        <x:v>486.725.566-15</x:v>
      </x:c>
      <x:c r="G3630" s="22" t="str">
        <x:f>"48672556615"</x:f>
        <x:v>48672556615</x:v>
      </x:c>
      <x:c r="H3630" s="23" t="str">
        <x:v>valcif@yahoo.com</x:v>
      </x:c>
      <x:c r="I3630" s="22" t="str">
        <x:f>"31.971755639"</x:f>
        <x:v>31.971755639</x:v>
      </x:c>
      <x:c r="J3630" s="23" t="str">
        <x:v>SPOT</x:v>
      </x:c>
      <x:c r="K3630" s="23" t="str">
        <x:v>favored_only</x:v>
      </x:c>
      <x:c r="L3630" s="24" t="b">
        <x:v>1</x:v>
      </x:c>
      <x:c r="M3630" s="23" t="n">
        <x:v>1</x:v>
      </x:c>
      <x:c r="N3630" s="28" t="n">
        <x:v>46203.921824756944</x:v>
      </x:c>
      <x:c r="O3630" s="28" t="n">
        <x:v>46219.812988715275</x:v>
      </x:c>
      <x:c r="P3630" s="23" t="str">
        <x:v>CONTAGEM</x:v>
      </x:c>
      <x:c r="Q3630" s="30" t="n">
        <x:v>24232</x:v>
      </x:c>
      <x:c r="R3630" s="22" t="str">
        <x:f>"3754893"</x:f>
        <x:v>3754893</x:v>
      </x:c>
      <x:c r="S3630" s="23" t="str">
        <x:v>masculino</x:v>
      </x:c>
      <x:c r="T3630" s="22" t="str">
        <x:f>"mte0d86"</x:f>
        <x:v>mte0d86</x:v>
      </x:c>
      <x:c r="U3630" s="23" t="str">
        <x:v>VALCI DE FREITAS DAS VIRGENS</x:v>
      </x:c>
      <x:c r="V3630" s="22" t="str">
        <x:f>"486.725.566-15"</x:f>
        <x:v>486.725.566-15</x:v>
      </x:c>
      <x:c r="W3630" s="22" t="str">
        <x:f>"48672556615"</x:f>
        <x:v>48672556615</x:v>
      </x:c>
      <x:c r="X3630" s="23" t="str">
        <x:v>valcif@yahoo.com</x:v>
      </x:c>
      <x:c r="Y3630" s="22" t="str">
        <x:f>"31.971755639"</x:f>
        <x:v>31.971755639</x:v>
      </x:c>
      <x:c r="Z3630" s="30" t="n">
        <x:v>46420</x:v>
      </x:c>
    </x:row>
    <x:row r="3631" ht="18" customHeight="1">
      <x:c r="A3631" s="22" t="str">
        <x:f>"0ac6b55c-9dca-4649-94dc-c8cd94e343c8"</x:f>
        <x:v>0ac6b55c-9dca-4649-94dc-c8cd94e343c8</x:v>
      </x:c>
      <x:c r="B3631" s="23" t="str">
        <x:v>VALCINEI DOS SANTOS RODRIGUES</x:v>
      </x:c>
      <x:c r="C3631" s="23" t="str">
        <x:v>valcinei dos santos rodrigues</x:v>
      </x:c>
      <x:c r="D3631" s="22" t="str">
        <x:f>"66.434.611/0001-56"</x:f>
        <x:v>66.434.611/0001-56</x:v>
      </x:c>
      <x:c r="E3631" s="22" t="str">
        <x:f>"66434611000156"</x:f>
        <x:v>66434611000156</x:v>
      </x:c>
      <x:c r="F3631" s="22" t="str">
        <x:f>"027.184.841-36"</x:f>
        <x:v>027.184.841-36</x:v>
      </x:c>
      <x:c r="G3631" s="22" t="str">
        <x:f>"02718484136"</x:f>
        <x:v>02718484136</x:v>
      </x:c>
      <x:c r="H3631" s="23" t="str">
        <x:v>Valcinei001.0@gmail.com</x:v>
      </x:c>
      <x:c r="I3631" s="22" t="str">
        <x:f>"+55 65 9236-3952"</x:f>
        <x:v>+55 65 9236-3952</x:v>
      </x:c>
      <x:c r="J3631" s="23" t="str">
        <x:v>SPOT</x:v>
      </x:c>
      <x:c r="K3631" s="23" t="str">
        <x:v>favored_only</x:v>
      </x:c>
      <x:c r="L3631" s="24" t="b">
        <x:v>1</x:v>
      </x:c>
      <x:c r="M3631" s="23" t="n">
        <x:v>1</x:v>
      </x:c>
      <x:c r="N3631" s="28" t="n">
        <x:v>46219.812988715275</x:v>
      </x:c>
      <x:c r="O3631" s="28" t="n">
        <x:v>46219.812988715275</x:v>
      </x:c>
      <x:c r="P3631" s="23" t="str">
        <x:v>PONTES E LACERDA</x:v>
      </x:c>
      <x:c r="Q3631" s="30" t="n">
        <x:v>32896</x:v>
      </x:c>
      <x:c r="R3631" s="22" t="str">
        <x:f>"18031609"</x:f>
        <x:v>18031609</x:v>
      </x:c>
      <x:c r="S3631" s="23" t="str">
        <x:v>masculino</x:v>
      </x:c>
      <x:c r="T3631" s="22" t="str">
        <x:f>"npc4j68"</x:f>
        <x:v>npc4j68</x:v>
      </x:c>
      <x:c r="U3631" s="23" t="str">
        <x:v>VALCINEI DOS SANTOS RODRIGUES</x:v>
      </x:c>
      <x:c r="V3631" s="22" t="str">
        <x:f>"027.184.841-36"</x:f>
        <x:v>027.184.841-36</x:v>
      </x:c>
      <x:c r="W3631" s="22" t="str">
        <x:f>"02718484136"</x:f>
        <x:v>02718484136</x:v>
      </x:c>
      <x:c r="X3631" s="23" t="str">
        <x:v>Valcinei001.0@gmail.com</x:v>
      </x:c>
      <x:c r="Y3631" s="22" t="str">
        <x:f>"+55 65 9236-3952"</x:f>
        <x:v>+55 65 9236-3952</x:v>
      </x:c>
      <x:c r="Z3631" s="30" t="n">
        <x:v>46501</x:v>
      </x:c>
    </x:row>
    <x:row r="3632" ht="18" customHeight="1">
      <x:c r="A3632" s="22" t="str">
        <x:f>"7a35dda3-7034-4342-9c03-d62a5867b8e9"</x:f>
        <x:v>7a35dda3-7034-4342-9c03-d62a5867b8e9</x:v>
      </x:c>
      <x:c r="B3632" s="23" t="str">
        <x:v>VALDECI DA CRUZ SILVEIRA</x:v>
      </x:c>
      <x:c r="C3632" s="23" t="str">
        <x:v>valdeci da cruz silveira</x:v>
      </x:c>
      <x:c r="D3632" s="22" t="str">
        <x:f>"43.863.189/0001-59"</x:f>
        <x:v>43.863.189/0001-59</x:v>
      </x:c>
      <x:c r="E3632" s="22" t="str">
        <x:f>"43863189000159"</x:f>
        <x:v>43863189000159</x:v>
      </x:c>
      <x:c r="F3632" s="22" t="str">
        <x:f>"473.120.257-49"</x:f>
        <x:v>473.120.257-49</x:v>
      </x:c>
      <x:c r="G3632" s="22" t="str">
        <x:f>"47312025749"</x:f>
        <x:v>47312025749</x:v>
      </x:c>
      <x:c r="H3632" s="23" t="str">
        <x:v>VALDECIEANA@YAHOO.COM.BR</x:v>
      </x:c>
      <x:c r="I3632" s="22" t="str">
        <x:f>"22999385193"</x:f>
        <x:v>22999385193</x:v>
      </x:c>
      <x:c r="J3632" s="23" t="str">
        <x:v>SPOT</x:v>
      </x:c>
      <x:c r="K3632" s="23" t="str">
        <x:v>favored_only</x:v>
      </x:c>
      <x:c r="L3632" s="24" t="b">
        <x:v>1</x:v>
      </x:c>
      <x:c r="M3632" s="23" t="n">
        <x:v>1</x:v>
      </x:c>
      <x:c r="N3632" s="28" t="n">
        <x:v>46205.60412295139</x:v>
      </x:c>
      <x:c r="O3632" s="28" t="n">
        <x:v>46219.812988715275</x:v>
      </x:c>
      <x:c r="P3632" s="23" t="str">
        <x:v>CAMPOS DOS GOYTACAZES</x:v>
      </x:c>
      <x:c r="Q3632" s="30" t="n">
        <x:v>20989</x:v>
      </x:c>
      <x:c r="R3632" s="22" t="str">
        <x:f>"46663829"</x:f>
        <x:v>46663829</x:v>
      </x:c>
      <x:c r="S3632" s="23" t="str">
        <x:v>masculino</x:v>
      </x:c>
      <x:c r="T3632" s="22" t="str">
        <x:f>"KWG9J82"</x:f>
        <x:v>KWG9J82</x:v>
      </x:c>
      <x:c r="U3632" s="23" t="str">
        <x:v>JOCYANA REGINALDO DA PAIXAO</x:v>
      </x:c>
      <x:c r="V3632" s="22" t="str">
        <x:f>"157.359.517-93"</x:f>
        <x:v>157.359.517-93</x:v>
      </x:c>
      <x:c r="W3632" s="22" t="str">
        <x:f>"15735951793"</x:f>
        <x:v>15735951793</x:v>
      </x:c>
      <x:c r="X3632" s="23" t="str">
        <x:v>jocyanasilveira95@gmail.com</x:v>
      </x:c>
      <x:c r="Y3632" s="22" t="str">
        <x:f>"22997020496"</x:f>
        <x:v>22997020496</x:v>
      </x:c>
      <x:c r="Z3632" s="30" t="n">
        <x:v>46259</x:v>
      </x:c>
    </x:row>
    <x:row r="3633" ht="18" customHeight="1">
      <x:c r="A3633" s="22" t="str">
        <x:f>"a6dafff9-814e-4a79-8714-19741b49b4a0"</x:f>
        <x:v>a6dafff9-814e-4a79-8714-19741b49b4a0</x:v>
      </x:c>
      <x:c r="B3633" s="23" t="str">
        <x:v>VALDECI PEREIRA LOPES</x:v>
      </x:c>
      <x:c r="C3633" s="23" t="str">
        <x:v>valdeci pereira lopes</x:v>
      </x:c>
      <x:c r="D3633" s="22" t="str">
        <x:f>"67.080.185/0001-62"</x:f>
        <x:v>67.080.185/0001-62</x:v>
      </x:c>
      <x:c r="E3633" s="22" t="str">
        <x:f>"67080185000162"</x:f>
        <x:v>67080185000162</x:v>
      </x:c>
      <x:c r="F3633" s="22" t="str">
        <x:f>"617.127.011-34"</x:f>
        <x:v>617.127.011-34</x:v>
      </x:c>
      <x:c r="G3633" s="22" t="str">
        <x:f>"61712701134"</x:f>
        <x:v>61712701134</x:v>
      </x:c>
      <x:c r="H3633" s="23" t="str">
        <x:v>valdecilopes2008@hotmail.com</x:v>
      </x:c>
      <x:c r="I3633" s="22" t="str">
        <x:f>"64992227696"</x:f>
        <x:v>64992227696</x:v>
      </x:c>
      <x:c r="J3633" s="23" t="str">
        <x:v>SPOT</x:v>
      </x:c>
      <x:c r="K3633" s="23" t="str">
        <x:v>favored_only</x:v>
      </x:c>
      <x:c r="L3633" s="24" t="b">
        <x:v>1</x:v>
      </x:c>
      <x:c r="M3633" s="23" t="n">
        <x:v>1</x:v>
      </x:c>
      <x:c r="N3633" s="28" t="n">
        <x:v>46219.812988715275</x:v>
      </x:c>
      <x:c r="O3633" s="28" t="n">
        <x:v>46219.812988715275</x:v>
      </x:c>
      <x:c r="P3633" s="23" t="str">
        <x:v>RIO VERDE</x:v>
      </x:c>
      <x:c r="Q3633" s="30" t="n">
        <x:v>27056</x:v>
      </x:c>
      <x:c r="R3633" s="22" t="str">
        <x:f>"31495811456636"</x:f>
        <x:v>31495811456636</x:v>
      </x:c>
      <x:c r="S3633" s="23" t="str">
        <x:v>masculino</x:v>
      </x:c>
      <x:c r="T3633" s="22" t="str">
        <x:f>"PRV9B98"</x:f>
        <x:v>PRV9B98</x:v>
      </x:c>
      <x:c r="U3633" s="23" t="str">
        <x:v>VALDECI PEREIRA LOPES</x:v>
      </x:c>
      <x:c r="V3633" s="22" t="str">
        <x:f>"617.127.011-34"</x:f>
        <x:v>617.127.011-34</x:v>
      </x:c>
      <x:c r="W3633" s="22" t="str">
        <x:f>"61712701134"</x:f>
        <x:v>61712701134</x:v>
      </x:c>
      <x:c r="X3633" s="23" t="str">
        <x:v>valdecilopes2008@hotmail.com</x:v>
      </x:c>
      <x:c r="Y3633" s="22" t="str">
        <x:f>"64992227696"</x:f>
        <x:v>64992227696</x:v>
      </x:c>
      <x:c r="Z3633" s="30" t="n">
        <x:v>46548</x:v>
      </x:c>
    </x:row>
    <x:row r="3634" ht="18" customHeight="1">
      <x:c r="A3634" s="22" t="str">
        <x:f>"fa9c3bb1-4977-4306-9897-baf469368bf0"</x:f>
        <x:v>fa9c3bb1-4977-4306-9897-baf469368bf0</x:v>
      </x:c>
      <x:c r="B3634" s="23" t="str">
        <x:v>VALDEIR SOARES RODRIGUES</x:v>
      </x:c>
      <x:c r="C3634" s="23" t="str">
        <x:v>valdeir soares rodrigues</x:v>
      </x:c>
      <x:c r="D3634" s="22" t="str">
        <x:f>"61.826.771/0001-27"</x:f>
        <x:v>61.826.771/0001-27</x:v>
      </x:c>
      <x:c r="E3634" s="22" t="str">
        <x:f>"61826771000127"</x:f>
        <x:v>61826771000127</x:v>
      </x:c>
      <x:c r="F3634" s="22" t="str">
        <x:f>"306.549.738-73"</x:f>
        <x:v>306.549.738-73</x:v>
      </x:c>
      <x:c r="G3634" s="22" t="str">
        <x:f>"30654973873"</x:f>
        <x:v>30654973873</x:v>
      </x:c>
      <x:c r="H3634" s="23" t="str">
        <x:v>monica_ssr@hotmail.com</x:v>
      </x:c>
      <x:c r="I3634" s="22" t="str">
        <x:f>"16 99632-6899"</x:f>
        <x:v>16 99632-6899</x:v>
      </x:c>
      <x:c r="J3634" s="23" t="str">
        <x:v>SPOT</x:v>
      </x:c>
      <x:c r="K3634" s="23" t="str">
        <x:v>favored_only</x:v>
      </x:c>
      <x:c r="L3634" s="24" t="b">
        <x:v>1</x:v>
      </x:c>
      <x:c r="M3634" s="23" t="n">
        <x:v>1</x:v>
      </x:c>
      <x:c r="N3634" s="28" t="n">
        <x:v>46203.921858726855</x:v>
      </x:c>
      <x:c r="O3634" s="28" t="n">
        <x:v>46219.812988715275</x:v>
      </x:c>
      <x:c r="P3634" s="23" t="str">
        <x:v>RIBEIRAO PRETO</x:v>
      </x:c>
      <x:c r="Q3634" s="30" t="n">
        <x:v>30435</x:v>
      </x:c>
      <x:c r="R3634" s="22" t="str">
        <x:f>"33415742"</x:f>
        <x:v>33415742</x:v>
      </x:c>
      <x:c r="S3634" s="23" t="str">
        <x:v>masculino</x:v>
      </x:c>
      <x:c r="T3634" s="22" t="str">
        <x:f>"HFI9G02"</x:f>
        <x:v>HFI9G02</x:v>
      </x:c>
      <x:c r="U3634" s="23" t="str">
        <x:v>VALDEIR SOARES RODRIGUES</x:v>
      </x:c>
      <x:c r="V3634" s="22" t="str">
        <x:f>"306.549.738-73"</x:f>
        <x:v>306.549.738-73</x:v>
      </x:c>
      <x:c r="W3634" s="22" t="str">
        <x:f>"30654973873"</x:f>
        <x:v>30654973873</x:v>
      </x:c>
      <x:c r="X3634" s="23" t="str">
        <x:v>monica_ssr@hotmail.com</x:v>
      </x:c>
      <x:c r="Y3634" s="22" t="str">
        <x:f>"16 99632-6899"</x:f>
        <x:v>16 99632-6899</x:v>
      </x:c>
      <x:c r="Z3634" s="30" t="n">
        <x:v>46263</x:v>
      </x:c>
    </x:row>
    <x:row r="3635" ht="18" customHeight="1">
      <x:c r="A3635" s="22" t="str">
        <x:f>"44183817-09b9-420d-b974-b09793d3c963"</x:f>
        <x:v>44183817-09b9-420d-b974-b09793d3c963</x:v>
      </x:c>
      <x:c r="B3635" s="23" t="str">
        <x:v>VALDENIZA RODRIGUES ALMEIDA</x:v>
      </x:c>
      <x:c r="C3635" s="23" t="str">
        <x:v>valdeniza rodrigues almeida</x:v>
      </x:c>
      <x:c r="D3635" s="22" t="str">
        <x:f>"65.193.090/0001-20"</x:f>
        <x:v>65.193.090/0001-20</x:v>
      </x:c>
      <x:c r="E3635" s="22" t="str">
        <x:f>"65193090000120"</x:f>
        <x:v>65193090000120</x:v>
      </x:c>
      <x:c r="F3635" s="22" t="str">
        <x:f>"069.266.721-05"</x:f>
        <x:v>069.266.721-05</x:v>
      </x:c>
      <x:c r="G3635" s="22" t="str">
        <x:f>"06926672105"</x:f>
        <x:v>06926672105</x:v>
      </x:c>
      <x:c r="H3635" s="23" t="str">
        <x:v>Rodriguesvaldeniza89@gmail.co</x:v>
      </x:c>
      <x:c r="I3635" s="22" t="str">
        <x:f>"65 99925-7879"</x:f>
        <x:v>65 99925-7879</x:v>
      </x:c>
      <x:c r="J3635" s="23" t="str">
        <x:v>SPOT</x:v>
      </x:c>
      <x:c r="K3635" s="23" t="str">
        <x:v>favored_only</x:v>
      </x:c>
      <x:c r="L3635" s="24" t="b">
        <x:v>1</x:v>
      </x:c>
      <x:c r="M3635" s="23" t="n">
        <x:v>1</x:v>
      </x:c>
      <x:c r="N3635" s="28" t="n">
        <x:v>46219.812988715275</x:v>
      </x:c>
      <x:c r="O3635" s="28" t="n">
        <x:v>46219.812988715275</x:v>
      </x:c>
      <x:c r="P3635" s="23" t="str">
        <x:v>PONTES E LACERDA</x:v>
      </x:c>
      <x:c r="Q3635" s="30" t="n">
        <x:v>35806</x:v>
      </x:c>
      <x:c r="R3635" s="22" t="str">
        <x:f>"28502876"</x:f>
        <x:v>28502876</x:v>
      </x:c>
      <x:c r="S3635" s="23" t="str">
        <x:v>feminino</x:v>
      </x:c>
      <x:c r="T3635" s="22" t="str">
        <x:f>"APL2539"</x:f>
        <x:v>APL2539</x:v>
      </x:c>
      <x:c r="U3635" s="23" t="str">
        <x:v>VALDENIZA RODRIGUES ALMEIDA</x:v>
      </x:c>
      <x:c r="V3635" s="22" t="str">
        <x:f>"069.266.721-05"</x:f>
        <x:v>069.266.721-05</x:v>
      </x:c>
      <x:c r="W3635" s="22" t="str">
        <x:f>"06926672105"</x:f>
        <x:v>06926672105</x:v>
      </x:c>
      <x:c r="X3635" s="23" t="str">
        <x:v>Rodriguesvaldeniza89@gmail.co</x:v>
      </x:c>
      <x:c r="Y3635" s="22" t="str">
        <x:f>"65 99925-7879"</x:f>
        <x:v>65 99925-7879</x:v>
      </x:c>
      <x:c r="Z3635" s="30" t="n">
        <x:v>46473</x:v>
      </x:c>
    </x:row>
    <x:row r="3636" ht="18" customHeight="1">
      <x:c r="A3636" s="22" t="str">
        <x:f>"7b8b9d28-287b-42c3-bfd8-eff7f482cf66"</x:f>
        <x:v>7b8b9d28-287b-42c3-bfd8-eff7f482cf66</x:v>
      </x:c>
      <x:c r="B3636" s="23" t="str">
        <x:v>VALDENIZA RODRIGUES ALMEIDA</x:v>
      </x:c>
      <x:c r="C3636" s="23" t="str">
        <x:v>valdeniza rodrigues almeida</x:v>
      </x:c>
      <x:c r="D3636" s="22" t="str">
        <x:f>"60.242.172/0001-01"</x:f>
        <x:v>60.242.172/0001-01</x:v>
      </x:c>
      <x:c r="E3636" s="22" t="str">
        <x:f>"60242172000101"</x:f>
        <x:v>60242172000101</x:v>
      </x:c>
      <x:c r="F3636" s="22" t="str">
        <x:f>"069.266.721-05"</x:f>
        <x:v>069.266.721-05</x:v>
      </x:c>
      <x:c r="G3636" s="22" t="str">
        <x:f>"06926672105"</x:f>
        <x:v>06926672105</x:v>
      </x:c>
      <x:c r="H3636" s="23" t="str">
        <x:v>Rodriguesvaldeniza89@gmail.co</x:v>
      </x:c>
      <x:c r="I3636" s="22" t="str">
        <x:f>"65 99925-7879"</x:f>
        <x:v>65 99925-7879</x:v>
      </x:c>
      <x:c r="J3636" s="23" t="str">
        <x:v>SPOT</x:v>
      </x:c>
      <x:c r="K3636" s="23" t="str">
        <x:v>favored_only</x:v>
      </x:c>
      <x:c r="L3636" s="24" t="b">
        <x:v>1</x:v>
      </x:c>
      <x:c r="M3636" s="23" t="n">
        <x:v>1</x:v>
      </x:c>
      <x:c r="N3636" s="28" t="n">
        <x:v>46219.812988715275</x:v>
      </x:c>
      <x:c r="O3636" s="28" t="n">
        <x:v>46219.812988715275</x:v>
      </x:c>
      <x:c r="P3636" s="23" t="str">
        <x:v>PONTES E LACERDA</x:v>
      </x:c>
      <x:c r="Q3636" s="30" t="n">
        <x:v>35805</x:v>
      </x:c>
      <x:c r="R3636" s="22" t="str">
        <x:f>"28502876"</x:f>
        <x:v>28502876</x:v>
      </x:c>
      <x:c r="S3636" s="23" t="str">
        <x:v>feminino</x:v>
      </x:c>
      <x:c r="T3636" s="22" t="str">
        <x:f>"APL2539"</x:f>
        <x:v>APL2539</x:v>
      </x:c>
      <x:c r="U3636" s="23" t="str">
        <x:v>THAYNA MARIA SOUZA DE ALMEIDA</x:v>
      </x:c>
      <x:c r="V3636" s="22" t="str">
        <x:f>"036.855.302-75"</x:f>
        <x:v>036.855.302-75</x:v>
      </x:c>
      <x:c r="W3636" s="22" t="str">
        <x:f>"03685530275"</x:f>
        <x:v>03685530275</x:v>
      </x:c>
      <x:c r="X3636" s="23" t="str">
        <x:v>thaynamariasouza31@gmail.com</x:v>
      </x:c>
      <x:c r="Y3636" s="22" t="str">
        <x:f>"+55 65 9800-5453"</x:f>
        <x:v>+55 65 9800-5453</x:v>
      </x:c>
      <x:c r="Z3636" s="30" t="n">
        <x:v>46502</x:v>
      </x:c>
    </x:row>
    <x:row r="3637" ht="18" customHeight="1">
      <x:c r="A3637" s="22" t="str">
        <x:f>"cf78faf2-2823-4053-b375-dcb82307891f"</x:f>
        <x:v>cf78faf2-2823-4053-b375-dcb82307891f</x:v>
      </x:c>
      <x:c r="B3637" s="23" t="str">
        <x:v>VALDETE VIRGINIO DA SILVA</x:v>
      </x:c>
      <x:c r="C3637" s="23" t="str">
        <x:v>valdete virginio da silva</x:v>
      </x:c>
      <x:c r="D3637" s="22" t="str">
        <x:f>"62.027.059/0001-20"</x:f>
        <x:v>62.027.059/0001-20</x:v>
      </x:c>
      <x:c r="E3637" s="22" t="str">
        <x:f>"62027059000120"</x:f>
        <x:v>62027059000120</x:v>
      </x:c>
      <x:c r="F3637" s="22" t="str">
        <x:f>"069.489.044-83"</x:f>
        <x:v>069.489.044-83</x:v>
      </x:c>
      <x:c r="G3637" s="22" t="str">
        <x:f>"06948904483"</x:f>
        <x:v>06948904483</x:v>
      </x:c>
      <x:c r="H3637" s="23" t="str">
        <x:v>valdete.virginio.poty@gmail.com</x:v>
      </x:c>
      <x:c r="I3637" s="22" t="str">
        <x:f>"17981683005"</x:f>
        <x:v>17981683005</x:v>
      </x:c>
      <x:c r="J3637" s="23" t="str">
        <x:v>SPOT</x:v>
      </x:c>
      <x:c r="K3637" s="23" t="str">
        <x:v>favored_only</x:v>
      </x:c>
      <x:c r="L3637" s="24" t="b">
        <x:v>1</x:v>
      </x:c>
      <x:c r="M3637" s="23" t="n">
        <x:v>1</x:v>
      </x:c>
      <x:c r="N3637" s="28" t="n">
        <x:v>46203.92186888889</x:v>
      </x:c>
      <x:c r="O3637" s="28" t="n">
        <x:v>46219.812988715275</x:v>
      </x:c>
      <x:c r="P3637" s="23" t="str">
        <x:v>SÃO JOSE DO RIO PRETO</x:v>
      </x:c>
      <x:c r="Q3637" s="30" t="n">
        <x:v>31881</x:v>
      </x:c>
      <x:c r="R3637" s="22" t="str">
        <x:f>"597278891"</x:f>
        <x:v>597278891</x:v>
      </x:c>
      <x:c r="S3637" s="23" t="str">
        <x:v>feminino</x:v>
      </x:c>
      <x:c r="T3637" s="22" t="str">
        <x:f>"FMW1A73"</x:f>
        <x:v>FMW1A73</x:v>
      </x:c>
      <x:c r="U3637" s="23" t="str">
        <x:v>VALDETE VIRGINIO DA SILVA</x:v>
      </x:c>
      <x:c r="V3637" s="22" t="str">
        <x:f>"069.489.044-83"</x:f>
        <x:v>069.489.044-83</x:v>
      </x:c>
      <x:c r="W3637" s="22" t="str">
        <x:f>"06948904483"</x:f>
        <x:v>06948904483</x:v>
      </x:c>
      <x:c r="X3637" s="23" t="str">
        <x:v>valdete.virginio.poty@gmail.com</x:v>
      </x:c>
      <x:c r="Y3637" s="22" t="str">
        <x:f>"17981683005"</x:f>
        <x:v>17981683005</x:v>
      </x:c>
      <x:c r="Z3637" s="30" t="n">
        <x:v>46289</x:v>
      </x:c>
    </x:row>
    <x:row r="3638" ht="18" customHeight="1">
      <x:c r="A3638" s="22" t="str">
        <x:f>"59ac35cb-56c6-4bc2-a09c-c3f9b71906f0"</x:f>
        <x:v>59ac35cb-56c6-4bc2-a09c-c3f9b71906f0</x:v>
      </x:c>
      <x:c r="B3638" s="23" t="str">
        <x:v>VALDEVINO ALVES BALDREZ</x:v>
      </x:c>
      <x:c r="C3638" s="23" t="str">
        <x:v>valdevino alves baldrez</x:v>
      </x:c>
      <x:c r="D3638" s="22" t="str">
        <x:f>"29.075.759/0001-15"</x:f>
        <x:v>29.075.759/0001-15</x:v>
      </x:c>
      <x:c r="E3638" s="22" t="str">
        <x:f>"29075759000115"</x:f>
        <x:v>29075759000115</x:v>
      </x:c>
      <x:c r="F3638" s="22" t="str">
        <x:f>"462.048.798-80"</x:f>
        <x:v>462.048.798-80</x:v>
      </x:c>
      <x:c r="G3638" s="22" t="str">
        <x:f>"46204879880"</x:f>
        <x:v>46204879880</x:v>
      </x:c>
      <x:c r="H3638" s="23" t="str">
        <x:v>valdevinoalvesbaldrez@gmail.com</x:v>
      </x:c>
      <x:c r="I3638" s="22" t="str">
        <x:f>"18 996808467"</x:f>
        <x:v>18 996808467</x:v>
      </x:c>
      <x:c r="J3638" s="23" t="str">
        <x:v>SPOT</x:v>
      </x:c>
      <x:c r="K3638" s="23" t="str">
        <x:v>favored_only</x:v>
      </x:c>
      <x:c r="L3638" s="24" t="b">
        <x:v>1</x:v>
      </x:c>
      <x:c r="M3638" s="23" t="n">
        <x:v>1</x:v>
      </x:c>
      <x:c r="N3638" s="28" t="n">
        <x:v>46203.921852962965</x:v>
      </x:c>
      <x:c r="O3638" s="28" t="n">
        <x:v>46219.812988715275</x:v>
      </x:c>
      <x:c r="P3638" s="23" t="str">
        <x:v>PRESIDENTE PRUDENTE</x:v>
      </x:c>
      <x:c r="Q3638" s="30" t="n">
        <x:v>35744</x:v>
      </x:c>
      <x:c r="R3638" s="22" t="str">
        <x:f>"42354016"</x:f>
        <x:v>42354016</x:v>
      </x:c>
      <x:c r="S3638" s="23" t="str">
        <x:v>masculino</x:v>
      </x:c>
      <x:c r="T3638" s="22" t="str">
        <x:f>"FQG3102"</x:f>
        <x:v>FQG3102</x:v>
      </x:c>
      <x:c r="U3638" s="23" t="str">
        <x:v>VALDEVINO ALVES BALDREZ</x:v>
      </x:c>
      <x:c r="V3638" s="22" t="str">
        <x:f>"462.048.798-80"</x:f>
        <x:v>462.048.798-80</x:v>
      </x:c>
      <x:c r="W3638" s="22" t="str">
        <x:f>"46204879880"</x:f>
        <x:v>46204879880</x:v>
      </x:c>
      <x:c r="X3638" s="23" t="str">
        <x:v>valdevinoalvesbaldrez@gmail.com</x:v>
      </x:c>
      <x:c r="Y3638" s="22" t="str">
        <x:f>"18 996808467"</x:f>
        <x:v>18 996808467</x:v>
      </x:c>
      <x:c r="Z3638" s="30" t="n">
        <x:v>46277</x:v>
      </x:c>
    </x:row>
    <x:row r="3639" ht="18" customHeight="1">
      <x:c r="A3639" s="22" t="str">
        <x:f>"6b5f8d80-c1ea-4a51-b9fe-5ff2be09b7e2"</x:f>
        <x:v>6b5f8d80-c1ea-4a51-b9fe-5ff2be09b7e2</x:v>
      </x:c>
      <x:c r="B3639" s="23" t="str">
        <x:v>VALDIMIIRO SANTOS SOARES DA SILVA</x:v>
      </x:c>
      <x:c r="C3639" s="23" t="str">
        <x:v>valdimiiro santos soares da silva</x:v>
      </x:c>
      <x:c r="D3639" s="22" t="str">
        <x:f>"25.297.964/0001-74"</x:f>
        <x:v>25.297.964/0001-74</x:v>
      </x:c>
      <x:c r="E3639" s="22" t="str">
        <x:f>"25297964000174"</x:f>
        <x:v>25297964000174</x:v>
      </x:c>
      <x:c r="F3639" s="22" t="str">
        <x:f>"130.475.366-27"</x:f>
        <x:v>130.475.366-27</x:v>
      </x:c>
      <x:c r="G3639" s="22" t="str">
        <x:f>"13047536627"</x:f>
        <x:v>13047536627</x:v>
      </x:c>
      <x:c r="H3639" s="23" t="str">
        <x:v>valdimirosilvasilva7@gmail.com</x:v>
      </x:c>
      <x:c r="I3639" s="22" t="str">
        <x:f>"035920011724"</x:f>
        <x:v>035920011724</x:v>
      </x:c>
      <x:c r="J3639" s="23" t="str">
        <x:v>SPOT</x:v>
      </x:c>
      <x:c r="K3639" s="23" t="str">
        <x:v>favored_only</x:v>
      </x:c>
      <x:c r="L3639" s="24" t="b">
        <x:v>1</x:v>
      </x:c>
      <x:c r="M3639" s="23" t="n">
        <x:v>1</x:v>
      </x:c>
      <x:c r="N3639" s="28" t="n">
        <x:v>46205.606381736114</x:v>
      </x:c>
      <x:c r="O3639" s="28" t="n">
        <x:v>46219.812988715275</x:v>
      </x:c>
      <x:c r="P3639" s="23" t="str">
        <x:v>GUAXUPE</x:v>
      </x:c>
      <x:c r="Q3639" s="30" t="n">
        <x:v>38112</x:v>
      </x:c>
      <x:c r="R3639" s="22" t="str">
        <x:f>"20680320"</x:f>
        <x:v>20680320</x:v>
      </x:c>
      <x:c r="S3639" s="23" t="str">
        <x:v>masculino</x:v>
      </x:c>
      <x:c r="T3639" s="22" t="str">
        <x:f>"PXR6B27"</x:f>
        <x:v>PXR6B27</x:v>
      </x:c>
      <x:c r="U3639" s="23" t="str">
        <x:v>FERNANDA CRISTINA DA SILVA RIBEIRO</x:v>
      </x:c>
      <x:c r="V3639" s="22" t="str">
        <x:f>"062.992.586-08"</x:f>
        <x:v>062.992.586-08</x:v>
      </x:c>
      <x:c r="W3639" s="22" t="str">
        <x:f>"06299258608"</x:f>
        <x:v>06299258608</x:v>
      </x:c>
      <x:c r="X3639" s="23" t="str">
        <x:v>fernandasilvaribeiro583@gmail.com</x:v>
      </x:c>
      <x:c r="Y3639" s="22" t="str">
        <x:f>"pidez 📦 +55"</x:f>
        <x:v>pidez 📦 +55</x:v>
      </x:c>
      <x:c r="Z3639" s="30" t="n">
        <x:v>46357</x:v>
      </x:c>
    </x:row>
    <x:row r="3640" ht="18" customHeight="1">
      <x:c r="A3640" s="22" t="str">
        <x:f>"96b8cf1c-ca84-4dd5-b5ef-0e0ae941d15d"</x:f>
        <x:v>96b8cf1c-ca84-4dd5-b5ef-0e0ae941d15d</x:v>
      </x:c>
      <x:c r="B3640" s="23" t="str">
        <x:v>VALDINEI APARECIDO MARINS</x:v>
      </x:c>
      <x:c r="C3640" s="23" t="str">
        <x:v>valdinei aparecido marins</x:v>
      </x:c>
      <x:c r="D3640" s="22" t="str">
        <x:f>"67.139.072/0001-95"</x:f>
        <x:v>67.139.072/0001-95</x:v>
      </x:c>
      <x:c r="E3640" s="22" t="str">
        <x:f>"67139072000195"</x:f>
        <x:v>67139072000195</x:v>
      </x:c>
      <x:c r="F3640" s="22" t="str">
        <x:f>"095.997.949-23"</x:f>
        <x:v>095.997.949-23</x:v>
      </x:c>
      <x:c r="G3640" s="22" t="str">
        <x:f>"09599794923"</x:f>
        <x:v>09599794923</x:v>
      </x:c>
      <x:c r="H3640" s="23" t="str">
        <x:v>valdineiaparecidomarins@gmail.com</x:v>
      </x:c>
      <x:c r="I3640" s="22" t="str">
        <x:f>"16992111389"</x:f>
        <x:v>16992111389</x:v>
      </x:c>
      <x:c r="J3640" s="23" t="str">
        <x:v>SPOT</x:v>
      </x:c>
      <x:c r="K3640" s="23" t="str">
        <x:v>favored_only</x:v>
      </x:c>
      <x:c r="L3640" s="24" t="b">
        <x:v>1</x:v>
      </x:c>
      <x:c r="M3640" s="23" t="n">
        <x:v>1</x:v>
      </x:c>
      <x:c r="N3640" s="28" t="n">
        <x:v>46219.812988715275</x:v>
      </x:c>
      <x:c r="O3640" s="28" t="n">
        <x:v>46219.812988715275</x:v>
      </x:c>
      <x:c r="P3640" s="23" t="str">
        <x:v>SÃO CARLOS</x:v>
      </x:c>
      <x:c r="Q3640" s="30" t="n">
        <x:v>34511</x:v>
      </x:c>
      <x:c r="R3640" s="22" t="str">
        <x:f>"586683008"</x:f>
        <x:v>586683008</x:v>
      </x:c>
      <x:c r="S3640" s="23" t="str">
        <x:v>masculino</x:v>
      </x:c>
      <x:c r="T3640" s="22" t="str">
        <x:f>"FCK3808"</x:f>
        <x:v>FCK3808</x:v>
      </x:c>
      <x:c r="U3640" s="23" t="str">
        <x:v>VALDINEI APARECIDO MARINS</x:v>
      </x:c>
      <x:c r="V3640" s="22" t="str">
        <x:f>"095.997.949-23"</x:f>
        <x:v>095.997.949-23</x:v>
      </x:c>
      <x:c r="W3640" s="22" t="str">
        <x:f>"09599794923"</x:f>
        <x:v>09599794923</x:v>
      </x:c>
      <x:c r="X3640" s="23" t="str">
        <x:v>valdineiaparecidomarins@gmail.com</x:v>
      </x:c>
      <x:c r="Y3640" s="22" t="str">
        <x:f>"16992111389"</x:f>
        <x:v>16992111389</x:v>
      </x:c>
      <x:c r="Z3640" s="30" t="n">
        <x:v>46553</x:v>
      </x:c>
    </x:row>
    <x:row r="3641" ht="18" customHeight="1">
      <x:c r="A3641" s="22" t="str">
        <x:f>"76444b9a-af1a-4da0-8cd9-a7957eeeff1c"</x:f>
        <x:v>76444b9a-af1a-4da0-8cd9-a7957eeeff1c</x:v>
      </x:c>
      <x:c r="B3641" s="23" t="str">
        <x:v>VALDINEI RODRIGUES DE OLIVEIRA</x:v>
      </x:c>
      <x:c r="C3641" s="23" t="str">
        <x:v>valdinei rodrigues de oliveira</x:v>
      </x:c>
      <x:c r="D3641" s="22" t="str">
        <x:f>"59.288.518/0001-15"</x:f>
        <x:v>59.288.518/0001-15</x:v>
      </x:c>
      <x:c r="E3641" s="22" t="str">
        <x:f>"59288518000115"</x:f>
        <x:v>59288518000115</x:v>
      </x:c>
      <x:c r="F3641" s="22" t="str">
        <x:f>"957.461.611-87"</x:f>
        <x:v>957.461.611-87</x:v>
      </x:c>
      <x:c r="G3641" s="22" t="str">
        <x:f>"95746161187"</x:f>
        <x:v>95746161187</x:v>
      </x:c>
      <x:c r="H3641" s="23" t="str">
        <x:v>valdineirodrigues00@gmail.com</x:v>
      </x:c>
      <x:c r="I3641" s="22" t="str">
        <x:f>"62986362111"</x:f>
        <x:v>62986362111</x:v>
      </x:c>
      <x:c r="J3641" s="23" t="str">
        <x:v>SPOT</x:v>
      </x:c>
      <x:c r="K3641" s="23" t="str">
        <x:v>favored_only</x:v>
      </x:c>
      <x:c r="L3641" s="24" t="b">
        <x:v>1</x:v>
      </x:c>
      <x:c r="M3641" s="23" t="n">
        <x:v>1</x:v>
      </x:c>
      <x:c r="N3641" s="28" t="n">
        <x:v>46205.60302883102</x:v>
      </x:c>
      <x:c r="O3641" s="28" t="n">
        <x:v>46219.812988715275</x:v>
      </x:c>
      <x:c r="P3641" s="23" t="str">
        <x:v>GOIANIA</x:v>
      </x:c>
      <x:c r="Q3641" s="30" t="n">
        <x:v>27285</x:v>
      </x:c>
      <x:c r="R3641" s="22" t="str">
        <x:f>"3275448"</x:f>
        <x:v>3275448</x:v>
      </x:c>
      <x:c r="S3641" s="23" t="str">
        <x:v>masculino</x:v>
      </x:c>
      <x:c r="T3641" s="22" t="str">
        <x:f>"DYF-4I40"</x:f>
        <x:v>DYF-4I40</x:v>
      </x:c>
      <x:c r="U3641" s="23" t="str">
        <x:v>ELIZANDRA QUIXABA DA SILVA</x:v>
      </x:c>
      <x:c r="V3641" s="22" t="str">
        <x:f>"979.584.681-72"</x:f>
        <x:v>979.584.681-72</x:v>
      </x:c>
      <x:c r="W3641" s="22" t="str">
        <x:f>"97958468172"</x:f>
        <x:v>97958468172</x:v>
      </x:c>
      <x:c r="X3641" s="23" t="str">
        <x:v>elizandraquixaba2017@gmail.com</x:v>
      </x:c>
      <x:c r="Y3641" s="22" t="str">
        <x:f>"62986362111"</x:f>
        <x:v>62986362111</x:v>
      </x:c>
      <x:c r="Z3641" s="30" t="n">
        <x:v>46318</x:v>
      </x:c>
    </x:row>
    <x:row r="3642" ht="18" customHeight="1">
      <x:c r="A3642" s="22" t="str">
        <x:f>"954e44ca-39bd-4b25-8cc3-558fd7b54ada"</x:f>
        <x:v>954e44ca-39bd-4b25-8cc3-558fd7b54ada</x:v>
      </x:c>
      <x:c r="B3642" s="23" t="str">
        <x:v>VALDINEY QUEIROZ AZEVEDO</x:v>
      </x:c>
      <x:c r="C3642" s="23" t="str">
        <x:v>valdiney queiroz azevedo</x:v>
      </x:c>
      <x:c r="D3642" s="22" t="str">
        <x:f>"65.807.812/0001-99"</x:f>
        <x:v>65.807.812/0001-99</x:v>
      </x:c>
      <x:c r="E3642" s="22" t="str">
        <x:f>"65807812000199"</x:f>
        <x:v>65807812000199</x:v>
      </x:c>
      <x:c r="F3642" s="22" t="str">
        <x:f>"121.043.406-75"</x:f>
        <x:v>121.043.406-75</x:v>
      </x:c>
      <x:c r="G3642" s="22" t="str">
        <x:f>"12104340675"</x:f>
        <x:v>12104340675</x:v>
      </x:c>
      <x:c r="H3642" s="23" t="str">
        <x:v>neyy.22@hotmail.com</x:v>
      </x:c>
      <x:c r="I3642" s="22" t="str">
        <x:f>"(31) 99149-5540"</x:f>
        <x:v>(31) 99149-5540</x:v>
      </x:c>
      <x:c r="J3642" s="23" t="str">
        <x:v>SPOT</x:v>
      </x:c>
      <x:c r="K3642" s="23" t="str">
        <x:v>favored_only</x:v>
      </x:c>
      <x:c r="L3642" s="24" t="b">
        <x:v>1</x:v>
      </x:c>
      <x:c r="M3642" s="23" t="n">
        <x:v>1</x:v>
      </x:c>
      <x:c r="N3642" s="28" t="n">
        <x:v>46219.812988715275</x:v>
      </x:c>
      <x:c r="O3642" s="28" t="n">
        <x:v>46219.812988715275</x:v>
      </x:c>
      <x:c r="P3642" s="23" t="str">
        <x:v>VESPASIANO</x:v>
      </x:c>
      <x:c r="Q3642" s="30" t="n">
        <x:v>34237</x:v>
      </x:c>
      <x:c r="R3642" s="22" t="str">
        <x:f>"MG-13.168.047"</x:f>
        <x:v>MG-13.168.047</x:v>
      </x:c>
      <x:c r="S3642" s="23" t="str">
        <x:v>masculino</x:v>
      </x:c>
      <x:c r="T3642" s="22" t="str">
        <x:f>"RHD0G48"</x:f>
        <x:v>RHD0G48</x:v>
      </x:c>
      <x:c r="U3642" s="23" t="str">
        <x:v>VALDINEY QUEIROZ AZEVEDO</x:v>
      </x:c>
      <x:c r="V3642" s="22" t="str">
        <x:f>"121.043.406-75"</x:f>
        <x:v>121.043.406-75</x:v>
      </x:c>
      <x:c r="W3642" s="22" t="str">
        <x:f>"12104340675"</x:f>
        <x:v>12104340675</x:v>
      </x:c>
      <x:c r="X3642" s="23" t="str">
        <x:v>neyy.22@hotmail.com</x:v>
      </x:c>
      <x:c r="Y3642" s="22" t="str">
        <x:f>"(31) 99149-5540"</x:f>
        <x:v>(31) 99149-5540</x:v>
      </x:c>
      <x:c r="Z3642" s="30" t="n">
        <x:v>46490</x:v>
      </x:c>
    </x:row>
    <x:row r="3643" ht="18" customHeight="1">
      <x:c r="A3643" s="22" t="str">
        <x:f>"360a9f55-8797-427c-b7f3-2cf34be4cfd5"</x:f>
        <x:v>360a9f55-8797-427c-b7f3-2cf34be4cfd5</x:v>
      </x:c>
      <x:c r="B3643" s="23" t="str">
        <x:v>VALDIRENE XAVIER DOS REIS VARGAS</x:v>
      </x:c>
      <x:c r="C3643" s="23" t="str">
        <x:v>valdirene xavier dos reis vargas</x:v>
      </x:c>
      <x:c r="D3643" s="22" t="str">
        <x:f>"41.969.701/0001-10"</x:f>
        <x:v>41.969.701/0001-10</x:v>
      </x:c>
      <x:c r="E3643" s="22" t="str">
        <x:f>"41969701000110"</x:f>
        <x:v>41969701000110</x:v>
      </x:c>
      <x:c r="F3643" s="22" t="str">
        <x:f>"527.153.881-87"</x:f>
        <x:v>527.153.881-87</x:v>
      </x:c>
      <x:c r="G3643" s="22" t="str">
        <x:f>"52715388187"</x:f>
        <x:v>52715388187</x:v>
      </x:c>
      <x:c r="H3643" s="23" t="str">
        <x:v>valfeliz123@hotmail.com</x:v>
      </x:c>
      <x:c r="I3643" s="22" t="str">
        <x:f>"6293782323"</x:f>
        <x:v>6293782323</x:v>
      </x:c>
      <x:c r="J3643" s="23" t="str">
        <x:v>SPOT</x:v>
      </x:c>
      <x:c r="K3643" s="23" t="str">
        <x:v>favored_only</x:v>
      </x:c>
      <x:c r="L3643" s="24" t="b">
        <x:v>1</x:v>
      </x:c>
      <x:c r="M3643" s="23" t="n">
        <x:v>1</x:v>
      </x:c>
      <x:c r="N3643" s="28" t="n">
        <x:v>46219.812988715275</x:v>
      </x:c>
      <x:c r="O3643" s="28" t="n">
        <x:v>46219.812988715275</x:v>
      </x:c>
      <x:c r="P3643" s="23" t="str">
        <x:v>MOZARLANDIA</x:v>
      </x:c>
      <x:c r="Q3643" s="30" t="n">
        <x:v>26474</x:v>
      </x:c>
      <x:c r="R3643" s="22" t="str">
        <x:f>"2929025"</x:f>
        <x:v>2929025</x:v>
      </x:c>
      <x:c r="S3643" s="23" t="str">
        <x:v>feminino</x:v>
      </x:c>
      <x:c r="T3643" s="22" t="str">
        <x:f>"JHF2E42"</x:f>
        <x:v>JHF2E42</x:v>
      </x:c>
      <x:c r="U3643" s="23" t="str">
        <x:v>RODRIGO GOMES VARGAS LTDA</x:v>
      </x:c>
      <x:c r="V3643" s="22" t="str">
        <x:f>"735.317.152-91"</x:f>
        <x:v>735.317.152-91</x:v>
      </x:c>
      <x:c r="W3643" s="22" t="str">
        <x:f>"73531715291"</x:f>
        <x:v>73531715291</x:v>
      </x:c>
      <x:c r="X3643" s="23" t="str">
        <x:v>rodrigovargasmecanivo@gmail.com</x:v>
      </x:c>
      <x:c r="Y3643" s="22" t="str">
        <x:f>"62991803500"</x:f>
        <x:v>62991803500</x:v>
      </x:c>
      <x:c r="Z3643" s="30" t="n">
        <x:v>46546</x:v>
      </x:c>
    </x:row>
    <x:row r="3644" ht="18" customHeight="1">
      <x:c r="A3644" s="22" t="str">
        <x:f>"be28cc1d-7fd0-417d-b995-70e190fa3961"</x:f>
        <x:v>be28cc1d-7fd0-417d-b995-70e190fa3961</x:v>
      </x:c>
      <x:c r="B3644" s="23" t="str">
        <x:v>VALDIRENE XAVIER DOS REIS VARGAS</x:v>
      </x:c>
      <x:c r="C3644" s="23" t="str">
        <x:v>valdirene xavier dos reis vargas</x:v>
      </x:c>
      <x:c r="D3644" s="22" t="str">
        <x:f>"04.196.970/1000-10"</x:f>
        <x:v>04.196.970/1000-10</x:v>
      </x:c>
      <x:c r="E3644" s="22" t="str">
        <x:f>"04196970100010"</x:f>
        <x:v>04196970100010</x:v>
      </x:c>
      <x:c r="F3644" s="22" t="str">
        <x:f>"527.153.881-87"</x:f>
        <x:v>527.153.881-87</x:v>
      </x:c>
      <x:c r="G3644" s="22" t="str">
        <x:f>"52715388187"</x:f>
        <x:v>52715388187</x:v>
      </x:c>
      <x:c r="H3644" s="23" t="str">
        <x:v>valfeliz123@hotmail.com</x:v>
      </x:c>
      <x:c r="I3644" s="22" t="str">
        <x:f>"6293782323"</x:f>
        <x:v>6293782323</x:v>
      </x:c>
      <x:c r="J3644" s="23" t="str">
        <x:v>spot</x:v>
      </x:c>
      <x:c r="K3644" s="23" t="str">
        <x:v>favored_only</x:v>
      </x:c>
      <x:c r="L3644" s="24" t="b">
        <x:v>1</x:v>
      </x:c>
      <x:c r="M3644" s="23" t="n">
        <x:v>1</x:v>
      </x:c>
      <x:c r="N3644" s="28" t="n">
        <x:v>46219.812988715275</x:v>
      </x:c>
      <x:c r="O3644" s="28" t="n">
        <x:v>46219.812988715275</x:v>
      </x:c>
      <x:c r="P3644" s="23" t="str">
        <x:v>MOZARLANDIA</x:v>
      </x:c>
      <x:c r="Q3644" s="30" t="n">
        <x:v>26474</x:v>
      </x:c>
      <x:c r="R3644" s="22" t="str">
        <x:f>"2929025"</x:f>
        <x:v>2929025</x:v>
      </x:c>
      <x:c r="S3644" s="23" t="str">
        <x:v>feminino</x:v>
      </x:c>
      <x:c r="T3644" s="22" t="str">
        <x:f>"RTR2D57"</x:f>
        <x:v>RTR2D57</x:v>
      </x:c>
      <x:c r="U3644" s="23" t="str">
        <x:v>RODRIGO GOMES VARGAS LTDA</x:v>
      </x:c>
      <x:c r="V3644" s="22" t="str">
        <x:f>"735.317.152-91"</x:f>
        <x:v>735.317.152-91</x:v>
      </x:c>
      <x:c r="W3644" s="22" t="str">
        <x:f>"73531715291"</x:f>
        <x:v>73531715291</x:v>
      </x:c>
      <x:c r="X3644" s="23" t="str">
        <x:v>rodrigovargasmecanivo@gmail.com</x:v>
      </x:c>
      <x:c r="Y3644" s="22" t="str">
        <x:f>"6299803500"</x:f>
        <x:v>6299803500</x:v>
      </x:c>
      <x:c r="Z3644" s="30" t="n">
        <x:v>46546</x:v>
      </x:c>
    </x:row>
    <x:row r="3645" ht="18" customHeight="1">
      <x:c r="A3645" s="22" t="str">
        <x:f>"1b4155c1-fa0c-4c97-ac7f-8a5c75c65cf8"</x:f>
        <x:v>1b4155c1-fa0c-4c97-ac7f-8a5c75c65cf8</x:v>
      </x:c>
      <x:c r="B3645" s="23" t="str">
        <x:v>VALDIR MENEGASSI FERREIRA</x:v>
      </x:c>
      <x:c r="C3645" s="23" t="str">
        <x:v>valdir menegassi ferreira</x:v>
      </x:c>
      <x:c r="D3645" s="22" t="str">
        <x:f>"37.823.997/0001-90"</x:f>
        <x:v>37.823.997/0001-90</x:v>
      </x:c>
      <x:c r="E3645" s="22" t="str">
        <x:f>"37823997000190"</x:f>
        <x:v>37823997000190</x:v>
      </x:c>
      <x:c r="F3645" s="22" t="str">
        <x:f>"816.133.699-72"</x:f>
        <x:v>816.133.699-72</x:v>
      </x:c>
      <x:c r="G3645" s="22" t="str">
        <x:f>"81613369972"</x:f>
        <x:v>81613369972</x:v>
      </x:c>
      <x:c r="H3645" s="23" t="str">
        <x:v>valdirmenegassi545@gmail.com</x:v>
      </x:c>
      <x:c r="I3645" s="22" t="str">
        <x:f>"65999522959"</x:f>
        <x:v>65999522959</x:v>
      </x:c>
      <x:c r="J3645" s="23" t="str">
        <x:v>SPOT</x:v>
      </x:c>
      <x:c r="K3645" s="23" t="str">
        <x:v>favored_only</x:v>
      </x:c>
      <x:c r="L3645" s="24" t="b">
        <x:v>1</x:v>
      </x:c>
      <x:c r="M3645" s="23" t="n">
        <x:v>1</x:v>
      </x:c>
      <x:c r="N3645" s="28" t="n">
        <x:v>46205.60489681713</x:v>
      </x:c>
      <x:c r="O3645" s="28" t="n">
        <x:v>46219.812988715275</x:v>
      </x:c>
      <x:c r="P3645" s="23" t="str">
        <x:v>PONTES E LACERDA</x:v>
      </x:c>
      <x:c r="Q3645" s="30" t="n">
        <x:v>25016</x:v>
      </x:c>
      <x:c r="R3645" s="22" t="str">
        <x:f>"15149030"</x:f>
        <x:v>15149030</x:v>
      </x:c>
      <x:c r="S3645" s="23" t="str">
        <x:v>masculino</x:v>
      </x:c>
      <x:c r="T3645" s="22" t="str">
        <x:f>"MWZ1660"</x:f>
        <x:v>MWZ1660</x:v>
      </x:c>
      <x:c r="U3645" s="23" t="str">
        <x:v>DANILLO BACIEL ALMEIDA</x:v>
      </x:c>
      <x:c r="V3645" s="22" t="str">
        <x:f>"038.768.901-01"</x:f>
        <x:v>038.768.901-01</x:v>
      </x:c>
      <x:c r="W3645" s="22" t="str">
        <x:f>"03876890101"</x:f>
        <x:v>03876890101</x:v>
      </x:c>
      <x:c r="X3645" s="23" t="str">
        <x:v>rtp.cargas@gmail.com</x:v>
      </x:c>
      <x:c r="Y3645" s="22" t="str">
        <x:f>"62991277279"</x:f>
        <x:v>62991277279</x:v>
      </x:c>
      <x:c r="Z3645" s="30" t="n">
        <x:v>46301</x:v>
      </x:c>
    </x:row>
    <x:row r="3646" ht="18" customHeight="1">
      <x:c r="A3646" s="22" t="str">
        <x:f>"1753489b-f1af-41ed-be3e-1ef80e70470c"</x:f>
        <x:v>1753489b-f1af-41ed-be3e-1ef80e70470c</x:v>
      </x:c>
      <x:c r="B3646" s="23" t="str">
        <x:v>VALDIVINO LUIZ MENDES</x:v>
      </x:c>
      <x:c r="C3646" s="23" t="str">
        <x:v>valdivino luiz mendes</x:v>
      </x:c>
      <x:c r="D3646" s="22" t="str">
        <x:f>"46.935.907/0001-43"</x:f>
        <x:v>46.935.907/0001-43</x:v>
      </x:c>
      <x:c r="E3646" s="22" t="str">
        <x:f>"46935907000143"</x:f>
        <x:v>46935907000143</x:v>
      </x:c>
      <x:c r="F3646" s="22" t="str">
        <x:f>"109.834.726-96"</x:f>
        <x:v>109.834.726-96</x:v>
      </x:c>
      <x:c r="G3646" s="22" t="str">
        <x:f>"10983472696"</x:f>
        <x:v>10983472696</x:v>
      </x:c>
      <x:c r="H3646" s="23" t="str">
        <x:v>valdivinomendes775@gmai.com</x:v>
      </x:c>
      <x:c r="I3646" s="22" t="str">
        <x:f>"31984362956"</x:f>
        <x:v>31984362956</x:v>
      </x:c>
      <x:c r="J3646" s="23" t="str">
        <x:v>SPOT</x:v>
      </x:c>
      <x:c r="K3646" s="23" t="str">
        <x:v>favored_only</x:v>
      </x:c>
      <x:c r="L3646" s="24" t="b">
        <x:v>1</x:v>
      </x:c>
      <x:c r="M3646" s="23" t="n">
        <x:v>1</x:v>
      </x:c>
      <x:c r="N3646" s="28" t="n">
        <x:v>46205.60101032408</x:v>
      </x:c>
      <x:c r="O3646" s="28" t="n">
        <x:v>46219.812988715275</x:v>
      </x:c>
      <x:c r="P3646" s="23" t="str">
        <x:v>CONCEIÇÃO DO MATO DENTRO</x:v>
      </x:c>
      <x:c r="Q3646" s="30" t="n">
        <x:v>32264</x:v>
      </x:c>
      <x:c r="R3646" s="22" t="str">
        <x:f>"17704688"</x:f>
        <x:v>17704688</x:v>
      </x:c>
      <x:c r="S3646" s="23" t="str">
        <x:v>masculino</x:v>
      </x:c>
      <x:c r="T3646" s="22" t="str">
        <x:f>"PXL6326"</x:f>
        <x:v>PXL6326</x:v>
      </x:c>
      <x:c r="U3646" s="23" t="str">
        <x:v>JULIENE VALADARES DA SILVA BARROS</x:v>
      </x:c>
      <x:c r="V3646" s="22" t="str">
        <x:f>"876.101.246-72"</x:f>
        <x:v>876.101.246-72</x:v>
      </x:c>
      <x:c r="W3646" s="22" t="str">
        <x:f>"87610124672"</x:f>
        <x:v>87610124672</x:v>
      </x:c>
      <x:c r="X3646" s="23" t="str">
        <x:v>julienevaladares@hotmail.com</x:v>
      </x:c>
      <x:c r="Y3646" s="22" t="str">
        <x:f>"33999443261"</x:f>
        <x:v>33999443261</x:v>
      </x:c>
      <x:c r="Z3646" s="30" t="n">
        <x:v>46309</x:v>
      </x:c>
    </x:row>
    <x:row r="3647" ht="18" customHeight="1">
      <x:c r="A3647" s="22" t="str">
        <x:f>"c2a0f6b8-daf5-4867-a4ea-6e94592e85ec"</x:f>
        <x:v>c2a0f6b8-daf5-4867-a4ea-6e94592e85ec</x:v>
      </x:c>
      <x:c r="B3647" s="23" t="str">
        <x:v>VALERIA KARLA GONCALVES SANTOS</x:v>
      </x:c>
      <x:c r="C3647" s="23" t="str">
        <x:v>valeria karla goncalves santos</x:v>
      </x:c>
      <x:c r="D3647" s="22" t="str">
        <x:f>"54.220.095/0001-88"</x:f>
        <x:v>54.220.095/0001-88</x:v>
      </x:c>
      <x:c r="E3647" s="22" t="str">
        <x:f>"54220095000188"</x:f>
        <x:v>54220095000188</x:v>
      </x:c>
      <x:c r="F3647" s="22" t="str">
        <x:f>"072.437.616-07"</x:f>
        <x:v>072.437.616-07</x:v>
      </x:c>
      <x:c r="G3647" s="22" t="str">
        <x:f>"07243761607"</x:f>
        <x:v>07243761607</x:v>
      </x:c>
      <x:c r="H3647" s="23" t="str">
        <x:v>karladierry@hotmail.com</x:v>
      </x:c>
      <x:c r="I3647" s="22" t="str">
        <x:f>"31 7108-2688"</x:f>
        <x:v>31 7108-2688</x:v>
      </x:c>
      <x:c r="J3647" s="23" t="str">
        <x:v>SPOT</x:v>
      </x:c>
      <x:c r="K3647" s="23" t="str">
        <x:v>favored_only</x:v>
      </x:c>
      <x:c r="L3647" s="24" t="b">
        <x:v>1</x:v>
      </x:c>
      <x:c r="M3647" s="23" t="n">
        <x:v>1</x:v>
      </x:c>
      <x:c r="N3647" s="28" t="n">
        <x:v>46203.92183332176</x:v>
      </x:c>
      <x:c r="O3647" s="28" t="n">
        <x:v>46203.92183332176</x:v>
      </x:c>
      <x:c r="P3647" s="23" t="str"/>
      <x:c r="Q3647" s="30" t="str"/>
      <x:c r="R3647" s="22" t="str"/>
      <x:c r="S3647" s="23" t="str"/>
      <x:c r="T3647" s="22" t="str"/>
      <x:c r="U3647" s="23" t="str">
        <x:v>VALERIA KARLA GONCALVES SANTOS</x:v>
      </x:c>
      <x:c r="V3647" s="22" t="str">
        <x:f>"072.437.616-07"</x:f>
        <x:v>072.437.616-07</x:v>
      </x:c>
      <x:c r="W3647" s="22" t="str">
        <x:f>"07243761607"</x:f>
        <x:v>07243761607</x:v>
      </x:c>
      <x:c r="X3647" s="23" t="str">
        <x:v>karladierry@hotmail.com</x:v>
      </x:c>
      <x:c r="Y3647" s="22" t="str">
        <x:f>"31 7108-2688"</x:f>
        <x:v>31 7108-2688</x:v>
      </x:c>
      <x:c r="Z3647" s="30" t="str"/>
    </x:row>
    <x:row r="3648" ht="18" customHeight="1">
      <x:c r="A3648" s="22" t="str">
        <x:f>"75a691ef-c958-40c4-9024-926a42ddaea6"</x:f>
        <x:v>75a691ef-c958-40c4-9024-926a42ddaea6</x:v>
      </x:c>
      <x:c r="B3648" s="23" t="str">
        <x:v>VALMIR CERQUEIRA DOS SANTOS</x:v>
      </x:c>
      <x:c r="C3648" s="23" t="str">
        <x:v>valmir cerqueira dos santos</x:v>
      </x:c>
      <x:c r="D3648" s="22" t="str">
        <x:f>"37.823.997/0001-90"</x:f>
        <x:v>37.823.997/0001-90</x:v>
      </x:c>
      <x:c r="E3648" s="22" t="str">
        <x:f>"37823997000190"</x:f>
        <x:v>37823997000190</x:v>
      </x:c>
      <x:c r="F3648" s="22" t="str">
        <x:f>"832.698.511-20"</x:f>
        <x:v>832.698.511-20</x:v>
      </x:c>
      <x:c r="G3648" s="22" t="str">
        <x:f>"83269851120"</x:f>
        <x:v>83269851120</x:v>
      </x:c>
      <x:c r="H3648" s="23" t="str">
        <x:v>valmircerqueirasantos@gmail.com</x:v>
      </x:c>
      <x:c r="I3648" s="22" t="str">
        <x:f>"61 8287-9922"</x:f>
        <x:v>61 8287-9922</x:v>
      </x:c>
      <x:c r="J3648" s="23" t="str">
        <x:v>SPOT</x:v>
      </x:c>
      <x:c r="K3648" s="23" t="str">
        <x:v>favored_only</x:v>
      </x:c>
      <x:c r="L3648" s="24" t="b">
        <x:v>1</x:v>
      </x:c>
      <x:c r="M3648" s="23" t="n">
        <x:v>1</x:v>
      </x:c>
      <x:c r="N3648" s="28" t="n">
        <x:v>46205.60464754629</x:v>
      </x:c>
      <x:c r="O3648" s="28" t="n">
        <x:v>46219.812988715275</x:v>
      </x:c>
      <x:c r="P3648" s="23" t="str">
        <x:v>MINAÇU</x:v>
      </x:c>
      <x:c r="Q3648" s="30" t="n">
        <x:v>28236</x:v>
      </x:c>
      <x:c r="R3648" s="22" t="str">
        <x:f>"4331683"</x:f>
        <x:v>4331683</x:v>
      </x:c>
      <x:c r="S3648" s="23" t="str">
        <x:v>masculino</x:v>
      </x:c>
      <x:c r="T3648" s="22" t="str">
        <x:f>"RBU1I02"</x:f>
        <x:v>RBU1I02</x:v>
      </x:c>
      <x:c r="U3648" s="23" t="str">
        <x:v>DANILLO BACIEL ALMEIDA</x:v>
      </x:c>
      <x:c r="V3648" s="22" t="str">
        <x:f>"962.005.291-91"</x:f>
        <x:v>962.005.291-91</x:v>
      </x:c>
      <x:c r="W3648" s="22" t="str">
        <x:f>"96200529191"</x:f>
        <x:v>96200529191</x:v>
      </x:c>
      <x:c r="X3648" s="23" t="str">
        <x:v>RPT.cargas@gmail.com</x:v>
      </x:c>
      <x:c r="Y3648" s="22" t="str">
        <x:f>"(62) 99661-0607"</x:f>
        <x:v>(62) 99661-0607</x:v>
      </x:c>
      <x:c r="Z3648" s="30" t="n">
        <x:v>46288</x:v>
      </x:c>
    </x:row>
    <x:row r="3649" ht="18" customHeight="1">
      <x:c r="A3649" s="22" t="str">
        <x:f>"9ed644d3-8b24-4be8-a495-bb6980fa6412"</x:f>
        <x:v>9ed644d3-8b24-4be8-a495-bb6980fa6412</x:v>
      </x:c>
      <x:c r="B3649" s="23" t="str">
        <x:v>VALMIR DE SOUZA CAMPOS</x:v>
      </x:c>
      <x:c r="C3649" s="23" t="str">
        <x:v>valmir de souza campos</x:v>
      </x:c>
      <x:c r="D3649" s="22" t="str">
        <x:f>"62.001.585/0001-11"</x:f>
        <x:v>62.001.585/0001-11</x:v>
      </x:c>
      <x:c r="E3649" s="22" t="str">
        <x:f>"62001585000111"</x:f>
        <x:v>62001585000111</x:v>
      </x:c>
      <x:c r="F3649" s="22" t="str">
        <x:f>"336.980.738-62"</x:f>
        <x:v>336.980.738-62</x:v>
      </x:c>
      <x:c r="G3649" s="22" t="str">
        <x:f>"33698073862"</x:f>
        <x:v>33698073862</x:v>
      </x:c>
      <x:c r="H3649" s="23" t="str">
        <x:v>campossoza23@gmail.com</x:v>
      </x:c>
      <x:c r="I3649" s="22" t="str">
        <x:f>"1798199874"</x:f>
        <x:v>1798199874</x:v>
      </x:c>
      <x:c r="J3649" s="23" t="str">
        <x:v>SPOT</x:v>
      </x:c>
      <x:c r="K3649" s="23" t="str">
        <x:v>favored_only</x:v>
      </x:c>
      <x:c r="L3649" s="24" t="b">
        <x:v>1</x:v>
      </x:c>
      <x:c r="M3649" s="23" t="n">
        <x:v>1</x:v>
      </x:c>
      <x:c r="N3649" s="28" t="n">
        <x:v>46203.921852962965</x:v>
      </x:c>
      <x:c r="O3649" s="28" t="n">
        <x:v>46219.812988715275</x:v>
      </x:c>
      <x:c r="P3649" s="23" t="str">
        <x:v>SÃO JOSE DO RIO PRETO</x:v>
      </x:c>
      <x:c r="Q3649" s="30" t="n">
        <x:v>35475</x:v>
      </x:c>
      <x:c r="R3649" s="22" t="str">
        <x:f>"43432211"</x:f>
        <x:v>43432211</x:v>
      </x:c>
      <x:c r="S3649" s="23" t="str">
        <x:v>masculino</x:v>
      </x:c>
      <x:c r="T3649" s="22" t="str">
        <x:f>"DRJ2H32"</x:f>
        <x:v>DRJ2H32</x:v>
      </x:c>
      <x:c r="U3649" s="23" t="str">
        <x:v>VALMIR DE SOUZA CAMPOS</x:v>
      </x:c>
      <x:c r="V3649" s="22" t="str">
        <x:f>"336.980.738-62"</x:f>
        <x:v>336.980.738-62</x:v>
      </x:c>
      <x:c r="W3649" s="22" t="str">
        <x:f>"33698073862"</x:f>
        <x:v>33698073862</x:v>
      </x:c>
      <x:c r="X3649" s="23" t="str">
        <x:v>campossoza23@gmail.com</x:v>
      </x:c>
      <x:c r="Y3649" s="22" t="str">
        <x:f>"1798199874"</x:f>
        <x:v>1798199874</x:v>
      </x:c>
      <x:c r="Z3649" s="30" t="n">
        <x:v>46277</x:v>
      </x:c>
    </x:row>
    <x:row r="3650" ht="18" customHeight="1">
      <x:c r="A3650" s="22" t="str">
        <x:f>"a48e1518-75d6-4944-a04b-46006d51cf07"</x:f>
        <x:v>a48e1518-75d6-4944-a04b-46006d51cf07</x:v>
      </x:c>
      <x:c r="B3650" s="23" t="str">
        <x:v>VALQUIRIA DE OLIVEIRA BOMFIM PINHEIRO</x:v>
      </x:c>
      <x:c r="C3650" s="23" t="str">
        <x:v>valquiria de oliveira bomfim pinheiro</x:v>
      </x:c>
      <x:c r="D3650" s="22" t="str">
        <x:f>"45.552.178/0001-83"</x:f>
        <x:v>45.552.178/0001-83</x:v>
      </x:c>
      <x:c r="E3650" s="22" t="str">
        <x:f>"45552178000183"</x:f>
        <x:v>45552178000183</x:v>
      </x:c>
      <x:c r="F3650" s="22" t="str">
        <x:f>"440.335.326-68"</x:f>
        <x:v>440.335.326-68</x:v>
      </x:c>
      <x:c r="G3650" s="22" t="str">
        <x:f>"44033532668"</x:f>
        <x:v>44033532668</x:v>
      </x:c>
      <x:c r="H3650" s="23" t="str">
        <x:v>valquiria02oliveira@gmail.com</x:v>
      </x:c>
      <x:c r="I3650" s="22" t="str">
        <x:f>"35-99854-1321"</x:f>
        <x:v>35-99854-1321</x:v>
      </x:c>
      <x:c r="J3650" s="23" t="str">
        <x:v>SPOT</x:v>
      </x:c>
      <x:c r="K3650" s="23" t="str">
        <x:v>favored_only</x:v>
      </x:c>
      <x:c r="L3650" s="24" t="b">
        <x:v>1</x:v>
      </x:c>
      <x:c r="M3650" s="23" t="n">
        <x:v>1</x:v>
      </x:c>
      <x:c r="N3650" s="28" t="n">
        <x:v>46205.60375699074</x:v>
      </x:c>
      <x:c r="O3650" s="28" t="n">
        <x:v>46219.812988715275</x:v>
      </x:c>
      <x:c r="P3650" s="23" t="str">
        <x:v>GUAXUPE</x:v>
      </x:c>
      <x:c r="Q3650" s="30" t="n">
        <x:v>22314</x:v>
      </x:c>
      <x:c r="R3650" s="22" t="str">
        <x:f>"159947662"</x:f>
        <x:v>159947662</x:v>
      </x:c>
      <x:c r="S3650" s="23" t="str">
        <x:v>feminino</x:v>
      </x:c>
      <x:c r="T3650" s="22" t="str">
        <x:f>"GIE9870"</x:f>
        <x:v>GIE9870</x:v>
      </x:c>
      <x:c r="U3650" s="23" t="str">
        <x:v>GABRIELA MARIA ALIPIO DE SOUZA</x:v>
      </x:c>
      <x:c r="V3650" s="22" t="str">
        <x:f>"125.463.496-78"</x:f>
        <x:v>125.463.496-78</x:v>
      </x:c>
      <x:c r="W3650" s="22" t="str">
        <x:f>"12546349678"</x:f>
        <x:v>12546349678</x:v>
      </x:c>
      <x:c r="X3650" s="23" t="str">
        <x:v>gabimaria878@gmail.com</x:v>
      </x:c>
      <x:c r="Y3650" s="22" t="str">
        <x:f>"35997287054"</x:f>
        <x:v>35997287054</x:v>
      </x:c>
      <x:c r="Z3650" s="30" t="n">
        <x:v>46239</x:v>
      </x:c>
    </x:row>
    <x:row r="3651" ht="18" customHeight="1">
      <x:c r="A3651" s="22" t="str">
        <x:f>"08bf8b5d-cea3-4caa-ad2b-5756f69afccd"</x:f>
        <x:v>08bf8b5d-cea3-4caa-ad2b-5756f69afccd</x:v>
      </x:c>
      <x:c r="B3651" s="23" t="str">
        <x:v>VALTEMIR FLAVIO ZANONI</x:v>
      </x:c>
      <x:c r="C3651" s="23" t="str">
        <x:v>valtemir flavio zanoni</x:v>
      </x:c>
      <x:c r="D3651" s="22" t="str">
        <x:f>"37.823.997/0001-90"</x:f>
        <x:v>37.823.997/0001-90</x:v>
      </x:c>
      <x:c r="E3651" s="22" t="str">
        <x:f>"37823997000190"</x:f>
        <x:v>37823997000190</x:v>
      </x:c>
      <x:c r="F3651" s="22" t="str">
        <x:f>"569.133.621-53"</x:f>
        <x:v>569.133.621-53</x:v>
      </x:c>
      <x:c r="G3651" s="22" t="str">
        <x:f>"56913362153"</x:f>
        <x:v>56913362153</x:v>
      </x:c>
      <x:c r="H3651" s="23" t="str">
        <x:v>flaviozanoni72@gmail.com</x:v>
      </x:c>
      <x:c r="I3651" s="22" t="str">
        <x:f>"65 9932-2825"</x:f>
        <x:v>65 9932-2825</x:v>
      </x:c>
      <x:c r="J3651" s="23" t="str">
        <x:v>SPOT</x:v>
      </x:c>
      <x:c r="K3651" s="23" t="str">
        <x:v>favored_only</x:v>
      </x:c>
      <x:c r="L3651" s="24" t="b">
        <x:v>1</x:v>
      </x:c>
      <x:c r="M3651" s="23" t="n">
        <x:v>1</x:v>
      </x:c>
      <x:c r="N3651" s="28" t="n">
        <x:v>46219.812988715275</x:v>
      </x:c>
      <x:c r="O3651" s="28" t="n">
        <x:v>46219.812988715275</x:v>
      </x:c>
      <x:c r="P3651" s="23" t="str">
        <x:v>CÁCERES</x:v>
      </x:c>
      <x:c r="Q3651" s="30" t="n">
        <x:v>26367</x:v>
      </x:c>
      <x:c r="R3651" s="22" t="str">
        <x:f>"8832889"</x:f>
        <x:v>8832889</x:v>
      </x:c>
      <x:c r="S3651" s="23" t="str">
        <x:v>masculino</x:v>
      </x:c>
      <x:c r="T3651" s="22" t="str">
        <x:f>"EGK8E24"</x:f>
        <x:v>EGK8E24</x:v>
      </x:c>
      <x:c r="U3651" s="23" t="str">
        <x:v>RODOPRIME TRANSPORTES E CARGAS LTDA</x:v>
      </x:c>
      <x:c r="V3651" s="22" t="str">
        <x:f>"038.768.901-01"</x:f>
        <x:v>038.768.901-01</x:v>
      </x:c>
      <x:c r="W3651" s="22" t="str">
        <x:f>"03876890101"</x:f>
        <x:v>03876890101</x:v>
      </x:c>
      <x:c r="X3651" s="23" t="str">
        <x:v>rtp.cargas@gmail.com</x:v>
      </x:c>
      <x:c r="Y3651" s="22" t="str">
        <x:f>"62991277279"</x:f>
        <x:v>62991277279</x:v>
      </x:c>
      <x:c r="Z3651" s="30" t="n">
        <x:v>46410</x:v>
      </x:c>
    </x:row>
    <x:row r="3652" ht="18" customHeight="1">
      <x:c r="A3652" s="22" t="str">
        <x:f>"7ad1f4b5-c41c-4be0-9742-f1239c27f366"</x:f>
        <x:v>7ad1f4b5-c41c-4be0-9742-f1239c27f366</x:v>
      </x:c>
      <x:c r="B3652" s="23" t="str">
        <x:v>VALTER BARBOSA ALVES JUNIOR</x:v>
      </x:c>
      <x:c r="C3652" s="23" t="str">
        <x:v>valter barbosa alves junior</x:v>
      </x:c>
      <x:c r="D3652" s="22" t="str">
        <x:f>"38.187.041/0001-01"</x:f>
        <x:v>38.187.041/0001-01</x:v>
      </x:c>
      <x:c r="E3652" s="22" t="str">
        <x:f>"38187041000101"</x:f>
        <x:v>38187041000101</x:v>
      </x:c>
      <x:c r="F3652" s="22" t="str">
        <x:f>"044.659.716-30"</x:f>
        <x:v>044.659.716-30</x:v>
      </x:c>
      <x:c r="G3652" s="22" t="str">
        <x:f>"04465971630"</x:f>
        <x:v>04465971630</x:v>
      </x:c>
      <x:c r="H3652" s="23" t="str">
        <x:v>valterbarbosatur@gmail.com</x:v>
      </x:c>
      <x:c r="I3652" s="22" t="str">
        <x:f>"34988155496"</x:f>
        <x:v>34988155496</x:v>
      </x:c>
      <x:c r="J3652" s="23" t="str">
        <x:v>SPOT</x:v>
      </x:c>
      <x:c r="K3652" s="23" t="str">
        <x:v>favored_only</x:v>
      </x:c>
      <x:c r="L3652" s="24" t="b">
        <x:v>1</x:v>
      </x:c>
      <x:c r="M3652" s="23" t="n">
        <x:v>1</x:v>
      </x:c>
      <x:c r="N3652" s="28" t="n">
        <x:v>46203.92188238426</x:v>
      </x:c>
      <x:c r="O3652" s="28" t="n">
        <x:v>46203.92188238426</x:v>
      </x:c>
      <x:c r="P3652" s="23" t="str"/>
      <x:c r="Q3652" s="30" t="str"/>
      <x:c r="R3652" s="22" t="str"/>
      <x:c r="S3652" s="23" t="str"/>
      <x:c r="T3652" s="22" t="str"/>
      <x:c r="U3652" s="23" t="str">
        <x:v>VALTER BARBOSA ALVES JUNIOR</x:v>
      </x:c>
      <x:c r="V3652" s="22" t="str">
        <x:f>"044.659.716-30"</x:f>
        <x:v>044.659.716-30</x:v>
      </x:c>
      <x:c r="W3652" s="22" t="str">
        <x:f>"04465971630"</x:f>
        <x:v>04465971630</x:v>
      </x:c>
      <x:c r="X3652" s="23" t="str">
        <x:v>valterbarbosatur@gmail.com</x:v>
      </x:c>
      <x:c r="Y3652" s="22" t="str">
        <x:f>"34988155496"</x:f>
        <x:v>34988155496</x:v>
      </x:c>
      <x:c r="Z3652" s="30" t="str"/>
    </x:row>
    <x:row r="3653" ht="18" customHeight="1">
      <x:c r="A3653" s="22" t="str">
        <x:f>"73be3ea9-4784-4456-8550-1afdd6aaf39f"</x:f>
        <x:v>73be3ea9-4784-4456-8550-1afdd6aaf39f</x:v>
      </x:c>
      <x:c r="B3653" s="23" t="str">
        <x:v>VALTER BRANDAO DE ARRUDA JUNIOR</x:v>
      </x:c>
      <x:c r="C3653" s="23" t="str">
        <x:v>valter brandao de arruda junior</x:v>
      </x:c>
      <x:c r="D3653" s="22" t="str">
        <x:f>"53.264.533/0001-47"</x:f>
        <x:v>53.264.533/0001-47</x:v>
      </x:c>
      <x:c r="E3653" s="22" t="str">
        <x:f>"53264533000147"</x:f>
        <x:v>53264533000147</x:v>
      </x:c>
      <x:c r="F3653" s="22" t="str">
        <x:f>"042.329.811-95"</x:f>
        <x:v>042.329.811-95</x:v>
      </x:c>
      <x:c r="G3653" s="22" t="str">
        <x:f>"04232981195"</x:f>
        <x:v>04232981195</x:v>
      </x:c>
      <x:c r="H3653" s="23" t="str">
        <x:v>valterbrandao50@gmail.com</x:v>
      </x:c>
      <x:c r="I3653" s="22" t="str">
        <x:f>"+55 65 8169-6386"</x:f>
        <x:v>+55 65 8169-6386</x:v>
      </x:c>
      <x:c r="J3653" s="23" t="str">
        <x:v>SPOT</x:v>
      </x:c>
      <x:c r="K3653" s="23" t="str">
        <x:v>favored_only</x:v>
      </x:c>
      <x:c r="L3653" s="24" t="b">
        <x:v>1</x:v>
      </x:c>
      <x:c r="M3653" s="23" t="n">
        <x:v>1</x:v>
      </x:c>
      <x:c r="N3653" s="28" t="n">
        <x:v>46219.812988715275</x:v>
      </x:c>
      <x:c r="O3653" s="28" t="n">
        <x:v>46219.812988715275</x:v>
      </x:c>
      <x:c r="P3653" s="23" t="str">
        <x:v>PONTES E LACERDA</x:v>
      </x:c>
      <x:c r="Q3653" s="30" t="n">
        <x:v>33256</x:v>
      </x:c>
      <x:c r="R3653" s="22" t="str">
        <x:f>"19369861"</x:f>
        <x:v>19369861</x:v>
      </x:c>
      <x:c r="S3653" s="23" t="str">
        <x:v>masculino</x:v>
      </x:c>
      <x:c r="T3653" s="22" t="str">
        <x:f>"NTY7C67"</x:f>
        <x:v>NTY7C67</x:v>
      </x:c>
      <x:c r="U3653" s="23" t="str">
        <x:v>LEONIDAS DE PINHO E SILVA</x:v>
      </x:c>
      <x:c r="V3653" s="22" t="str">
        <x:f>"692.451.851-68"</x:f>
        <x:v>692.451.851-68</x:v>
      </x:c>
      <x:c r="W3653" s="22" t="str">
        <x:f>"69245185168"</x:f>
        <x:v>69245185168</x:v>
      </x:c>
      <x:c r="X3653" s="23" t="str">
        <x:v>veloxlogisticamt@gmail.com</x:v>
      </x:c>
      <x:c r="Y3653" s="22" t="str">
        <x:f>"65 99679-0317"</x:f>
        <x:v>65 99679-0317</x:v>
      </x:c>
      <x:c r="Z3653" s="30" t="n">
        <x:v>46478</x:v>
      </x:c>
    </x:row>
    <x:row r="3654" ht="18" customHeight="1">
      <x:c r="A3654" s="22" t="str">
        <x:f>"8fe2c01e-c118-4edb-b3dd-287abf9a2a35"</x:f>
        <x:v>8fe2c01e-c118-4edb-b3dd-287abf9a2a35</x:v>
      </x:c>
      <x:c r="B3654" s="23" t="str">
        <x:v>VALTER BRANDAO DE ARRUDA JUNIOR</x:v>
      </x:c>
      <x:c r="C3654" s="23" t="str">
        <x:v>valter brandao de arruda junior</x:v>
      </x:c>
      <x:c r="D3654" s="22" t="str">
        <x:f>"37.823.997/0001-90"</x:f>
        <x:v>37.823.997/0001-90</x:v>
      </x:c>
      <x:c r="E3654" s="22" t="str">
        <x:f>"37823997000190"</x:f>
        <x:v>37823997000190</x:v>
      </x:c>
      <x:c r="F3654" s="22" t="str">
        <x:f>"042.329.811-95"</x:f>
        <x:v>042.329.811-95</x:v>
      </x:c>
      <x:c r="G3654" s="22" t="str">
        <x:f>"04232981195"</x:f>
        <x:v>04232981195</x:v>
      </x:c>
      <x:c r="H3654" s="23" t="str">
        <x:v>valterbrandao50@gmail.com</x:v>
      </x:c>
      <x:c r="I3654" s="22" t="str">
        <x:f>"+55 65 8169-6386"</x:f>
        <x:v>+55 65 8169-6386</x:v>
      </x:c>
      <x:c r="J3654" s="23" t="str">
        <x:v>SPOT</x:v>
      </x:c>
      <x:c r="K3654" s="23" t="str">
        <x:v>favored_only</x:v>
      </x:c>
      <x:c r="L3654" s="24" t="b">
        <x:v>1</x:v>
      </x:c>
      <x:c r="M3654" s="23" t="n">
        <x:v>1</x:v>
      </x:c>
      <x:c r="N3654" s="28" t="n">
        <x:v>46219.812988715275</x:v>
      </x:c>
      <x:c r="O3654" s="28" t="n">
        <x:v>46219.812988715275</x:v>
      </x:c>
      <x:c r="P3654" s="23" t="str">
        <x:v>PONTES E LACERDA</x:v>
      </x:c>
      <x:c r="Q3654" s="30" t="n">
        <x:v>33255</x:v>
      </x:c>
      <x:c r="R3654" s="22" t="str">
        <x:f>"19369861"</x:f>
        <x:v>19369861</x:v>
      </x:c>
      <x:c r="S3654" s="23" t="str">
        <x:v>masculino</x:v>
      </x:c>
      <x:c r="T3654" s="22" t="str">
        <x:f>"NTY7C67"</x:f>
        <x:v>NTY7C67</x:v>
      </x:c>
      <x:c r="U3654" s="23" t="str">
        <x:v>RODOPRIME TRANSPORTES E CARGAS LTDA</x:v>
      </x:c>
      <x:c r="V3654" s="22" t="str">
        <x:f>"038.768.901-01"</x:f>
        <x:v>038.768.901-01</x:v>
      </x:c>
      <x:c r="W3654" s="22" t="str">
        <x:f>"03876890101"</x:f>
        <x:v>03876890101</x:v>
      </x:c>
      <x:c r="X3654" s="23" t="str">
        <x:v>rtp.cargas@gmail.com</x:v>
      </x:c>
      <x:c r="Y3654" s="22" t="str">
        <x:f>"62991277279"</x:f>
        <x:v>62991277279</x:v>
      </x:c>
      <x:c r="Z3654" s="30" t="n">
        <x:v>46483</x:v>
      </x:c>
    </x:row>
    <x:row r="3655" ht="18" customHeight="1">
      <x:c r="A3655" s="22" t="str">
        <x:f>"aba950f3-0606-456a-be84-20167747610c"</x:f>
        <x:v>aba950f3-0606-456a-be84-20167747610c</x:v>
      </x:c>
      <x:c r="B3655" s="23" t="str">
        <x:v>VALTER DE ALMEIDA FILHO</x:v>
      </x:c>
      <x:c r="C3655" s="23" t="str">
        <x:v>valter de almeida filho</x:v>
      </x:c>
      <x:c r="D3655" s="22" t="str">
        <x:f>"65.430.103/0001-37"</x:f>
        <x:v>65.430.103/0001-37</x:v>
      </x:c>
      <x:c r="E3655" s="22" t="str">
        <x:f>"65430103000137"</x:f>
        <x:v>65430103000137</x:v>
      </x:c>
      <x:c r="F3655" s="22" t="str">
        <x:f>"178.776.068-50"</x:f>
        <x:v>178.776.068-50</x:v>
      </x:c>
      <x:c r="G3655" s="22" t="str">
        <x:f>"17877606850"</x:f>
        <x:v>17877606850</x:v>
      </x:c>
      <x:c r="H3655" s="23" t="str">
        <x:v>v.filho2016@gmail.com</x:v>
      </x:c>
      <x:c r="I3655" s="22" t="str">
        <x:f>"16997798144"</x:f>
        <x:v>16997798144</x:v>
      </x:c>
      <x:c r="J3655" s="23" t="str">
        <x:v>RENTAL</x:v>
      </x:c>
      <x:c r="K3655" s="23" t="str">
        <x:v>rental_company</x:v>
      </x:c>
      <x:c r="L3655" s="24" t="b">
        <x:v>1</x:v>
      </x:c>
      <x:c r="M3655" s="23" t="n">
        <x:v>1</x:v>
      </x:c>
      <x:c r="N3655" s="28" t="n">
        <x:v>46219.812988715275</x:v>
      </x:c>
      <x:c r="O3655" s="28" t="n">
        <x:v>46219.812988715275</x:v>
      </x:c>
      <x:c r="P3655" s="23" t="str">
        <x:v>SÃO CARLOS</x:v>
      </x:c>
      <x:c r="Q3655" s="30" t="n">
        <x:v>26303</x:v>
      </x:c>
      <x:c r="R3655" s="22" t="str">
        <x:f>"198144814"</x:f>
        <x:v>198144814</x:v>
      </x:c>
      <x:c r="S3655" s="23" t="str">
        <x:v>masculino</x:v>
      </x:c>
      <x:c r="T3655" s="22" t="str"/>
      <x:c r="U3655" s="23" t="str">
        <x:v>VALTER DE ALMEIDA FILHO</x:v>
      </x:c>
      <x:c r="V3655" s="22" t="str">
        <x:f>"178.776.068-50"</x:f>
        <x:v>178.776.068-50</x:v>
      </x:c>
      <x:c r="W3655" s="22" t="str">
        <x:f>"17877606850"</x:f>
        <x:v>17877606850</x:v>
      </x:c>
      <x:c r="X3655" s="23" t="str">
        <x:v>v.filho2016@gmail.com</x:v>
      </x:c>
      <x:c r="Y3655" s="22" t="str">
        <x:f>"16997798144"</x:f>
        <x:v>16997798144</x:v>
      </x:c>
      <x:c r="Z3655" s="30" t="n">
        <x:v>46448</x:v>
      </x:c>
    </x:row>
    <x:row r="3656" ht="18" customHeight="1">
      <x:c r="A3656" s="22" t="str">
        <x:f>"fdac4902-992c-4375-a4bc-003510c139fa"</x:f>
        <x:v>fdac4902-992c-4375-a4bc-003510c139fa</x:v>
      </x:c>
      <x:c r="B3656" s="23" t="str">
        <x:v>VALTER DONISETE PEREIRA</x:v>
      </x:c>
      <x:c r="C3656" s="23" t="str">
        <x:v>valter donisete pereira</x:v>
      </x:c>
      <x:c r="D3656" s="22" t="str">
        <x:f>"44.478.770/0001-10"</x:f>
        <x:v>44.478.770/0001-10</x:v>
      </x:c>
      <x:c r="E3656" s="22" t="str">
        <x:f>"44478770000110"</x:f>
        <x:v>44478770000110</x:v>
      </x:c>
      <x:c r="F3656" s="22" t="str">
        <x:f>"082.288.546-84"</x:f>
        <x:v>082.288.546-84</x:v>
      </x:c>
      <x:c r="G3656" s="22" t="str">
        <x:f>"08228854684"</x:f>
        <x:v>08228854684</x:v>
      </x:c>
      <x:c r="H3656" s="23" t="str">
        <x:v>Vltransportes2021@gmail.com</x:v>
      </x:c>
      <x:c r="I3656" s="22" t="str">
        <x:f>"(35)99771-9938"</x:f>
        <x:v>(35)99771-9938</x:v>
      </x:c>
      <x:c r="J3656" s="23" t="str">
        <x:v>SPOT</x:v>
      </x:c>
      <x:c r="K3656" s="23" t="str">
        <x:v>favored_only</x:v>
      </x:c>
      <x:c r="L3656" s="24" t="b">
        <x:v>1</x:v>
      </x:c>
      <x:c r="M3656" s="23" t="n">
        <x:v>1</x:v>
      </x:c>
      <x:c r="N3656" s="28" t="n">
        <x:v>46219.812988715275</x:v>
      </x:c>
      <x:c r="O3656" s="28" t="n">
        <x:v>46219.812988715275</x:v>
      </x:c>
      <x:c r="P3656" s="23" t="str">
        <x:v>POUSO ALEGRE</x:v>
      </x:c>
      <x:c r="Q3656" s="30" t="n">
        <x:v>31718</x:v>
      </x:c>
      <x:c r="R3656" s="22" t="str">
        <x:f>"MG13459428 SSP MG"</x:f>
        <x:v>MG13459428 SSP MG</x:v>
      </x:c>
      <x:c r="S3656" s="23" t="str">
        <x:v>masculino</x:v>
      </x:c>
      <x:c r="T3656" s="22" t="str">
        <x:f>"TZP4I85"</x:f>
        <x:v>TZP4I85</x:v>
      </x:c>
      <x:c r="U3656" s="23" t="str">
        <x:v>VALTER DONISETE PEREIRA</x:v>
      </x:c>
      <x:c r="V3656" s="22" t="str">
        <x:f>"082.288.546-84"</x:f>
        <x:v>082.288.546-84</x:v>
      </x:c>
      <x:c r="W3656" s="22" t="str">
        <x:f>"08228854684"</x:f>
        <x:v>08228854684</x:v>
      </x:c>
      <x:c r="X3656" s="23" t="str">
        <x:v>Vltransportes2021@gmail.com</x:v>
      </x:c>
      <x:c r="Y3656" s="22" t="str">
        <x:f>"(35)99771-9938"</x:f>
        <x:v>(35)99771-9938</x:v>
      </x:c>
      <x:c r="Z3656" s="30" t="n">
        <x:v>46541</x:v>
      </x:c>
    </x:row>
    <x:row r="3657" ht="18" customHeight="1">
      <x:c r="A3657" s="22" t="str">
        <x:f>"7956e7f4-4e4d-409b-ba6c-2ab462999372"</x:f>
        <x:v>7956e7f4-4e4d-409b-ba6c-2ab462999372</x:v>
      </x:c>
      <x:c r="B3657" s="23" t="str">
        <x:v>VANDA MARIA DOS SANTOS</x:v>
      </x:c>
      <x:c r="C3657" s="23" t="str">
        <x:v>vanda maria dos santos</x:v>
      </x:c>
      <x:c r="D3657" s="22" t="str">
        <x:f>"64.001.261/0001-09"</x:f>
        <x:v>64.001.261/0001-09</x:v>
      </x:c>
      <x:c r="E3657" s="22" t="str">
        <x:f>"64001261000109"</x:f>
        <x:v>64001261000109</x:v>
      </x:c>
      <x:c r="F3657" s="22" t="str">
        <x:f>"004.808.441-78"</x:f>
        <x:v>004.808.441-78</x:v>
      </x:c>
      <x:c r="G3657" s="22" t="str">
        <x:f>"00480844178"</x:f>
        <x:v>00480844178</x:v>
      </x:c>
      <x:c r="H3657" s="23" t="str">
        <x:v>vanda.santos.vanda.1974@gmail.com</x:v>
      </x:c>
      <x:c r="I3657" s="22" t="str">
        <x:f>"65999588307"</x:f>
        <x:v>65999588307</x:v>
      </x:c>
      <x:c r="J3657" s="23" t="str">
        <x:v>SPOT</x:v>
      </x:c>
      <x:c r="K3657" s="23" t="str">
        <x:v>favored_only</x:v>
      </x:c>
      <x:c r="L3657" s="24" t="b">
        <x:v>1</x:v>
      </x:c>
      <x:c r="M3657" s="23" t="n">
        <x:v>1</x:v>
      </x:c>
      <x:c r="N3657" s="28" t="n">
        <x:v>46203.9219084375</x:v>
      </x:c>
      <x:c r="O3657" s="28" t="n">
        <x:v>46219.812988715275</x:v>
      </x:c>
      <x:c r="P3657" s="23" t="str">
        <x:v>CÁCERES</x:v>
      </x:c>
      <x:c r="Q3657" s="30" t="n">
        <x:v>27296</x:v>
      </x:c>
      <x:c r="R3657" s="22" t="str">
        <x:f>"15700011"</x:f>
        <x:v>15700011</x:v>
      </x:c>
      <x:c r="S3657" s="23" t="str">
        <x:v>feminino</x:v>
      </x:c>
      <x:c r="T3657" s="22" t="str">
        <x:f>"RRY5J04"</x:f>
        <x:v>RRY5J04</x:v>
      </x:c>
      <x:c r="U3657" s="23" t="str">
        <x:v>VANDA MARIA DOS SANTOS</x:v>
      </x:c>
      <x:c r="V3657" s="22" t="str">
        <x:f>"004.808.441-78"</x:f>
        <x:v>004.808.441-78</x:v>
      </x:c>
      <x:c r="W3657" s="22" t="str">
        <x:f>"00480844178"</x:f>
        <x:v>00480844178</x:v>
      </x:c>
      <x:c r="X3657" s="23" t="str">
        <x:v>vanda.santos.vanda.1974@gmail.com</x:v>
      </x:c>
      <x:c r="Y3657" s="22" t="str">
        <x:f>"65999588307"</x:f>
        <x:v>65999588307</x:v>
      </x:c>
      <x:c r="Z3657" s="30" t="n">
        <x:v>46395</x:v>
      </x:c>
    </x:row>
    <x:row r="3658" ht="18" customHeight="1">
      <x:c r="A3658" s="22" t="str">
        <x:f>"a60fd4f4-5b6f-4ddc-98e5-ff3836e0e182"</x:f>
        <x:v>a60fd4f4-5b6f-4ddc-98e5-ff3836e0e182</x:v>
      </x:c>
      <x:c r="B3658" s="23" t="str">
        <x:v>Vanderlei Oswaldo Pereira do Amaral</x:v>
      </x:c>
      <x:c r="C3658" s="23" t="str">
        <x:v>vanderlei oswaldo pereira do amaral</x:v>
      </x:c>
      <x:c r="D3658" s="22" t="str">
        <x:f>"61.764.463/0001-14"</x:f>
        <x:v>61.764.463/0001-14</x:v>
      </x:c>
      <x:c r="E3658" s="22" t="str">
        <x:f>"61764463000114"</x:f>
        <x:v>61764463000114</x:v>
      </x:c>
      <x:c r="F3658" s="22" t="str">
        <x:f>"267.139.958-88"</x:f>
        <x:v>267.139.958-88</x:v>
      </x:c>
      <x:c r="G3658" s="22" t="str">
        <x:f>"26713995888"</x:f>
        <x:v>26713995888</x:v>
      </x:c>
      <x:c r="H3658" s="23" t="str">
        <x:v>amaralmarquestransportes2020@gmail.com</x:v>
      </x:c>
      <x:c r="I3658" s="22" t="str">
        <x:f>"(19) 99534-8564"</x:f>
        <x:v>(19) 99534-8564</x:v>
      </x:c>
      <x:c r="J3658" s="23" t="str">
        <x:v>RENTAL</x:v>
      </x:c>
      <x:c r="K3658" s="23" t="str">
        <x:v>rental_company</x:v>
      </x:c>
      <x:c r="L3658" s="24" t="b">
        <x:v>1</x:v>
      </x:c>
      <x:c r="M3658" s="23" t="n">
        <x:v>1</x:v>
      </x:c>
      <x:c r="N3658" s="28" t="n">
        <x:v>46203.921840393516</x:v>
      </x:c>
      <x:c r="O3658" s="28" t="n">
        <x:v>46205.604975104165</x:v>
      </x:c>
      <x:c r="P3658" s="23" t="str">
        <x:v>MADEIRA MADEIRA</x:v>
      </x:c>
      <x:c r="Q3658" s="30" t="n">
        <x:v>28467</x:v>
      </x:c>
      <x:c r="R3658" s="22" t="str">
        <x:f>"29011192"</x:f>
        <x:v>29011192</x:v>
      </x:c>
      <x:c r="S3658" s="23" t="str">
        <x:v>Masculino</x:v>
      </x:c>
      <x:c r="T3658" s="22" t="str"/>
      <x:c r="U3658" s="23" t="str">
        <x:v>Vanderlei Oswaldo Pereira do Amaral</x:v>
      </x:c>
      <x:c r="V3658" s="22" t="str">
        <x:f>"267.139.958-88"</x:f>
        <x:v>267.139.958-88</x:v>
      </x:c>
      <x:c r="W3658" s="22" t="str">
        <x:f>"26713995888"</x:f>
        <x:v>26713995888</x:v>
      </x:c>
      <x:c r="X3658" s="23" t="str">
        <x:v>amaralmarquestransportes2020@gmail.com</x:v>
      </x:c>
      <x:c r="Y3658" s="22" t="str">
        <x:f>"(19) 99534-8564"</x:f>
        <x:v>(19) 99534-8564</x:v>
      </x:c>
      <x:c r="Z3658" s="30" t="n">
        <x:v>46220</x:v>
      </x:c>
    </x:row>
    <x:row r="3659" ht="18" customHeight="1">
      <x:c r="A3659" s="22" t="str">
        <x:f>"28aea28c-f426-4c14-b280-3a992d969a6a"</x:f>
        <x:v>28aea28c-f426-4c14-b280-3a992d969a6a</x:v>
      </x:c>
      <x:c r="B3659" s="23" t="str">
        <x:v>VANDERSON TAVARES SILVA</x:v>
      </x:c>
      <x:c r="C3659" s="23" t="str">
        <x:v>vanderson tavares silva</x:v>
      </x:c>
      <x:c r="D3659" s="22" t="str">
        <x:f>"62.171.476/0001-42"</x:f>
        <x:v>62.171.476/0001-42</x:v>
      </x:c>
      <x:c r="E3659" s="22" t="str">
        <x:f>"62171476000142"</x:f>
        <x:v>62171476000142</x:v>
      </x:c>
      <x:c r="F3659" s="22" t="str">
        <x:f>"129.389.257-27"</x:f>
        <x:v>129.389.257-27</x:v>
      </x:c>
      <x:c r="G3659" s="22" t="str">
        <x:f>"12938925727"</x:f>
        <x:v>12938925727</x:v>
      </x:c>
      <x:c r="H3659" s="23" t="str">
        <x:v>vandersontavaressilva@gmail.com</x:v>
      </x:c>
      <x:c r="I3659" s="22" t="str">
        <x:f>"21 991800997"</x:f>
        <x:v>21 991800997</x:v>
      </x:c>
      <x:c r="J3659" s="23" t="str">
        <x:v>SPOT</x:v>
      </x:c>
      <x:c r="K3659" s="23" t="str">
        <x:v>favored_only</x:v>
      </x:c>
      <x:c r="L3659" s="24" t="b">
        <x:v>1</x:v>
      </x:c>
      <x:c r="M3659" s="23" t="n">
        <x:v>1</x:v>
      </x:c>
      <x:c r="N3659" s="28" t="n">
        <x:v>46219.812988715275</x:v>
      </x:c>
      <x:c r="O3659" s="28" t="n">
        <x:v>46219.812988715275</x:v>
      </x:c>
      <x:c r="P3659" s="23" t="str">
        <x:v>CAMPO GRANDE</x:v>
      </x:c>
      <x:c r="Q3659" s="30" t="n">
        <x:v>32788</x:v>
      </x:c>
      <x:c r="R3659" s="22" t="str">
        <x:f>"228558052"</x:f>
        <x:v>228558052</x:v>
      </x:c>
      <x:c r="S3659" s="23" t="str">
        <x:v>masculino</x:v>
      </x:c>
      <x:c r="T3659" s="22" t="str">
        <x:f>"KZP2J98"</x:f>
        <x:v>KZP2J98</x:v>
      </x:c>
      <x:c r="U3659" s="23" t="str">
        <x:v>VANDERSON TAVARES SILVA</x:v>
      </x:c>
      <x:c r="V3659" s="22" t="str">
        <x:f>"129.389.257-27"</x:f>
        <x:v>129.389.257-27</x:v>
      </x:c>
      <x:c r="W3659" s="22" t="str">
        <x:f>"12938925727"</x:f>
        <x:v>12938925727</x:v>
      </x:c>
      <x:c r="X3659" s="23" t="str">
        <x:v>vandersontavaressilva@gmail.com</x:v>
      </x:c>
      <x:c r="Y3659" s="22" t="str">
        <x:f>"21 991800997"</x:f>
        <x:v>21 991800997</x:v>
      </x:c>
      <x:c r="Z3659" s="30" t="n">
        <x:v>46466</x:v>
      </x:c>
    </x:row>
    <x:row r="3660" ht="18" customHeight="1">
      <x:c r="A3660" s="22" t="str">
        <x:f>"31aeb2e6-c6e8-4642-886e-bc1d785460e2"</x:f>
        <x:v>31aeb2e6-c6e8-4642-886e-bc1d785460e2</x:v>
      </x:c>
      <x:c r="B3660" s="23" t="str">
        <x:v>VANDINEI APARECIDO DE CARVALHO</x:v>
      </x:c>
      <x:c r="C3660" s="23" t="str">
        <x:v>vandinei aparecido de carvalho</x:v>
      </x:c>
      <x:c r="D3660" s="22" t="str">
        <x:f>"60.619.754/0001-56"</x:f>
        <x:v>60.619.754/0001-56</x:v>
      </x:c>
      <x:c r="E3660" s="22" t="str">
        <x:f>"60619754000156"</x:f>
        <x:v>60619754000156</x:v>
      </x:c>
      <x:c r="F3660" s="22" t="str">
        <x:f>"691.770.311-72"</x:f>
        <x:v>691.770.311-72</x:v>
      </x:c>
      <x:c r="G3660" s="22" t="str">
        <x:f>"69177031172"</x:f>
        <x:v>69177031172</x:v>
      </x:c>
      <x:c r="H3660" s="23" t="str">
        <x:v>decarvalhovandineiaparecido@gmail.com</x:v>
      </x:c>
      <x:c r="I3660" s="22" t="str">
        <x:f>"62984220142"</x:f>
        <x:v>62984220142</x:v>
      </x:c>
      <x:c r="J3660" s="23" t="str">
        <x:v>SPOT</x:v>
      </x:c>
      <x:c r="K3660" s="23" t="str">
        <x:v>favored_only</x:v>
      </x:c>
      <x:c r="L3660" s="24" t="b">
        <x:v>1</x:v>
      </x:c>
      <x:c r="M3660" s="23" t="n">
        <x:v>1</x:v>
      </x:c>
      <x:c r="N3660" s="28" t="n">
        <x:v>46205.60179649306</x:v>
      </x:c>
      <x:c r="O3660" s="28" t="n">
        <x:v>46219.812988715275</x:v>
      </x:c>
      <x:c r="P3660" s="23" t="str">
        <x:v>MINAÇU</x:v>
      </x:c>
      <x:c r="Q3660" s="30" t="n">
        <x:v>28137</x:v>
      </x:c>
      <x:c r="R3660" s="22" t="str">
        <x:f>"3524316"</x:f>
        <x:v>3524316</x:v>
      </x:c>
      <x:c r="S3660" s="23" t="str">
        <x:v>masculino</x:v>
      </x:c>
      <x:c r="T3660" s="22" t="str">
        <x:f>"JIE4D30"</x:f>
        <x:v>JIE4D30</x:v>
      </x:c>
      <x:c r="U3660" s="23" t="str">
        <x:v>NEIDE APARECIDA DE CARVALHO</x:v>
      </x:c>
      <x:c r="V3660" s="22" t="str">
        <x:f>"820.744.961-68"</x:f>
        <x:v>820.744.961-68</x:v>
      </x:c>
      <x:c r="W3660" s="22" t="str">
        <x:f>"82074496168"</x:f>
        <x:v>82074496168</x:v>
      </x:c>
      <x:c r="X3660" s="23" t="str">
        <x:v>neide_carvalho@hotmail.com</x:v>
      </x:c>
      <x:c r="Y3660" s="22" t="str">
        <x:f>"62982663556"</x:f>
        <x:v>62982663556</x:v>
      </x:c>
      <x:c r="Z3660" s="30" t="n">
        <x:v>46522</x:v>
      </x:c>
    </x:row>
    <x:row r="3661" ht="18" customHeight="1">
      <x:c r="A3661" s="22" t="str">
        <x:f>"11b33083-9adc-49a6-88ea-350c62b4e478"</x:f>
        <x:v>11b33083-9adc-49a6-88ea-350c62b4e478</x:v>
      </x:c>
      <x:c r="B3661" s="23" t="str">
        <x:v>VANDO ANDRE DE ALMEIDA</x:v>
      </x:c>
      <x:c r="C3661" s="23" t="str">
        <x:v>vando andre de almeida</x:v>
      </x:c>
      <x:c r="D3661" s="22" t="str">
        <x:f>"37.823.997/0001-90"</x:f>
        <x:v>37.823.997/0001-90</x:v>
      </x:c>
      <x:c r="E3661" s="22" t="str">
        <x:f>"37823997000190"</x:f>
        <x:v>37823997000190</x:v>
      </x:c>
      <x:c r="F3661" s="22" t="str">
        <x:f>"038.315.779-00"</x:f>
        <x:v>038.315.779-00</x:v>
      </x:c>
      <x:c r="G3661" s="22" t="str">
        <x:f>"03831577900"</x:f>
        <x:v>03831577900</x:v>
      </x:c>
      <x:c r="H3661" s="23" t="str">
        <x:v>vandoandre036@gmail.com</x:v>
      </x:c>
      <x:c r="I3661" s="22" t="str">
        <x:f>"65 9217-8095"</x:f>
        <x:v>65 9217-8095</x:v>
      </x:c>
      <x:c r="J3661" s="23" t="str">
        <x:v>SPOT</x:v>
      </x:c>
      <x:c r="K3661" s="23" t="str">
        <x:v>favored_only</x:v>
      </x:c>
      <x:c r="L3661" s="24" t="b">
        <x:v>1</x:v>
      </x:c>
      <x:c r="M3661" s="23" t="n">
        <x:v>1</x:v>
      </x:c>
      <x:c r="N3661" s="28" t="n">
        <x:v>46205.60524921296</x:v>
      </x:c>
      <x:c r="O3661" s="28" t="n">
        <x:v>46219.812988715275</x:v>
      </x:c>
      <x:c r="P3661" s="23" t="str">
        <x:v>PONTES E LACERDA</x:v>
      </x:c>
      <x:c r="Q3661" s="30" t="n">
        <x:v>29555</x:v>
      </x:c>
      <x:c r="R3661" s="22" t="str">
        <x:f>"16454731"</x:f>
        <x:v>16454731</x:v>
      </x:c>
      <x:c r="S3661" s="23" t="str">
        <x:v>masculino</x:v>
      </x:c>
      <x:c r="T3661" s="22" t="str">
        <x:f>"MWZ1660"</x:f>
        <x:v>MWZ1660</x:v>
      </x:c>
      <x:c r="U3661" s="23" t="str">
        <x:v>DANILLO BACIEL ALMEIDA</x:v>
      </x:c>
      <x:c r="V3661" s="22" t="str">
        <x:f>"038.768.901-01"</x:f>
        <x:v>038.768.901-01</x:v>
      </x:c>
      <x:c r="W3661" s="22" t="str">
        <x:f>"03876890101"</x:f>
        <x:v>03876890101</x:v>
      </x:c>
      <x:c r="X3661" s="23" t="str">
        <x:v>rtp.cargas@gmail.com</x:v>
      </x:c>
      <x:c r="Y3661" s="22" t="str">
        <x:f>"62991277279"</x:f>
        <x:v>62991277279</x:v>
      </x:c>
      <x:c r="Z3661" s="30" t="n">
        <x:v>46316</x:v>
      </x:c>
    </x:row>
    <x:row r="3662" ht="18" customHeight="1">
      <x:c r="A3662" s="22" t="str">
        <x:f>"da57a567-cdce-4aec-a595-085230fffb96"</x:f>
        <x:v>da57a567-cdce-4aec-a595-085230fffb96</x:v>
      </x:c>
      <x:c r="B3662" s="23" t="str">
        <x:v>VANESSA DANIELLI SILVA ASSUNCAO</x:v>
      </x:c>
      <x:c r="C3662" s="23" t="str">
        <x:v>vanessa danielli silva assuncao</x:v>
      </x:c>
      <x:c r="D3662" s="22" t="str">
        <x:f>"64.877.543/0001-74"</x:f>
        <x:v>64.877.543/0001-74</x:v>
      </x:c>
      <x:c r="E3662" s="22" t="str">
        <x:f>"64877543000174"</x:f>
        <x:v>64877543000174</x:v>
      </x:c>
      <x:c r="F3662" s="22" t="str">
        <x:f>"044.487.771-11"</x:f>
        <x:v>044.487.771-11</x:v>
      </x:c>
      <x:c r="G3662" s="22" t="str">
        <x:f>"04448777111"</x:f>
        <x:v>04448777111</x:v>
      </x:c>
      <x:c r="H3662" s="23" t="str">
        <x:v>vanessadaniellisilvaassuncao@outlook.com</x:v>
      </x:c>
      <x:c r="I3662" s="22" t="str">
        <x:f>"65 99276-0208"</x:f>
        <x:v>65 99276-0208</x:v>
      </x:c>
      <x:c r="J3662" s="23" t="str">
        <x:v>SPOT</x:v>
      </x:c>
      <x:c r="K3662" s="23" t="str">
        <x:v>favored_only</x:v>
      </x:c>
      <x:c r="L3662" s="24" t="b">
        <x:v>1</x:v>
      </x:c>
      <x:c r="M3662" s="23" t="n">
        <x:v>1</x:v>
      </x:c>
      <x:c r="N3662" s="28" t="n">
        <x:v>46219.812988715275</x:v>
      </x:c>
      <x:c r="O3662" s="28" t="n">
        <x:v>46219.812988715275</x:v>
      </x:c>
      <x:c r="P3662" s="23" t="str">
        <x:v>CUIABA</x:v>
      </x:c>
      <x:c r="Q3662" s="30" t="n">
        <x:v>35961</x:v>
      </x:c>
      <x:c r="R3662" s="22" t="str">
        <x:f>"21318832"</x:f>
        <x:v>21318832</x:v>
      </x:c>
      <x:c r="S3662" s="23" t="str">
        <x:v>feminino</x:v>
      </x:c>
      <x:c r="T3662" s="22" t="str">
        <x:f>"QPK1401"</x:f>
        <x:v>QPK1401</x:v>
      </x:c>
      <x:c r="U3662" s="23" t="str">
        <x:v>ANDRE LUIZ ASSUNCAO LEITE</x:v>
      </x:c>
      <x:c r="V3662" s="22" t="str">
        <x:f>"037.328.291-54"</x:f>
        <x:v>037.328.291-54</x:v>
      </x:c>
      <x:c r="W3662" s="22" t="str">
        <x:f>"03732829154"</x:f>
        <x:v>03732829154</x:v>
      </x:c>
      <x:c r="X3662" s="23" t="str">
        <x:v>andrezinho_top92@hotmail.com</x:v>
      </x:c>
      <x:c r="Y3662" s="22" t="str">
        <x:f>"65 993052115"</x:f>
        <x:v>65 993052115</x:v>
      </x:c>
      <x:c r="Z3662" s="30" t="n">
        <x:v>46429</x:v>
      </x:c>
    </x:row>
    <x:row r="3663" ht="18" customHeight="1">
      <x:c r="A3663" s="22" t="str">
        <x:f>"0f0368ee-5941-41e2-8acc-a47da4dfe0e9"</x:f>
        <x:v>0f0368ee-5941-41e2-8acc-a47da4dfe0e9</x:v>
      </x:c>
      <x:c r="B3663" s="23" t="str">
        <x:v>VANESSA DA SILVA LEITE</x:v>
      </x:c>
      <x:c r="C3663" s="23" t="str">
        <x:v>vanessa da silva leite</x:v>
      </x:c>
      <x:c r="D3663" s="22" t="str">
        <x:f>"64.320.339/0001-58"</x:f>
        <x:v>64.320.339/0001-58</x:v>
      </x:c>
      <x:c r="E3663" s="22" t="str">
        <x:f>"64320339000158"</x:f>
        <x:v>64320339000158</x:v>
      </x:c>
      <x:c r="F3663" s="22" t="str">
        <x:f>"142.016.927-01"</x:f>
        <x:v>142.016.927-01</x:v>
      </x:c>
      <x:c r="G3663" s="22" t="str">
        <x:f>"14201692701"</x:f>
        <x:v>14201692701</x:v>
      </x:c>
      <x:c r="H3663" s="23" t="str">
        <x:v>vanessarangel582@gmail.com</x:v>
      </x:c>
      <x:c r="I3663" s="22" t="str">
        <x:f>"22 981230897"</x:f>
        <x:v>22 981230897</x:v>
      </x:c>
      <x:c r="J3663" s="23" t="str">
        <x:v>SPOT</x:v>
      </x:c>
      <x:c r="K3663" s="23" t="str">
        <x:v>favored_only</x:v>
      </x:c>
      <x:c r="L3663" s="24" t="b">
        <x:v>1</x:v>
      </x:c>
      <x:c r="M3663" s="23" t="n">
        <x:v>1</x:v>
      </x:c>
      <x:c r="N3663" s="28" t="n">
        <x:v>46219.812988715275</x:v>
      </x:c>
      <x:c r="O3663" s="28" t="n">
        <x:v>46219.812988715275</x:v>
      </x:c>
      <x:c r="P3663" s="23" t="str">
        <x:v>CAMPOS DOS GOYTACAZES</x:v>
      </x:c>
      <x:c r="Q3663" s="30" t="n">
        <x:v>35261</x:v>
      </x:c>
      <x:c r="R3663" s="22" t="str">
        <x:f>"311407639"</x:f>
        <x:v>311407639</x:v>
      </x:c>
      <x:c r="S3663" s="23" t="str">
        <x:v>feminino</x:v>
      </x:c>
      <x:c r="T3663" s="22" t="str">
        <x:f>"KWC8G04"</x:f>
        <x:v>KWC8G04</x:v>
      </x:c>
      <x:c r="U3663" s="23" t="str">
        <x:v>ANNA MARCELLA DA SILVA SANTOS LIMA</x:v>
      </x:c>
      <x:c r="V3663" s="22" t="str">
        <x:f>"220.790.787-20"</x:f>
        <x:v>220.790.787-20</x:v>
      </x:c>
      <x:c r="W3663" s="22" t="str">
        <x:f>"22079078720"</x:f>
        <x:v>22079078720</x:v>
      </x:c>
      <x:c r="X3663" s="23" t="str">
        <x:v>MARCELLASANTOS1717@GMAIL.COM</x:v>
      </x:c>
      <x:c r="Y3663" s="22" t="str">
        <x:f>"22 988592405"</x:f>
        <x:v>22 988592405</x:v>
      </x:c>
      <x:c r="Z3663" s="30" t="n">
        <x:v>46407</x:v>
      </x:c>
    </x:row>
    <x:row r="3664" ht="18" customHeight="1">
      <x:c r="A3664" s="22" t="str">
        <x:f>"545c9147-0ec4-4d39-ba65-cc4d4bf356fc"</x:f>
        <x:v>545c9147-0ec4-4d39-ba65-cc4d4bf356fc</x:v>
      </x:c>
      <x:c r="B3664" s="23" t="str">
        <x:v>VANESSA DO PILAR FAGUNDES COELHO</x:v>
      </x:c>
      <x:c r="C3664" s="23" t="str">
        <x:v>vanessa do pilar fagundes coelho</x:v>
      </x:c>
      <x:c r="D3664" s="22" t="str">
        <x:f>"61.191.061/0001-78"</x:f>
        <x:v>61.191.061/0001-78</x:v>
      </x:c>
      <x:c r="E3664" s="22" t="str">
        <x:f>"61191061000178"</x:f>
        <x:v>61191061000178</x:v>
      </x:c>
      <x:c r="F3664" s="22" t="str">
        <x:f>"035.946.661-31"</x:f>
        <x:v>035.946.661-31</x:v>
      </x:c>
      <x:c r="G3664" s="22" t="str">
        <x:f>"03594666131"</x:f>
        <x:v>03594666131</x:v>
      </x:c>
      <x:c r="H3664" s="23" t="str">
        <x:v>vanessa_do_pilar@hotmail.com</x:v>
      </x:c>
      <x:c r="I3664" s="22" t="str">
        <x:f>"+55 65 9982-9224"</x:f>
        <x:v>+55 65 9982-9224</x:v>
      </x:c>
      <x:c r="J3664" s="23" t="str">
        <x:v>SPOT</x:v>
      </x:c>
      <x:c r="K3664" s="23" t="str">
        <x:v>favored_only</x:v>
      </x:c>
      <x:c r="L3664" s="24" t="b">
        <x:v>1</x:v>
      </x:c>
      <x:c r="M3664" s="23" t="n">
        <x:v>1</x:v>
      </x:c>
      <x:c r="N3664" s="28" t="n">
        <x:v>46205.60486709491</x:v>
      </x:c>
      <x:c r="O3664" s="28" t="n">
        <x:v>46219.812988715275</x:v>
      </x:c>
      <x:c r="P3664" s="23" t="str">
        <x:v>ARAPUTANGA</x:v>
      </x:c>
      <x:c r="Q3664" s="30" t="n">
        <x:v>33177</x:v>
      </x:c>
      <x:c r="R3664" s="22" t="str">
        <x:f>"20824831 SSP MT"</x:f>
        <x:v>20824831 SSP MT</x:v>
      </x:c>
      <x:c r="S3664" s="23" t="str">
        <x:v>feminino</x:v>
      </x:c>
      <x:c r="T3664" s="22" t="str">
        <x:f>"FDU5J03"</x:f>
        <x:v>FDU5J03</x:v>
      </x:c>
      <x:c r="U3664" s="23" t="str">
        <x:v>RAFAEL BENTO GOMES</x:v>
      </x:c>
      <x:c r="V3664" s="22" t="str">
        <x:f>"055.886.591-71"</x:f>
        <x:v>055.886.591-71</x:v>
      </x:c>
      <x:c r="W3664" s="22" t="str">
        <x:f>"05588659171"</x:f>
        <x:v>05588659171</x:v>
      </x:c>
      <x:c r="X3664" s="23" t="str">
        <x:v>rafaelbentogomes685@gmail.com</x:v>
      </x:c>
      <x:c r="Y3664" s="22" t="str">
        <x:f>"659920114681"</x:f>
        <x:v>659920114681</x:v>
      </x:c>
      <x:c r="Z3664" s="30" t="n">
        <x:v>46301</x:v>
      </x:c>
    </x:row>
    <x:row r="3665" ht="18" customHeight="1">
      <x:c r="A3665" s="22" t="str">
        <x:f>"6b27431f-b40c-4785-bc59-8eefd94f35a6"</x:f>
        <x:v>6b27431f-b40c-4785-bc59-8eefd94f35a6</x:v>
      </x:c>
      <x:c r="B3665" s="23" t="str">
        <x:v>VANESSA LIMA DA SILVA</x:v>
      </x:c>
      <x:c r="C3665" s="23" t="str">
        <x:v>vanessa lima da silva</x:v>
      </x:c>
      <x:c r="D3665" s="22" t="str">
        <x:f>"32.468.703/0001-35"</x:f>
        <x:v>32.468.703/0001-35</x:v>
      </x:c>
      <x:c r="E3665" s="22" t="str">
        <x:f>"32468703000135"</x:f>
        <x:v>32468703000135</x:v>
      </x:c>
      <x:c r="F3665" s="22" t="str">
        <x:f>"170.565.597-19"</x:f>
        <x:v>170.565.597-19</x:v>
      </x:c>
      <x:c r="G3665" s="22" t="str">
        <x:f>"17056559719"</x:f>
        <x:v>17056559719</x:v>
      </x:c>
      <x:c r="H3665" s="23" t="str">
        <x:v>vanessalima.up@gmail.com</x:v>
      </x:c>
      <x:c r="I3665" s="22" t="str">
        <x:f>"21 96740-2387"</x:f>
        <x:v>21 96740-2387</x:v>
      </x:c>
      <x:c r="J3665" s="23" t="str">
        <x:v>SPOT</x:v>
      </x:c>
      <x:c r="K3665" s="23" t="str">
        <x:v>favored_only</x:v>
      </x:c>
      <x:c r="L3665" s="24" t="b">
        <x:v>1</x:v>
      </x:c>
      <x:c r="M3665" s="23" t="n">
        <x:v>1</x:v>
      </x:c>
      <x:c r="N3665" s="28" t="n">
        <x:v>46203.9219084375</x:v>
      </x:c>
      <x:c r="O3665" s="28" t="n">
        <x:v>46219.812988715275</x:v>
      </x:c>
      <x:c r="P3665" s="23" t="str">
        <x:v>CORDOVIL</x:v>
      </x:c>
      <x:c r="Q3665" s="30" t="n">
        <x:v>35969</x:v>
      </x:c>
      <x:c r="R3665" s="22" t="str">
        <x:f>"284342078"</x:f>
        <x:v>284342078</x:v>
      </x:c>
      <x:c r="S3665" s="23" t="str">
        <x:v>feminino</x:v>
      </x:c>
      <x:c r="T3665" s="22" t="str">
        <x:f>"RVC6A71"</x:f>
        <x:v>RVC6A71</x:v>
      </x:c>
      <x:c r="U3665" s="23" t="str">
        <x:v>VANESSA LIMA DA SILVA</x:v>
      </x:c>
      <x:c r="V3665" s="22" t="str">
        <x:f>"170.565.597-19"</x:f>
        <x:v>170.565.597-19</x:v>
      </x:c>
      <x:c r="W3665" s="22" t="str">
        <x:f>"17056559719"</x:f>
        <x:v>17056559719</x:v>
      </x:c>
      <x:c r="X3665" s="23" t="str">
        <x:v>vanessalima.up@gmail.com</x:v>
      </x:c>
      <x:c r="Y3665" s="22" t="str">
        <x:f>"21 96740-2387"</x:f>
        <x:v>21 96740-2387</x:v>
      </x:c>
      <x:c r="Z3665" s="30" t="n">
        <x:v>46392</x:v>
      </x:c>
    </x:row>
    <x:row r="3666" ht="18" customHeight="1">
      <x:c r="A3666" s="22" t="str">
        <x:f>"a5ae2bab-1d50-4e1d-8181-c8f3b6f2ae5d"</x:f>
        <x:v>a5ae2bab-1d50-4e1d-8181-c8f3b6f2ae5d</x:v>
      </x:c>
      <x:c r="B3666" s="23" t="str">
        <x:v>VANESSA LIMA DA SILVA</x:v>
      </x:c>
      <x:c r="C3666" s="23" t="str">
        <x:v>vanessa lima da silva</x:v>
      </x:c>
      <x:c r="D3666" s="22" t="str">
        <x:f>"56.978.314/0001-18"</x:f>
        <x:v>56.978.314/0001-18</x:v>
      </x:c>
      <x:c r="E3666" s="22" t="str">
        <x:f>"56978314000118"</x:f>
        <x:v>56978314000118</x:v>
      </x:c>
      <x:c r="F3666" s="22" t="str">
        <x:f>"170.565.597-19"</x:f>
        <x:v>170.565.597-19</x:v>
      </x:c>
      <x:c r="G3666" s="22" t="str">
        <x:f>"17056559719"</x:f>
        <x:v>17056559719</x:v>
      </x:c>
      <x:c r="H3666" s="23" t="str">
        <x:v>vanessalima.up@gmail.com</x:v>
      </x:c>
      <x:c r="I3666" s="22" t="str">
        <x:f>"21 96740-2387"</x:f>
        <x:v>21 96740-2387</x:v>
      </x:c>
      <x:c r="J3666" s="23" t="str">
        <x:v>SPOT</x:v>
      </x:c>
      <x:c r="K3666" s="23" t="str">
        <x:v>favored_only</x:v>
      </x:c>
      <x:c r="L3666" s="24" t="b">
        <x:v>1</x:v>
      </x:c>
      <x:c r="M3666" s="23" t="n">
        <x:v>1</x:v>
      </x:c>
      <x:c r="N3666" s="28" t="n">
        <x:v>46205.60717565972</x:v>
      </x:c>
      <x:c r="O3666" s="28" t="n">
        <x:v>46219.812988715275</x:v>
      </x:c>
      <x:c r="P3666" s="23" t="str">
        <x:v>CORDOVIL</x:v>
      </x:c>
      <x:c r="Q3666" s="30" t="n">
        <x:v>35969</x:v>
      </x:c>
      <x:c r="R3666" s="22" t="str">
        <x:f>"284342078"</x:f>
        <x:v>284342078</x:v>
      </x:c>
      <x:c r="S3666" s="23" t="str">
        <x:v>feminino</x:v>
      </x:c>
      <x:c r="T3666" s="22" t="str">
        <x:f>"RVC6A71"</x:f>
        <x:v>RVC6A71</x:v>
      </x:c>
      <x:c r="U3666" s="23" t="str">
        <x:v>LUIZ FELLIPE AZEVEDO MARTINS</x:v>
      </x:c>
      <x:c r="V3666" s="22" t="str">
        <x:f>"155.855.727-09"</x:f>
        <x:v>155.855.727-09</x:v>
      </x:c>
      <x:c r="W3666" s="22" t="str">
        <x:f>"15585572709"</x:f>
        <x:v>15585572709</x:v>
      </x:c>
      <x:c r="X3666" s="23" t="str">
        <x:v>fellipe-30@live.com</x:v>
      </x:c>
      <x:c r="Y3666" s="22" t="str">
        <x:f>"21983910685"</x:f>
        <x:v>21983910685</x:v>
      </x:c>
      <x:c r="Z3666" s="30" t="n">
        <x:v>46392</x:v>
      </x:c>
    </x:row>
    <x:row r="3667" ht="18" customHeight="1">
      <x:c r="A3667" s="22" t="str">
        <x:f>"2edcc8fd-d0c1-42a8-86f3-837d748a6758"</x:f>
        <x:v>2edcc8fd-d0c1-42a8-86f3-837d748a6758</x:v>
      </x:c>
      <x:c r="B3667" s="23" t="str">
        <x:v>VANESSA MORETH JORGE</x:v>
      </x:c>
      <x:c r="C3667" s="23" t="str">
        <x:v>vanessa moreth jorge</x:v>
      </x:c>
      <x:c r="D3667" s="22" t="str">
        <x:f>"58.452.101/0001-83"</x:f>
        <x:v>58.452.101/0001-83</x:v>
      </x:c>
      <x:c r="E3667" s="22" t="str">
        <x:f>"58452101000183"</x:f>
        <x:v>58452101000183</x:v>
      </x:c>
      <x:c r="F3667" s="22" t="str">
        <x:f>"102.014.727-08"</x:f>
        <x:v>102.014.727-08</x:v>
      </x:c>
      <x:c r="G3667" s="22" t="str">
        <x:f>"10201472708"</x:f>
        <x:v>10201472708</x:v>
      </x:c>
      <x:c r="H3667" s="23" t="str">
        <x:v>nessamoreth21@gmail.com</x:v>
      </x:c>
      <x:c r="I3667" s="22" t="str">
        <x:f>"21970378277"</x:f>
        <x:v>21970378277</x:v>
      </x:c>
      <x:c r="J3667" s="23" t="str">
        <x:v>SPOT</x:v>
      </x:c>
      <x:c r="K3667" s="23" t="str">
        <x:v>favored_only</x:v>
      </x:c>
      <x:c r="L3667" s="24" t="b">
        <x:v>1</x:v>
      </x:c>
      <x:c r="M3667" s="23" t="n">
        <x:v>2</x:v>
      </x:c>
      <x:c r="N3667" s="28" t="n">
        <x:v>46219.812988715275</x:v>
      </x:c>
      <x:c r="O3667" s="28" t="n">
        <x:v>46219.812988715275</x:v>
      </x:c>
      <x:c r="P3667" s="23" t="str">
        <x:v>QUEIMADOS</x:v>
      </x:c>
      <x:c r="Q3667" s="30" t="n">
        <x:v>31737</x:v>
      </x:c>
      <x:c r="R3667" s="22" t="str">
        <x:f>"20813569-9"</x:f>
        <x:v>20813569-9</x:v>
      </x:c>
      <x:c r="S3667" s="23" t="str">
        <x:v>feminino</x:v>
      </x:c>
      <x:c r="T3667" s="22" t="str">
        <x:f>"ASV0G08"</x:f>
        <x:v>ASV0G08</x:v>
      </x:c>
      <x:c r="U3667" s="23" t="str">
        <x:v>VANESSA MORETH JORGE</x:v>
      </x:c>
      <x:c r="V3667" s="22" t="str">
        <x:f>"102.014.727-08"</x:f>
        <x:v>102.014.727-08</x:v>
      </x:c>
      <x:c r="W3667" s="22" t="str">
        <x:f>"10201472708"</x:f>
        <x:v>10201472708</x:v>
      </x:c>
      <x:c r="X3667" s="23" t="str">
        <x:v>nessamoreth21@gmail.com</x:v>
      </x:c>
      <x:c r="Y3667" s="22" t="str">
        <x:f>"21970378277"</x:f>
        <x:v>21970378277</x:v>
      </x:c>
      <x:c r="Z3667" s="30" t="n">
        <x:v>46474</x:v>
      </x:c>
    </x:row>
    <x:row r="3668" ht="18" customHeight="1">
      <x:c r="A3668" s="22" t="str">
        <x:f>"780156e6-3948-446a-bd2d-0a94a29a78b9"</x:f>
        <x:v>780156e6-3948-446a-bd2d-0a94a29a78b9</x:v>
      </x:c>
      <x:c r="B3668" s="23" t="str">
        <x:v>VANESSA NASCIMENTO CRUZ</x:v>
      </x:c>
      <x:c r="C3668" s="23" t="str">
        <x:v>vanessa nascimento cruz</x:v>
      </x:c>
      <x:c r="D3668" s="22" t="str">
        <x:f>"65.628.175/0001-93"</x:f>
        <x:v>65.628.175/0001-93</x:v>
      </x:c>
      <x:c r="E3668" s="22" t="str">
        <x:f>"65628175000193"</x:f>
        <x:v>65628175000193</x:v>
      </x:c>
      <x:c r="F3668" s="22" t="str">
        <x:f>"124.810.037-99"</x:f>
        <x:v>124.810.037-99</x:v>
      </x:c>
      <x:c r="G3668" s="22" t="str">
        <x:f>"12481003799"</x:f>
        <x:v>12481003799</x:v>
      </x:c>
      <x:c r="H3668" s="23" t="str">
        <x:v>vanessanascimento24@live.com</x:v>
      </x:c>
      <x:c r="I3668" s="22" t="str">
        <x:f>"21 99336-8331"</x:f>
        <x:v>21 99336-8331</x:v>
      </x:c>
      <x:c r="J3668" s="23" t="str">
        <x:v>spot</x:v>
      </x:c>
      <x:c r="K3668" s="23" t="str">
        <x:v>favored_only</x:v>
      </x:c>
      <x:c r="L3668" s="24" t="b">
        <x:v>1</x:v>
      </x:c>
      <x:c r="M3668" s="23" t="n">
        <x:v>1</x:v>
      </x:c>
      <x:c r="N3668" s="28" t="n">
        <x:v>46219.812988715275</x:v>
      </x:c>
      <x:c r="O3668" s="28" t="n">
        <x:v>46219.812988715275</x:v>
      </x:c>
      <x:c r="P3668" s="23" t="str">
        <x:v>CORDOVIL</x:v>
      </x:c>
      <x:c r="Q3668" s="30" t="n">
        <x:v>31834</x:v>
      </x:c>
      <x:c r="R3668" s="22" t="str">
        <x:f>"230984700"</x:f>
        <x:v>230984700</x:v>
      </x:c>
      <x:c r="S3668" s="23" t="str">
        <x:v>masculino</x:v>
      </x:c>
      <x:c r="T3668" s="22" t="str">
        <x:f>"KQZ 6331"</x:f>
        <x:v>KQZ 6331</x:v>
      </x:c>
      <x:c r="U3668" s="23" t="str">
        <x:v>VANESSA NASCIMENTO CRUZ</x:v>
      </x:c>
      <x:c r="V3668" s="22" t="str">
        <x:f>"124.810.037-99"</x:f>
        <x:v>124.810.037-99</x:v>
      </x:c>
      <x:c r="W3668" s="22" t="str">
        <x:f>"12481003799"</x:f>
        <x:v>12481003799</x:v>
      </x:c>
      <x:c r="X3668" s="23" t="str">
        <x:v>vanessanascimento24@live.com</x:v>
      </x:c>
      <x:c r="Y3668" s="22" t="str">
        <x:f>"21 99336-8331"</x:f>
        <x:v>21 99336-8331</x:v>
      </x:c>
      <x:c r="Z3668" s="30" t="n">
        <x:v>46522</x:v>
      </x:c>
    </x:row>
    <x:row r="3669" ht="18" customHeight="1">
      <x:c r="A3669" s="22" t="str">
        <x:f>"a73872e8-3792-4a0c-93a6-8e8e5a63761a"</x:f>
        <x:v>a73872e8-3792-4a0c-93a6-8e8e5a63761a</x:v>
      </x:c>
      <x:c r="B3669" s="23" t="str">
        <x:v>VANESSA NAVEGA TERRASON</x:v>
      </x:c>
      <x:c r="C3669" s="23" t="str">
        <x:v>vanessa navega terrason</x:v>
      </x:c>
      <x:c r="D3669" s="22" t="str">
        <x:f>"48.560.961/0001-87"</x:f>
        <x:v>48.560.961/0001-87</x:v>
      </x:c>
      <x:c r="E3669" s="22" t="str">
        <x:f>"48560961000187"</x:f>
        <x:v>48560961000187</x:v>
      </x:c>
      <x:c r="F3669" s="22" t="str">
        <x:f>"126.271.207-60"</x:f>
        <x:v>126.271.207-60</x:v>
      </x:c>
      <x:c r="G3669" s="22" t="str">
        <x:f>"12627120760"</x:f>
        <x:v>12627120760</x:v>
      </x:c>
      <x:c r="H3669" s="23" t="str">
        <x:v>vanessa.navega@hotmail.con</x:v>
      </x:c>
      <x:c r="I3669" s="22" t="str">
        <x:f>"22999407574"</x:f>
        <x:v>22999407574</x:v>
      </x:c>
      <x:c r="J3669" s="23" t="str">
        <x:v>SPOT</x:v>
      </x:c>
      <x:c r="K3669" s="23" t="str">
        <x:v>favored_only</x:v>
      </x:c>
      <x:c r="L3669" s="24" t="b">
        <x:v>1</x:v>
      </x:c>
      <x:c r="M3669" s="23" t="n">
        <x:v>1</x:v>
      </x:c>
      <x:c r="N3669" s="28" t="n">
        <x:v>46205.60673310185</x:v>
      </x:c>
      <x:c r="O3669" s="28" t="n">
        <x:v>46219.812988715275</x:v>
      </x:c>
      <x:c r="P3669" s="23" t="str">
        <x:v>CAMPOS DOS GOYTACAZES</x:v>
      </x:c>
      <x:c r="Q3669" s="30" t="n">
        <x:v>33112</x:v>
      </x:c>
      <x:c r="R3669" s="22" t="str">
        <x:f>"234857878"</x:f>
        <x:v>234857878</x:v>
      </x:c>
      <x:c r="S3669" s="23" t="str">
        <x:v>feminino</x:v>
      </x:c>
      <x:c r="T3669" s="22" t="str">
        <x:f>"QNN1D90"</x:f>
        <x:v>QNN1D90</x:v>
      </x:c>
      <x:c r="U3669" s="23" t="str">
        <x:v>FELIPI BLANC SANCHES</x:v>
      </x:c>
      <x:c r="V3669" s="22" t="str">
        <x:f>"135.408.927-88"</x:f>
        <x:v>135.408.927-88</x:v>
      </x:c>
      <x:c r="W3669" s="22" t="str">
        <x:f>"13540892788"</x:f>
        <x:v>13540892788</x:v>
      </x:c>
      <x:c r="X3669" s="23" t="str">
        <x:v>felipe_blanc18@hotmail.com</x:v>
      </x:c>
      <x:c r="Y3669" s="22" t="str">
        <x:f>"22988541514"</x:f>
        <x:v>22988541514</x:v>
      </x:c>
      <x:c r="Z3669" s="30" t="n">
        <x:v>46373</x:v>
      </x:c>
    </x:row>
    <x:row r="3670" ht="18" customHeight="1">
      <x:c r="A3670" s="22" t="str">
        <x:f>"14bc5c6a-4fe0-416a-866f-fa143af1898b"</x:f>
        <x:v>14bc5c6a-4fe0-416a-866f-fa143af1898b</x:v>
      </x:c>
      <x:c r="B3670" s="23" t="str">
        <x:v>VANESSA XAGA BERALDO</x:v>
      </x:c>
      <x:c r="C3670" s="23" t="str">
        <x:v>vanessa xaga beraldo</x:v>
      </x:c>
      <x:c r="D3670" s="22" t="str">
        <x:f>"48.385.288/0001-96"</x:f>
        <x:v>48.385.288/0001-96</x:v>
      </x:c>
      <x:c r="E3670" s="22" t="str">
        <x:f>"48385288000196"</x:f>
        <x:v>48385288000196</x:v>
      </x:c>
      <x:c r="F3670" s="22" t="str">
        <x:f>"495.886.148-30"</x:f>
        <x:v>495.886.148-30</x:v>
      </x:c>
      <x:c r="G3670" s="22" t="str">
        <x:f>"49588614830"</x:f>
        <x:v>49588614830</x:v>
      </x:c>
      <x:c r="H3670" s="23" t="str">
        <x:v>beraldov2@gmail.com</x:v>
      </x:c>
      <x:c r="I3670" s="22" t="str">
        <x:f>"14988171991"</x:f>
        <x:v>14988171991</x:v>
      </x:c>
      <x:c r="J3670" s="23" t="str">
        <x:v>RENTAL</x:v>
      </x:c>
      <x:c r="K3670" s="23" t="str">
        <x:v>rental_company</x:v>
      </x:c>
      <x:c r="L3670" s="24" t="b">
        <x:v>1</x:v>
      </x:c>
      <x:c r="M3670" s="23" t="n">
        <x:v>1</x:v>
      </x:c>
      <x:c r="N3670" s="28" t="n">
        <x:v>46219.812988715275</x:v>
      </x:c>
      <x:c r="O3670" s="28" t="n">
        <x:v>46219.812988715275</x:v>
      </x:c>
      <x:c r="P3670" s="23" t="str">
        <x:v>BAURU</x:v>
      </x:c>
      <x:c r="Q3670" s="30" t="n">
        <x:v>36472</x:v>
      </x:c>
      <x:c r="R3670" s="22" t="str">
        <x:f>"588205887"</x:f>
        <x:v>588205887</x:v>
      </x:c>
      <x:c r="S3670" s="23" t="str">
        <x:v>feminino</x:v>
      </x:c>
      <x:c r="T3670" s="22" t="str"/>
      <x:c r="U3670" s="23" t="str">
        <x:v>VANESSA XAGA BERALDO</x:v>
      </x:c>
      <x:c r="V3670" s="22" t="str">
        <x:f>"495.886.148-30"</x:f>
        <x:v>495.886.148-30</x:v>
      </x:c>
      <x:c r="W3670" s="22" t="str">
        <x:f>"49588614830"</x:f>
        <x:v>49588614830</x:v>
      </x:c>
      <x:c r="X3670" s="23" t="str">
        <x:v>beraldov2@gmail.com</x:v>
      </x:c>
      <x:c r="Y3670" s="22" t="str">
        <x:f>"14988171991"</x:f>
        <x:v>14988171991</x:v>
      </x:c>
      <x:c r="Z3670" s="30" t="n">
        <x:v>46431</x:v>
      </x:c>
    </x:row>
    <x:row r="3671" ht="18" customHeight="1">
      <x:c r="A3671" s="22" t="str">
        <x:f>"1a4163a0-d2c3-4aef-abd1-d81eeea019f9"</x:f>
        <x:v>1a4163a0-d2c3-4aef-abd1-d81eeea019f9</x:v>
      </x:c>
      <x:c r="B3671" s="23" t="str">
        <x:v>VANILTON SOARES DE SOUZA</x:v>
      </x:c>
      <x:c r="C3671" s="23" t="str">
        <x:v>vanilton soares de souza</x:v>
      </x:c>
      <x:c r="D3671" s="22" t="str">
        <x:f>"49.683.908/0001-36"</x:f>
        <x:v>49.683.908/0001-36</x:v>
      </x:c>
      <x:c r="E3671" s="22" t="str">
        <x:f>"49683908000136"</x:f>
        <x:v>49683908000136</x:v>
      </x:c>
      <x:c r="F3671" s="22" t="str">
        <x:f>"383.464.351-34"</x:f>
        <x:v>383.464.351-34</x:v>
      </x:c>
      <x:c r="G3671" s="22" t="str">
        <x:f>"38346435134"</x:f>
        <x:v>38346435134</x:v>
      </x:c>
      <x:c r="H3671" s="23" t="str">
        <x:v>eriklysxixo@gmail.com</x:v>
      </x:c>
      <x:c r="I3671" s="22" t="str">
        <x:f>"65996307814"</x:f>
        <x:v>65996307814</x:v>
      </x:c>
      <x:c r="J3671" s="23" t="str">
        <x:v>spot</x:v>
      </x:c>
      <x:c r="K3671" s="23" t="str">
        <x:v>favored_only</x:v>
      </x:c>
      <x:c r="L3671" s="24" t="b">
        <x:v>1</x:v>
      </x:c>
      <x:c r="M3671" s="23" t="n">
        <x:v>1</x:v>
      </x:c>
      <x:c r="N3671" s="28" t="n">
        <x:v>46219.812988715275</x:v>
      </x:c>
      <x:c r="O3671" s="28" t="n">
        <x:v>46219.812988715275</x:v>
      </x:c>
      <x:c r="P3671" s="23" t="str">
        <x:v>ARAPUTANGA</x:v>
      </x:c>
      <x:c r="Q3671" s="30" t="n">
        <x:v>24083</x:v>
      </x:c>
      <x:c r="R3671" s="22" t="str">
        <x:f>"05156149 SSP MT"</x:f>
        <x:v>05156149 SSP MT</x:v>
      </x:c>
      <x:c r="S3671" s="23" t="str">
        <x:v>masculino</x:v>
      </x:c>
      <x:c r="T3671" s="22" t="str">
        <x:f>"RAP3F43"</x:f>
        <x:v>RAP3F43</x:v>
      </x:c>
      <x:c r="U3671" s="23" t="str">
        <x:v>LUCAS SOARES DE SOUZA</x:v>
      </x:c>
      <x:c r="V3671" s="22" t="str">
        <x:f>"064.584.031-94"</x:f>
        <x:v>064.584.031-94</x:v>
      </x:c>
      <x:c r="W3671" s="22" t="str">
        <x:f>"06458403194"</x:f>
        <x:v>06458403194</x:v>
      </x:c>
      <x:c r="X3671" s="23" t="str">
        <x:v>lucassoaress23@hotmail.com</x:v>
      </x:c>
      <x:c r="Y3671" s="22" t="str">
        <x:f>"65996307814"</x:f>
        <x:v>65996307814</x:v>
      </x:c>
      <x:c r="Z3671" s="30" t="n">
        <x:v>46550</x:v>
      </x:c>
    </x:row>
    <x:row r="3672" ht="18" customHeight="1">
      <x:c r="A3672" s="22" t="str">
        <x:f>"58664bb5-bb5f-4408-bf50-d9d42f710f55"</x:f>
        <x:v>58664bb5-bb5f-4408-bf50-d9d42f710f55</x:v>
      </x:c>
      <x:c r="B3672" s="23" t="str">
        <x:v>VERONICA PEREIRA BREGANTINA</x:v>
      </x:c>
      <x:c r="C3672" s="23" t="str">
        <x:v>veronica pereira bregantina</x:v>
      </x:c>
      <x:c r="D3672" s="22" t="str">
        <x:f>"66.836.801/0001-08"</x:f>
        <x:v>66.836.801/0001-08</x:v>
      </x:c>
      <x:c r="E3672" s="22" t="str">
        <x:f>"66836801000108"</x:f>
        <x:v>66836801000108</x:v>
      </x:c>
      <x:c r="F3672" s="22" t="str">
        <x:f>"067.312.331-61"</x:f>
        <x:v>067.312.331-61</x:v>
      </x:c>
      <x:c r="G3672" s="22" t="str">
        <x:f>"06731233161"</x:f>
        <x:v>06731233161</x:v>
      </x:c>
      <x:c r="H3672" s="23" t="str">
        <x:v>bregantinav@gmail.com</x:v>
      </x:c>
      <x:c r="I3672" s="22" t="str">
        <x:f>"65996092442"</x:f>
        <x:v>65996092442</x:v>
      </x:c>
      <x:c r="J3672" s="23" t="str">
        <x:v>SPOT</x:v>
      </x:c>
      <x:c r="K3672" s="23" t="str">
        <x:v>favored_only</x:v>
      </x:c>
      <x:c r="L3672" s="24" t="b">
        <x:v>1</x:v>
      </x:c>
      <x:c r="M3672" s="23" t="n">
        <x:v>1</x:v>
      </x:c>
      <x:c r="N3672" s="28" t="n">
        <x:v>46219.812988715275</x:v>
      </x:c>
      <x:c r="O3672" s="28" t="n">
        <x:v>46219.812988715275</x:v>
      </x:c>
      <x:c r="P3672" s="23" t="str">
        <x:v>CÁCERES</x:v>
      </x:c>
      <x:c r="Q3672" s="30" t="n">
        <x:v>38146</x:v>
      </x:c>
      <x:c r="R3672" s="22" t="str">
        <x:f>"32582382"</x:f>
        <x:v>32582382</x:v>
      </x:c>
      <x:c r="S3672" s="23" t="str">
        <x:v>feminino</x:v>
      </x:c>
      <x:c r="T3672" s="22" t="str">
        <x:f>"OOB7C75"</x:f>
        <x:v>OOB7C75</x:v>
      </x:c>
      <x:c r="U3672" s="23" t="str">
        <x:v>VERONICA PEREIRA BREGANTINA</x:v>
      </x:c>
      <x:c r="V3672" s="22" t="str">
        <x:f>"067.312.331-61"</x:f>
        <x:v>067.312.331-61</x:v>
      </x:c>
      <x:c r="W3672" s="22" t="str">
        <x:f>"06731233161"</x:f>
        <x:v>06731233161</x:v>
      </x:c>
      <x:c r="X3672" s="23" t="str">
        <x:v>bregantinav@gmail.com</x:v>
      </x:c>
      <x:c r="Y3672" s="22" t="str">
        <x:f>"65996092442"</x:f>
        <x:v>65996092442</x:v>
      </x:c>
      <x:c r="Z3672" s="30" t="n">
        <x:v>46553</x:v>
      </x:c>
    </x:row>
    <x:row r="3673" ht="18" customHeight="1">
      <x:c r="A3673" s="22" t="str">
        <x:f>"9a2d3282-9809-429b-adf4-c5b4884cfeea"</x:f>
        <x:v>9a2d3282-9809-429b-adf4-c5b4884cfeea</x:v>
      </x:c>
      <x:c r="B3673" s="23" t="str">
        <x:v>VERONILDO ALVES FERREIRA JUNIOR</x:v>
      </x:c>
      <x:c r="C3673" s="23" t="str">
        <x:v>veronildo alves ferreira junior</x:v>
      </x:c>
      <x:c r="D3673" s="22" t="str">
        <x:f>"61.034.230/0001-66"</x:f>
        <x:v>61.034.230/0001-66</x:v>
      </x:c>
      <x:c r="E3673" s="22" t="str">
        <x:f>"61034230000166"</x:f>
        <x:v>61034230000166</x:v>
      </x:c>
      <x:c r="F3673" s="22" t="str">
        <x:f>"067.068.951-30"</x:f>
        <x:v>067.068.951-30</x:v>
      </x:c>
      <x:c r="G3673" s="22" t="str">
        <x:f>"06706895130"</x:f>
        <x:v>06706895130</x:v>
      </x:c>
      <x:c r="H3673" s="23" t="str">
        <x:v>veronildoalves105@gmail.com</x:v>
      </x:c>
      <x:c r="I3673" s="22" t="str">
        <x:f>"65992954342"</x:f>
        <x:v>65992954342</x:v>
      </x:c>
      <x:c r="J3673" s="23" t="str">
        <x:v>SPOT</x:v>
      </x:c>
      <x:c r="K3673" s="23" t="str">
        <x:v>favored_only</x:v>
      </x:c>
      <x:c r="L3673" s="24" t="b">
        <x:v>1</x:v>
      </x:c>
      <x:c r="M3673" s="23" t="n">
        <x:v>1</x:v>
      </x:c>
      <x:c r="N3673" s="28" t="n">
        <x:v>46219.812988715275</x:v>
      </x:c>
      <x:c r="O3673" s="28" t="n">
        <x:v>46219.812988715275</x:v>
      </x:c>
      <x:c r="P3673" s="23" t="str">
        <x:v>CUIABA</x:v>
      </x:c>
      <x:c r="Q3673" s="30" t="n">
        <x:v>37221</x:v>
      </x:c>
      <x:c r="R3673" s="22" t="str">
        <x:f>"2687753-8"</x:f>
        <x:v>2687753-8</x:v>
      </x:c>
      <x:c r="S3673" s="23" t="str">
        <x:v>masculino</x:v>
      </x:c>
      <x:c r="T3673" s="22" t="str">
        <x:f>"RRW5A71"</x:f>
        <x:v>RRW5A71</x:v>
      </x:c>
      <x:c r="U3673" s="23" t="str">
        <x:v>WANESSA KAROLYNE SOUZA LINO</x:v>
      </x:c>
      <x:c r="V3673" s="22" t="str">
        <x:f>"061.856.251-64"</x:f>
        <x:v>061.856.251-64</x:v>
      </x:c>
      <x:c r="W3673" s="22" t="str">
        <x:f>"06185625164"</x:f>
        <x:v>06185625164</x:v>
      </x:c>
      <x:c r="X3673" s="23" t="str">
        <x:v>Wanessa.karolyne@hotmail.com</x:v>
      </x:c>
      <x:c r="Y3673" s="22" t="str">
        <x:f>"6598471-1108"</x:f>
        <x:v>6598471-1108</x:v>
      </x:c>
      <x:c r="Z3673" s="30" t="n">
        <x:v>46547</x:v>
      </x:c>
    </x:row>
    <x:row r="3674" ht="18" customHeight="1">
      <x:c r="A3674" s="22" t="str">
        <x:f>"fee4ba6e-c55f-40c6-9121-8287a811d31b"</x:f>
        <x:v>fee4ba6e-c55f-40c6-9121-8287a811d31b</x:v>
      </x:c>
      <x:c r="B3674" s="23" t="str">
        <x:v>VICENTE GUILHERME DE SOUSA TELES</x:v>
      </x:c>
      <x:c r="C3674" s="23" t="str">
        <x:v>vicente guilherme de sousa teles</x:v>
      </x:c>
      <x:c r="D3674" s="22" t="str">
        <x:f>"37.823.997/0001-90"</x:f>
        <x:v>37.823.997/0001-90</x:v>
      </x:c>
      <x:c r="E3674" s="22" t="str">
        <x:f>"37823997000190"</x:f>
        <x:v>37823997000190</x:v>
      </x:c>
      <x:c r="F3674" s="22" t="str">
        <x:f>"077.062.731-56"</x:f>
        <x:v>077.062.731-56</x:v>
      </x:c>
      <x:c r="G3674" s="22" t="str">
        <x:f>"07706273156"</x:f>
        <x:v>07706273156</x:v>
      </x:c>
      <x:c r="H3674" s="23" t="str">
        <x:v>vicenteteles0404@gmail.com</x:v>
      </x:c>
      <x:c r="I3674" s="22" t="str">
        <x:f>"61998291230"</x:f>
        <x:v>61998291230</x:v>
      </x:c>
      <x:c r="J3674" s="23" t="str">
        <x:v>SPOT</x:v>
      </x:c>
      <x:c r="K3674" s="23" t="str">
        <x:v>favored_only</x:v>
      </x:c>
      <x:c r="L3674" s="24" t="b">
        <x:v>1</x:v>
      </x:c>
      <x:c r="M3674" s="23" t="n">
        <x:v>1</x:v>
      </x:c>
      <x:c r="N3674" s="28" t="n">
        <x:v>46219.812988715275</x:v>
      </x:c>
      <x:c r="O3674" s="28" t="n">
        <x:v>46219.812988715275</x:v>
      </x:c>
      <x:c r="P3674" s="23" t="str">
        <x:v>GOIANIA</x:v>
      </x:c>
      <x:c r="Q3674" s="30" t="n">
        <x:v>37350</x:v>
      </x:c>
      <x:c r="R3674" s="22" t="str">
        <x:f>"3815597"</x:f>
        <x:v>3815597</x:v>
      </x:c>
      <x:c r="S3674" s="23" t="str">
        <x:v>masculino</x:v>
      </x:c>
      <x:c r="T3674" s="22" t="str">
        <x:f>"OGW4G74"</x:f>
        <x:v>OGW4G74</x:v>
      </x:c>
      <x:c r="U3674" s="23" t="str">
        <x:v>DANILLO BACIEL ALMEIDA</x:v>
      </x:c>
      <x:c r="V3674" s="22" t="str">
        <x:f>"019.928.911-50"</x:f>
        <x:v>019.928.911-50</x:v>
      </x:c>
      <x:c r="W3674" s="22" t="str">
        <x:f>"01992891150"</x:f>
        <x:v>01992891150</x:v>
      </x:c>
      <x:c r="X3674" s="23" t="str">
        <x:v>rpt.cargas@gmail.com</x:v>
      </x:c>
      <x:c r="Y3674" s="22" t="str">
        <x:f>"62 996610607"</x:f>
        <x:v>62 996610607</x:v>
      </x:c>
      <x:c r="Z3674" s="30" t="n">
        <x:v>46413</x:v>
      </x:c>
    </x:row>
    <x:row r="3675" ht="18" customHeight="1">
      <x:c r="A3675" s="22" t="str">
        <x:f>"b126f749-1621-4bff-b49a-5b2b2b450f50"</x:f>
        <x:v>b126f749-1621-4bff-b49a-5b2b2b450f50</x:v>
      </x:c>
      <x:c r="B3675" s="23" t="str">
        <x:v>VICTOR AUGUSTO DE LIMA CARDOSO</x:v>
      </x:c>
      <x:c r="C3675" s="23" t="str">
        <x:v>victor augusto de lima cardoso</x:v>
      </x:c>
      <x:c r="D3675" s="22" t="str">
        <x:f>"55.745.754/0001-62"</x:f>
        <x:v>55.745.754/0001-62</x:v>
      </x:c>
      <x:c r="E3675" s="22" t="str">
        <x:f>"55745754000162"</x:f>
        <x:v>55745754000162</x:v>
      </x:c>
      <x:c r="F3675" s="22" t="str">
        <x:f>"544.971.688-59"</x:f>
        <x:v>544.971.688-59</x:v>
      </x:c>
      <x:c r="G3675" s="22" t="str">
        <x:f>"54497168859"</x:f>
        <x:v>54497168859</x:v>
      </x:c>
      <x:c r="H3675" s="23" t="str">
        <x:v>contato.viitinhu@gmail.com</x:v>
      </x:c>
      <x:c r="I3675" s="22" t="str">
        <x:f>"11992419190"</x:f>
        <x:v>11992419190</x:v>
      </x:c>
      <x:c r="J3675" s="23" t="str">
        <x:v>RENTAL</x:v>
      </x:c>
      <x:c r="K3675" s="23" t="str">
        <x:v>rental_company</x:v>
      </x:c>
      <x:c r="L3675" s="24" t="b">
        <x:v>1</x:v>
      </x:c>
      <x:c r="M3675" s="23" t="n">
        <x:v>1</x:v>
      </x:c>
      <x:c r="N3675" s="28" t="n">
        <x:v>46219.79396105324</x:v>
      </x:c>
      <x:c r="O3675" s="28" t="n">
        <x:v>46219.812988715275</x:v>
      </x:c>
      <x:c r="P3675" s="23" t="str">
        <x:v>MADEIRA MADEIRA</x:v>
      </x:c>
      <x:c r="Q3675" s="30" t="n">
        <x:v>37244</x:v>
      </x:c>
      <x:c r="R3675" s="22" t="str">
        <x:f>"531444636"</x:f>
        <x:v>531444636</x:v>
      </x:c>
      <x:c r="S3675" s="23" t="str">
        <x:v>masculino</x:v>
      </x:c>
      <x:c r="T3675" s="22" t="str"/>
      <x:c r="U3675" s="23" t="str">
        <x:v>VICTOR AUGUSTO DE LIMA CARDOSO</x:v>
      </x:c>
      <x:c r="V3675" s="22" t="str">
        <x:f>"544.971.688-59"</x:f>
        <x:v>544.971.688-59</x:v>
      </x:c>
      <x:c r="W3675" s="22" t="str">
        <x:f>"54497168859"</x:f>
        <x:v>54497168859</x:v>
      </x:c>
      <x:c r="X3675" s="23" t="str">
        <x:v>contato.viitinhu@gmail.com</x:v>
      </x:c>
      <x:c r="Y3675" s="22" t="str">
        <x:f>"11992419190"</x:f>
        <x:v>11992419190</x:v>
      </x:c>
      <x:c r="Z3675" s="30" t="n">
        <x:v>46316</x:v>
      </x:c>
    </x:row>
    <x:row r="3676" ht="18" customHeight="1">
      <x:c r="A3676" s="22" t="str">
        <x:f>"50725b50-4377-4934-ac58-ccd00be0c394"</x:f>
        <x:v>50725b50-4377-4934-ac58-ccd00be0c394</x:v>
      </x:c>
      <x:c r="B3676" s="23" t="str">
        <x:v>VICTOR AUGUSTO DE LIMA PEREIRA GONCALVES</x:v>
      </x:c>
      <x:c r="C3676" s="23" t="str">
        <x:v>victor augusto de lima pereira goncalves</x:v>
      </x:c>
      <x:c r="D3676" s="22" t="str">
        <x:f>"64.574.332/0001-62"</x:f>
        <x:v>64.574.332/0001-62</x:v>
      </x:c>
      <x:c r="E3676" s="22" t="str">
        <x:f>"64574332000162"</x:f>
        <x:v>64574332000162</x:v>
      </x:c>
      <x:c r="F3676" s="22" t="str">
        <x:f>"087.882.216-01"</x:f>
        <x:v>087.882.216-01</x:v>
      </x:c>
      <x:c r="G3676" s="22" t="str">
        <x:f>"08788221601"</x:f>
        <x:v>08788221601</x:v>
      </x:c>
      <x:c r="H3676" s="23" t="str">
        <x:v>Augustovic2021@gmail.com</x:v>
      </x:c>
      <x:c r="I3676" s="22" t="str">
        <x:f>"31995454945"</x:f>
        <x:v>31995454945</x:v>
      </x:c>
      <x:c r="J3676" s="23" t="str">
        <x:v>RENTAL</x:v>
      </x:c>
      <x:c r="K3676" s="23" t="str">
        <x:v>rental_company</x:v>
      </x:c>
      <x:c r="L3676" s="24" t="b">
        <x:v>1</x:v>
      </x:c>
      <x:c r="M3676" s="23" t="n">
        <x:v>1</x:v>
      </x:c>
      <x:c r="N3676" s="28" t="n">
        <x:v>46219.812988715275</x:v>
      </x:c>
      <x:c r="O3676" s="28" t="n">
        <x:v>46219.812988715275</x:v>
      </x:c>
      <x:c r="P3676" s="23" t="str">
        <x:v>NOVA LIMA</x:v>
      </x:c>
      <x:c r="Q3676" s="30" t="n">
        <x:v>34528</x:v>
      </x:c>
      <x:c r="R3676" s="22" t="str">
        <x:f>"14856673"</x:f>
        <x:v>14856673</x:v>
      </x:c>
      <x:c r="S3676" s="23" t="str">
        <x:v>masculino</x:v>
      </x:c>
      <x:c r="T3676" s="22" t="str"/>
      <x:c r="U3676" s="23" t="str">
        <x:v>VICTOR AUGUSTO DE LIMA PEREIRA GONCALVES</x:v>
      </x:c>
      <x:c r="V3676" s="22" t="str">
        <x:f>"087.882.216-01"</x:f>
        <x:v>087.882.216-01</x:v>
      </x:c>
      <x:c r="W3676" s="22" t="str">
        <x:f>"08788221601"</x:f>
        <x:v>08788221601</x:v>
      </x:c>
      <x:c r="X3676" s="23" t="str">
        <x:v>Augustovic2021@gmail.com</x:v>
      </x:c>
      <x:c r="Y3676" s="22" t="str">
        <x:f>"31995454945"</x:f>
        <x:v>31995454945</x:v>
      </x:c>
      <x:c r="Z3676" s="30" t="n">
        <x:v>46410</x:v>
      </x:c>
    </x:row>
    <x:row r="3677" ht="18" customHeight="1">
      <x:c r="A3677" s="22" t="str">
        <x:f>"c043babb-9c32-435e-8e52-beeec1cb63a1"</x:f>
        <x:v>c043babb-9c32-435e-8e52-beeec1cb63a1</x:v>
      </x:c>
      <x:c r="B3677" s="23" t="str">
        <x:v>VICTOR CRISTINO GOMES DOS SANTOS</x:v>
      </x:c>
      <x:c r="C3677" s="23" t="str">
        <x:v>victor cristino gomes dos santos</x:v>
      </x:c>
      <x:c r="D3677" s="22" t="str">
        <x:f>"61.066.138/0001-88"</x:f>
        <x:v>61.066.138/0001-88</x:v>
      </x:c>
      <x:c r="E3677" s="22" t="str">
        <x:f>"61066138000188"</x:f>
        <x:v>61066138000188</x:v>
      </x:c>
      <x:c r="F3677" s="22" t="str">
        <x:f>"034.280.121-00"</x:f>
        <x:v>034.280.121-00</x:v>
      </x:c>
      <x:c r="G3677" s="22" t="str">
        <x:f>"03428012100"</x:f>
        <x:v>03428012100</x:v>
      </x:c>
      <x:c r="H3677" s="23" t="str">
        <x:v>victorcristino27@hotmail.com</x:v>
      </x:c>
      <x:c r="I3677" s="22" t="str">
        <x:f>"64 99281-5012"</x:f>
        <x:v>64 99281-5012</x:v>
      </x:c>
      <x:c r="J3677" s="23" t="str">
        <x:v>SPOT</x:v>
      </x:c>
      <x:c r="K3677" s="23" t="str">
        <x:v>favored_only</x:v>
      </x:c>
      <x:c r="L3677" s="24" t="b">
        <x:v>1</x:v>
      </x:c>
      <x:c r="M3677" s="23" t="n">
        <x:v>1</x:v>
      </x:c>
      <x:c r="N3677" s="28" t="n">
        <x:v>46219.812988715275</x:v>
      </x:c>
      <x:c r="O3677" s="28" t="n">
        <x:v>46219.812988715275</x:v>
      </x:c>
      <x:c r="P3677" s="23" t="str">
        <x:v>RIO VERDE</x:v>
      </x:c>
      <x:c r="Q3677" s="30" t="n">
        <x:v>34300</x:v>
      </x:c>
      <x:c r="R3677" s="22" t="str">
        <x:f>"5587840"</x:f>
        <x:v>5587840</x:v>
      </x:c>
      <x:c r="S3677" s="23" t="str">
        <x:v>masculino</x:v>
      </x:c>
      <x:c r="T3677" s="22" t="str">
        <x:f>"PQY7566"</x:f>
        <x:v>PQY7566</x:v>
      </x:c>
      <x:c r="U3677" s="23" t="str">
        <x:v>VICTOR CRISTINO GOMES DOS SANTOS</x:v>
      </x:c>
      <x:c r="V3677" s="22" t="str">
        <x:f>"034.280.121-00"</x:f>
        <x:v>034.280.121-00</x:v>
      </x:c>
      <x:c r="W3677" s="22" t="str">
        <x:f>"03428012100"</x:f>
        <x:v>03428012100</x:v>
      </x:c>
      <x:c r="X3677" s="23" t="str">
        <x:v>victorcristino27@hotmail.com</x:v>
      </x:c>
      <x:c r="Y3677" s="22" t="str">
        <x:f>"64 99281-5012"</x:f>
        <x:v>64 99281-5012</x:v>
      </x:c>
      <x:c r="Z3677" s="30" t="n">
        <x:v>46449</x:v>
      </x:c>
    </x:row>
    <x:row r="3678" ht="18" customHeight="1">
      <x:c r="A3678" s="22" t="str">
        <x:f>"d4c55588-ec13-4007-ba1a-547f235fa698"</x:f>
        <x:v>d4c55588-ec13-4007-ba1a-547f235fa698</x:v>
      </x:c>
      <x:c r="B3678" s="23" t="str">
        <x:v>VICTOR CRISTINO GOMES DOS SANTOS</x:v>
      </x:c>
      <x:c r="C3678" s="23" t="str">
        <x:v>victor cristino gomes dos santos</x:v>
      </x:c>
      <x:c r="D3678" s="22" t="str">
        <x:f>"57.621.713/0001-90"</x:f>
        <x:v>57.621.713/0001-90</x:v>
      </x:c>
      <x:c r="E3678" s="22" t="str">
        <x:f>"57621713000190"</x:f>
        <x:v>57621713000190</x:v>
      </x:c>
      <x:c r="F3678" s="22" t="str">
        <x:f>"034.280.121-00"</x:f>
        <x:v>034.280.121-00</x:v>
      </x:c>
      <x:c r="G3678" s="22" t="str">
        <x:f>"03428012100"</x:f>
        <x:v>03428012100</x:v>
      </x:c>
      <x:c r="H3678" s="23" t="str">
        <x:v>victorcristino27@gmail.com</x:v>
      </x:c>
      <x:c r="I3678" s="22" t="str">
        <x:f>"64992465996"</x:f>
        <x:v>64992465996</x:v>
      </x:c>
      <x:c r="J3678" s="23" t="str">
        <x:v>SPOT</x:v>
      </x:c>
      <x:c r="K3678" s="23" t="str">
        <x:v>favored_only</x:v>
      </x:c>
      <x:c r="L3678" s="24" t="b">
        <x:v>1</x:v>
      </x:c>
      <x:c r="M3678" s="23" t="n">
        <x:v>1</x:v>
      </x:c>
      <x:c r="N3678" s="28" t="n">
        <x:v>46219.812988715275</x:v>
      </x:c>
      <x:c r="O3678" s="28" t="n">
        <x:v>46219.812988715275</x:v>
      </x:c>
      <x:c r="P3678" s="23" t="str">
        <x:v>RIO VERDE</x:v>
      </x:c>
      <x:c r="Q3678" s="30" t="n">
        <x:v>34301</x:v>
      </x:c>
      <x:c r="R3678" s="22" t="str">
        <x:f>"5587840"</x:f>
        <x:v>5587840</x:v>
      </x:c>
      <x:c r="S3678" s="23" t="str">
        <x:v>masculino</x:v>
      </x:c>
      <x:c r="T3678" s="22" t="str">
        <x:f>"PQY7F66"</x:f>
        <x:v>PQY7F66</x:v>
      </x:c>
      <x:c r="U3678" s="23" t="str">
        <x:v>VICTOR CRISTINO GOMES DOS SANTOS</x:v>
      </x:c>
      <x:c r="V3678" s="22" t="str">
        <x:f>"034.280.121-00"</x:f>
        <x:v>034.280.121-00</x:v>
      </x:c>
      <x:c r="W3678" s="22" t="str">
        <x:f>"03428012100"</x:f>
        <x:v>03428012100</x:v>
      </x:c>
      <x:c r="X3678" s="23" t="str">
        <x:v>victorcristino27@gmail.com</x:v>
      </x:c>
      <x:c r="Y3678" s="22" t="str">
        <x:f>"64992465996"</x:f>
        <x:v>64992465996</x:v>
      </x:c>
      <x:c r="Z3678" s="30" t="n">
        <x:v>46470</x:v>
      </x:c>
    </x:row>
    <x:row r="3679" ht="18" customHeight="1">
      <x:c r="A3679" s="22" t="str">
        <x:f>"db95647f-23b8-4eef-b83f-bb340ca65f1a"</x:f>
        <x:v>db95647f-23b8-4eef-b83f-bb340ca65f1a</x:v>
      </x:c>
      <x:c r="B3679" s="23" t="str">
        <x:v>VICTOR DA SILVA ALVES DINIZ CAPPAI</x:v>
      </x:c>
      <x:c r="C3679" s="23" t="str">
        <x:v>victor da silva alves diniz cappai</x:v>
      </x:c>
      <x:c r="D3679" s="22" t="str">
        <x:f>"38.184.699/0001-60"</x:f>
        <x:v>38.184.699/0001-60</x:v>
      </x:c>
      <x:c r="E3679" s="22" t="str">
        <x:f>"38184699000160"</x:f>
        <x:v>38184699000160</x:v>
      </x:c>
      <x:c r="F3679" s="22" t="str">
        <x:f>"135.827.066-05"</x:f>
        <x:v>135.827.066-05</x:v>
      </x:c>
      <x:c r="G3679" s="22" t="str">
        <x:f>"13582706605"</x:f>
        <x:v>13582706605</x:v>
      </x:c>
      <x:c r="H3679" s="23" t="str">
        <x:v>Vitim-diniz@hotmail.com</x:v>
      </x:c>
      <x:c r="I3679" s="22" t="str">
        <x:f>"31988460580"</x:f>
        <x:v>31988460580</x:v>
      </x:c>
      <x:c r="J3679" s="23" t="str">
        <x:v>RENTAL</x:v>
      </x:c>
      <x:c r="K3679" s="23" t="str">
        <x:v>favored_only</x:v>
      </x:c>
      <x:c r="L3679" s="24" t="b">
        <x:v>1</x:v>
      </x:c>
      <x:c r="M3679" s="23" t="n">
        <x:v>2</x:v>
      </x:c>
      <x:c r="N3679" s="28" t="n">
        <x:v>46205.604517037034</x:v>
      </x:c>
      <x:c r="O3679" s="28" t="n">
        <x:v>46219.812988715275</x:v>
      </x:c>
      <x:c r="P3679" s="23" t="str">
        <x:v>VESPASIANO</x:v>
      </x:c>
      <x:c r="Q3679" s="30" t="n">
        <x:v>36207</x:v>
      </x:c>
      <x:c r="R3679" s="22" t="str">
        <x:f>"19161554"</x:f>
        <x:v>19161554</x:v>
      </x:c>
      <x:c r="S3679" s="23" t="str">
        <x:v>masculino</x:v>
      </x:c>
      <x:c r="T3679" s="22" t="str">
        <x:f>"QWZ9D47"</x:f>
        <x:v>QWZ9D47</x:v>
      </x:c>
      <x:c r="U3679" s="23" t="str">
        <x:v>VICTOR DA SILVA ALVES DINIZ CAPPAI</x:v>
      </x:c>
      <x:c r="V3679" s="22" t="str">
        <x:f>"135.827.066-05"</x:f>
        <x:v>135.827.066-05</x:v>
      </x:c>
      <x:c r="W3679" s="22" t="str">
        <x:f>"13582706605"</x:f>
        <x:v>13582706605</x:v>
      </x:c>
      <x:c r="X3679" s="23" t="str">
        <x:v>Vitim-diniz@hotmail.com</x:v>
      </x:c>
      <x:c r="Y3679" s="22" t="str">
        <x:f>"31988460580"</x:f>
        <x:v>31988460580</x:v>
      </x:c>
      <x:c r="Z3679" s="30" t="n">
        <x:v>46505</x:v>
      </x:c>
    </x:row>
    <x:row r="3680" ht="18" customHeight="1">
      <x:c r="A3680" s="22" t="str">
        <x:f>"6a9ff2e4-1e5d-49bf-a209-0852bc7017e6"</x:f>
        <x:v>6a9ff2e4-1e5d-49bf-a209-0852bc7017e6</x:v>
      </x:c>
      <x:c r="B3680" s="23" t="str">
        <x:v>VICTOR GABRIEL CAETANO GONCALVES COSTA</x:v>
      </x:c>
      <x:c r="C3680" s="23" t="str">
        <x:v>victor gabriel caetano goncalves costa</x:v>
      </x:c>
      <x:c r="D3680" s="22" t="str">
        <x:f>"66.218.882/0001-74"</x:f>
        <x:v>66.218.882/0001-74</x:v>
      </x:c>
      <x:c r="E3680" s="22" t="str">
        <x:f>"66218882000174"</x:f>
        <x:v>66218882000174</x:v>
      </x:c>
      <x:c r="F3680" s="22" t="str">
        <x:f>"171.886.866-96"</x:f>
        <x:v>171.886.866-96</x:v>
      </x:c>
      <x:c r="G3680" s="22" t="str">
        <x:f>"17188686696"</x:f>
        <x:v>17188686696</x:v>
      </x:c>
      <x:c r="H3680" s="23" t="str">
        <x:v>caetanovictor67@gmail.com</x:v>
      </x:c>
      <x:c r="I3680" s="22" t="str">
        <x:f>"31992014052"</x:f>
        <x:v>31992014052</x:v>
      </x:c>
      <x:c r="J3680" s="23" t="str">
        <x:v>SPOT</x:v>
      </x:c>
      <x:c r="K3680" s="23" t="str">
        <x:v>favored_only</x:v>
      </x:c>
      <x:c r="L3680" s="24" t="b">
        <x:v>1</x:v>
      </x:c>
      <x:c r="M3680" s="23" t="n">
        <x:v>1</x:v>
      </x:c>
      <x:c r="N3680" s="28" t="n">
        <x:v>46219.812988715275</x:v>
      </x:c>
      <x:c r="O3680" s="28" t="n">
        <x:v>46219.812988715275</x:v>
      </x:c>
      <x:c r="P3680" s="23" t="str">
        <x:v>VESPASIANO</x:v>
      </x:c>
      <x:c r="Q3680" s="30" t="n">
        <x:v>37955</x:v>
      </x:c>
      <x:c r="R3680" s="22" t="str">
        <x:f>"23254147"</x:f>
        <x:v>23254147</x:v>
      </x:c>
      <x:c r="S3680" s="23" t="str">
        <x:v>masculino</x:v>
      </x:c>
      <x:c r="T3680" s="22" t="str">
        <x:f>"TDT1C24"</x:f>
        <x:v>TDT1C24</x:v>
      </x:c>
      <x:c r="U3680" s="23" t="str">
        <x:v>VICTOR GABRIEL CAETANO GONCALVES COSTA</x:v>
      </x:c>
      <x:c r="V3680" s="22" t="str">
        <x:f>"171.886.866-96"</x:f>
        <x:v>171.886.866-96</x:v>
      </x:c>
      <x:c r="W3680" s="22" t="str">
        <x:f>"17188686696"</x:f>
        <x:v>17188686696</x:v>
      </x:c>
      <x:c r="X3680" s="23" t="str">
        <x:v>caetanovictor67@gmail.com</x:v>
      </x:c>
      <x:c r="Y3680" s="22" t="str">
        <x:f>"31992014052"</x:f>
        <x:v>31992014052</x:v>
      </x:c>
      <x:c r="Z3680" s="30" t="n">
        <x:v>46491</x:v>
      </x:c>
    </x:row>
    <x:row r="3681" ht="18" customHeight="1">
      <x:c r="A3681" s="22" t="str">
        <x:f>"ceafcd22-7b6f-4360-b1cc-e26f9b0ee718"</x:f>
        <x:v>ceafcd22-7b6f-4360-b1cc-e26f9b0ee718</x:v>
      </x:c>
      <x:c r="B3681" s="23" t="str">
        <x:v>VICTOR GABRIEL RODRIGUES DE CASTRO</x:v>
      </x:c>
      <x:c r="C3681" s="23" t="str">
        <x:v>victor gabriel rodrigues de castro</x:v>
      </x:c>
      <x:c r="D3681" s="22" t="str">
        <x:f>"63.704.080/0001-86"</x:f>
        <x:v>63.704.080/0001-86</x:v>
      </x:c>
      <x:c r="E3681" s="22" t="str">
        <x:f>"63704080000186"</x:f>
        <x:v>63704080000186</x:v>
      </x:c>
      <x:c r="F3681" s="22" t="str">
        <x:f>"019.268.676-37"</x:f>
        <x:v>019.268.676-37</x:v>
      </x:c>
      <x:c r="G3681" s="22" t="str">
        <x:f>"01926867637"</x:f>
        <x:v>01926867637</x:v>
      </x:c>
      <x:c r="H3681" s="23" t="str">
        <x:v>vg934707@gmail.com</x:v>
      </x:c>
      <x:c r="I3681" s="22" t="str">
        <x:f>"31971131520"</x:f>
        <x:v>31971131520</x:v>
      </x:c>
      <x:c r="J3681" s="23" t="str">
        <x:v>SPOT</x:v>
      </x:c>
      <x:c r="K3681" s="23" t="str">
        <x:v>favored_only</x:v>
      </x:c>
      <x:c r="L3681" s="24" t="b">
        <x:v>1</x:v>
      </x:c>
      <x:c r="M3681" s="23" t="n">
        <x:v>1</x:v>
      </x:c>
      <x:c r="N3681" s="28" t="n">
        <x:v>46203.9219084375</x:v>
      </x:c>
      <x:c r="O3681" s="28" t="n">
        <x:v>46219.812988715275</x:v>
      </x:c>
      <x:c r="P3681" s="23" t="str">
        <x:v>CONTAGEM</x:v>
      </x:c>
      <x:c r="Q3681" s="30" t="n">
        <x:v>36063</x:v>
      </x:c>
      <x:c r="R3681" s="22" t="str">
        <x:f>"15629737"</x:f>
        <x:v>15629737</x:v>
      </x:c>
      <x:c r="S3681" s="23" t="str">
        <x:v>masculino</x:v>
      </x:c>
      <x:c r="T3681" s="22" t="str">
        <x:f>"OOZ8H40"</x:f>
        <x:v>OOZ8H40</x:v>
      </x:c>
      <x:c r="U3681" s="23" t="str">
        <x:v>VICTOR GABRIEL RODRIGUES DE CASTRO</x:v>
      </x:c>
      <x:c r="V3681" s="22" t="str">
        <x:f>"019.268.676-37"</x:f>
        <x:v>019.268.676-37</x:v>
      </x:c>
      <x:c r="W3681" s="22" t="str">
        <x:f>"01926867637"</x:f>
        <x:v>01926867637</x:v>
      </x:c>
      <x:c r="X3681" s="23" t="str">
        <x:v>vg934707@gmail.com</x:v>
      </x:c>
      <x:c r="Y3681" s="22" t="str">
        <x:f>"31971131520"</x:f>
        <x:v>31971131520</x:v>
      </x:c>
      <x:c r="Z3681" s="30" t="n">
        <x:v>46382</x:v>
      </x:c>
    </x:row>
    <x:row r="3682" ht="18" customHeight="1">
      <x:c r="A3682" s="22" t="str">
        <x:f>"f5af6a76-8f9c-4e21-be43-977f966c7183"</x:f>
        <x:v>f5af6a76-8f9c-4e21-be43-977f966c7183</x:v>
      </x:c>
      <x:c r="B3682" s="23" t="str">
        <x:v>VICTOR HENRIQUE AGUIAR QUINTAO</x:v>
      </x:c>
      <x:c r="C3682" s="23" t="str">
        <x:v>victor henrique aguiar quintao</x:v>
      </x:c>
      <x:c r="D3682" s="22" t="str">
        <x:f>"28.986.630/0001-04"</x:f>
        <x:v>28.986.630/0001-04</x:v>
      </x:c>
      <x:c r="E3682" s="22" t="str">
        <x:f>"28986630000104"</x:f>
        <x:v>28986630000104</x:v>
      </x:c>
      <x:c r="F3682" s="22" t="str">
        <x:f>"092.168.536-03"</x:f>
        <x:v>092.168.536-03</x:v>
      </x:c>
      <x:c r="G3682" s="22" t="str">
        <x:f>"09216853603"</x:f>
        <x:v>09216853603</x:v>
      </x:c>
      <x:c r="H3682" s="23" t="str">
        <x:v>victoraguiarquintao@gmail.com</x:v>
      </x:c>
      <x:c r="I3682" s="22" t="str">
        <x:f>"33988979540"</x:f>
        <x:v>33988979540</x:v>
      </x:c>
      <x:c r="J3682" s="23" t="str">
        <x:v>SPOT</x:v>
      </x:c>
      <x:c r="K3682" s="23" t="str">
        <x:v>favored_only</x:v>
      </x:c>
      <x:c r="L3682" s="24" t="b">
        <x:v>1</x:v>
      </x:c>
      <x:c r="M3682" s="23" t="n">
        <x:v>1</x:v>
      </x:c>
      <x:c r="N3682" s="28" t="n">
        <x:v>46219.812988715275</x:v>
      </x:c>
      <x:c r="O3682" s="28" t="n">
        <x:v>46219.812988715275</x:v>
      </x:c>
      <x:c r="P3682" s="23" t="str">
        <x:v>GUANHAES</x:v>
      </x:c>
      <x:c r="Q3682" s="30" t="n">
        <x:v>33634</x:v>
      </x:c>
      <x:c r="R3682" s="22" t="str">
        <x:f>"16100757"</x:f>
        <x:v>16100757</x:v>
      </x:c>
      <x:c r="S3682" s="23" t="str">
        <x:v>masculino</x:v>
      </x:c>
      <x:c r="T3682" s="22" t="str">
        <x:f>"LLG6D54"</x:f>
        <x:v>LLG6D54</x:v>
      </x:c>
      <x:c r="U3682" s="23" t="str">
        <x:v>VICTOR HENRIQUE AGUIAR QUINTAO</x:v>
      </x:c>
      <x:c r="V3682" s="22" t="str">
        <x:f>"092.168.536-03"</x:f>
        <x:v>092.168.536-03</x:v>
      </x:c>
      <x:c r="W3682" s="22" t="str">
        <x:f>"09216853603"</x:f>
        <x:v>09216853603</x:v>
      </x:c>
      <x:c r="X3682" s="23" t="str">
        <x:v>victoraguiarquintao@gmail.com</x:v>
      </x:c>
      <x:c r="Y3682" s="22" t="str">
        <x:f>"33988979540"</x:f>
        <x:v>33988979540</x:v>
      </x:c>
      <x:c r="Z3682" s="30" t="n">
        <x:v>46409</x:v>
      </x:c>
    </x:row>
    <x:row r="3683" ht="18" customHeight="1">
      <x:c r="A3683" s="22" t="str">
        <x:f>"43e14358-a512-4cdb-954f-b53f43d98934"</x:f>
        <x:v>43e14358-a512-4cdb-954f-b53f43d98934</x:v>
      </x:c>
      <x:c r="B3683" s="23" t="str">
        <x:v>VICTOR HUGO ANTUNES VIEIRA</x:v>
      </x:c>
      <x:c r="C3683" s="23" t="str">
        <x:v>victor hugo antunes vieira</x:v>
      </x:c>
      <x:c r="D3683" s="22" t="str">
        <x:f>"60.492.248/0001-49"</x:f>
        <x:v>60.492.248/0001-49</x:v>
      </x:c>
      <x:c r="E3683" s="22" t="str">
        <x:f>"60492248000149"</x:f>
        <x:v>60492248000149</x:v>
      </x:c>
      <x:c r="F3683" s="22" t="str">
        <x:f>"039.196.241-81"</x:f>
        <x:v>039.196.241-81</x:v>
      </x:c>
      <x:c r="G3683" s="22" t="str">
        <x:f>"03919624181"</x:f>
        <x:v>03919624181</x:v>
      </x:c>
      <x:c r="H3683" s="23" t="str">
        <x:v>Victor_antunes23@hotmail.com</x:v>
      </x:c>
      <x:c r="I3683" s="22" t="str">
        <x:f>"65998197307"</x:f>
        <x:v>65998197307</x:v>
      </x:c>
      <x:c r="J3683" s="23" t="str">
        <x:v>SPOT</x:v>
      </x:c>
      <x:c r="K3683" s="23" t="str">
        <x:v>favored_only</x:v>
      </x:c>
      <x:c r="L3683" s="24" t="b">
        <x:v>1</x:v>
      </x:c>
      <x:c r="M3683" s="23" t="n">
        <x:v>2</x:v>
      </x:c>
      <x:c r="N3683" s="28" t="n">
        <x:v>46203.921887453704</x:v>
      </x:c>
      <x:c r="O3683" s="28" t="n">
        <x:v>46219.812988715275</x:v>
      </x:c>
      <x:c r="P3683" s="23" t="str">
        <x:v>CUIABA</x:v>
      </x:c>
      <x:c r="Q3683" s="30" t="n">
        <x:v>35118</x:v>
      </x:c>
      <x:c r="R3683" s="22" t="str">
        <x:f>"21945667"</x:f>
        <x:v>21945667</x:v>
      </x:c>
      <x:c r="S3683" s="23" t="str">
        <x:v>masculino</x:v>
      </x:c>
      <x:c r="T3683" s="22" t="str">
        <x:f>"QCS6E77"</x:f>
        <x:v>QCS6E77</x:v>
      </x:c>
      <x:c r="U3683" s="23" t="str">
        <x:v>VICTOR HUGO ANTUNES VIEIRA</x:v>
      </x:c>
      <x:c r="V3683" s="22" t="str">
        <x:f>"039.196.241-81"</x:f>
        <x:v>039.196.241-81</x:v>
      </x:c>
      <x:c r="W3683" s="22" t="str">
        <x:f>"03919624181"</x:f>
        <x:v>03919624181</x:v>
      </x:c>
      <x:c r="X3683" s="23" t="str">
        <x:v>victor_antunes23@hotmail.com</x:v>
      </x:c>
      <x:c r="Y3683" s="22" t="str">
        <x:f>"65998197307"</x:f>
        <x:v>65998197307</x:v>
      </x:c>
      <x:c r="Z3683" s="30" t="n">
        <x:v>46480</x:v>
      </x:c>
    </x:row>
    <x:row r="3684" ht="18" customHeight="1">
      <x:c r="A3684" s="22" t="str">
        <x:f>"88014a7b-224e-4534-9c9a-82fc5f2919cc"</x:f>
        <x:v>88014a7b-224e-4534-9c9a-82fc5f2919cc</x:v>
      </x:c>
      <x:c r="B3684" s="23" t="str">
        <x:v>VICTOR HUGO DE SOUZA SILVA</x:v>
      </x:c>
      <x:c r="C3684" s="23" t="str">
        <x:v>victor hugo de souza silva</x:v>
      </x:c>
      <x:c r="D3684" s="22" t="str">
        <x:f>"61.704.775/0001-32"</x:f>
        <x:v>61.704.775/0001-32</x:v>
      </x:c>
      <x:c r="E3684" s="22" t="str">
        <x:f>"61704775000132"</x:f>
        <x:v>61704775000132</x:v>
      </x:c>
      <x:c r="F3684" s="22" t="str">
        <x:f>"513.381.668-59"</x:f>
        <x:v>513.381.668-59</x:v>
      </x:c>
      <x:c r="G3684" s="22" t="str">
        <x:f>"51338166859"</x:f>
        <x:v>51338166859</x:v>
      </x:c>
      <x:c r="H3684" s="23" t="str">
        <x:v>vitin.zk.zk1@gmail.com</x:v>
      </x:c>
      <x:c r="I3684" s="22" t="str">
        <x:f>"17 99181-7250"</x:f>
        <x:v>17 99181-7250</x:v>
      </x:c>
      <x:c r="J3684" s="23" t="str">
        <x:v>RENTAL</x:v>
      </x:c>
      <x:c r="K3684" s="23" t="str">
        <x:v>rental_company</x:v>
      </x:c>
      <x:c r="L3684" s="24" t="b">
        <x:v>1</x:v>
      </x:c>
      <x:c r="M3684" s="23" t="n">
        <x:v>1</x:v>
      </x:c>
      <x:c r="N3684" s="28" t="n">
        <x:v>46219.812988715275</x:v>
      </x:c>
      <x:c r="O3684" s="28" t="n">
        <x:v>46219.812988715275</x:v>
      </x:c>
      <x:c r="P3684" s="23" t="str">
        <x:v>SÃO JOSE DO RIO PRETO</x:v>
      </x:c>
      <x:c r="Q3684" s="30" t="n">
        <x:v>37074</x:v>
      </x:c>
      <x:c r="R3684" s="22" t="str">
        <x:f>"569885279"</x:f>
        <x:v>569885279</x:v>
      </x:c>
      <x:c r="S3684" s="23" t="str">
        <x:v>masculino</x:v>
      </x:c>
      <x:c r="T3684" s="22" t="str"/>
      <x:c r="U3684" s="23" t="str">
        <x:v>VICTOR HUGO DE SOUZA SILVA</x:v>
      </x:c>
      <x:c r="V3684" s="22" t="str">
        <x:f>"513.381.668-59"</x:f>
        <x:v>513.381.668-59</x:v>
      </x:c>
      <x:c r="W3684" s="22" t="str">
        <x:f>"51338166859"</x:f>
        <x:v>51338166859</x:v>
      </x:c>
      <x:c r="X3684" s="23" t="str">
        <x:v>vitin.zk.zk1@gmail.com</x:v>
      </x:c>
      <x:c r="Y3684" s="22" t="str">
        <x:f>"17 99181-7250"</x:f>
        <x:v>17 99181-7250</x:v>
      </x:c>
      <x:c r="Z3684" s="30" t="n">
        <x:v>46441</x:v>
      </x:c>
    </x:row>
    <x:row r="3685" ht="18" customHeight="1">
      <x:c r="A3685" s="22" t="str">
        <x:f>"20b75049-0a78-40e2-ab3b-5cfc1008be34"</x:f>
        <x:v>20b75049-0a78-40e2-ab3b-5cfc1008be34</x:v>
      </x:c>
      <x:c r="B3685" s="23" t="str">
        <x:v>VICTOR HUGO DO NASCIMENTO</x:v>
      </x:c>
      <x:c r="C3685" s="23" t="str">
        <x:v>victor hugo do nascimento</x:v>
      </x:c>
      <x:c r="D3685" s="22" t="str">
        <x:f>"55.615.455/0001-03"</x:f>
        <x:v>55.615.455/0001-03</x:v>
      </x:c>
      <x:c r="E3685" s="22" t="str">
        <x:f>"55615455000103"</x:f>
        <x:v>55615455000103</x:v>
      </x:c>
      <x:c r="F3685" s="22" t="str">
        <x:f>"054.789.211-06"</x:f>
        <x:v>054.789.211-06</x:v>
      </x:c>
      <x:c r="G3685" s="22" t="str">
        <x:f>"05478921106"</x:f>
        <x:v>05478921106</x:v>
      </x:c>
      <x:c r="H3685" s="23" t="str">
        <x:v>cabecinhavictor@gmail.com</x:v>
      </x:c>
      <x:c r="I3685" s="22" t="str">
        <x:f>"65996418550"</x:f>
        <x:v>65996418550</x:v>
      </x:c>
      <x:c r="J3685" s="23" t="str">
        <x:v>SPOT</x:v>
      </x:c>
      <x:c r="K3685" s="23" t="str">
        <x:v>favored_only</x:v>
      </x:c>
      <x:c r="L3685" s="24" t="b">
        <x:v>1</x:v>
      </x:c>
      <x:c r="M3685" s="23" t="n">
        <x:v>1</x:v>
      </x:c>
      <x:c r="N3685" s="28" t="n">
        <x:v>46205.60438423611</x:v>
      </x:c>
      <x:c r="O3685" s="28" t="n">
        <x:v>46219.812988715275</x:v>
      </x:c>
      <x:c r="P3685" s="23" t="str">
        <x:v>CÁCERES</x:v>
      </x:c>
      <x:c r="Q3685" s="30" t="n">
        <x:v>36506</x:v>
      </x:c>
      <x:c r="R3685" s="22" t="str">
        <x:f>"25939718"</x:f>
        <x:v>25939718</x:v>
      </x:c>
      <x:c r="S3685" s="23" t="str">
        <x:v>masculino</x:v>
      </x:c>
      <x:c r="T3685" s="22" t="str">
        <x:f>"OBE6H74"</x:f>
        <x:v>OBE6H74</x:v>
      </x:c>
      <x:c r="U3685" s="23" t="str">
        <x:v>THIAGO SAUCEDO COSTA LEITE</x:v>
      </x:c>
      <x:c r="V3685" s="22" t="str">
        <x:f>"059.352.111-06"</x:f>
        <x:v>059.352.111-06</x:v>
      </x:c>
      <x:c r="W3685" s="22" t="str">
        <x:f>"05935211106"</x:f>
        <x:v>05935211106</x:v>
      </x:c>
      <x:c r="X3685" s="23" t="str">
        <x:v>thiagosaucedocostaleiteml@gmail.com</x:v>
      </x:c>
      <x:c r="Y3685" s="22" t="str">
        <x:f>"65996418550"</x:f>
        <x:v>65996418550</x:v>
      </x:c>
      <x:c r="Z3685" s="30" t="n">
        <x:v>46271</x:v>
      </x:c>
    </x:row>
    <x:row r="3686" ht="18" customHeight="1">
      <x:c r="A3686" s="22" t="str">
        <x:f>"8721962c-5a72-4268-8c17-85a4a9a1636c"</x:f>
        <x:v>8721962c-5a72-4268-8c17-85a4a9a1636c</x:v>
      </x:c>
      <x:c r="B3686" s="23" t="str">
        <x:v>VICTOR HUGO MOSCA CALDEIRA</x:v>
      </x:c>
      <x:c r="C3686" s="23" t="str">
        <x:v>victor hugo mosca caldeira</x:v>
      </x:c>
      <x:c r="D3686" s="22" t="str">
        <x:f>"53.858.796/0001-84"</x:f>
        <x:v>53.858.796/0001-84</x:v>
      </x:c>
      <x:c r="E3686" s="22" t="str">
        <x:f>"53858796000184"</x:f>
        <x:v>53858796000184</x:v>
      </x:c>
      <x:c r="F3686" s="22" t="str">
        <x:f>"389.317.778-76"</x:f>
        <x:v>389.317.778-76</x:v>
      </x:c>
      <x:c r="G3686" s="22" t="str">
        <x:f>"38931777876"</x:f>
        <x:v>38931777876</x:v>
      </x:c>
      <x:c r="H3686" s="23" t="str">
        <x:v>victorhugocaldeira412@hotmail.com</x:v>
      </x:c>
      <x:c r="I3686" s="22" t="str">
        <x:f>"18 98109-3996"</x:f>
        <x:v>18 98109-3996</x:v>
      </x:c>
      <x:c r="J3686" s="23" t="str">
        <x:v>SPOT</x:v>
      </x:c>
      <x:c r="K3686" s="23" t="str">
        <x:v>favored_only</x:v>
      </x:c>
      <x:c r="L3686" s="24" t="b">
        <x:v>1</x:v>
      </x:c>
      <x:c r="M3686" s="23" t="n">
        <x:v>1</x:v>
      </x:c>
      <x:c r="N3686" s="28" t="n">
        <x:v>46203.92184908565</x:v>
      </x:c>
      <x:c r="O3686" s="28" t="n">
        <x:v>46205.60509230324</x:v>
      </x:c>
      <x:c r="P3686" s="23" t="str">
        <x:v>ARAÇATUBA</x:v>
      </x:c>
      <x:c r="Q3686" s="30" t="n">
        <x:v>36615</x:v>
      </x:c>
      <x:c r="R3686" s="22" t="str">
        <x:f>"504784493"</x:f>
        <x:v>504784493</x:v>
      </x:c>
      <x:c r="S3686" s="23" t="str">
        <x:v>Masculino</x:v>
      </x:c>
      <x:c r="T3686" s="22" t="str">
        <x:f>"FJJ1H58"</x:f>
        <x:v>FJJ1H58</x:v>
      </x:c>
      <x:c r="U3686" s="23" t="str">
        <x:v>VICTOR HUGO MOSCA CALDEIRA</x:v>
      </x:c>
      <x:c r="V3686" s="22" t="str">
        <x:f>"389.317.778-76"</x:f>
        <x:v>389.317.778-76</x:v>
      </x:c>
      <x:c r="W3686" s="22" t="str">
        <x:f>"38931777876"</x:f>
        <x:v>38931777876</x:v>
      </x:c>
      <x:c r="X3686" s="23" t="str">
        <x:v>victorhugocaldeira412@hotmail.com</x:v>
      </x:c>
      <x:c r="Y3686" s="22" t="str">
        <x:f>"18 98109-3996"</x:f>
        <x:v>18 98109-3996</x:v>
      </x:c>
      <x:c r="Z3686" s="30" t="n">
        <x:v>46226</x:v>
      </x:c>
    </x:row>
    <x:row r="3687" ht="18" customHeight="1">
      <x:c r="A3687" s="22" t="str">
        <x:f>"6d62caf1-2a06-4cc0-a246-d73721491f09"</x:f>
        <x:v>6d62caf1-2a06-4cc0-a246-d73721491f09</x:v>
      </x:c>
      <x:c r="B3687" s="23" t="str">
        <x:v>VICTOR HUGO NOBREGA</x:v>
      </x:c>
      <x:c r="C3687" s="23" t="str">
        <x:v>victor hugo nobrega</x:v>
      </x:c>
      <x:c r="D3687" s="22" t="str">
        <x:f>"59.532.910/0001-68"</x:f>
        <x:v>59.532.910/0001-68</x:v>
      </x:c>
      <x:c r="E3687" s="22" t="str">
        <x:f>"59532910000168"</x:f>
        <x:v>59532910000168</x:v>
      </x:c>
      <x:c r="F3687" s="22" t="str">
        <x:f>"119.774.217-41"</x:f>
        <x:v>119.774.217-41</x:v>
      </x:c>
      <x:c r="G3687" s="22" t="str">
        <x:f>"11977421741"</x:f>
        <x:v>11977421741</x:v>
      </x:c>
      <x:c r="H3687" s="23" t="str">
        <x:v>victorhrj02@gmail.com</x:v>
      </x:c>
      <x:c r="I3687" s="22" t="str">
        <x:f>"2196099-6328"</x:f>
        <x:v>2196099-6328</x:v>
      </x:c>
      <x:c r="J3687" s="23" t="str">
        <x:v>SPOT</x:v>
      </x:c>
      <x:c r="K3687" s="23" t="str">
        <x:v>favored_only</x:v>
      </x:c>
      <x:c r="L3687" s="24" t="b">
        <x:v>1</x:v>
      </x:c>
      <x:c r="M3687" s="23" t="n">
        <x:v>1</x:v>
      </x:c>
      <x:c r="N3687" s="28" t="n">
        <x:v>46219.812988715275</x:v>
      </x:c>
      <x:c r="O3687" s="28" t="n">
        <x:v>46219.812988715275</x:v>
      </x:c>
      <x:c r="P3687" s="23" t="str">
        <x:v>ITABORAI</x:v>
      </x:c>
      <x:c r="Q3687" s="30" t="n">
        <x:v>31823</x:v>
      </x:c>
      <x:c r="R3687" s="22" t="str">
        <x:f>"29.119.548-5"</x:f>
        <x:v>29.119.548-5</x:v>
      </x:c>
      <x:c r="S3687" s="23" t="str">
        <x:v>masculino</x:v>
      </x:c>
      <x:c r="T3687" s="22" t="str">
        <x:f>"KXU5G68"</x:f>
        <x:v>KXU5G68</x:v>
      </x:c>
      <x:c r="U3687" s="23" t="str">
        <x:v>IAGO SILVA MACHADO DE SOUZA</x:v>
      </x:c>
      <x:c r="V3687" s="22" t="str">
        <x:f>"164.545.957-81"</x:f>
        <x:v>164.545.957-81</x:v>
      </x:c>
      <x:c r="W3687" s="22" t="str">
        <x:f>"16454595781"</x:f>
        <x:v>16454595781</x:v>
      </x:c>
      <x:c r="X3687" s="23" t="str">
        <x:v>victorhrj02@gmail.com</x:v>
      </x:c>
      <x:c r="Y3687" s="22" t="str">
        <x:f>"2196099-6328"</x:f>
        <x:v>2196099-6328</x:v>
      </x:c>
      <x:c r="Z3687" s="30" t="n">
        <x:v>46444</x:v>
      </x:c>
    </x:row>
    <x:row r="3688" ht="18" customHeight="1">
      <x:c r="A3688" s="22" t="str">
        <x:f>"47ee31dc-964f-44a5-99cb-4e21d727aedb"</x:f>
        <x:v>47ee31dc-964f-44a5-99cb-4e21d727aedb</x:v>
      </x:c>
      <x:c r="B3688" s="23" t="str">
        <x:v>VICTOR HUGO VIEIRA ATAIDE</x:v>
      </x:c>
      <x:c r="C3688" s="23" t="str">
        <x:v>victor hugo vieira ataide</x:v>
      </x:c>
      <x:c r="D3688" s="22" t="str">
        <x:f>"49.495.613/0001-36"</x:f>
        <x:v>49.495.613/0001-36</x:v>
      </x:c>
      <x:c r="E3688" s="22" t="str">
        <x:f>"49495613000136"</x:f>
        <x:v>49495613000136</x:v>
      </x:c>
      <x:c r="F3688" s="22" t="str">
        <x:f>"514.638.298-09"</x:f>
        <x:v>514.638.298-09</x:v>
      </x:c>
      <x:c r="G3688" s="22" t="str">
        <x:f>"51463829809"</x:f>
        <x:v>51463829809</x:v>
      </x:c>
      <x:c r="H3688" s="23" t="str">
        <x:v>victorh58ataide@gmail.com</x:v>
      </x:c>
      <x:c r="I3688" s="22" t="str">
        <x:f>"(16)981763741"</x:f>
        <x:v>(16)981763741</x:v>
      </x:c>
      <x:c r="J3688" s="23" t="str">
        <x:v>RENTAL</x:v>
      </x:c>
      <x:c r="K3688" s="23" t="str">
        <x:v>rental_company</x:v>
      </x:c>
      <x:c r="L3688" s="24" t="b">
        <x:v>1</x:v>
      </x:c>
      <x:c r="M3688" s="23" t="n">
        <x:v>2</x:v>
      </x:c>
      <x:c r="N3688" s="28" t="n">
        <x:v>46203.92189349537</x:v>
      </x:c>
      <x:c r="O3688" s="28" t="n">
        <x:v>46219.812988715275</x:v>
      </x:c>
      <x:c r="P3688" s="23" t="str">
        <x:v>SÃO CARLOS</x:v>
      </x:c>
      <x:c r="Q3688" s="30" t="n">
        <x:v>37062</x:v>
      </x:c>
      <x:c r="R3688" s="22" t="str">
        <x:f>"585418342"</x:f>
        <x:v>585418342</x:v>
      </x:c>
      <x:c r="S3688" s="23" t="str">
        <x:v>masculino</x:v>
      </x:c>
      <x:c r="T3688" s="22" t="str"/>
      <x:c r="U3688" s="23" t="str">
        <x:v>VICTOR HUGO VIEIRA ATAIDE</x:v>
      </x:c>
      <x:c r="V3688" s="22" t="str">
        <x:f>"514.638.298-09"</x:f>
        <x:v>514.638.298-09</x:v>
      </x:c>
      <x:c r="W3688" s="22" t="str">
        <x:f>"51463829809"</x:f>
        <x:v>51463829809</x:v>
      </x:c>
      <x:c r="X3688" s="23" t="str">
        <x:v>victorh58ataide@gmail.com</x:v>
      </x:c>
      <x:c r="Y3688" s="22" t="str">
        <x:f>"(16)981763741"</x:f>
        <x:v>(16)981763741</x:v>
      </x:c>
      <x:c r="Z3688" s="30" t="n">
        <x:v>46540</x:v>
      </x:c>
    </x:row>
    <x:row r="3689" ht="18" customHeight="1">
      <x:c r="A3689" s="22" t="str">
        <x:f>"f0dde709-4716-417c-9579-6b01438a7110"</x:f>
        <x:v>f0dde709-4716-417c-9579-6b01438a7110</x:v>
      </x:c>
      <x:c r="B3689" s="23" t="str">
        <x:v>VICTOR HUMBERTO CAIXETA</x:v>
      </x:c>
      <x:c r="C3689" s="23" t="str">
        <x:v>victor humberto caixeta</x:v>
      </x:c>
      <x:c r="D3689" s="22" t="str">
        <x:f>"54.716.902/0001-58"</x:f>
        <x:v>54.716.902/0001-58</x:v>
      </x:c>
      <x:c r="E3689" s="22" t="str">
        <x:f>"54716902000158"</x:f>
        <x:v>54716902000158</x:v>
      </x:c>
      <x:c r="F3689" s="22" t="str">
        <x:f>"016.423.056-42"</x:f>
        <x:v>016.423.056-42</x:v>
      </x:c>
      <x:c r="G3689" s="22" t="str">
        <x:f>"01642305642"</x:f>
        <x:v>01642305642</x:v>
      </x:c>
      <x:c r="H3689" s="23" t="str">
        <x:v>victorcaixeita013@gmail.com</x:v>
      </x:c>
      <x:c r="I3689" s="22" t="str">
        <x:f>"31 984844100"</x:f>
        <x:v>31 984844100</x:v>
      </x:c>
      <x:c r="J3689" s="23" t="str">
        <x:v>RENTAL</x:v>
      </x:c>
      <x:c r="K3689" s="23" t="str">
        <x:v>rental_company</x:v>
      </x:c>
      <x:c r="L3689" s="24" t="b">
        <x:v>1</x:v>
      </x:c>
      <x:c r="M3689" s="23" t="n">
        <x:v>1</x:v>
      </x:c>
      <x:c r="N3689" s="28" t="n">
        <x:v>46219.812988715275</x:v>
      </x:c>
      <x:c r="O3689" s="28" t="n">
        <x:v>46219.812988715275</x:v>
      </x:c>
      <x:c r="P3689" s="23" t="str">
        <x:v>VESPASIANO</x:v>
      </x:c>
      <x:c r="Q3689" s="30" t="n">
        <x:v>32365</x:v>
      </x:c>
      <x:c r="R3689" s="22" t="str">
        <x:f>"12 848 997"</x:f>
        <x:v>12 848 997</x:v>
      </x:c>
      <x:c r="S3689" s="23" t="str">
        <x:v>masculino</x:v>
      </x:c>
      <x:c r="T3689" s="22" t="str"/>
      <x:c r="U3689" s="23" t="str">
        <x:v>VICTOR HUMBERTO CAIXETA</x:v>
      </x:c>
      <x:c r="V3689" s="22" t="str">
        <x:f>"016.423.056-42"</x:f>
        <x:v>016.423.056-42</x:v>
      </x:c>
      <x:c r="W3689" s="22" t="str">
        <x:f>"01642305642"</x:f>
        <x:v>01642305642</x:v>
      </x:c>
      <x:c r="X3689" s="23" t="str">
        <x:v>victorcaixeita013@gmail.com</x:v>
      </x:c>
      <x:c r="Y3689" s="22" t="str">
        <x:f>"31 984844100"</x:f>
        <x:v>31 984844100</x:v>
      </x:c>
      <x:c r="Z3689" s="30" t="n">
        <x:v>46525</x:v>
      </x:c>
    </x:row>
    <x:row r="3690" ht="18" customHeight="1">
      <x:c r="A3690" s="22" t="str">
        <x:f>"1f858785-2de0-4188-b5b4-a28fb279382c"</x:f>
        <x:v>1f858785-2de0-4188-b5b4-a28fb279382c</x:v>
      </x:c>
      <x:c r="B3690" s="23" t="str">
        <x:v>VICTORIA ESTEPHANIE DA SILVA NEVES</x:v>
      </x:c>
      <x:c r="C3690" s="23" t="str">
        <x:v>victoria estephanie da silva neves</x:v>
      </x:c>
      <x:c r="D3690" s="22" t="str">
        <x:f>"64.171.506/0001-46"</x:f>
        <x:v>64.171.506/0001-46</x:v>
      </x:c>
      <x:c r="E3690" s="22" t="str">
        <x:f>"64171506000146"</x:f>
        <x:v>64171506000146</x:v>
      </x:c>
      <x:c r="F3690" s="22" t="str">
        <x:f>"181.644.457-03"</x:f>
        <x:v>181.644.457-03</x:v>
      </x:c>
      <x:c r="G3690" s="22" t="str">
        <x:f>"18164445703"</x:f>
        <x:v>18164445703</x:v>
      </x:c>
      <x:c r="H3690" s="23" t="str">
        <x:v>victoriaestephanie@gmail.com</x:v>
      </x:c>
      <x:c r="I3690" s="22" t="str">
        <x:f>"21997894614"</x:f>
        <x:v>21997894614</x:v>
      </x:c>
      <x:c r="J3690" s="23" t="str">
        <x:v>SPOT</x:v>
      </x:c>
      <x:c r="K3690" s="23" t="str">
        <x:v>favored_only</x:v>
      </x:c>
      <x:c r="L3690" s="24" t="b">
        <x:v>1</x:v>
      </x:c>
      <x:c r="M3690" s="23" t="n">
        <x:v>1</x:v>
      </x:c>
      <x:c r="N3690" s="28" t="n">
        <x:v>46219.812988715275</x:v>
      </x:c>
      <x:c r="O3690" s="28" t="n">
        <x:v>46219.812988715275</x:v>
      </x:c>
      <x:c r="P3690" s="23" t="str">
        <x:v>QUEIMADOS</x:v>
      </x:c>
      <x:c r="Q3690" s="30" t="n">
        <x:v>36730</x:v>
      </x:c>
      <x:c r="R3690" s="22" t="str">
        <x:f>"271231045"</x:f>
        <x:v>271231045</x:v>
      </x:c>
      <x:c r="S3690" s="23" t="str">
        <x:v>feminino</x:v>
      </x:c>
      <x:c r="T3690" s="22" t="str">
        <x:f>"kps4848"</x:f>
        <x:v>kps4848</x:v>
      </x:c>
      <x:c r="U3690" s="23" t="str">
        <x:v>VICTORIA ESTEPHANIE DA SILVA NEVES</x:v>
      </x:c>
      <x:c r="V3690" s="22" t="str">
        <x:f>"181.644.457-03"</x:f>
        <x:v>181.644.457-03</x:v>
      </x:c>
      <x:c r="W3690" s="22" t="str">
        <x:f>"18164445703"</x:f>
        <x:v>18164445703</x:v>
      </x:c>
      <x:c r="X3690" s="23" t="str">
        <x:v>Victoriaestephanie@gmail.com</x:v>
      </x:c>
      <x:c r="Y3690" s="22" t="str">
        <x:f>"21997894614"</x:f>
        <x:v>21997894614</x:v>
      </x:c>
      <x:c r="Z3690" s="30" t="n">
        <x:v>46431</x:v>
      </x:c>
    </x:row>
    <x:row r="3691" ht="18" customHeight="1">
      <x:c r="A3691" s="22" t="str">
        <x:f>"5323927d-23a0-4a35-aaa0-27285eca45b6"</x:f>
        <x:v>5323927d-23a0-4a35-aaa0-27285eca45b6</x:v>
      </x:c>
      <x:c r="B3691" s="23" t="str">
        <x:v>VICTOR LIMA AMARAL MELO</x:v>
      </x:c>
      <x:c r="C3691" s="23" t="str">
        <x:v>victor lima amaral melo</x:v>
      </x:c>
      <x:c r="D3691" s="22" t="str">
        <x:f>"65.454.455/0001-22"</x:f>
        <x:v>65.454.455/0001-22</x:v>
      </x:c>
      <x:c r="E3691" s="22" t="str">
        <x:f>"65454455000122"</x:f>
        <x:v>65454455000122</x:v>
      </x:c>
      <x:c r="F3691" s="22" t="str">
        <x:f>"056.638.636-48"</x:f>
        <x:v>056.638.636-48</x:v>
      </x:c>
      <x:c r="G3691" s="22" t="str">
        <x:f>"05663863648"</x:f>
        <x:v>05663863648</x:v>
      </x:c>
      <x:c r="H3691" s="23" t="str">
        <x:v>vlam032882@gmail.com</x:v>
      </x:c>
      <x:c r="I3691" s="22" t="str">
        <x:f>"(33)984078545"</x:f>
        <x:v>(33)984078545</x:v>
      </x:c>
      <x:c r="J3691" s="23" t="str">
        <x:v>SPOT</x:v>
      </x:c>
      <x:c r="K3691" s="23" t="str">
        <x:v>favored_only</x:v>
      </x:c>
      <x:c r="L3691" s="24" t="b">
        <x:v>1</x:v>
      </x:c>
      <x:c r="M3691" s="23" t="n">
        <x:v>1</x:v>
      </x:c>
      <x:c r="N3691" s="28" t="n">
        <x:v>46219.812988715275</x:v>
      </x:c>
      <x:c r="O3691" s="28" t="n">
        <x:v>46219.812988715275</x:v>
      </x:c>
      <x:c r="P3691" s="23" t="str">
        <x:v>GUANHAES</x:v>
      </x:c>
      <x:c r="Q3691" s="30" t="n">
        <x:v>30038</x:v>
      </x:c>
      <x:c r="R3691" s="22" t="str">
        <x:f>"11536831"</x:f>
        <x:v>11536831</x:v>
      </x:c>
      <x:c r="S3691" s="23" t="str">
        <x:v>masculino</x:v>
      </x:c>
      <x:c r="T3691" s="22" t="str">
        <x:f>"SIV5J32"</x:f>
        <x:v>SIV5J32</x:v>
      </x:c>
      <x:c r="U3691" s="23" t="str">
        <x:v>VICTOR LIMA AMARAL MELO</x:v>
      </x:c>
      <x:c r="V3691" s="22" t="str">
        <x:f>"056.638.636-48"</x:f>
        <x:v>056.638.636-48</x:v>
      </x:c>
      <x:c r="W3691" s="22" t="str">
        <x:f>"05663863648"</x:f>
        <x:v>05663863648</x:v>
      </x:c>
      <x:c r="X3691" s="23" t="str">
        <x:v>vlam032882@gmail.com</x:v>
      </x:c>
      <x:c r="Y3691" s="22" t="str">
        <x:f>"(33)984078545"</x:f>
        <x:v>(33)984078545</x:v>
      </x:c>
      <x:c r="Z3691" s="30" t="n">
        <x:v>46450</x:v>
      </x:c>
    </x:row>
    <x:row r="3692" ht="18" customHeight="1">
      <x:c r="A3692" s="22" t="str">
        <x:f>"fa99769a-fed4-4118-a07f-7a0c4e2177a3"</x:f>
        <x:v>fa99769a-fed4-4118-a07f-7a0c4e2177a3</x:v>
      </x:c>
      <x:c r="B3692" s="23" t="str">
        <x:v>VICTOR MENEZES DOS SANTOS</x:v>
      </x:c>
      <x:c r="C3692" s="23" t="str">
        <x:v>victor menezes dos santos</x:v>
      </x:c>
      <x:c r="D3692" s="22" t="str">
        <x:f>"67.017.945/0001-97"</x:f>
        <x:v>67.017.945/0001-97</x:v>
      </x:c>
      <x:c r="E3692" s="22" t="str">
        <x:f>"67017945000197"</x:f>
        <x:v>67017945000197</x:v>
      </x:c>
      <x:c r="F3692" s="22" t="str">
        <x:f>"144.673.017-47"</x:f>
        <x:v>144.673.017-47</x:v>
      </x:c>
      <x:c r="G3692" s="22" t="str">
        <x:f>"14467301747"</x:f>
        <x:v>14467301747</x:v>
      </x:c>
      <x:c r="H3692" s="23" t="str">
        <x:v>vttai4995@gmail.com</x:v>
      </x:c>
      <x:c r="I3692" s="22" t="str">
        <x:f>"21965167615"</x:f>
        <x:v>21965167615</x:v>
      </x:c>
      <x:c r="J3692" s="23" t="str">
        <x:v>SPOT</x:v>
      </x:c>
      <x:c r="K3692" s="23" t="str">
        <x:v>favored_only</x:v>
      </x:c>
      <x:c r="L3692" s="24" t="b">
        <x:v>1</x:v>
      </x:c>
      <x:c r="M3692" s="23" t="n">
        <x:v>1</x:v>
      </x:c>
      <x:c r="N3692" s="28" t="n">
        <x:v>46219.812988715275</x:v>
      </x:c>
      <x:c r="O3692" s="28" t="n">
        <x:v>46219.812988715275</x:v>
      </x:c>
      <x:c r="P3692" s="23" t="str">
        <x:v>CORDOVIL</x:v>
      </x:c>
      <x:c r="Q3692" s="30" t="n">
        <x:v>34746</x:v>
      </x:c>
      <x:c r="R3692" s="22" t="str">
        <x:f>"274359769"</x:f>
        <x:v>274359769</x:v>
      </x:c>
      <x:c r="S3692" s="23" t="str">
        <x:v>masculino</x:v>
      </x:c>
      <x:c r="T3692" s="22" t="str">
        <x:f>"LRZ6F21"</x:f>
        <x:v>LRZ6F21</x:v>
      </x:c>
      <x:c r="U3692" s="23" t="str">
        <x:v>VICTOR MENEZES DOS SANTOS</x:v>
      </x:c>
      <x:c r="V3692" s="22" t="str">
        <x:f>"144.673.017-47"</x:f>
        <x:v>144.673.017-47</x:v>
      </x:c>
      <x:c r="W3692" s="22" t="str">
        <x:f>"14467301747"</x:f>
        <x:v>14467301747</x:v>
      </x:c>
      <x:c r="X3692" s="23" t="str">
        <x:v>vttai4995@gmail.com</x:v>
      </x:c>
      <x:c r="Y3692" s="22" t="str">
        <x:f>"21965167615"</x:f>
        <x:v>21965167615</x:v>
      </x:c>
      <x:c r="Z3692" s="30" t="n">
        <x:v>46535</x:v>
      </x:c>
    </x:row>
    <x:row r="3693" ht="18" customHeight="1">
      <x:c r="A3693" s="22" t="str">
        <x:f>"19c5a307-12eb-433b-abbb-9ed6ca6c929d"</x:f>
        <x:v>19c5a307-12eb-433b-abbb-9ed6ca6c929d</x:v>
      </x:c>
      <x:c r="B3693" s="23" t="str">
        <x:v>VICTOR RANGEL FELIX DE OLIVEIRA</x:v>
      </x:c>
      <x:c r="C3693" s="23" t="str">
        <x:v>victor rangel felix de oliveira</x:v>
      </x:c>
      <x:c r="D3693" s="22" t="str">
        <x:f>"59.564.764/0001-52"</x:f>
        <x:v>59.564.764/0001-52</x:v>
      </x:c>
      <x:c r="E3693" s="22" t="str">
        <x:f>"59564764000152"</x:f>
        <x:v>59564764000152</x:v>
      </x:c>
      <x:c r="F3693" s="22" t="str">
        <x:f>"476.779.608-39"</x:f>
        <x:v>476.779.608-39</x:v>
      </x:c>
      <x:c r="G3693" s="22" t="str">
        <x:f>"47677960839"</x:f>
        <x:v>47677960839</x:v>
      </x:c>
      <x:c r="H3693" s="23" t="str">
        <x:v>victor23julia@gmail.com</x:v>
      </x:c>
      <x:c r="I3693" s="22" t="str">
        <x:f>"19992519791"</x:f>
        <x:v>19992519791</x:v>
      </x:c>
      <x:c r="J3693" s="23" t="str">
        <x:v>RENTAL</x:v>
      </x:c>
      <x:c r="K3693" s="23" t="str">
        <x:v>rental_company</x:v>
      </x:c>
      <x:c r="L3693" s="24" t="b">
        <x:v>1</x:v>
      </x:c>
      <x:c r="M3693" s="23" t="n">
        <x:v>1</x:v>
      </x:c>
      <x:c r="N3693" s="28" t="n">
        <x:v>46203.921904421295</x:v>
      </x:c>
      <x:c r="O3693" s="28" t="n">
        <x:v>46219.812988715275</x:v>
      </x:c>
      <x:c r="P3693" s="23" t="str">
        <x:v>MADEIRA MADEIRA</x:v>
      </x:c>
      <x:c r="Q3693" s="30" t="n">
        <x:v>36153</x:v>
      </x:c>
      <x:c r="R3693" s="22" t="str">
        <x:f>"553767446"</x:f>
        <x:v>553767446</x:v>
      </x:c>
      <x:c r="S3693" s="23" t="str">
        <x:v>masculino</x:v>
      </x:c>
      <x:c r="T3693" s="22" t="str"/>
      <x:c r="U3693" s="23" t="str">
        <x:v>VICTOR RANGEL FELIX DE OLIVEIRA</x:v>
      </x:c>
      <x:c r="V3693" s="22" t="str">
        <x:f>"476.779.608-39"</x:f>
        <x:v>476.779.608-39</x:v>
      </x:c>
      <x:c r="W3693" s="22" t="str">
        <x:f>"47677960839"</x:f>
        <x:v>47677960839</x:v>
      </x:c>
      <x:c r="X3693" s="23" t="str">
        <x:v>victor23julia@gmail.com</x:v>
      </x:c>
      <x:c r="Y3693" s="22" t="str">
        <x:f>"19992519791"</x:f>
        <x:v>19992519791</x:v>
      </x:c>
      <x:c r="Z3693" s="30" t="n">
        <x:v>46365</x:v>
      </x:c>
    </x:row>
    <x:row r="3694" ht="18" customHeight="1">
      <x:c r="A3694" s="22" t="str">
        <x:f>"6b20ed2a-43eb-4e25-9b01-6d949c85bd33"</x:f>
        <x:v>6b20ed2a-43eb-4e25-9b01-6d949c85bd33</x:v>
      </x:c>
      <x:c r="B3694" s="23" t="str">
        <x:v>VICTOR RODRIGUES ROCHA SOARES</x:v>
      </x:c>
      <x:c r="C3694" s="23" t="str">
        <x:v>victor rodrigues rocha soares</x:v>
      </x:c>
      <x:c r="D3694" s="22" t="str">
        <x:f>"53.678.797/0001-47"</x:f>
        <x:v>53.678.797/0001-47</x:v>
      </x:c>
      <x:c r="E3694" s="22" t="str">
        <x:f>"53678797000147"</x:f>
        <x:v>53678797000147</x:v>
      </x:c>
      <x:c r="F3694" s="22" t="str">
        <x:f>"179.348.557-70"</x:f>
        <x:v>179.348.557-70</x:v>
      </x:c>
      <x:c r="G3694" s="22" t="str">
        <x:f>"17934855770"</x:f>
        <x:v>17934855770</x:v>
      </x:c>
      <x:c r="H3694" s="23" t="str">
        <x:v>victordgrs@gmail.com</x:v>
      </x:c>
      <x:c r="I3694" s="22" t="str">
        <x:f>"21994731737"</x:f>
        <x:v>21994731737</x:v>
      </x:c>
      <x:c r="J3694" s="23" t="str">
        <x:v>SPOT</x:v>
      </x:c>
      <x:c r="K3694" s="23" t="str">
        <x:v>favored_only</x:v>
      </x:c>
      <x:c r="L3694" s="24" t="b">
        <x:v>1</x:v>
      </x:c>
      <x:c r="M3694" s="23" t="n">
        <x:v>1</x:v>
      </x:c>
      <x:c r="N3694" s="28" t="n">
        <x:v>46219.812988715275</x:v>
      </x:c>
      <x:c r="O3694" s="28" t="n">
        <x:v>46219.812988715275</x:v>
      </x:c>
      <x:c r="P3694" s="23" t="str">
        <x:v>CORDOVIL</x:v>
      </x:c>
      <x:c r="Q3694" s="30" t="n">
        <x:v>36010</x:v>
      </x:c>
      <x:c r="R3694" s="22" t="str">
        <x:f>"292025616"</x:f>
        <x:v>292025616</x:v>
      </x:c>
      <x:c r="S3694" s="23" t="str">
        <x:v>masculino</x:v>
      </x:c>
      <x:c r="T3694" s="22" t="str">
        <x:f>"RIT2C07"</x:f>
        <x:v>RIT2C07</x:v>
      </x:c>
      <x:c r="U3694" s="23" t="str">
        <x:v>VICTOR RODRIGUES ROCHA SOARES</x:v>
      </x:c>
      <x:c r="V3694" s="22" t="str">
        <x:f>"179.348.557-70"</x:f>
        <x:v>179.348.557-70</x:v>
      </x:c>
      <x:c r="W3694" s="22" t="str">
        <x:f>"17934855770"</x:f>
        <x:v>17934855770</x:v>
      </x:c>
      <x:c r="X3694" s="23" t="str">
        <x:v>victordgrs@gmail.com</x:v>
      </x:c>
      <x:c r="Y3694" s="22" t="str">
        <x:f>"21994731737"</x:f>
        <x:v>21994731737</x:v>
      </x:c>
      <x:c r="Z3694" s="30" t="n">
        <x:v>46456</x:v>
      </x:c>
    </x:row>
    <x:row r="3695" ht="18" customHeight="1">
      <x:c r="A3695" s="22" t="str">
        <x:f>"f5c71629-5b74-481a-8e00-7931d11145b2"</x:f>
        <x:v>f5c71629-5b74-481a-8e00-7931d11145b2</x:v>
      </x:c>
      <x:c r="B3695" s="23" t="str">
        <x:v>VICTOR WANDERSON GONCALVES</x:v>
      </x:c>
      <x:c r="C3695" s="23" t="str">
        <x:v>victor wanderson goncalves</x:v>
      </x:c>
      <x:c r="D3695" s="22" t="str">
        <x:f>"47.796.401/0001-63"</x:f>
        <x:v>47.796.401/0001-63</x:v>
      </x:c>
      <x:c r="E3695" s="22" t="str">
        <x:f>"47796401000163"</x:f>
        <x:v>47796401000163</x:v>
      </x:c>
      <x:c r="F3695" s="22" t="str">
        <x:f>"169.374.036-23"</x:f>
        <x:v>169.374.036-23</x:v>
      </x:c>
      <x:c r="G3695" s="22" t="str">
        <x:f>"16937403623"</x:f>
        <x:v>16937403623</x:v>
      </x:c>
      <x:c r="H3695" s="23" t="str">
        <x:v>victorwanderson247@gmail.com</x:v>
      </x:c>
      <x:c r="I3695" s="22" t="str">
        <x:f>"(33)988434374"</x:f>
        <x:v>(33)988434374</x:v>
      </x:c>
      <x:c r="J3695" s="23" t="str">
        <x:v>SPOT</x:v>
      </x:c>
      <x:c r="K3695" s="23" t="str">
        <x:v>favored_only</x:v>
      </x:c>
      <x:c r="L3695" s="24" t="b">
        <x:v>1</x:v>
      </x:c>
      <x:c r="M3695" s="23" t="n">
        <x:v>1</x:v>
      </x:c>
      <x:c r="N3695" s="28" t="n">
        <x:v>46205.60417085648</x:v>
      </x:c>
      <x:c r="O3695" s="28" t="n">
        <x:v>46219.812988715275</x:v>
      </x:c>
      <x:c r="P3695" s="23" t="str">
        <x:v>GUANHAES</x:v>
      </x:c>
      <x:c r="Q3695" s="30" t="n">
        <x:v>38362</x:v>
      </x:c>
      <x:c r="R3695" s="22" t="str">
        <x:f>"22874662"</x:f>
        <x:v>22874662</x:v>
      </x:c>
      <x:c r="S3695" s="23" t="str">
        <x:v>masculino</x:v>
      </x:c>
      <x:c r="T3695" s="22" t="str">
        <x:f>"OQR0492"</x:f>
        <x:v>OQR0492</x:v>
      </x:c>
      <x:c r="U3695" s="23" t="str">
        <x:v>WENDER DEIVIDE AMILTON CARVALHO SANTOS</x:v>
      </x:c>
      <x:c r="V3695" s="22" t="str">
        <x:f>"073.805.436-44"</x:f>
        <x:v>073.805.436-44</x:v>
      </x:c>
      <x:c r="W3695" s="22" t="str">
        <x:f>"07380543644"</x:f>
        <x:v>07380543644</x:v>
      </x:c>
      <x:c r="X3695" s="23" t="str">
        <x:v>Deivid_santos22@hotmail.com</x:v>
      </x:c>
      <x:c r="Y3695" s="22" t="str">
        <x:f>"31 985382301"</x:f>
        <x:v>31 985382301</x:v>
      </x:c>
      <x:c r="Z3695" s="30" t="n">
        <x:v>46261</x:v>
      </x:c>
    </x:row>
    <x:row r="3696" ht="18" customHeight="1">
      <x:c r="A3696" s="22" t="str">
        <x:f>"2d8dc88d-0a97-4bd2-a294-d9ecf060a23b"</x:f>
        <x:v>2d8dc88d-0a97-4bd2-a294-d9ecf060a23b</x:v>
      </x:c>
      <x:c r="B3696" s="23" t="str">
        <x:v>VIICIUS DE SOUZA VAZ</x:v>
      </x:c>
      <x:c r="C3696" s="23" t="str">
        <x:v>viicius de souza vaz</x:v>
      </x:c>
      <x:c r="D3696" s="22" t="str">
        <x:f>"38.226.032/0001-82"</x:f>
        <x:v>38.226.032/0001-82</x:v>
      </x:c>
      <x:c r="E3696" s="22" t="str">
        <x:f>"38226032000182"</x:f>
        <x:v>38226032000182</x:v>
      </x:c>
      <x:c r="F3696" s="22" t="str">
        <x:f>"150.473.416-58"</x:f>
        <x:v>150.473.416-58</x:v>
      </x:c>
      <x:c r="G3696" s="22" t="str">
        <x:f>"15047341658"</x:f>
        <x:v>15047341658</x:v>
      </x:c>
      <x:c r="H3696" s="23" t="str">
        <x:v>VINICIUSSOUZAVAZOFICINA@GMAIL.COM</x:v>
      </x:c>
      <x:c r="I3696" s="22" t="str">
        <x:f>"(35) 99884-5325"</x:f>
        <x:v>(35) 99884-5325</x:v>
      </x:c>
      <x:c r="J3696" s="23" t="str">
        <x:v>SPOT</x:v>
      </x:c>
      <x:c r="K3696" s="23" t="str">
        <x:v>favored_only</x:v>
      </x:c>
      <x:c r="L3696" s="24" t="b">
        <x:v>1</x:v>
      </x:c>
      <x:c r="M3696" s="23" t="n">
        <x:v>1</x:v>
      </x:c>
      <x:c r="N3696" s="28" t="n">
        <x:v>46205.60112324074</x:v>
      </x:c>
      <x:c r="O3696" s="28" t="n">
        <x:v>46219.812988715275</x:v>
      </x:c>
      <x:c r="P3696" s="23" t="str">
        <x:v>GUAXUPE</x:v>
      </x:c>
      <x:c r="Q3696" s="30" t="n">
        <x:v>36650</x:v>
      </x:c>
      <x:c r="R3696" s="22" t="str">
        <x:f>"21940154"</x:f>
        <x:v>21940154</x:v>
      </x:c>
      <x:c r="S3696" s="23" t="str">
        <x:v>masculino</x:v>
      </x:c>
      <x:c r="T3696" s="22" t="str">
        <x:f>"OSE2E68"</x:f>
        <x:v>OSE2E68</x:v>
      </x:c>
      <x:c r="U3696" s="23" t="str">
        <x:v>KLEISER JOSE ARAUJO</x:v>
      </x:c>
      <x:c r="V3696" s="22" t="str">
        <x:f>"097.608.156-30"</x:f>
        <x:v>097.608.156-30</x:v>
      </x:c>
      <x:c r="W3696" s="22" t="str">
        <x:f>"09760815630"</x:f>
        <x:v>09760815630</x:v>
      </x:c>
      <x:c r="X3696" s="23" t="str">
        <x:v>KLEISER.DESENHA@OUTLOOK.COM</x:v>
      </x:c>
      <x:c r="Y3696" s="22" t="str">
        <x:f>"35 991730019"</x:f>
        <x:v>35 991730019</x:v>
      </x:c>
      <x:c r="Z3696" s="30" t="n">
        <x:v>46521</x:v>
      </x:c>
    </x:row>
    <x:row r="3697" ht="18" customHeight="1">
      <x:c r="A3697" s="22" t="str">
        <x:f>"b816a523-005c-4fa3-ba01-86d64bc274a9"</x:f>
        <x:v>b816a523-005c-4fa3-ba01-86d64bc274a9</x:v>
      </x:c>
      <x:c r="B3697" s="23" t="str">
        <x:v>VILMAR DIVINO MOTA</x:v>
      </x:c>
      <x:c r="C3697" s="23" t="str">
        <x:v>vilmar divino mota</x:v>
      </x:c>
      <x:c r="D3697" s="22" t="str">
        <x:f>"62.651.637/0001-03"</x:f>
        <x:v>62.651.637/0001-03</x:v>
      </x:c>
      <x:c r="E3697" s="22" t="str">
        <x:f>"62651637000103"</x:f>
        <x:v>62651637000103</x:v>
      </x:c>
      <x:c r="F3697" s="22" t="str">
        <x:f>"441.319.171-49"</x:f>
        <x:v>441.319.171-49</x:v>
      </x:c>
      <x:c r="G3697" s="22" t="str">
        <x:f>"44131917149"</x:f>
        <x:v>44131917149</x:v>
      </x:c>
      <x:c r="H3697" s="23" t="str">
        <x:v>vilmarmota06@gmail.com</x:v>
      </x:c>
      <x:c r="I3697" s="22" t="str">
        <x:f>"62 9136-2655"</x:f>
        <x:v>62 9136-2655</x:v>
      </x:c>
      <x:c r="J3697" s="23" t="str">
        <x:v>SPOT</x:v>
      </x:c>
      <x:c r="K3697" s="23" t="str">
        <x:v>favored_only</x:v>
      </x:c>
      <x:c r="L3697" s="24" t="b">
        <x:v>1</x:v>
      </x:c>
      <x:c r="M3697" s="23" t="n">
        <x:v>1</x:v>
      </x:c>
      <x:c r="N3697" s="28" t="n">
        <x:v>46205.60479174768</x:v>
      </x:c>
      <x:c r="O3697" s="28" t="n">
        <x:v>46219.812988715275</x:v>
      </x:c>
      <x:c r="P3697" s="23" t="str">
        <x:v>RIO VERDE</x:v>
      </x:c>
      <x:c r="Q3697" s="30" t="n">
        <x:v>25128</x:v>
      </x:c>
      <x:c r="R3697" s="22" t="str">
        <x:f>"1835916"</x:f>
        <x:v>1835916</x:v>
      </x:c>
      <x:c r="S3697" s="23" t="str">
        <x:v>masculino</x:v>
      </x:c>
      <x:c r="T3697" s="22" t="str">
        <x:f>"FGB7F60"</x:f>
        <x:v>FGB7F60</x:v>
      </x:c>
      <x:c r="U3697" s="23" t="str">
        <x:v>PATRICK RUAN DA SILVA MARQUES</x:v>
      </x:c>
      <x:c r="V3697" s="22" t="str">
        <x:f>"043.843.891-40"</x:f>
        <x:v>043.843.891-40</x:v>
      </x:c>
      <x:c r="W3697" s="22" t="str">
        <x:f>"04384389140"</x:f>
        <x:v>04384389140</x:v>
      </x:c>
      <x:c r="X3697" s="23" t="str">
        <x:v>ruanmarquesrv482@gmail.com</x:v>
      </x:c>
      <x:c r="Y3697" s="22" t="str">
        <x:f>"64 9241-9550"</x:f>
        <x:v>64 9241-9550</x:v>
      </x:c>
      <x:c r="Z3697" s="30" t="n">
        <x:v>46297</x:v>
      </x:c>
    </x:row>
    <x:row r="3698" ht="18" customHeight="1">
      <x:c r="A3698" s="22" t="str">
        <x:f>"b77ac4a8-71dc-4053-88b1-62b641fcf453"</x:f>
        <x:v>b77ac4a8-71dc-4053-88b1-62b641fcf453</x:v>
      </x:c>
      <x:c r="B3698" s="23" t="str">
        <x:v>VILSON CARLOS BOLDRIN</x:v>
      </x:c>
      <x:c r="C3698" s="23" t="str">
        <x:v>vilson carlos boldrin</x:v>
      </x:c>
      <x:c r="D3698" s="22" t="str">
        <x:f>"60.173.297/0001-19"</x:f>
        <x:v>60.173.297/0001-19</x:v>
      </x:c>
      <x:c r="E3698" s="22" t="str">
        <x:f>"60173297000119"</x:f>
        <x:v>60173297000119</x:v>
      </x:c>
      <x:c r="F3698" s="22" t="str">
        <x:f>"217.944.368-47"</x:f>
        <x:v>217.944.368-47</x:v>
      </x:c>
      <x:c r="G3698" s="22" t="str">
        <x:f>"21794436847"</x:f>
        <x:v>21794436847</x:v>
      </x:c>
      <x:c r="H3698" s="23" t="str">
        <x:v>Vilsonboldrim@gmail.com</x:v>
      </x:c>
      <x:c r="I3698" s="22" t="str">
        <x:f>"17997040649"</x:f>
        <x:v>17997040649</x:v>
      </x:c>
      <x:c r="J3698" s="23" t="str">
        <x:v>SPOT</x:v>
      </x:c>
      <x:c r="K3698" s="23" t="str">
        <x:v>favored_only</x:v>
      </x:c>
      <x:c r="L3698" s="24" t="b">
        <x:v>1</x:v>
      </x:c>
      <x:c r="M3698" s="23" t="n">
        <x:v>1</x:v>
      </x:c>
      <x:c r="N3698" s="28" t="n">
        <x:v>46203.9219084375</x:v>
      </x:c>
      <x:c r="O3698" s="28" t="n">
        <x:v>46219.812988715275</x:v>
      </x:c>
      <x:c r="P3698" s="23" t="str">
        <x:v>JALES</x:v>
      </x:c>
      <x:c r="Q3698" s="30" t="n">
        <x:v>29546</x:v>
      </x:c>
      <x:c r="R3698" s="22" t="str">
        <x:f>"33423589 SSP"</x:f>
        <x:v>33423589 SSP</x:v>
      </x:c>
      <x:c r="S3698" s="23" t="str">
        <x:v>masculino</x:v>
      </x:c>
      <x:c r="T3698" s="22" t="str">
        <x:f>"PZJ6B49"</x:f>
        <x:v>PZJ6B49</x:v>
      </x:c>
      <x:c r="U3698" s="23" t="str">
        <x:v>VILSON CARLOS BOLDRIN</x:v>
      </x:c>
      <x:c r="V3698" s="22" t="str">
        <x:f>"217944368847"</x:f>
        <x:v>217944368847</x:v>
      </x:c>
      <x:c r="W3698" s="22" t="str">
        <x:f>"217944368847"</x:f>
        <x:v>217944368847</x:v>
      </x:c>
      <x:c r="X3698" s="23" t="str">
        <x:v>Vilsonboldrim@gmail.com</x:v>
      </x:c>
      <x:c r="Y3698" s="22" t="str">
        <x:f>"17997040649"</x:f>
        <x:v>17997040649</x:v>
      </x:c>
      <x:c r="Z3698" s="30" t="n">
        <x:v>46385</x:v>
      </x:c>
    </x:row>
    <x:row r="3699" ht="18" customHeight="1">
      <x:c r="A3699" s="22" t="str">
        <x:f>"1b124366-77a4-44e2-8c6d-527b432df5b0"</x:f>
        <x:v>1b124366-77a4-44e2-8c6d-527b432df5b0</x:v>
      </x:c>
      <x:c r="B3699" s="23" t="str">
        <x:v>VILSON JOSE DE MELO</x:v>
      </x:c>
      <x:c r="C3699" s="23" t="str">
        <x:v>vilson jose de melo</x:v>
      </x:c>
      <x:c r="D3699" s="22" t="str">
        <x:f>"52.664.355/0001-89"</x:f>
        <x:v>52.664.355/0001-89</x:v>
      </x:c>
      <x:c r="E3699" s="22" t="str">
        <x:f>"52664355000189"</x:f>
        <x:v>52664355000189</x:v>
      </x:c>
      <x:c r="F3699" s="22" t="str">
        <x:f>"055.660.206-40"</x:f>
        <x:v>055.660.206-40</x:v>
      </x:c>
      <x:c r="G3699" s="22" t="str">
        <x:f>"05566020640"</x:f>
        <x:v>05566020640</x:v>
      </x:c>
      <x:c r="H3699" s="23" t="str">
        <x:v>vilsonjmelo18@gmail.com</x:v>
      </x:c>
      <x:c r="I3699" s="22" t="str">
        <x:f>"34993378794"</x:f>
        <x:v>34993378794</x:v>
      </x:c>
      <x:c r="J3699" s="23" t="str">
        <x:v>SPOT</x:v>
      </x:c>
      <x:c r="K3699" s="23" t="str">
        <x:v>favored_only</x:v>
      </x:c>
      <x:c r="L3699" s="24" t="b">
        <x:v>1</x:v>
      </x:c>
      <x:c r="M3699" s="23" t="n">
        <x:v>1</x:v>
      </x:c>
      <x:c r="N3699" s="28" t="n">
        <x:v>46205.606767453704</x:v>
      </x:c>
      <x:c r="O3699" s="28" t="n">
        <x:v>46219.812988715275</x:v>
      </x:c>
      <x:c r="P3699" s="23" t="str">
        <x:v>ARAXÁ</x:v>
      </x:c>
      <x:c r="Q3699" s="30" t="n">
        <x:v>30028</x:v>
      </x:c>
      <x:c r="R3699" s="22" t="str">
        <x:f>"M6221904"</x:f>
        <x:v>M6221904</x:v>
      </x:c>
      <x:c r="S3699" s="23" t="str">
        <x:v>masculino</x:v>
      </x:c>
      <x:c r="T3699" s="22" t="str">
        <x:f>"PUN9D76"</x:f>
        <x:v>PUN9D76</x:v>
      </x:c>
      <x:c r="U3699" s="23" t="str">
        <x:v>GIVAGO AUGUSTO REZENDE SILVA</x:v>
      </x:c>
      <x:c r="V3699" s="22" t="str">
        <x:f>"101.346.146-07"</x:f>
        <x:v>101.346.146-07</x:v>
      </x:c>
      <x:c r="W3699" s="22" t="str">
        <x:f>"10134614607"</x:f>
        <x:v>10134614607</x:v>
      </x:c>
      <x:c r="X3699" s="23" t="str">
        <x:v>givagoaugusto28@hotmail.com</x:v>
      </x:c>
      <x:c r="Y3699" s="22" t="str">
        <x:f>"34992472640"</x:f>
        <x:v>34992472640</x:v>
      </x:c>
      <x:c r="Z3699" s="30" t="n">
        <x:v>46372</x:v>
      </x:c>
    </x:row>
    <x:row r="3700" ht="18" customHeight="1">
      <x:c r="A3700" s="22" t="str">
        <x:f>"04088041-93cf-474b-b498-1aa7aaf6d3ea"</x:f>
        <x:v>04088041-93cf-474b-b498-1aa7aaf6d3ea</x:v>
      </x:c>
      <x:c r="B3700" s="23" t="str">
        <x:v>VINICIOS VIEIRA DA SILVA</x:v>
      </x:c>
      <x:c r="C3700" s="23" t="str">
        <x:v>vinicios vieira da silva</x:v>
      </x:c>
      <x:c r="D3700" s="22" t="str">
        <x:f>"36.061.366/0001-18"</x:f>
        <x:v>36.061.366/0001-18</x:v>
      </x:c>
      <x:c r="E3700" s="22" t="str">
        <x:f>"36061366000118"</x:f>
        <x:v>36061366000118</x:v>
      </x:c>
      <x:c r="F3700" s="22" t="str">
        <x:f>"748.040.261-00"</x:f>
        <x:v>748.040.261-00</x:v>
      </x:c>
      <x:c r="G3700" s="22" t="str">
        <x:f>"74804026100"</x:f>
        <x:v>74804026100</x:v>
      </x:c>
      <x:c r="H3700" s="23" t="str">
        <x:v>viniciosvieirad10@gmail.com</x:v>
      </x:c>
      <x:c r="I3700" s="22" t="str">
        <x:f>"62993297725"</x:f>
        <x:v>62993297725</x:v>
      </x:c>
      <x:c r="J3700" s="23" t="str">
        <x:v>SPOT</x:v>
      </x:c>
      <x:c r="K3700" s="23" t="str">
        <x:v>favored_only</x:v>
      </x:c>
      <x:c r="L3700" s="24" t="b">
        <x:v>1</x:v>
      </x:c>
      <x:c r="M3700" s="23" t="n">
        <x:v>1</x:v>
      </x:c>
      <x:c r="N3700" s="28" t="n">
        <x:v>46219.812988715275</x:v>
      </x:c>
      <x:c r="O3700" s="28" t="n">
        <x:v>46219.812988715275</x:v>
      </x:c>
      <x:c r="P3700" s="23" t="str">
        <x:v>GOIANIA</x:v>
      </x:c>
      <x:c r="Q3700" s="30" t="n">
        <x:v>35736</x:v>
      </x:c>
      <x:c r="R3700" s="22" t="str">
        <x:f>"5461866"</x:f>
        <x:v>5461866</x:v>
      </x:c>
      <x:c r="S3700" s="23" t="str">
        <x:v>masculino</x:v>
      </x:c>
      <x:c r="T3700" s="22" t="str">
        <x:f>"DMF0C79"</x:f>
        <x:v>DMF0C79</x:v>
      </x:c>
      <x:c r="U3700" s="23" t="str">
        <x:v>FRANCISCO ALMEIDA DE SOUSA</x:v>
      </x:c>
      <x:c r="V3700" s="22" t="str">
        <x:f>"703.816.781-21"</x:f>
        <x:v>703.816.781-21</x:v>
      </x:c>
      <x:c r="W3700" s="22" t="str">
        <x:f>"70381678121"</x:f>
        <x:v>70381678121</x:v>
      </x:c>
      <x:c r="X3700" s="23" t="str">
        <x:v>Franciscoalmeidadesousa742@gmail.com</x:v>
      </x:c>
      <x:c r="Y3700" s="22" t="str">
        <x:f>"62985405298"</x:f>
        <x:v>62985405298</x:v>
      </x:c>
      <x:c r="Z3700" s="30" t="n">
        <x:v>46266</x:v>
      </x:c>
    </x:row>
    <x:row r="3701" ht="18" customHeight="1">
      <x:c r="A3701" s="22" t="str">
        <x:f>"3e6ff33e-a472-4d43-9c53-f058c272ec88"</x:f>
        <x:v>3e6ff33e-a472-4d43-9c53-f058c272ec88</x:v>
      </x:c>
      <x:c r="B3701" s="23" t="str">
        <x:v>VINICIOS VIEIRA DA SILVA</x:v>
      </x:c>
      <x:c r="C3701" s="23" t="str">
        <x:v>vinicios vieira da silva</x:v>
      </x:c>
      <x:c r="D3701" s="22" t="str">
        <x:f>"54.799.992/0001-98"</x:f>
        <x:v>54.799.992/0001-98</x:v>
      </x:c>
      <x:c r="E3701" s="22" t="str">
        <x:f>"54799992000198"</x:f>
        <x:v>54799992000198</x:v>
      </x:c>
      <x:c r="F3701" s="22" t="str">
        <x:f>"758.040.261-00"</x:f>
        <x:v>758.040.261-00</x:v>
      </x:c>
      <x:c r="G3701" s="22" t="str">
        <x:f>"75804026100"</x:f>
        <x:v>75804026100</x:v>
      </x:c>
      <x:c r="H3701" s="23" t="str">
        <x:v>viniciosvieirad10@gmail.com</x:v>
      </x:c>
      <x:c r="I3701" s="22" t="str">
        <x:f>"62993297725"</x:f>
        <x:v>62993297725</x:v>
      </x:c>
      <x:c r="J3701" s="23" t="str">
        <x:v>SPOT</x:v>
      </x:c>
      <x:c r="K3701" s="23" t="str">
        <x:v>favored_only</x:v>
      </x:c>
      <x:c r="L3701" s="24" t="b">
        <x:v>1</x:v>
      </x:c>
      <x:c r="M3701" s="23" t="n">
        <x:v>1</x:v>
      </x:c>
      <x:c r="N3701" s="28" t="n">
        <x:v>46219.812988715275</x:v>
      </x:c>
      <x:c r="O3701" s="28" t="n">
        <x:v>46219.812988715275</x:v>
      </x:c>
      <x:c r="P3701" s="23" t="str">
        <x:v>GOIANIA</x:v>
      </x:c>
      <x:c r="Q3701" s="30" t="n">
        <x:v>35736</x:v>
      </x:c>
      <x:c r="R3701" s="22" t="str">
        <x:f>"5461866"</x:f>
        <x:v>5461866</x:v>
      </x:c>
      <x:c r="S3701" s="23" t="str">
        <x:v>masculino</x:v>
      </x:c>
      <x:c r="T3701" s="22" t="str">
        <x:f>"DMF0C79"</x:f>
        <x:v>DMF0C79</x:v>
      </x:c>
      <x:c r="U3701" s="23" t="str">
        <x:v>GUSTAVO BARBOSA ALMEIDA</x:v>
      </x:c>
      <x:c r="V3701" s="22" t="str">
        <x:f>"054.605.541-95"</x:f>
        <x:v>054.605.541-95</x:v>
      </x:c>
      <x:c r="W3701" s="22" t="str">
        <x:f>"05460554195"</x:f>
        <x:v>05460554195</x:v>
      </x:c>
      <x:c r="X3701" s="23" t="str">
        <x:v>gustavobarbosaalmeida25@gmail.com</x:v>
      </x:c>
      <x:c r="Y3701" s="22" t="str">
        <x:f>"62981505835"</x:f>
        <x:v>62981505835</x:v>
      </x:c>
      <x:c r="Z3701" s="30" t="n">
        <x:v>46266</x:v>
      </x:c>
    </x:row>
    <x:row r="3702" ht="18" customHeight="1">
      <x:c r="A3702" s="22" t="str">
        <x:f>"4678d5cc-a42e-4085-ad8f-42c5e40ebb68"</x:f>
        <x:v>4678d5cc-a42e-4085-ad8f-42c5e40ebb68</x:v>
      </x:c>
      <x:c r="B3702" s="23" t="str">
        <x:v>VINICIUS ALBERTO MENEZES</x:v>
      </x:c>
      <x:c r="C3702" s="23" t="str">
        <x:v>vinicius alberto menezes</x:v>
      </x:c>
      <x:c r="D3702" s="22" t="str">
        <x:f>"64.836.747/0001-67"</x:f>
        <x:v>64.836.747/0001-67</x:v>
      </x:c>
      <x:c r="E3702" s="22" t="str">
        <x:f>"64836747000167"</x:f>
        <x:v>64836747000167</x:v>
      </x:c>
      <x:c r="F3702" s="22" t="str">
        <x:f>"503.442.878-40"</x:f>
        <x:v>503.442.878-40</x:v>
      </x:c>
      <x:c r="G3702" s="22" t="str">
        <x:f>"50344287840"</x:f>
        <x:v>50344287840</x:v>
      </x:c>
      <x:c r="H3702" s="23" t="str">
        <x:v>viberzes@gmail.com</x:v>
      </x:c>
      <x:c r="I3702" s="22" t="str">
        <x:f>"(16)99600-2806"</x:f>
        <x:v>(16)99600-2806</x:v>
      </x:c>
      <x:c r="J3702" s="23" t="str">
        <x:v>RENTAL</x:v>
      </x:c>
      <x:c r="K3702" s="23" t="str">
        <x:v>rental_company</x:v>
      </x:c>
      <x:c r="L3702" s="24" t="b">
        <x:v>1</x:v>
      </x:c>
      <x:c r="M3702" s="23" t="n">
        <x:v>1</x:v>
      </x:c>
      <x:c r="N3702" s="28" t="n">
        <x:v>46219.812988715275</x:v>
      </x:c>
      <x:c r="O3702" s="28" t="n">
        <x:v>46219.812988715275</x:v>
      </x:c>
      <x:c r="P3702" s="23" t="str">
        <x:v>SÃO CARLOS</x:v>
      </x:c>
      <x:c r="Q3702" s="30" t="n">
        <x:v>37180</x:v>
      </x:c>
      <x:c r="R3702" s="22" t="str">
        <x:f>"55852001-7"</x:f>
        <x:v>55852001-7</x:v>
      </x:c>
      <x:c r="S3702" s="23" t="str">
        <x:v>masculino</x:v>
      </x:c>
      <x:c r="T3702" s="22" t="str"/>
      <x:c r="U3702" s="23" t="str">
        <x:v>VINICIUS ALBERTO MENEZES</x:v>
      </x:c>
      <x:c r="V3702" s="22" t="str">
        <x:f>"503.442.878-40"</x:f>
        <x:v>503.442.878-40</x:v>
      </x:c>
      <x:c r="W3702" s="22" t="str">
        <x:f>"50344287840"</x:f>
        <x:v>50344287840</x:v>
      </x:c>
      <x:c r="X3702" s="23" t="str">
        <x:v>viberzes@gmail.com</x:v>
      </x:c>
      <x:c r="Y3702" s="22" t="str">
        <x:f>"(16)99600-2806"</x:f>
        <x:v>(16)99600-2806</x:v>
      </x:c>
      <x:c r="Z3702" s="30" t="n">
        <x:v>46424</x:v>
      </x:c>
    </x:row>
    <x:row r="3703" ht="18" customHeight="1">
      <x:c r="A3703" s="22" t="str">
        <x:f>"9aa6220d-4057-4cae-829d-d767816d0b88"</x:f>
        <x:v>9aa6220d-4057-4cae-829d-d767816d0b88</x:v>
      </x:c>
      <x:c r="B3703" s="23" t="str">
        <x:v>VINICIUS ALMEIDA PINHEIRO</x:v>
      </x:c>
      <x:c r="C3703" s="23" t="str">
        <x:v>vinicius almeida pinheiro</x:v>
      </x:c>
      <x:c r="D3703" s="22" t="str">
        <x:f>"59.786.966/0001-49"</x:f>
        <x:v>59.786.966/0001-49</x:v>
      </x:c>
      <x:c r="E3703" s="22" t="str">
        <x:f>"59786966000149"</x:f>
        <x:v>59786966000149</x:v>
      </x:c>
      <x:c r="F3703" s="22" t="str">
        <x:f>"080.267.226-47"</x:f>
        <x:v>080.267.226-47</x:v>
      </x:c>
      <x:c r="G3703" s="22" t="str">
        <x:f>"08026722647"</x:f>
        <x:v>08026722647</x:v>
      </x:c>
      <x:c r="H3703" s="23" t="str">
        <x:v>vinycoly9@gmail.com</x:v>
      </x:c>
      <x:c r="I3703" s="22" t="str">
        <x:f>"31995681615"</x:f>
        <x:v>31995681615</x:v>
      </x:c>
      <x:c r="J3703" s="23" t="str">
        <x:v>rental</x:v>
      </x:c>
      <x:c r="K3703" s="23" t="str">
        <x:v>rental_company</x:v>
      </x:c>
      <x:c r="L3703" s="24" t="b">
        <x:v>1</x:v>
      </x:c>
      <x:c r="M3703" s="23" t="n">
        <x:v>1</x:v>
      </x:c>
      <x:c r="N3703" s="28" t="n">
        <x:v>46219.812988715275</x:v>
      </x:c>
      <x:c r="O3703" s="28" t="n">
        <x:v>46219.812988715275</x:v>
      </x:c>
      <x:c r="P3703" s="23" t="str">
        <x:v>NOVA LIMA</x:v>
      </x:c>
      <x:c r="Q3703" s="30" t="n">
        <x:v>32182</x:v>
      </x:c>
      <x:c r="R3703" s="22" t="str">
        <x:f>"13255217"</x:f>
        <x:v>13255217</x:v>
      </x:c>
      <x:c r="S3703" s="23" t="str">
        <x:v>masculino</x:v>
      </x:c>
      <x:c r="T3703" s="22" t="str"/>
      <x:c r="U3703" s="23" t="str">
        <x:v>VINICIUS ALMEIDA PINHEIRO</x:v>
      </x:c>
      <x:c r="V3703" s="22" t="str">
        <x:f>"080.267.226-47"</x:f>
        <x:v>080.267.226-47</x:v>
      </x:c>
      <x:c r="W3703" s="22" t="str">
        <x:f>"08026722647"</x:f>
        <x:v>08026722647</x:v>
      </x:c>
      <x:c r="X3703" s="23" t="str">
        <x:v>vinycoly9@gmail.com</x:v>
      </x:c>
      <x:c r="Y3703" s="22" t="str">
        <x:f>"31995681615"</x:f>
        <x:v>31995681615</x:v>
      </x:c>
      <x:c r="Z3703" s="30" t="n">
        <x:v>46512</x:v>
      </x:c>
    </x:row>
    <x:row r="3704" ht="18" customHeight="1">
      <x:c r="A3704" s="22" t="str">
        <x:f>"4b569c86-e3d0-4b26-a557-47dc3dfd85b5"</x:f>
        <x:v>4b569c86-e3d0-4b26-a557-47dc3dfd85b5</x:v>
      </x:c>
      <x:c r="B3704" s="23" t="str">
        <x:v>VINICIUS ANTONIN</x:v>
      </x:c>
      <x:c r="C3704" s="23" t="str">
        <x:v>vinicius antonin</x:v>
      </x:c>
      <x:c r="D3704" s="22" t="str">
        <x:f>"60.826.111/0001-83"</x:f>
        <x:v>60.826.111/0001-83</x:v>
      </x:c>
      <x:c r="E3704" s="22" t="str">
        <x:f>"60826111000183"</x:f>
        <x:v>60826111000183</x:v>
      </x:c>
      <x:c r="F3704" s="22" t="str">
        <x:f>"431.428.658-02"</x:f>
        <x:v>431.428.658-02</x:v>
      </x:c>
      <x:c r="G3704" s="22" t="str">
        <x:f>"43142865802"</x:f>
        <x:v>43142865802</x:v>
      </x:c>
      <x:c r="H3704" s="23" t="str">
        <x:v>viniciuusantonin497@gmail.com</x:v>
      </x:c>
      <x:c r="I3704" s="22" t="str">
        <x:f>"17996124170"</x:f>
        <x:v>17996124170</x:v>
      </x:c>
      <x:c r="J3704" s="23" t="str">
        <x:v>SPOT</x:v>
      </x:c>
      <x:c r="K3704" s="23" t="str">
        <x:v>favored_only</x:v>
      </x:c>
      <x:c r="L3704" s="24" t="b">
        <x:v>1</x:v>
      </x:c>
      <x:c r="M3704" s="23" t="n">
        <x:v>1</x:v>
      </x:c>
      <x:c r="N3704" s="28" t="n">
        <x:v>46203.921852962965</x:v>
      </x:c>
      <x:c r="O3704" s="28" t="n">
        <x:v>46219.812988715275</x:v>
      </x:c>
      <x:c r="P3704" s="23" t="str">
        <x:v>SÃO JOSE DO RIO PRETO</x:v>
      </x:c>
      <x:c r="Q3704" s="30" t="n">
        <x:v>34897</x:v>
      </x:c>
      <x:c r="R3704" s="22" t="str">
        <x:f>"41792148"</x:f>
        <x:v>41792148</x:v>
      </x:c>
      <x:c r="S3704" s="23" t="str">
        <x:v>masculino</x:v>
      </x:c>
      <x:c r="T3704" s="22" t="str">
        <x:f>"AUZ2I61"</x:f>
        <x:v>AUZ2I61</x:v>
      </x:c>
      <x:c r="U3704" s="23" t="str">
        <x:v>VINICIUS ANTONIN</x:v>
      </x:c>
      <x:c r="V3704" s="22" t="str">
        <x:f>"431.428.658-02"</x:f>
        <x:v>431.428.658-02</x:v>
      </x:c>
      <x:c r="W3704" s="22" t="str">
        <x:f>"43142865802"</x:f>
        <x:v>43142865802</x:v>
      </x:c>
      <x:c r="X3704" s="23" t="str">
        <x:v>viniciuusantonin497@gmail.com</x:v>
      </x:c>
      <x:c r="Y3704" s="22" t="str">
        <x:f>"17996124170"</x:f>
        <x:v>17996124170</x:v>
      </x:c>
      <x:c r="Z3704" s="30" t="n">
        <x:v>46247</x:v>
      </x:c>
    </x:row>
    <x:row r="3705" ht="18" customHeight="1">
      <x:c r="A3705" s="22" t="str">
        <x:f>"889d4b21-70be-4bc8-bbc9-488b10622ca8"</x:f>
        <x:v>889d4b21-70be-4bc8-bbc9-488b10622ca8</x:v>
      </x:c>
      <x:c r="B3705" s="23" t="str">
        <x:v>VINICIUS AUGUSTO VIEIRA</x:v>
      </x:c>
      <x:c r="C3705" s="23" t="str">
        <x:v>vinicius augusto vieira</x:v>
      </x:c>
      <x:c r="D3705" s="22" t="str">
        <x:f>"59.549.994/0001-42"</x:f>
        <x:v>59.549.994/0001-42</x:v>
      </x:c>
      <x:c r="E3705" s="22" t="str">
        <x:f>"59549994000142"</x:f>
        <x:v>59549994000142</x:v>
      </x:c>
      <x:c r="F3705" s="22" t="str">
        <x:f>"124.177.196-06"</x:f>
        <x:v>124.177.196-06</x:v>
      </x:c>
      <x:c r="G3705" s="22" t="str">
        <x:f>"12417719606"</x:f>
        <x:v>12417719606</x:v>
      </x:c>
      <x:c r="H3705" s="23" t="str">
        <x:v>viniciusaugustovieira2020@gmail.com</x:v>
      </x:c>
      <x:c r="I3705" s="22" t="str">
        <x:f>"(35) 99987-9602"</x:f>
        <x:v>(35) 99987-9602</x:v>
      </x:c>
      <x:c r="J3705" s="23" t="str">
        <x:v>SPOT</x:v>
      </x:c>
      <x:c r="K3705" s="23" t="str">
        <x:v>favored_only</x:v>
      </x:c>
      <x:c r="L3705" s="24" t="b">
        <x:v>1</x:v>
      </x:c>
      <x:c r="M3705" s="23" t="n">
        <x:v>1</x:v>
      </x:c>
      <x:c r="N3705" s="28" t="n">
        <x:v>46205.60118554398</x:v>
      </x:c>
      <x:c r="O3705" s="28" t="n">
        <x:v>46219.812988715275</x:v>
      </x:c>
      <x:c r="P3705" s="23" t="str">
        <x:v>POUSO ALEGRE</x:v>
      </x:c>
      <x:c r="Q3705" s="30" t="n">
        <x:v>36078</x:v>
      </x:c>
      <x:c r="R3705" s="22" t="str">
        <x:f>"MG19079806"</x:f>
        <x:v>MG19079806</x:v>
      </x:c>
      <x:c r="S3705" s="23" t="str">
        <x:v>masculino</x:v>
      </x:c>
      <x:c r="T3705" s="22" t="str">
        <x:f>"RJT3F70"</x:f>
        <x:v>RJT3F70</x:v>
      </x:c>
      <x:c r="U3705" s="23" t="str">
        <x:v>RAPHAEL CACETE DE PAIVA</x:v>
      </x:c>
      <x:c r="V3705" s="22" t="str">
        <x:f>"236.144.008-32"</x:f>
        <x:v>236.144.008-32</x:v>
      </x:c>
      <x:c r="W3705" s="22" t="str">
        <x:f>"23614400832"</x:f>
        <x:v>23614400832</x:v>
      </x:c>
      <x:c r="X3705" s="23" t="str">
        <x:v>grtransportes77@gmail.com</x:v>
      </x:c>
      <x:c r="Y3705" s="22" t="str">
        <x:f>"(11) 97652-0053"</x:f>
        <x:v>(11) 97652-0053</x:v>
      </x:c>
      <x:c r="Z3705" s="30" t="n">
        <x:v>46319</x:v>
      </x:c>
    </x:row>
    <x:row r="3706" ht="18" customHeight="1">
      <x:c r="A3706" s="22" t="str">
        <x:f>"06fd281a-bcf3-45ec-ba3a-986cb1b50702"</x:f>
        <x:v>06fd281a-bcf3-45ec-ba3a-986cb1b50702</x:v>
      </x:c>
      <x:c r="B3706" s="23" t="str">
        <x:v>VINICIUS BARROTI DONINI</x:v>
      </x:c>
      <x:c r="C3706" s="23" t="str">
        <x:v>vinicius barroti donini</x:v>
      </x:c>
      <x:c r="D3706" s="22" t="str">
        <x:f>"62.579.475/0001-31"</x:f>
        <x:v>62.579.475/0001-31</x:v>
      </x:c>
      <x:c r="E3706" s="22" t="str">
        <x:f>"62579475000131"</x:f>
        <x:v>62579475000131</x:v>
      </x:c>
      <x:c r="F3706" s="22" t="str">
        <x:f>"422.682.968-90"</x:f>
        <x:v>422.682.968-90</x:v>
      </x:c>
      <x:c r="G3706" s="22" t="str">
        <x:f>"42268296890"</x:f>
        <x:v>42268296890</x:v>
      </x:c>
      <x:c r="H3706" s="23" t="str">
        <x:v>barrotiv@gmail.com</x:v>
      </x:c>
      <x:c r="I3706" s="22" t="str">
        <x:f>"(16)99614-0495"</x:f>
        <x:v>(16)99614-0495</x:v>
      </x:c>
      <x:c r="J3706" s="23" t="str">
        <x:v>SPOT</x:v>
      </x:c>
      <x:c r="K3706" s="23" t="str">
        <x:v>favored_only</x:v>
      </x:c>
      <x:c r="L3706" s="24" t="b">
        <x:v>1</x:v>
      </x:c>
      <x:c r="M3706" s="23" t="n">
        <x:v>1</x:v>
      </x:c>
      <x:c r="N3706" s="28" t="n">
        <x:v>46205.605769594906</x:v>
      </x:c>
      <x:c r="O3706" s="28" t="n">
        <x:v>46219.812988715275</x:v>
      </x:c>
      <x:c r="P3706" s="23" t="str">
        <x:v>SÃO CARLOS</x:v>
      </x:c>
      <x:c r="Q3706" s="30" t="n">
        <x:v>34824</x:v>
      </x:c>
      <x:c r="R3706" s="22" t="str">
        <x:f>"497686922"</x:f>
        <x:v>497686922</x:v>
      </x:c>
      <x:c r="S3706" s="23" t="str">
        <x:v>masculino</x:v>
      </x:c>
      <x:c r="T3706" s="22" t="str">
        <x:f>"OPF6F62"</x:f>
        <x:v>OPF6F62</x:v>
      </x:c>
      <x:c r="U3706" s="23" t="str">
        <x:v>VINICIUS LUCHON</x:v>
      </x:c>
      <x:c r="V3706" s="22" t="str">
        <x:f>"533.565.168-76"</x:f>
        <x:v>533.565.168-76</x:v>
      </x:c>
      <x:c r="W3706" s="22" t="str">
        <x:f>"53356516876"</x:f>
        <x:v>53356516876</x:v>
      </x:c>
      <x:c r="X3706" s="23" t="str">
        <x:v>vini.luchon9@gmail.com</x:v>
      </x:c>
      <x:c r="Y3706" s="22" t="str">
        <x:f>"(16)99768-0747"</x:f>
        <x:v>(16)99768-0747</x:v>
      </x:c>
      <x:c r="Z3706" s="30" t="n">
        <x:v>46333</x:v>
      </x:c>
    </x:row>
    <x:row r="3707" ht="18" customHeight="1">
      <x:c r="A3707" s="22" t="str">
        <x:f>"79dc46ea-8d65-4aae-b41c-da690c82f015"</x:f>
        <x:v>79dc46ea-8d65-4aae-b41c-da690c82f015</x:v>
      </x:c>
      <x:c r="B3707" s="23" t="str">
        <x:v>VINICIUS BATISTA GOMES</x:v>
      </x:c>
      <x:c r="C3707" s="23" t="str">
        <x:v>vinicius batista gomes</x:v>
      </x:c>
      <x:c r="D3707" s="22" t="str">
        <x:f>"62.670.317/0001-92"</x:f>
        <x:v>62.670.317/0001-92</x:v>
      </x:c>
      <x:c r="E3707" s="22" t="str">
        <x:f>"62670317000192"</x:f>
        <x:v>62670317000192</x:v>
      </x:c>
      <x:c r="F3707" s="22" t="str">
        <x:f>"146.136.137-01"</x:f>
        <x:v>146.136.137-01</x:v>
      </x:c>
      <x:c r="G3707" s="22" t="str">
        <x:f>"14613613701"</x:f>
        <x:v>14613613701</x:v>
      </x:c>
      <x:c r="H3707" s="23" t="str">
        <x:v>Viniciusbatistaarthur28b@gmail.com</x:v>
      </x:c>
      <x:c r="I3707" s="22" t="str">
        <x:f>"2299872-0677"</x:f>
        <x:v>2299872-0677</x:v>
      </x:c>
      <x:c r="J3707" s="23" t="str">
        <x:v>SPOT</x:v>
      </x:c>
      <x:c r="K3707" s="23" t="str">
        <x:v>favored_only</x:v>
      </x:c>
      <x:c r="L3707" s="24" t="b">
        <x:v>1</x:v>
      </x:c>
      <x:c r="M3707" s="23" t="n">
        <x:v>1</x:v>
      </x:c>
      <x:c r="N3707" s="28" t="n">
        <x:v>46219.812988715275</x:v>
      </x:c>
      <x:c r="O3707" s="28" t="n">
        <x:v>46219.812988715275</x:v>
      </x:c>
      <x:c r="P3707" s="23" t="str">
        <x:v>CAMPOS DOS GOYTACAZES</x:v>
      </x:c>
      <x:c r="Q3707" s="30" t="n">
        <x:v>34524</x:v>
      </x:c>
      <x:c r="R3707" s="22" t="str">
        <x:f>"298937525"</x:f>
        <x:v>298937525</x:v>
      </x:c>
      <x:c r="S3707" s="23" t="str">
        <x:v>masculino</x:v>
      </x:c>
      <x:c r="T3707" s="22" t="str">
        <x:f>"HAQ9H98"</x:f>
        <x:v>HAQ9H98</x:v>
      </x:c>
      <x:c r="U3707" s="23" t="str">
        <x:v>SUZANNA DIAS GOMES</x:v>
      </x:c>
      <x:c r="V3707" s="22" t="str">
        <x:f>"145.684.097-56"</x:f>
        <x:v>145.684.097-56</x:v>
      </x:c>
      <x:c r="W3707" s="22" t="str">
        <x:f>"14568409756"</x:f>
        <x:v>14568409756</x:v>
      </x:c>
      <x:c r="X3707" s="23" t="str">
        <x:v>SUZANNADGOMESZ@GMAIL.COM</x:v>
      </x:c>
      <x:c r="Y3707" s="22" t="str">
        <x:f>"22 999539402"</x:f>
        <x:v>22 999539402</x:v>
      </x:c>
      <x:c r="Z3707" s="30" t="n">
        <x:v>46431</x:v>
      </x:c>
    </x:row>
    <x:row r="3708" ht="18" customHeight="1">
      <x:c r="A3708" s="22" t="str">
        <x:f>"8524e8d9-41d1-4d7f-8568-017ad1bcb895"</x:f>
        <x:v>8524e8d9-41d1-4d7f-8568-017ad1bcb895</x:v>
      </x:c>
      <x:c r="B3708" s="23" t="str">
        <x:v>VINICIUS CARVALHO DE OLIVEIRA</x:v>
      </x:c>
      <x:c r="C3708" s="23" t="str">
        <x:v>vinicius carvalho de oliveira</x:v>
      </x:c>
      <x:c r="D3708" s="22" t="str">
        <x:f>"52.539.522/0001-60"</x:f>
        <x:v>52.539.522/0001-60</x:v>
      </x:c>
      <x:c r="E3708" s="22" t="str">
        <x:f>"52539522000160"</x:f>
        <x:v>52539522000160</x:v>
      </x:c>
      <x:c r="F3708" s="22" t="str">
        <x:f>"361.976.688-66"</x:f>
        <x:v>361.976.688-66</x:v>
      </x:c>
      <x:c r="G3708" s="22" t="str">
        <x:f>"36197668866"</x:f>
        <x:v>36197668866</x:v>
      </x:c>
      <x:c r="H3708" s="23" t="str">
        <x:v>vo65775@gmail.com</x:v>
      </x:c>
      <x:c r="I3708" s="22" t="str">
        <x:f>"17991648730"</x:f>
        <x:v>17991648730</x:v>
      </x:c>
      <x:c r="J3708" s="23" t="str">
        <x:v>RENTAL</x:v>
      </x:c>
      <x:c r="K3708" s="23" t="str">
        <x:v>rental_company</x:v>
      </x:c>
      <x:c r="L3708" s="24" t="b">
        <x:v>1</x:v>
      </x:c>
      <x:c r="M3708" s="23" t="n">
        <x:v>1</x:v>
      </x:c>
      <x:c r="N3708" s="28" t="n">
        <x:v>46203.921840393516</x:v>
      </x:c>
      <x:c r="O3708" s="28" t="n">
        <x:v>46205.605050798615</x:v>
      </x:c>
      <x:c r="P3708" s="23" t="str">
        <x:v>SÃO JOSE DO RIO PRETO</x:v>
      </x:c>
      <x:c r="Q3708" s="30" t="n">
        <x:v>38045</x:v>
      </x:c>
      <x:c r="R3708" s="22" t="str">
        <x:f>"58078101"</x:f>
        <x:v>58078101</x:v>
      </x:c>
      <x:c r="S3708" s="23" t="str">
        <x:v>Masculino</x:v>
      </x:c>
      <x:c r="T3708" s="22" t="str"/>
      <x:c r="U3708" s="23" t="str">
        <x:v>VINICIUS CARVALHO DE OLIVEIRA</x:v>
      </x:c>
      <x:c r="V3708" s="22" t="str">
        <x:f>"36197668866"</x:f>
        <x:v>36197668866</x:v>
      </x:c>
      <x:c r="W3708" s="22" t="str">
        <x:f>"36197668866"</x:f>
        <x:v>36197668866</x:v>
      </x:c>
      <x:c r="X3708" s="23" t="str">
        <x:v>vo65775@gmail.com</x:v>
      </x:c>
      <x:c r="Y3708" s="22" t="str">
        <x:f>"17991648730"</x:f>
        <x:v>17991648730</x:v>
      </x:c>
      <x:c r="Z3708" s="30" t="n">
        <x:v>46224</x:v>
      </x:c>
    </x:row>
    <x:row r="3709" ht="18" customHeight="1">
      <x:c r="A3709" s="22" t="str">
        <x:f>"4bc38515-4670-4e7c-a3ec-499793e884d8"</x:f>
        <x:v>4bc38515-4670-4e7c-a3ec-499793e884d8</x:v>
      </x:c>
      <x:c r="B3709" s="23" t="str">
        <x:v>VINICIUS CHAGAS DE SOUZA PAIVA</x:v>
      </x:c>
      <x:c r="C3709" s="23" t="str">
        <x:v>vinicius chagas de souza paiva</x:v>
      </x:c>
      <x:c r="D3709" s="22" t="str">
        <x:f>"62.722.105/0001-01"</x:f>
        <x:v>62.722.105/0001-01</x:v>
      </x:c>
      <x:c r="E3709" s="22" t="str">
        <x:f>"62722105000101"</x:f>
        <x:v>62722105000101</x:v>
      </x:c>
      <x:c r="F3709" s="22" t="str">
        <x:f>"147.301.436-04"</x:f>
        <x:v>147.301.436-04</x:v>
      </x:c>
      <x:c r="G3709" s="22" t="str">
        <x:f>"14730143604"</x:f>
        <x:v>14730143604</x:v>
      </x:c>
      <x:c r="H3709" s="23" t="str">
        <x:v>Vini22siuza@gmail.com</x:v>
      </x:c>
      <x:c r="I3709" s="22" t="str">
        <x:f>"35 99211-8940"</x:f>
        <x:v>35 99211-8940</x:v>
      </x:c>
      <x:c r="J3709" s="23" t="str">
        <x:v>SPOT</x:v>
      </x:c>
      <x:c r="K3709" s="23" t="str">
        <x:v>favored_only</x:v>
      </x:c>
      <x:c r="L3709" s="24" t="b">
        <x:v>1</x:v>
      </x:c>
      <x:c r="M3709" s="23" t="n">
        <x:v>1</x:v>
      </x:c>
      <x:c r="N3709" s="28" t="n">
        <x:v>46219.812988715275</x:v>
      </x:c>
      <x:c r="O3709" s="28" t="n">
        <x:v>46219.812988715275</x:v>
      </x:c>
      <x:c r="P3709" s="23" t="str">
        <x:v>GUAXUPE</x:v>
      </x:c>
      <x:c r="Q3709" s="30" t="n">
        <x:v>36425</x:v>
      </x:c>
      <x:c r="R3709" s="22" t="str">
        <x:f>"18065673"</x:f>
        <x:v>18065673</x:v>
      </x:c>
      <x:c r="S3709" s="23" t="str">
        <x:v>masculino</x:v>
      </x:c>
      <x:c r="T3709" s="22" t="str">
        <x:f>"PAY5EE93"</x:f>
        <x:v>PAY5EE93</x:v>
      </x:c>
      <x:c r="U3709" s="23" t="str">
        <x:v>AMANDA DE SOUZA ACIOLI</x:v>
      </x:c>
      <x:c r="V3709" s="22" t="str">
        <x:f>"087.868.466-20"</x:f>
        <x:v>087.868.466-20</x:v>
      </x:c>
      <x:c r="W3709" s="22" t="str">
        <x:f>"08786846620"</x:f>
        <x:v>08786846620</x:v>
      </x:c>
      <x:c r="X3709" s="23" t="str">
        <x:v>amandaacioli321@gmail.com</x:v>
      </x:c>
      <x:c r="Y3709" s="22" t="str">
        <x:f>"35 992687497"</x:f>
        <x:v>35 992687497</x:v>
      </x:c>
      <x:c r="Z3709" s="30" t="n">
        <x:v>46463</x:v>
      </x:c>
    </x:row>
    <x:row r="3710" ht="18" customHeight="1">
      <x:c r="A3710" s="22" t="str">
        <x:f>"274f9e7a-5035-4d17-830a-7ddaf1ead6c9"</x:f>
        <x:v>274f9e7a-5035-4d17-830a-7ddaf1ead6c9</x:v>
      </x:c>
      <x:c r="B3710" s="23" t="str">
        <x:v>VINICIUS CHRISTIAN DE MOURA PINHEIRO</x:v>
      </x:c>
      <x:c r="C3710" s="23" t="str">
        <x:v>vinicius christian de moura pinheiro</x:v>
      </x:c>
      <x:c r="D3710" s="22" t="str">
        <x:f>"59.692.369/0001-55"</x:f>
        <x:v>59.692.369/0001-55</x:v>
      </x:c>
      <x:c r="E3710" s="22" t="str">
        <x:f>"59692369000155"</x:f>
        <x:v>59692369000155</x:v>
      </x:c>
      <x:c r="F3710" s="22" t="str">
        <x:f>"171.500.676-38"</x:f>
        <x:v>171.500.676-38</x:v>
      </x:c>
      <x:c r="G3710" s="22" t="str">
        <x:f>"17150067638"</x:f>
        <x:v>17150067638</x:v>
      </x:c>
      <x:c r="H3710" s="23" t="str">
        <x:v>vinicuschristian157@gmail.com</x:v>
      </x:c>
      <x:c r="I3710" s="22" t="str">
        <x:f>"3399474405"</x:f>
        <x:v>3399474405</x:v>
      </x:c>
      <x:c r="J3710" s="23" t="str">
        <x:v>SPOT</x:v>
      </x:c>
      <x:c r="K3710" s="23" t="str">
        <x:v>favored_only</x:v>
      </x:c>
      <x:c r="L3710" s="24" t="b">
        <x:v>1</x:v>
      </x:c>
      <x:c r="M3710" s="23" t="n">
        <x:v>1</x:v>
      </x:c>
      <x:c r="N3710" s="28" t="n">
        <x:v>46203.921824756944</x:v>
      </x:c>
      <x:c r="O3710" s="28" t="n">
        <x:v>46219.812988715275</x:v>
      </x:c>
      <x:c r="P3710" s="23" t="str">
        <x:v>GUANHAES</x:v>
      </x:c>
      <x:c r="Q3710" s="30" t="n">
        <x:v>37052</x:v>
      </x:c>
      <x:c r="R3710" s="22" t="str">
        <x:f>"22730196"</x:f>
        <x:v>22730196</x:v>
      </x:c>
      <x:c r="S3710" s="23" t="str">
        <x:v>masculino</x:v>
      </x:c>
      <x:c r="T3710" s="22" t="str">
        <x:f>"QNP0H87"</x:f>
        <x:v>QNP0H87</x:v>
      </x:c>
      <x:c r="U3710" s="23" t="str">
        <x:v>VINICIUS CHRISTIAN DE MOURA PINHEIRO</x:v>
      </x:c>
      <x:c r="V3710" s="22" t="str">
        <x:f>"171.500.676-38"</x:f>
        <x:v>171.500.676-38</x:v>
      </x:c>
      <x:c r="W3710" s="22" t="str">
        <x:f>"17150067638"</x:f>
        <x:v>17150067638</x:v>
      </x:c>
      <x:c r="X3710" s="23" t="str">
        <x:v>vinicuschristian157@gmail.com</x:v>
      </x:c>
      <x:c r="Y3710" s="22" t="str">
        <x:f>"3399474405"</x:f>
        <x:v>3399474405</x:v>
      </x:c>
      <x:c r="Z3710" s="30" t="n">
        <x:v>46420</x:v>
      </x:c>
    </x:row>
    <x:row r="3711" ht="18" customHeight="1">
      <x:c r="A3711" s="22" t="str">
        <x:f>"ca5232d1-b489-4620-bbe2-6a39442aa6c6"</x:f>
        <x:v>ca5232d1-b489-4620-bbe2-6a39442aa6c6</x:v>
      </x:c>
      <x:c r="B3711" s="23" t="str">
        <x:v>VINICIUS DA SILVA SANTOS</x:v>
      </x:c>
      <x:c r="C3711" s="23" t="str">
        <x:v>vinicius da silva santos</x:v>
      </x:c>
      <x:c r="D3711" s="22" t="str">
        <x:f>"66.897.344/0001-53"</x:f>
        <x:v>66.897.344/0001-53</x:v>
      </x:c>
      <x:c r="E3711" s="22" t="str">
        <x:f>"66897344000153"</x:f>
        <x:v>66897344000153</x:v>
      </x:c>
      <x:c r="F3711" s="22" t="str">
        <x:f>"435.295.318-04"</x:f>
        <x:v>435.295.318-04</x:v>
      </x:c>
      <x:c r="G3711" s="22" t="str">
        <x:f>"43529531804"</x:f>
        <x:v>43529531804</x:v>
      </x:c>
      <x:c r="H3711" s="23" t="str">
        <x:v>vinicius.s.santos08@gmail.com</x:v>
      </x:c>
      <x:c r="I3711" s="22" t="str">
        <x:f>"(11)91836-9856"</x:f>
        <x:v>(11)91836-9856</x:v>
      </x:c>
      <x:c r="J3711" s="23" t="str">
        <x:v>RENTAL</x:v>
      </x:c>
      <x:c r="K3711" s="23" t="str">
        <x:v>rental_company</x:v>
      </x:c>
      <x:c r="L3711" s="24" t="b">
        <x:v>1</x:v>
      </x:c>
      <x:c r="M3711" s="23" t="n">
        <x:v>1</x:v>
      </x:c>
      <x:c r="N3711" s="28" t="n">
        <x:v>46219.812988715275</x:v>
      </x:c>
      <x:c r="O3711" s="28" t="n">
        <x:v>46219.812988715275</x:v>
      </x:c>
      <x:c r="P3711" s="23" t="str">
        <x:v>BARUERI</x:v>
      </x:c>
      <x:c r="Q3711" s="30" t="n">
        <x:v>35005</x:v>
      </x:c>
      <x:c r="R3711" s="22" t="str">
        <x:f>"43732771"</x:f>
        <x:v>43732771</x:v>
      </x:c>
      <x:c r="S3711" s="23" t="str">
        <x:v>masculino</x:v>
      </x:c>
      <x:c r="T3711" s="22" t="str"/>
      <x:c r="U3711" s="23" t="str">
        <x:v>VINICIUS DA SILVA SANTOS</x:v>
      </x:c>
      <x:c r="V3711" s="22" t="str">
        <x:f>"435.295.318-04"</x:f>
        <x:v>435.295.318-04</x:v>
      </x:c>
      <x:c r="W3711" s="22" t="str">
        <x:f>"43529531804"</x:f>
        <x:v>43529531804</x:v>
      </x:c>
      <x:c r="X3711" s="23" t="str">
        <x:v>vinicius.s.santos08@gmail.com</x:v>
      </x:c>
      <x:c r="Y3711" s="22" t="str">
        <x:f>"(11)91836-9856"</x:f>
        <x:v>(11)91836-9856</x:v>
      </x:c>
      <x:c r="Z3711" s="30" t="n">
        <x:v>46546</x:v>
      </x:c>
    </x:row>
    <x:row r="3712" ht="18" customHeight="1">
      <x:c r="A3712" s="22" t="str">
        <x:f>"dd970a07-9fb8-4681-910f-606ab5014926"</x:f>
        <x:v>dd970a07-9fb8-4681-910f-606ab5014926</x:v>
      </x:c>
      <x:c r="B3712" s="23" t="str">
        <x:v>VINICIUS DE SOUZA VAZ</x:v>
      </x:c>
      <x:c r="C3712" s="23" t="str">
        <x:v>vinicius de souza vaz</x:v>
      </x:c>
      <x:c r="D3712" s="22" t="str">
        <x:f>"64.965.501/0001-95"</x:f>
        <x:v>64.965.501/0001-95</x:v>
      </x:c>
      <x:c r="E3712" s="22" t="str">
        <x:f>"64965501000195"</x:f>
        <x:v>64965501000195</x:v>
      </x:c>
      <x:c r="F3712" s="22" t="str">
        <x:f>"150.473.416-58"</x:f>
        <x:v>150.473.416-58</x:v>
      </x:c>
      <x:c r="G3712" s="22" t="str">
        <x:f>"15047341658"</x:f>
        <x:v>15047341658</x:v>
      </x:c>
      <x:c r="H3712" s="23" t="str">
        <x:v>VINICIUSSOUZAVAZOFICINA@GMAIL.COM</x:v>
      </x:c>
      <x:c r="I3712" s="22" t="str">
        <x:f>"(35) 99884-5325"</x:f>
        <x:v>(35) 99884-5325</x:v>
      </x:c>
      <x:c r="J3712" s="23" t="str">
        <x:v>SPOT</x:v>
      </x:c>
      <x:c r="K3712" s="23" t="str">
        <x:v>favored_only</x:v>
      </x:c>
      <x:c r="L3712" s="24" t="b">
        <x:v>1</x:v>
      </x:c>
      <x:c r="M3712" s="23" t="n">
        <x:v>1</x:v>
      </x:c>
      <x:c r="N3712" s="28" t="n">
        <x:v>46219.812988715275</x:v>
      </x:c>
      <x:c r="O3712" s="28" t="n">
        <x:v>46219.812988715275</x:v>
      </x:c>
      <x:c r="P3712" s="23" t="str">
        <x:v>GUAXUPE</x:v>
      </x:c>
      <x:c r="Q3712" s="30" t="n">
        <x:v>36650</x:v>
      </x:c>
      <x:c r="R3712" s="22" t="str">
        <x:f>"21940154"</x:f>
        <x:v>21940154</x:v>
      </x:c>
      <x:c r="S3712" s="23" t="str">
        <x:v>masculino</x:v>
      </x:c>
      <x:c r="T3712" s="22" t="str">
        <x:f>"OAG2E84"</x:f>
        <x:v>OAG2E84</x:v>
      </x:c>
      <x:c r="U3712" s="23" t="str">
        <x:v>DANIELE CORREA RENILDO</x:v>
      </x:c>
      <x:c r="V3712" s="22" t="str">
        <x:f>"396.668.458-65"</x:f>
        <x:v>396.668.458-65</x:v>
      </x:c>
      <x:c r="W3712" s="22" t="str">
        <x:f>"39666845865"</x:f>
        <x:v>39666845865</x:v>
      </x:c>
      <x:c r="X3712" s="23" t="str">
        <x:v>danielecorrearenildo@gmail.com</x:v>
      </x:c>
      <x:c r="Y3712" s="22" t="str">
        <x:f>"35-998635111"</x:f>
        <x:v>35-998635111</x:v>
      </x:c>
      <x:c r="Z3712" s="30" t="n">
        <x:v>46463</x:v>
      </x:c>
    </x:row>
    <x:row r="3713" ht="18" customHeight="1">
      <x:c r="A3713" s="22" t="str">
        <x:f>"372fae47-5d98-45a8-a459-3d2b80fef680"</x:f>
        <x:v>372fae47-5d98-45a8-a459-3d2b80fef680</x:v>
      </x:c>
      <x:c r="B3713" s="23" t="str">
        <x:v>VINICIUS FERNANDES ALVES</x:v>
      </x:c>
      <x:c r="C3713" s="23" t="str">
        <x:v>vinicius fernandes alves</x:v>
      </x:c>
      <x:c r="D3713" s="22" t="str">
        <x:f>"66.070.659/0001-22"</x:f>
        <x:v>66.070.659/0001-22</x:v>
      </x:c>
      <x:c r="E3713" s="22" t="str">
        <x:f>"66070659000122"</x:f>
        <x:v>66070659000122</x:v>
      </x:c>
      <x:c r="F3713" s="22" t="str">
        <x:f>"091.790.246-70"</x:f>
        <x:v>091.790.246-70</x:v>
      </x:c>
      <x:c r="G3713" s="22" t="str">
        <x:f>"09179024670"</x:f>
        <x:v>09179024670</x:v>
      </x:c>
      <x:c r="H3713" s="23" t="str">
        <x:v>vynycyusfa91@gmail.com</x:v>
      </x:c>
      <x:c r="I3713" s="22" t="str">
        <x:f>"34992312728"</x:f>
        <x:v>34992312728</x:v>
      </x:c>
      <x:c r="J3713" s="23" t="str">
        <x:v>RENTAL</x:v>
      </x:c>
      <x:c r="K3713" s="23" t="str">
        <x:v>rental_company</x:v>
      </x:c>
      <x:c r="L3713" s="24" t="b">
        <x:v>1</x:v>
      </x:c>
      <x:c r="M3713" s="23" t="n">
        <x:v>1</x:v>
      </x:c>
      <x:c r="N3713" s="28" t="n">
        <x:v>46219.812988715275</x:v>
      </x:c>
      <x:c r="O3713" s="28" t="n">
        <x:v>46219.812988715275</x:v>
      </x:c>
      <x:c r="P3713" s="23" t="str">
        <x:v>UBERLANDIA</x:v>
      </x:c>
      <x:c r="Q3713" s="30" t="n">
        <x:v>33456</x:v>
      </x:c>
      <x:c r="R3713" s="22" t="str">
        <x:f>"15922787"</x:f>
        <x:v>15922787</x:v>
      </x:c>
      <x:c r="S3713" s="23" t="str">
        <x:v>masculino</x:v>
      </x:c>
      <x:c r="T3713" s="22" t="str"/>
      <x:c r="U3713" s="23" t="str">
        <x:v>VINICIUS FERNANDES ALVES</x:v>
      </x:c>
      <x:c r="V3713" s="22" t="str">
        <x:f>"091.790.246-70"</x:f>
        <x:v>091.790.246-70</x:v>
      </x:c>
      <x:c r="W3713" s="22" t="str">
        <x:f>"09179024670"</x:f>
        <x:v>09179024670</x:v>
      </x:c>
      <x:c r="X3713" s="23" t="str">
        <x:v>vynycyusfa91@gmail.com</x:v>
      </x:c>
      <x:c r="Y3713" s="22" t="str">
        <x:f>"34992312728"</x:f>
        <x:v>34992312728</x:v>
      </x:c>
      <x:c r="Z3713" s="30" t="n">
        <x:v>46481</x:v>
      </x:c>
    </x:row>
    <x:row r="3714" ht="18" customHeight="1">
      <x:c r="A3714" s="22" t="str">
        <x:f>"af2ef13d-e89b-4055-a8b5-fca23feb7539"</x:f>
        <x:v>af2ef13d-e89b-4055-a8b5-fca23feb7539</x:v>
      </x:c>
      <x:c r="B3714" s="23" t="str">
        <x:v>VINICIUS FRANCISCO MATOS AUGUTINHO</x:v>
      </x:c>
      <x:c r="C3714" s="23" t="str">
        <x:v>vinicius francisco matos augutinho</x:v>
      </x:c>
      <x:c r="D3714" s="22" t="str">
        <x:f>"60840557000162"</x:f>
        <x:v>60840557000162</x:v>
      </x:c>
      <x:c r="E3714" s="22" t="str">
        <x:f>"60840557000162"</x:f>
        <x:v>60840557000162</x:v>
      </x:c>
      <x:c r="F3714" s="22" t="str">
        <x:f>"05861271194"</x:f>
        <x:v>05861271194</x:v>
      </x:c>
      <x:c r="G3714" s="22" t="str">
        <x:f>"05861271194"</x:f>
        <x:v>05861271194</x:v>
      </x:c>
      <x:c r="H3714" s="23" t="str">
        <x:v>franciscofmatos30@gmai.com</x:v>
      </x:c>
      <x:c r="I3714" s="22" t="str">
        <x:f>"65993116585"</x:f>
        <x:v>65993116585</x:v>
      </x:c>
      <x:c r="J3714" s="23" t="str">
        <x:v>SPOT</x:v>
      </x:c>
      <x:c r="K3714" s="23" t="str">
        <x:v>favored_only</x:v>
      </x:c>
      <x:c r="L3714" s="24" t="b">
        <x:v>1</x:v>
      </x:c>
      <x:c r="M3714" s="23" t="n">
        <x:v>2</x:v>
      </x:c>
      <x:c r="N3714" s="28" t="n">
        <x:v>46203.921840393516</x:v>
      </x:c>
      <x:c r="O3714" s="28" t="n">
        <x:v>46203.921840393516</x:v>
      </x:c>
      <x:c r="P3714" s="23" t="str"/>
      <x:c r="Q3714" s="30" t="str"/>
      <x:c r="R3714" s="22" t="str"/>
      <x:c r="S3714" s="23" t="str"/>
      <x:c r="T3714" s="22" t="str"/>
      <x:c r="U3714" s="23" t="str">
        <x:v>VINICIUS FRANCISCO MATOS AUGUTINHO</x:v>
      </x:c>
      <x:c r="V3714" s="22" t="str">
        <x:f>"05861271194"</x:f>
        <x:v>05861271194</x:v>
      </x:c>
      <x:c r="W3714" s="22" t="str">
        <x:f>"05861271194"</x:f>
        <x:v>05861271194</x:v>
      </x:c>
      <x:c r="X3714" s="23" t="str">
        <x:v>franciscofmatos30@gmai.com</x:v>
      </x:c>
      <x:c r="Y3714" s="22" t="str">
        <x:f>"65993116585"</x:f>
        <x:v>65993116585</x:v>
      </x:c>
      <x:c r="Z3714" s="30" t="str"/>
    </x:row>
    <x:row r="3715" ht="18" customHeight="1">
      <x:c r="A3715" s="22" t="str">
        <x:f>"d325469f-0709-4f4a-b213-a4c044056131"</x:f>
        <x:v>d325469f-0709-4f4a-b213-a4c044056131</x:v>
      </x:c>
      <x:c r="B3715" s="23" t="str">
        <x:v>VINICIUS JULIANO CARNAUBA ESPIRITO SANTO</x:v>
      </x:c>
      <x:c r="C3715" s="23" t="str">
        <x:v>vinicius juliano carnauba espirito santo</x:v>
      </x:c>
      <x:c r="D3715" s="22" t="str">
        <x:f>"63.763.104/0001-78"</x:f>
        <x:v>63.763.104/0001-78</x:v>
      </x:c>
      <x:c r="E3715" s="22" t="str">
        <x:f>"63763104000178"</x:f>
        <x:v>63763104000178</x:v>
      </x:c>
      <x:c r="F3715" s="22" t="str">
        <x:f>"184.245.217-73"</x:f>
        <x:v>184.245.217-73</x:v>
      </x:c>
      <x:c r="G3715" s="22" t="str">
        <x:f>"18424521773"</x:f>
        <x:v>18424521773</x:v>
      </x:c>
      <x:c r="H3715" s="23" t="str">
        <x:v>vncarnauba15@gmail.com</x:v>
      </x:c>
      <x:c r="I3715" s="22" t="str">
        <x:f>"21983665966"</x:f>
        <x:v>21983665966</x:v>
      </x:c>
      <x:c r="J3715" s="23" t="str">
        <x:v>SPOT</x:v>
      </x:c>
      <x:c r="K3715" s="23" t="str">
        <x:v>favored_only</x:v>
      </x:c>
      <x:c r="L3715" s="24" t="b">
        <x:v>1</x:v>
      </x:c>
      <x:c r="M3715" s="23" t="n">
        <x:v>1</x:v>
      </x:c>
      <x:c r="N3715" s="28" t="n">
        <x:v>46203.92189965278</x:v>
      </x:c>
      <x:c r="O3715" s="28" t="n">
        <x:v>46219.812988715275</x:v>
      </x:c>
      <x:c r="P3715" s="23" t="str">
        <x:v>CORDOVIL</x:v>
      </x:c>
      <x:c r="Q3715" s="30" t="n">
        <x:v>37195</x:v>
      </x:c>
      <x:c r="R3715" s="22" t="str">
        <x:f>"290739150"</x:f>
        <x:v>290739150</x:v>
      </x:c>
      <x:c r="S3715" s="23" t="str">
        <x:v>masculino</x:v>
      </x:c>
      <x:c r="T3715" s="22" t="str">
        <x:f>"KXJ4G65"</x:f>
        <x:v>KXJ4G65</x:v>
      </x:c>
      <x:c r="U3715" s="23" t="str">
        <x:v>VINICIUS JULIANO CARNAUBA ESPIRITO SANTO</x:v>
      </x:c>
      <x:c r="V3715" s="22" t="str">
        <x:f>"184.245.217-73"</x:f>
        <x:v>184.245.217-73</x:v>
      </x:c>
      <x:c r="W3715" s="22" t="str">
        <x:f>"18424521773"</x:f>
        <x:v>18424521773</x:v>
      </x:c>
      <x:c r="X3715" s="23" t="str">
        <x:v>vncarnauba15@gmail.com</x:v>
      </x:c>
      <x:c r="Y3715" s="22" t="str">
        <x:f>"21983665966"</x:f>
        <x:v>21983665966</x:v>
      </x:c>
      <x:c r="Z3715" s="30" t="n">
        <x:v>46350</x:v>
      </x:c>
    </x:row>
    <x:row r="3716" ht="18" customHeight="1">
      <x:c r="A3716" s="22" t="str">
        <x:f>"3bd47029-cd24-4ddf-9c00-ab7fb5f59c75"</x:f>
        <x:v>3bd47029-cd24-4ddf-9c00-ab7fb5f59c75</x:v>
      </x:c>
      <x:c r="B3716" s="23" t="str">
        <x:v>VINICIUS LUCAS PEREIRA</x:v>
      </x:c>
      <x:c r="C3716" s="23" t="str">
        <x:v>vinicius lucas pereira</x:v>
      </x:c>
      <x:c r="D3716" s="22" t="str">
        <x:f>"64.297.900/0001-25"</x:f>
        <x:v>64.297.900/0001-25</x:v>
      </x:c>
      <x:c r="E3716" s="22" t="str">
        <x:f>"64297900000125"</x:f>
        <x:v>64297900000125</x:v>
      </x:c>
      <x:c r="F3716" s="22" t="str">
        <x:f>"059.144.801-75"</x:f>
        <x:v>059.144.801-75</x:v>
      </x:c>
      <x:c r="G3716" s="22" t="str">
        <x:f>"05914480175"</x:f>
        <x:v>05914480175</x:v>
      </x:c>
      <x:c r="H3716" s="23" t="str">
        <x:v>vinicius.fechado@gmail.com</x:v>
      </x:c>
      <x:c r="I3716" s="22" t="str">
        <x:f>"34 9808-5971"</x:f>
        <x:v>34 9808-5971</x:v>
      </x:c>
      <x:c r="J3716" s="23" t="str">
        <x:v>SPOT</x:v>
      </x:c>
      <x:c r="K3716" s="23" t="str">
        <x:v>favored_only</x:v>
      </x:c>
      <x:c r="L3716" s="24" t="b">
        <x:v>1</x:v>
      </x:c>
      <x:c r="M3716" s="23" t="n">
        <x:v>1</x:v>
      </x:c>
      <x:c r="N3716" s="28" t="n">
        <x:v>46203.9219084375</x:v>
      </x:c>
      <x:c r="O3716" s="28" t="n">
        <x:v>46219.812988715275</x:v>
      </x:c>
      <x:c r="P3716" s="23" t="str">
        <x:v>PATOS DE MINAS</x:v>
      </x:c>
      <x:c r="Q3716" s="30" t="n">
        <x:v>34961</x:v>
      </x:c>
      <x:c r="R3716" s="22" t="str">
        <x:f>"1262224"</x:f>
        <x:v>1262224</x:v>
      </x:c>
      <x:c r="S3716" s="23" t="str">
        <x:v>masculino</x:v>
      </x:c>
      <x:c r="T3716" s="22" t="str">
        <x:f>"JJC9B73"</x:f>
        <x:v>JJC9B73</x:v>
      </x:c>
      <x:c r="U3716" s="23" t="str">
        <x:v>VINICIUS LUCAS PEREIRA</x:v>
      </x:c>
      <x:c r="V3716" s="22" t="str">
        <x:f>"059.144.801-75"</x:f>
        <x:v>059.144.801-75</x:v>
      </x:c>
      <x:c r="W3716" s="22" t="str">
        <x:f>"05914480175"</x:f>
        <x:v>05914480175</x:v>
      </x:c>
      <x:c r="X3716" s="23" t="str">
        <x:v>vinicius.fechado@gmail.com</x:v>
      </x:c>
      <x:c r="Y3716" s="22" t="str">
        <x:f>"34 9808-5971"</x:f>
        <x:v>34 9808-5971</x:v>
      </x:c>
      <x:c r="Z3716" s="30" t="n">
        <x:v>46399</x:v>
      </x:c>
    </x:row>
    <x:row r="3717" ht="18" customHeight="1">
      <x:c r="A3717" s="22" t="str">
        <x:f>"fef3fd6d-9e4a-4006-b51e-4f33d3510875"</x:f>
        <x:v>fef3fd6d-9e4a-4006-b51e-4f33d3510875</x:v>
      </x:c>
      <x:c r="B3717" s="23" t="str">
        <x:v>VINICIUS LUCHON</x:v>
      </x:c>
      <x:c r="C3717" s="23" t="str">
        <x:v>vinicius luchon</x:v>
      </x:c>
      <x:c r="D3717" s="22" t="str">
        <x:f>"62.579.475/0001-31"</x:f>
        <x:v>62.579.475/0001-31</x:v>
      </x:c>
      <x:c r="E3717" s="22" t="str">
        <x:f>"62579475000131"</x:f>
        <x:v>62579475000131</x:v>
      </x:c>
      <x:c r="F3717" s="22" t="str">
        <x:f>"553.565.168-76"</x:f>
        <x:v>553.565.168-76</x:v>
      </x:c>
      <x:c r="G3717" s="22" t="str">
        <x:f>"55356516876"</x:f>
        <x:v>55356516876</x:v>
      </x:c>
      <x:c r="H3717" s="23" t="str">
        <x:v>vini.luchon9@gmail.com</x:v>
      </x:c>
      <x:c r="I3717" s="22" t="str">
        <x:f>"(16)99768-0747"</x:f>
        <x:v>(16)99768-0747</x:v>
      </x:c>
      <x:c r="J3717" s="23" t="str">
        <x:v>SPOT</x:v>
      </x:c>
      <x:c r="K3717" s="23" t="str">
        <x:v>favored_only</x:v>
      </x:c>
      <x:c r="L3717" s="24" t="b">
        <x:v>1</x:v>
      </x:c>
      <x:c r="M3717" s="23" t="n">
        <x:v>2</x:v>
      </x:c>
      <x:c r="N3717" s="28" t="n">
        <x:v>46203.92186888889</x:v>
      </x:c>
      <x:c r="O3717" s="28" t="n">
        <x:v>46203.92186888889</x:v>
      </x:c>
      <x:c r="P3717" s="23" t="str"/>
      <x:c r="Q3717" s="30" t="str"/>
      <x:c r="R3717" s="22" t="str"/>
      <x:c r="S3717" s="23" t="str"/>
      <x:c r="T3717" s="22" t="str"/>
      <x:c r="U3717" s="23" t="str">
        <x:v>VINICIUS LUCHON</x:v>
      </x:c>
      <x:c r="V3717" s="22" t="str">
        <x:f>"533.565.168-76"</x:f>
        <x:v>533.565.168-76</x:v>
      </x:c>
      <x:c r="W3717" s="22" t="str">
        <x:f>"53356516876"</x:f>
        <x:v>53356516876</x:v>
      </x:c>
      <x:c r="X3717" s="23" t="str">
        <x:v>vini.luchon9@gmail.com</x:v>
      </x:c>
      <x:c r="Y3717" s="22" t="str">
        <x:f>"(16)99768-0747"</x:f>
        <x:v>(16)99768-0747</x:v>
      </x:c>
      <x:c r="Z3717" s="30" t="str"/>
    </x:row>
    <x:row r="3718" ht="18" customHeight="1">
      <x:c r="A3718" s="22" t="str">
        <x:f>"9cad9e80-3aab-4a94-9db9-34295531cdcd"</x:f>
        <x:v>9cad9e80-3aab-4a94-9db9-34295531cdcd</x:v>
      </x:c>
      <x:c r="B3718" s="23" t="str">
        <x:v>VINICIUS MARCILIO SOARES</x:v>
      </x:c>
      <x:c r="C3718" s="23" t="str">
        <x:v>vinicius marcilio soares</x:v>
      </x:c>
      <x:c r="D3718" s="22" t="str">
        <x:f>"37.624.531/0001-65"</x:f>
        <x:v>37.624.531/0001-65</x:v>
      </x:c>
      <x:c r="E3718" s="22" t="str">
        <x:f>"37624531000165"</x:f>
        <x:v>37624531000165</x:v>
      </x:c>
      <x:c r="F3718" s="22" t="str">
        <x:f>"511.952.958-55"</x:f>
        <x:v>511.952.958-55</x:v>
      </x:c>
      <x:c r="G3718" s="22" t="str">
        <x:f>"51195295855"</x:f>
        <x:v>51195295855</x:v>
      </x:c>
      <x:c r="H3718" s="23" t="str">
        <x:v>vinicius.marcilio11@gmail.com</x:v>
      </x:c>
      <x:c r="I3718" s="22" t="str">
        <x:f>"18.99810-7837"</x:f>
        <x:v>18.99810-7837</x:v>
      </x:c>
      <x:c r="J3718" s="23" t="str">
        <x:v>SPOT</x:v>
      </x:c>
      <x:c r="K3718" s="23" t="str">
        <x:v>favored_only</x:v>
      </x:c>
      <x:c r="L3718" s="24" t="b">
        <x:v>1</x:v>
      </x:c>
      <x:c r="M3718" s="23" t="n">
        <x:v>1</x:v>
      </x:c>
      <x:c r="N3718" s="28" t="n">
        <x:v>46219.812988715275</x:v>
      </x:c>
      <x:c r="O3718" s="28" t="n">
        <x:v>46219.812988715275</x:v>
      </x:c>
      <x:c r="P3718" s="23" t="str">
        <x:v>ARAÇATUBA</x:v>
      </x:c>
      <x:c r="Q3718" s="30" t="n">
        <x:v>36903</x:v>
      </x:c>
      <x:c r="R3718" s="22" t="str">
        <x:f>"39006993"</x:f>
        <x:v>39006993</x:v>
      </x:c>
      <x:c r="S3718" s="23" t="str">
        <x:v>masculino</x:v>
      </x:c>
      <x:c r="T3718" s="22" t="str">
        <x:f>"FQU2C01"</x:f>
        <x:v>FQU2C01</x:v>
      </x:c>
      <x:c r="U3718" s="23" t="str">
        <x:v>RM TRANSPORTES E PRESTACAO DE SERVICOS</x:v>
      </x:c>
      <x:c r="V3718" s="22" t="str">
        <x:f>"901.012.430-49"</x:f>
        <x:v>901.012.430-49</x:v>
      </x:c>
      <x:c r="W3718" s="22" t="str">
        <x:f>"90101243049"</x:f>
        <x:v>90101243049</x:v>
      </x:c>
      <x:c r="X3718" s="23" t="str">
        <x:v>oldairmatos73@gmail.com</x:v>
      </x:c>
      <x:c r="Y3718" s="22" t="str">
        <x:f>"67-996.224877"</x:f>
        <x:v>67-996.224877</x:v>
      </x:c>
      <x:c r="Z3718" s="30" t="n">
        <x:v>46556</x:v>
      </x:c>
    </x:row>
    <x:row r="3719" ht="18" customHeight="1">
      <x:c r="A3719" s="22" t="str">
        <x:f>"1c3f0c9e-62cf-4899-848c-43186cfe078e"</x:f>
        <x:v>1c3f0c9e-62cf-4899-848c-43186cfe078e</x:v>
      </x:c>
      <x:c r="B3719" s="23" t="str">
        <x:v>VINICIUS MARTINS DE SOUZA</x:v>
      </x:c>
      <x:c r="C3719" s="23" t="str">
        <x:v>vinicius martins de souza</x:v>
      </x:c>
      <x:c r="D3719" s="22" t="str">
        <x:f>"66.809.367/0001-69"</x:f>
        <x:v>66.809.367/0001-69</x:v>
      </x:c>
      <x:c r="E3719" s="22" t="str">
        <x:f>"66809367000169"</x:f>
        <x:v>66809367000169</x:v>
      </x:c>
      <x:c r="F3719" s="22" t="str">
        <x:f>"491.938.718-05"</x:f>
        <x:v>491.938.718-05</x:v>
      </x:c>
      <x:c r="G3719" s="22" t="str">
        <x:f>"49193871805"</x:f>
        <x:v>49193871805</x:v>
      </x:c>
      <x:c r="H3719" s="23" t="str">
        <x:v>Viniciuusmaert@gmail.com</x:v>
      </x:c>
      <x:c r="I3719" s="22" t="str">
        <x:f>"16994066972"</x:f>
        <x:v>16994066972</x:v>
      </x:c>
      <x:c r="J3719" s="23" t="str">
        <x:v>RENTAL</x:v>
      </x:c>
      <x:c r="K3719" s="23" t="str">
        <x:v>rental_company</x:v>
      </x:c>
      <x:c r="L3719" s="24" t="b">
        <x:v>1</x:v>
      </x:c>
      <x:c r="M3719" s="23" t="n">
        <x:v>1</x:v>
      </x:c>
      <x:c r="N3719" s="28" t="n">
        <x:v>46219.812988715275</x:v>
      </x:c>
      <x:c r="O3719" s="28" t="n">
        <x:v>46219.812988715275</x:v>
      </x:c>
      <x:c r="P3719" s="23" t="str">
        <x:v>RIBEIRAO PRETO</x:v>
      </x:c>
      <x:c r="Q3719" s="30" t="n">
        <x:v>37594</x:v>
      </x:c>
      <x:c r="R3719" s="22" t="str">
        <x:f>"5960887"</x:f>
        <x:v>5960887</x:v>
      </x:c>
      <x:c r="S3719" s="23" t="str">
        <x:v>masculino</x:v>
      </x:c>
      <x:c r="T3719" s="22" t="str"/>
      <x:c r="U3719" s="23" t="str">
        <x:v>VINICIUS MARTINS DE SOUZA</x:v>
      </x:c>
      <x:c r="V3719" s="22" t="str">
        <x:f>"491.938.718-05"</x:f>
        <x:v>491.938.718-05</x:v>
      </x:c>
      <x:c r="W3719" s="22" t="str">
        <x:f>"49193871805"</x:f>
        <x:v>49193871805</x:v>
      </x:c>
      <x:c r="X3719" s="23" t="str">
        <x:v>Viniciuusmaert@gmail.com</x:v>
      </x:c>
      <x:c r="Y3719" s="22" t="str">
        <x:f>"16994066972"</x:f>
        <x:v>16994066972</x:v>
      </x:c>
      <x:c r="Z3719" s="30" t="n">
        <x:v>46555</x:v>
      </x:c>
    </x:row>
    <x:row r="3720" ht="18" customHeight="1">
      <x:c r="A3720" s="22" t="str">
        <x:f>"d328f82e-8e83-476a-87c1-846917c41744"</x:f>
        <x:v>d328f82e-8e83-476a-87c1-846917c41744</x:v>
      </x:c>
      <x:c r="B3720" s="23" t="str">
        <x:v>VINICIUS MEDEIROS MAIA</x:v>
      </x:c>
      <x:c r="C3720" s="23" t="str">
        <x:v>vinicius medeiros maia</x:v>
      </x:c>
      <x:c r="D3720" s="22" t="str">
        <x:f>"54.588.446/0001-08"</x:f>
        <x:v>54.588.446/0001-08</x:v>
      </x:c>
      <x:c r="E3720" s="22" t="str">
        <x:f>"54588446000108"</x:f>
        <x:v>54588446000108</x:v>
      </x:c>
      <x:c r="F3720" s="22" t="str">
        <x:f>"701.655.741-35"</x:f>
        <x:v>701.655.741-35</x:v>
      </x:c>
      <x:c r="G3720" s="22" t="str">
        <x:f>"70165574135"</x:f>
        <x:v>70165574135</x:v>
      </x:c>
      <x:c r="H3720" s="23" t="str">
        <x:v>vinnymaia210397@gmail.com</x:v>
      </x:c>
      <x:c r="I3720" s="22" t="str">
        <x:f>"11 97886-6196"</x:f>
        <x:v>11 97886-6196</x:v>
      </x:c>
      <x:c r="J3720" s="23" t="str">
        <x:v>SPOT</x:v>
      </x:c>
      <x:c r="K3720" s="23" t="str">
        <x:v>favored_only</x:v>
      </x:c>
      <x:c r="L3720" s="24" t="b">
        <x:v>1</x:v>
      </x:c>
      <x:c r="M3720" s="23" t="n">
        <x:v>2</x:v>
      </x:c>
      <x:c r="N3720" s="28" t="n">
        <x:v>46205.606912118055</x:v>
      </x:c>
      <x:c r="O3720" s="28" t="n">
        <x:v>46219.812988715275</x:v>
      </x:c>
      <x:c r="P3720" s="23" t="str">
        <x:v>PRESIDENTE PRUDENTE</x:v>
      </x:c>
      <x:c r="Q3720" s="30" t="n">
        <x:v>35510</x:v>
      </x:c>
      <x:c r="R3720" s="22" t="str">
        <x:f>"5621501 PC GO"</x:f>
        <x:v>5621501 PC GO</x:v>
      </x:c>
      <x:c r="S3720" s="23" t="str">
        <x:v>masculino</x:v>
      </x:c>
      <x:c r="T3720" s="22" t="str">
        <x:f>"AVM4F39"</x:f>
        <x:v>AVM4F39</x:v>
      </x:c>
      <x:c r="U3720" s="23" t="str">
        <x:v>ERICK SIQUEIRA BARBOSA</x:v>
      </x:c>
      <x:c r="V3720" s="22" t="str">
        <x:f>"434.250.778-13"</x:f>
        <x:v>434.250.778-13</x:v>
      </x:c>
      <x:c r="W3720" s="22" t="str">
        <x:f>"43425077813"</x:f>
        <x:v>43425077813</x:v>
      </x:c>
      <x:c r="X3720" s="23" t="str">
        <x:v>siqueiraconsultormoda@gmail.com</x:v>
      </x:c>
      <x:c r="Y3720" s="22" t="str">
        <x:f>"18 997705320"</x:f>
        <x:v>18 997705320</x:v>
      </x:c>
      <x:c r="Z3720" s="30" t="n">
        <x:v>46448</x:v>
      </x:c>
    </x:row>
    <x:row r="3721" ht="18" customHeight="1">
      <x:c r="A3721" s="22" t="str">
        <x:f>"ef936f68-f2ef-4ce8-acee-943a7ddfb6dd"</x:f>
        <x:v>ef936f68-f2ef-4ce8-acee-943a7ddfb6dd</x:v>
      </x:c>
      <x:c r="B3721" s="23" t="str">
        <x:v>VINICIUS MENDES ARAUJO</x:v>
      </x:c>
      <x:c r="C3721" s="23" t="str">
        <x:v>vinicius mendes araujo</x:v>
      </x:c>
      <x:c r="D3721" s="22" t="str">
        <x:f>"60.367.045/0001-20"</x:f>
        <x:v>60.367.045/0001-20</x:v>
      </x:c>
      <x:c r="E3721" s="22" t="str">
        <x:f>"60367045000120"</x:f>
        <x:v>60367045000120</x:v>
      </x:c>
      <x:c r="F3721" s="22" t="str">
        <x:f>"703.903.601-04"</x:f>
        <x:v>703.903.601-04</x:v>
      </x:c>
      <x:c r="G3721" s="22" t="str">
        <x:f>"70390360104"</x:f>
        <x:v>70390360104</x:v>
      </x:c>
      <x:c r="H3721" s="23" t="str">
        <x:v>viniciusmendesarauj.1@gmail.com</x:v>
      </x:c>
      <x:c r="I3721" s="22" t="str">
        <x:f>"62985744238"</x:f>
        <x:v>62985744238</x:v>
      </x:c>
      <x:c r="J3721" s="23" t="str">
        <x:v>RENTAL</x:v>
      </x:c>
      <x:c r="K3721" s="23" t="str">
        <x:v>rental_company</x:v>
      </x:c>
      <x:c r="L3721" s="24" t="b">
        <x:v>1</x:v>
      </x:c>
      <x:c r="M3721" s="23" t="n">
        <x:v>1</x:v>
      </x:c>
      <x:c r="N3721" s="28" t="n">
        <x:v>46203.92189965278</x:v>
      </x:c>
      <x:c r="O3721" s="28" t="n">
        <x:v>46219.812988715275</x:v>
      </x:c>
      <x:c r="P3721" s="23" t="str">
        <x:v>GOIANIA</x:v>
      </x:c>
      <x:c r="Q3721" s="30" t="n">
        <x:v>36164</x:v>
      </x:c>
      <x:c r="R3721" s="22" t="str">
        <x:f>"6622328"</x:f>
        <x:v>6622328</x:v>
      </x:c>
      <x:c r="S3721" s="23" t="str">
        <x:v>masculino</x:v>
      </x:c>
      <x:c r="T3721" s="22" t="str"/>
      <x:c r="U3721" s="23" t="str">
        <x:v>VINICIUS MENDES ARAUJO</x:v>
      </x:c>
      <x:c r="V3721" s="22" t="str">
        <x:f>"703.903.601-04"</x:f>
        <x:v>703.903.601-04</x:v>
      </x:c>
      <x:c r="W3721" s="22" t="str">
        <x:f>"70390360104"</x:f>
        <x:v>70390360104</x:v>
      </x:c>
      <x:c r="X3721" s="23" t="str">
        <x:v>viniciusmendesarauj.1@gmail.com</x:v>
      </x:c>
      <x:c r="Y3721" s="22" t="str">
        <x:f>"62985744238"</x:f>
        <x:v>62985744238</x:v>
      </x:c>
      <x:c r="Z3721" s="30" t="n">
        <x:v>46357</x:v>
      </x:c>
    </x:row>
    <x:row r="3722" ht="18" customHeight="1">
      <x:c r="A3722" s="22" t="str">
        <x:f>"2b6cae36-471e-4c8e-9a95-5239480e0cef"</x:f>
        <x:v>2b6cae36-471e-4c8e-9a95-5239480e0cef</x:v>
      </x:c>
      <x:c r="B3722" s="23" t="str">
        <x:v>VINICIUS NUNES MOURA</x:v>
      </x:c>
      <x:c r="C3722" s="23" t="str">
        <x:v>vinicius nunes moura</x:v>
      </x:c>
      <x:c r="D3722" s="22" t="str">
        <x:f>"55.783.923/0001-59"</x:f>
        <x:v>55.783.923/0001-59</x:v>
      </x:c>
      <x:c r="E3722" s="22" t="str">
        <x:f>"55783923000159"</x:f>
        <x:v>55783923000159</x:v>
      </x:c>
      <x:c r="F3722" s="22" t="str">
        <x:f>"052.081.011-22"</x:f>
        <x:v>052.081.011-22</x:v>
      </x:c>
      <x:c r="G3722" s="22" t="str">
        <x:f>"05208101122"</x:f>
        <x:v>05208101122</x:v>
      </x:c>
      <x:c r="H3722" s="23" t="str">
        <x:v>viniciusnnsmoura@gmail.com</x:v>
      </x:c>
      <x:c r="I3722" s="22" t="str">
        <x:f>"65999332367"</x:f>
        <x:v>65999332367</x:v>
      </x:c>
      <x:c r="J3722" s="23" t="str">
        <x:v>SPOT</x:v>
      </x:c>
      <x:c r="K3722" s="23" t="str">
        <x:v>favored_only</x:v>
      </x:c>
      <x:c r="L3722" s="24" t="b">
        <x:v>1</x:v>
      </x:c>
      <x:c r="M3722" s="23" t="n">
        <x:v>1</x:v>
      </x:c>
      <x:c r="N3722" s="28" t="n">
        <x:v>46205.60670092593</x:v>
      </x:c>
      <x:c r="O3722" s="28" t="n">
        <x:v>46219.812988715275</x:v>
      </x:c>
      <x:c r="P3722" s="23" t="str">
        <x:v>CÁCERES</x:v>
      </x:c>
      <x:c r="Q3722" s="30" t="n">
        <x:v>34982</x:v>
      </x:c>
      <x:c r="R3722" s="22" t="str">
        <x:f>"25346822"</x:f>
        <x:v>25346822</x:v>
      </x:c>
      <x:c r="S3722" s="23" t="str">
        <x:v>masculino</x:v>
      </x:c>
      <x:c r="T3722" s="22" t="str">
        <x:f>"OBE6774"</x:f>
        <x:v>OBE6774</x:v>
      </x:c>
      <x:c r="U3722" s="23" t="str">
        <x:v>CAIQUE HENRIQUE DA CRUZ</x:v>
      </x:c>
      <x:c r="V3722" s="22" t="str">
        <x:f>"058.062.901-58"</x:f>
        <x:v>058.062.901-58</x:v>
      </x:c>
      <x:c r="W3722" s="22" t="str">
        <x:f>"05806290158"</x:f>
        <x:v>05806290158</x:v>
      </x:c>
      <x:c r="X3722" s="23" t="str">
        <x:v>caiquehenrique112@gmail.com</x:v>
      </x:c>
      <x:c r="Y3722" s="22" t="str">
        <x:f>"65981695365"</x:f>
        <x:v>65981695365</x:v>
      </x:c>
      <x:c r="Z3722" s="30" t="n">
        <x:v>46371</x:v>
      </x:c>
    </x:row>
    <x:row r="3723" ht="18" customHeight="1">
      <x:c r="A3723" s="22" t="str">
        <x:f>"5337e478-9d7c-4f90-9e1e-ff4ce0b14aab"</x:f>
        <x:v>5337e478-9d7c-4f90-9e1e-ff4ce0b14aab</x:v>
      </x:c>
      <x:c r="B3723" s="23" t="str">
        <x:v>Vinicius Pereira Tizzio</x:v>
      </x:c>
      <x:c r="C3723" s="23" t="str">
        <x:v>vinicius pereira tizzio</x:v>
      </x:c>
      <x:c r="D3723" s="22" t="str">
        <x:f>"49.288.652/0001-62"</x:f>
        <x:v>49.288.652/0001-62</x:v>
      </x:c>
      <x:c r="E3723" s="22" t="str">
        <x:f>"49288652000162"</x:f>
        <x:v>49288652000162</x:v>
      </x:c>
      <x:c r="F3723" s="22" t="str">
        <x:f>"48778676860"</x:f>
        <x:v>48778676860</x:v>
      </x:c>
      <x:c r="G3723" s="22" t="str">
        <x:f>"48778676860"</x:f>
        <x:v>48778676860</x:v>
      </x:c>
      <x:c r="H3723" s="23" t="str">
        <x:v>Vinicius.tizzio@gmail.com</x:v>
      </x:c>
      <x:c r="I3723" s="22" t="str">
        <x:f>"11993276004"</x:f>
        <x:v>11993276004</x:v>
      </x:c>
      <x:c r="J3723" s="23" t="str">
        <x:v>SPOT</x:v>
      </x:c>
      <x:c r="K3723" s="23" t="str">
        <x:v>favored_only</x:v>
      </x:c>
      <x:c r="L3723" s="24" t="b">
        <x:v>1</x:v>
      </x:c>
      <x:c r="M3723" s="23" t="n">
        <x:v>2</x:v>
      </x:c>
      <x:c r="N3723" s="28" t="n">
        <x:v>46203.92186462963</x:v>
      </x:c>
      <x:c r="O3723" s="28" t="n">
        <x:v>46203.92186462963</x:v>
      </x:c>
      <x:c r="P3723" s="23" t="str"/>
      <x:c r="Q3723" s="30" t="str"/>
      <x:c r="R3723" s="22" t="str"/>
      <x:c r="S3723" s="23" t="str"/>
      <x:c r="T3723" s="22" t="str"/>
      <x:c r="U3723" s="23" t="str">
        <x:v>Vinicius Pereira Tizzio</x:v>
      </x:c>
      <x:c r="V3723" s="22" t="str">
        <x:f>"48778676860"</x:f>
        <x:v>48778676860</x:v>
      </x:c>
      <x:c r="W3723" s="22" t="str">
        <x:f>"48778676860"</x:f>
        <x:v>48778676860</x:v>
      </x:c>
      <x:c r="X3723" s="23" t="str">
        <x:v>vinicius.tizzio@gmail.com</x:v>
      </x:c>
      <x:c r="Y3723" s="22" t="str">
        <x:f>"11993276004"</x:f>
        <x:v>11993276004</x:v>
      </x:c>
      <x:c r="Z3723" s="30" t="str"/>
    </x:row>
    <x:row r="3724" ht="18" customHeight="1">
      <x:c r="A3724" s="22" t="str">
        <x:f>"c0cbc47d-f81e-4a88-81eb-058164fe11b9"</x:f>
        <x:v>c0cbc47d-f81e-4a88-81eb-058164fe11b9</x:v>
      </x:c>
      <x:c r="B3724" s="23" t="str">
        <x:v>VINICIUS RIBEIRO SACRAMENTO</x:v>
      </x:c>
      <x:c r="C3724" s="23" t="str">
        <x:v>vinicius ribeiro sacramento</x:v>
      </x:c>
      <x:c r="D3724" s="22" t="str">
        <x:f>"57.684.950/0001-08"</x:f>
        <x:v>57.684.950/0001-08</x:v>
      </x:c>
      <x:c r="E3724" s="22" t="str">
        <x:f>"57684950000108"</x:f>
        <x:v>57684950000108</x:v>
      </x:c>
      <x:c r="F3724" s="22" t="str">
        <x:f>"059.233.531-30"</x:f>
        <x:v>059.233.531-30</x:v>
      </x:c>
      <x:c r="G3724" s="22" t="str">
        <x:f>"05923353130"</x:f>
        <x:v>05923353130</x:v>
      </x:c>
      <x:c r="H3724" s="23" t="str">
        <x:v>viniciusribeirovrs30.03@gmail.com</x:v>
      </x:c>
      <x:c r="I3724" s="22" t="str">
        <x:f>"65993599225"</x:f>
        <x:v>65993599225</x:v>
      </x:c>
      <x:c r="J3724" s="23" t="str">
        <x:v>SPOT</x:v>
      </x:c>
      <x:c r="K3724" s="23" t="str">
        <x:v>favored_only</x:v>
      </x:c>
      <x:c r="L3724" s="24" t="b">
        <x:v>1</x:v>
      </x:c>
      <x:c r="M3724" s="23" t="n">
        <x:v>1</x:v>
      </x:c>
      <x:c r="N3724" s="28" t="n">
        <x:v>46219.812988715275</x:v>
      </x:c>
      <x:c r="O3724" s="28" t="n">
        <x:v>46219.812988715275</x:v>
      </x:c>
      <x:c r="P3724" s="23" t="str">
        <x:v>CUIABA</x:v>
      </x:c>
      <x:c r="Q3724" s="30" t="n">
        <x:v>35129</x:v>
      </x:c>
      <x:c r="R3724" s="22" t="str">
        <x:f>"26778777"</x:f>
        <x:v>26778777</x:v>
      </x:c>
      <x:c r="S3724" s="23" t="str">
        <x:v>masculino</x:v>
      </x:c>
      <x:c r="T3724" s="22" t="str">
        <x:f>"RTU6D04"</x:f>
        <x:v>RTU6D04</x:v>
      </x:c>
      <x:c r="U3724" s="23" t="str">
        <x:v>THIAGO JUNIOR MEDEIROS RIBEIRO</x:v>
      </x:c>
      <x:c r="V3724" s="22" t="str">
        <x:f>"081.891.721-07"</x:f>
        <x:v>081.891.721-07</x:v>
      </x:c>
      <x:c r="W3724" s="22" t="str">
        <x:f>"08189172107"</x:f>
        <x:v>08189172107</x:v>
      </x:c>
      <x:c r="X3724" s="23" t="str">
        <x:v>thiagocba1000@gmail.com</x:v>
      </x:c>
      <x:c r="Y3724" s="22" t="str">
        <x:f>"65993005648"</x:f>
        <x:v>65993005648</x:v>
      </x:c>
      <x:c r="Z3724" s="30" t="n">
        <x:v>46522</x:v>
      </x:c>
    </x:row>
    <x:row r="3725" ht="18" customHeight="1">
      <x:c r="A3725" s="22" t="str">
        <x:f>"c7b5dee6-e6f1-4c1b-b08a-ecdf25c2afd3"</x:f>
        <x:v>c7b5dee6-e6f1-4c1b-b08a-ecdf25c2afd3</x:v>
      </x:c>
      <x:c r="B3725" s="23" t="str">
        <x:v>VINICIUS RIBEIRO SACRAMENTO</x:v>
      </x:c>
      <x:c r="C3725" s="23" t="str">
        <x:v>vinicius ribeiro sacramento</x:v>
      </x:c>
      <x:c r="D3725" s="22" t="str">
        <x:f>"44.843.292/0001-08"</x:f>
        <x:v>44.843.292/0001-08</x:v>
      </x:c>
      <x:c r="E3725" s="22" t="str">
        <x:f>"44843292000108"</x:f>
        <x:v>44843292000108</x:v>
      </x:c>
      <x:c r="F3725" s="22" t="str">
        <x:f>"059.233.531-30"</x:f>
        <x:v>059.233.531-30</x:v>
      </x:c>
      <x:c r="G3725" s="22" t="str">
        <x:f>"05923353130"</x:f>
        <x:v>05923353130</x:v>
      </x:c>
      <x:c r="H3725" s="23" t="str">
        <x:v>iniciusribeirovrs30.03@gmail.com</x:v>
      </x:c>
      <x:c r="I3725" s="22" t="str">
        <x:f>"65993599225"</x:f>
        <x:v>65993599225</x:v>
      </x:c>
      <x:c r="J3725" s="23" t="str">
        <x:v>RENTAL</x:v>
      </x:c>
      <x:c r="K3725" s="23" t="str">
        <x:v>rental_company</x:v>
      </x:c>
      <x:c r="L3725" s="24" t="b">
        <x:v>1</x:v>
      </x:c>
      <x:c r="M3725" s="23" t="n">
        <x:v>1</x:v>
      </x:c>
      <x:c r="N3725" s="28" t="n">
        <x:v>46219.812988715275</x:v>
      </x:c>
      <x:c r="O3725" s="28" t="n">
        <x:v>46219.812988715275</x:v>
      </x:c>
      <x:c r="P3725" s="23" t="str">
        <x:v>CUIABA</x:v>
      </x:c>
      <x:c r="Q3725" s="30" t="n">
        <x:v>35129</x:v>
      </x:c>
      <x:c r="R3725" s="22" t="str">
        <x:f>"26778777"</x:f>
        <x:v>26778777</x:v>
      </x:c>
      <x:c r="S3725" s="23" t="str">
        <x:v>masculino</x:v>
      </x:c>
      <x:c r="T3725" s="22" t="str"/>
      <x:c r="U3725" s="23" t="str">
        <x:v>VINICIUS RIBEIRO SACRAMENTO</x:v>
      </x:c>
      <x:c r="V3725" s="22" t="str">
        <x:f>"059.233.531-30"</x:f>
        <x:v>059.233.531-30</x:v>
      </x:c>
      <x:c r="W3725" s="22" t="str">
        <x:f>"05923353130"</x:f>
        <x:v>05923353130</x:v>
      </x:c>
      <x:c r="X3725" s="23" t="str">
        <x:v>iniciusribeirovrs30.03@gmail.com</x:v>
      </x:c>
      <x:c r="Y3725" s="22" t="str">
        <x:f>"65993599225"</x:f>
        <x:v>65993599225</x:v>
      </x:c>
      <x:c r="Z3725" s="30" t="n">
        <x:v>46540</x:v>
      </x:c>
    </x:row>
    <x:row r="3726" ht="18" customHeight="1">
      <x:c r="A3726" s="22" t="str">
        <x:f>"8268ea66-224c-4c62-be0d-0f7b97fb13a0"</x:f>
        <x:v>8268ea66-224c-4c62-be0d-0f7b97fb13a0</x:v>
      </x:c>
      <x:c r="B3726" s="23" t="str">
        <x:v>VINICIUS ROBERTO BRITO</x:v>
      </x:c>
      <x:c r="C3726" s="23" t="str">
        <x:v>vinicius roberto brito</x:v>
      </x:c>
      <x:c r="D3726" s="22" t="str">
        <x:f>"63.539.065/0001-20"</x:f>
        <x:v>63.539.065/0001-20</x:v>
      </x:c>
      <x:c r="E3726" s="22" t="str">
        <x:f>"63539065000120"</x:f>
        <x:v>63539065000120</x:v>
      </x:c>
      <x:c r="F3726" s="22" t="str">
        <x:f>"148.512.746-70"</x:f>
        <x:v>148.512.746-70</x:v>
      </x:c>
      <x:c r="G3726" s="22" t="str">
        <x:f>"14851274670"</x:f>
        <x:v>14851274670</x:v>
      </x:c>
      <x:c r="H3726" s="23" t="str">
        <x:v>viniciusbrito777@gmail.com</x:v>
      </x:c>
      <x:c r="I3726" s="22" t="str">
        <x:f>"(35) 99826-2725"</x:f>
        <x:v>(35) 99826-2725</x:v>
      </x:c>
      <x:c r="J3726" s="23" t="str">
        <x:v>SPOT</x:v>
      </x:c>
      <x:c r="K3726" s="23" t="str">
        <x:v>favored_only</x:v>
      </x:c>
      <x:c r="L3726" s="24" t="b">
        <x:v>1</x:v>
      </x:c>
      <x:c r="M3726" s="23" t="n">
        <x:v>1</x:v>
      </x:c>
      <x:c r="N3726" s="28" t="n">
        <x:v>46203.921887453704</x:v>
      </x:c>
      <x:c r="O3726" s="28" t="n">
        <x:v>46219.812988715275</x:v>
      </x:c>
      <x:c r="P3726" s="23" t="str">
        <x:v>POUSO ALEGRE</x:v>
      </x:c>
      <x:c r="Q3726" s="30" t="n">
        <x:v>36667</x:v>
      </x:c>
      <x:c r="R3726" s="22" t="str">
        <x:f>"MG21281848 SSP MG"</x:f>
        <x:v>MG21281848 SSP MG</x:v>
      </x:c>
      <x:c r="S3726" s="23" t="str">
        <x:v>masculino</x:v>
      </x:c>
      <x:c r="T3726" s="22" t="str">
        <x:f>"PXV0B77"</x:f>
        <x:v>PXV0B77</x:v>
      </x:c>
      <x:c r="U3726" s="23" t="str">
        <x:v>VINICIUS ROBERTO BRITO</x:v>
      </x:c>
      <x:c r="V3726" s="22" t="str">
        <x:f>"148.512.746-70"</x:f>
        <x:v>148.512.746-70</x:v>
      </x:c>
      <x:c r="W3726" s="22" t="str">
        <x:f>"14851274670"</x:f>
        <x:v>14851274670</x:v>
      </x:c>
      <x:c r="X3726" s="23" t="str">
        <x:v>viniciusbrito777@gmail.com</x:v>
      </x:c>
      <x:c r="Y3726" s="22" t="str">
        <x:f>"(35) 99826-2725"</x:f>
        <x:v>(35) 99826-2725</x:v>
      </x:c>
      <x:c r="Z3726" s="30" t="n">
        <x:v>46332</x:v>
      </x:c>
    </x:row>
    <x:row r="3727" ht="18" customHeight="1">
      <x:c r="A3727" s="22" t="str">
        <x:f>"3376fb3f-367c-437e-94c8-8aefdc82f498"</x:f>
        <x:v>3376fb3f-367c-437e-94c8-8aefdc82f498</x:v>
      </x:c>
      <x:c r="B3727" s="23" t="str">
        <x:v>VINICIUS SANTOS AFONSO</x:v>
      </x:c>
      <x:c r="C3727" s="23" t="str">
        <x:v>vinicius santos afonso</x:v>
      </x:c>
      <x:c r="D3727" s="22" t="str">
        <x:f>"50.331.331/0001-82"</x:f>
        <x:v>50.331.331/0001-82</x:v>
      </x:c>
      <x:c r="E3727" s="22" t="str">
        <x:f>"50331331000182"</x:f>
        <x:v>50331331000182</x:v>
      </x:c>
      <x:c r="F3727" s="22" t="str">
        <x:f>"126.547.476-11"</x:f>
        <x:v>126.547.476-11</x:v>
      </x:c>
      <x:c r="G3727" s="22" t="str">
        <x:f>"12654747611"</x:f>
        <x:v>12654747611</x:v>
      </x:c>
      <x:c r="H3727" s="23" t="str">
        <x:v>viniciussantos2320@gmail.com</x:v>
      </x:c>
      <x:c r="I3727" s="22" t="str">
        <x:f>"34998375603"</x:f>
        <x:v>34998375603</x:v>
      </x:c>
      <x:c r="J3727" s="23" t="str">
        <x:v>SPOT</x:v>
      </x:c>
      <x:c r="K3727" s="23" t="str">
        <x:v>favored_only</x:v>
      </x:c>
      <x:c r="L3727" s="24" t="b">
        <x:v>1</x:v>
      </x:c>
      <x:c r="M3727" s="23" t="n">
        <x:v>1</x:v>
      </x:c>
      <x:c r="N3727" s="28" t="n">
        <x:v>46219.812988715275</x:v>
      </x:c>
      <x:c r="O3727" s="28" t="n">
        <x:v>46219.812988715275</x:v>
      </x:c>
      <x:c r="P3727" s="23" t="str">
        <x:v>ARAXÁ</x:v>
      </x:c>
      <x:c r="Q3727" s="30" t="n">
        <x:v>35295</x:v>
      </x:c>
      <x:c r="R3727" s="22" t="str">
        <x:f>"MG19345952"</x:f>
        <x:v>MG19345952</x:v>
      </x:c>
      <x:c r="S3727" s="23" t="str">
        <x:v>masculino</x:v>
      </x:c>
      <x:c r="T3727" s="22" t="str">
        <x:f>"OXK6I64"</x:f>
        <x:v>OXK6I64</x:v>
      </x:c>
      <x:c r="U3727" s="23" t="str">
        <x:v>MARCO ANTONIO FERREIRA</x:v>
      </x:c>
      <x:c r="V3727" s="22" t="str">
        <x:f>"755.356.376-53"</x:f>
        <x:v>755.356.376-53</x:v>
      </x:c>
      <x:c r="W3727" s="22" t="str">
        <x:f>"75535637653"</x:f>
        <x:v>75535637653</x:v>
      </x:c>
      <x:c r="X3727" s="23" t="str">
        <x:v>marcoantoniooferr@gmail.com</x:v>
      </x:c>
      <x:c r="Y3727" s="22" t="str">
        <x:f>"34988411877"</x:f>
        <x:v>34988411877</x:v>
      </x:c>
      <x:c r="Z3727" s="30" t="n">
        <x:v>46420</x:v>
      </x:c>
    </x:row>
    <x:row r="3728" ht="18" customHeight="1">
      <x:c r="A3728" s="22" t="str">
        <x:f>"698be811-1013-4904-b0f1-cd475bc535df"</x:f>
        <x:v>698be811-1013-4904-b0f1-cd475bc535df</x:v>
      </x:c>
      <x:c r="B3728" s="23" t="str">
        <x:v>VINICIUS SAVAL ARDIVINO</x:v>
      </x:c>
      <x:c r="C3728" s="23" t="str">
        <x:v>vinicius saval ardivino</x:v>
      </x:c>
      <x:c r="D3728" s="22" t="str">
        <x:f>"62.396.027/0001-00"</x:f>
        <x:v>62.396.027/0001-00</x:v>
      </x:c>
      <x:c r="E3728" s="22" t="str">
        <x:f>"62396027000100"</x:f>
        <x:v>62396027000100</x:v>
      </x:c>
      <x:c r="F3728" s="22" t="str">
        <x:f>"404.066.568-60"</x:f>
        <x:v>404.066.568-60</x:v>
      </x:c>
      <x:c r="G3728" s="22" t="str">
        <x:f>"40406656860"</x:f>
        <x:v>40406656860</x:v>
      </x:c>
      <x:c r="H3728" s="23" t="str">
        <x:v>viniciussavalardivino@gmail.com</x:v>
      </x:c>
      <x:c r="I3728" s="22" t="str">
        <x:f>"18981472807"</x:f>
        <x:v>18981472807</x:v>
      </x:c>
      <x:c r="J3728" s="23" t="str">
        <x:v>SPOT</x:v>
      </x:c>
      <x:c r="K3728" s="23" t="str">
        <x:v>favored_only</x:v>
      </x:c>
      <x:c r="L3728" s="24" t="b">
        <x:v>1</x:v>
      </x:c>
      <x:c r="M3728" s="23" t="n">
        <x:v>1</x:v>
      </x:c>
      <x:c r="N3728" s="28" t="n">
        <x:v>46203.921858726855</x:v>
      </x:c>
      <x:c r="O3728" s="28" t="n">
        <x:v>46219.812988715275</x:v>
      </x:c>
      <x:c r="P3728" s="23" t="str">
        <x:v>PRESIDENTE PRUDENTE</x:v>
      </x:c>
      <x:c r="Q3728" s="30" t="n">
        <x:v>33354</x:v>
      </x:c>
      <x:c r="R3728" s="22" t="str">
        <x:f>"47576023"</x:f>
        <x:v>47576023</x:v>
      </x:c>
      <x:c r="S3728" s="23" t="str">
        <x:v>masculino</x:v>
      </x:c>
      <x:c r="T3728" s="22" t="str">
        <x:f>"KWE4D95"</x:f>
        <x:v>KWE4D95</x:v>
      </x:c>
      <x:c r="U3728" s="23" t="str">
        <x:v>VINICIUS SAVAL ARDIVINO</x:v>
      </x:c>
      <x:c r="V3728" s="22" t="str">
        <x:f>"404.066.568-60"</x:f>
        <x:v>404.066.568-60</x:v>
      </x:c>
      <x:c r="W3728" s="22" t="str">
        <x:f>"40406656860"</x:f>
        <x:v>40406656860</x:v>
      </x:c>
      <x:c r="X3728" s="23" t="str">
        <x:v>viniciussavalardivino@gmail.com</x:v>
      </x:c>
      <x:c r="Y3728" s="22" t="str">
        <x:f>"18981472807"</x:f>
        <x:v>18981472807</x:v>
      </x:c>
      <x:c r="Z3728" s="30" t="n">
        <x:v>46268</x:v>
      </x:c>
    </x:row>
    <x:row r="3729" ht="18" customHeight="1">
      <x:c r="A3729" s="22" t="str">
        <x:f>"4b9732b2-a00f-4620-8b0f-ffa5f444ce1e"</x:f>
        <x:v>4b9732b2-a00f-4620-8b0f-ffa5f444ce1e</x:v>
      </x:c>
      <x:c r="B3729" s="23" t="str">
        <x:v>VINICIUS SILVA MACHADO</x:v>
      </x:c>
      <x:c r="C3729" s="23" t="str">
        <x:v>vinicius silva machado</x:v>
      </x:c>
      <x:c r="D3729" s="22" t="str">
        <x:f>"65.092.569/0001-70"</x:f>
        <x:v>65.092.569/0001-70</x:v>
      </x:c>
      <x:c r="E3729" s="22" t="str">
        <x:f>"65092569000170"</x:f>
        <x:v>65092569000170</x:v>
      </x:c>
      <x:c r="F3729" s="22" t="str">
        <x:f>"035.059.496-12"</x:f>
        <x:v>035.059.496-12</x:v>
      </x:c>
      <x:c r="G3729" s="22" t="str">
        <x:f>"03505949612"</x:f>
        <x:v>03505949612</x:v>
      </x:c>
      <x:c r="H3729" s="23" t="str">
        <x:v>mrmexpressmg@gmail.com</x:v>
      </x:c>
      <x:c r="I3729" s="22" t="str">
        <x:f>"(31) 98508-8379"</x:f>
        <x:v>(31) 98508-8379</x:v>
      </x:c>
      <x:c r="J3729" s="23" t="str">
        <x:v>SPOP</x:v>
      </x:c>
      <x:c r="K3729" s="23" t="str">
        <x:v>favored_only</x:v>
      </x:c>
      <x:c r="L3729" s="24" t="b">
        <x:v>1</x:v>
      </x:c>
      <x:c r="M3729" s="23" t="n">
        <x:v>1</x:v>
      </x:c>
      <x:c r="N3729" s="28" t="n">
        <x:v>46219.812988715275</x:v>
      </x:c>
      <x:c r="O3729" s="28" t="n">
        <x:v>46219.812988715275</x:v>
      </x:c>
      <x:c r="P3729" s="23" t="str">
        <x:v>IPATINGA</x:v>
      </x:c>
      <x:c r="Q3729" s="30" t="n">
        <x:v>27824</x:v>
      </x:c>
      <x:c r="R3729" s="22" t="str">
        <x:f>"MG8188833"</x:f>
        <x:v>MG8188833</x:v>
      </x:c>
      <x:c r="S3729" s="23" t="str">
        <x:v>masculino</x:v>
      </x:c>
      <x:c r="T3729" s="22" t="str">
        <x:f>"PUD8G31"</x:f>
        <x:v>PUD8G31</x:v>
      </x:c>
      <x:c r="U3729" s="23" t="str">
        <x:v>VINICIUS SILVA MACHADO</x:v>
      </x:c>
      <x:c r="V3729" s="22" t="str">
        <x:f>"035.059.496-12"</x:f>
        <x:v>035.059.496-12</x:v>
      </x:c>
      <x:c r="W3729" s="22" t="str">
        <x:f>"03505949612"</x:f>
        <x:v>03505949612</x:v>
      </x:c>
      <x:c r="X3729" s="23" t="str">
        <x:v>mrmexpressmg@gmail.com</x:v>
      </x:c>
      <x:c r="Y3729" s="22" t="str">
        <x:f>"(31) 98508-8379"</x:f>
        <x:v>(31) 98508-8379</x:v>
      </x:c>
      <x:c r="Z3729" s="30" t="n">
        <x:v>46471</x:v>
      </x:c>
    </x:row>
    <x:row r="3730" ht="18" customHeight="1">
      <x:c r="A3730" s="22" t="str">
        <x:f>"4b8780cf-9ab6-41ef-813a-286d3733d45d"</x:f>
        <x:v>4b8780cf-9ab6-41ef-813a-286d3733d45d</x:v>
      </x:c>
      <x:c r="B3730" s="23" t="str">
        <x:v>VINICIUS SILVA SANTOS</x:v>
      </x:c>
      <x:c r="C3730" s="23" t="str">
        <x:v>vinicius silva santos</x:v>
      </x:c>
      <x:c r="D3730" s="22" t="str">
        <x:f>"61.310.269/0001-69"</x:f>
        <x:v>61.310.269/0001-69</x:v>
      </x:c>
      <x:c r="E3730" s="22" t="str">
        <x:f>"61310269000169"</x:f>
        <x:v>61310269000169</x:v>
      </x:c>
      <x:c r="F3730" s="22" t="str">
        <x:f>"152.555.667-30"</x:f>
        <x:v>152.555.667-30</x:v>
      </x:c>
      <x:c r="G3730" s="22" t="str">
        <x:f>"15255566730"</x:f>
        <x:v>15255566730</x:v>
      </x:c>
      <x:c r="H3730" s="23" t="str">
        <x:v>vinnysorte@gmail.com</x:v>
      </x:c>
      <x:c r="I3730" s="22" t="str">
        <x:f>"21974405498"</x:f>
        <x:v>21974405498</x:v>
      </x:c>
      <x:c r="J3730" s="23" t="str">
        <x:v>SPOT</x:v>
      </x:c>
      <x:c r="K3730" s="23" t="str">
        <x:v>favored_only</x:v>
      </x:c>
      <x:c r="L3730" s="24" t="b">
        <x:v>1</x:v>
      </x:c>
      <x:c r="M3730" s="23" t="n">
        <x:v>1</x:v>
      </x:c>
      <x:c r="N3730" s="28" t="n">
        <x:v>46203.92189349537</x:v>
      </x:c>
      <x:c r="O3730" s="28" t="n">
        <x:v>46219.812988715275</x:v>
      </x:c>
      <x:c r="P3730" s="23" t="str">
        <x:v>QUEIMADOS</x:v>
      </x:c>
      <x:c r="Q3730" s="30" t="n">
        <x:v>32975</x:v>
      </x:c>
      <x:c r="R3730" s="22" t="str">
        <x:f>"222683385"</x:f>
        <x:v>222683385</x:v>
      </x:c>
      <x:c r="S3730" s="23" t="str">
        <x:v>masculino</x:v>
      </x:c>
      <x:c r="T3730" s="22" t="str">
        <x:f>"LMA8570"</x:f>
        <x:v>LMA8570</x:v>
      </x:c>
      <x:c r="U3730" s="23" t="str">
        <x:v>VINICIUS SILVA SANTOS</x:v>
      </x:c>
      <x:c r="V3730" s="22" t="str">
        <x:f>"152.555.667-30"</x:f>
        <x:v>152.555.667-30</x:v>
      </x:c>
      <x:c r="W3730" s="22" t="str">
        <x:f>"15255566730"</x:f>
        <x:v>15255566730</x:v>
      </x:c>
      <x:c r="X3730" s="23" t="str">
        <x:v>vinnysorte@gmail.com</x:v>
      </x:c>
      <x:c r="Y3730" s="22" t="str">
        <x:f>"21974405498"</x:f>
        <x:v>21974405498</x:v>
      </x:c>
      <x:c r="Z3730" s="30" t="n">
        <x:v>46343</x:v>
      </x:c>
    </x:row>
    <x:row r="3731" ht="18" customHeight="1">
      <x:c r="A3731" s="22" t="str">
        <x:f>"b8758285-884b-4b93-981e-6829c1a185a9"</x:f>
        <x:v>b8758285-884b-4b93-981e-6829c1a185a9</x:v>
      </x:c>
      <x:c r="B3731" s="23" t="str">
        <x:v>VINICIUS TAVARES SILVA</x:v>
      </x:c>
      <x:c r="C3731" s="23" t="str">
        <x:v>vinicius tavares silva</x:v>
      </x:c>
      <x:c r="D3731" s="22" t="str">
        <x:f>"30.647.744/0001-63"</x:f>
        <x:v>30.647.744/0001-63</x:v>
      </x:c>
      <x:c r="E3731" s="22" t="str">
        <x:f>"30647744000163"</x:f>
        <x:v>30647744000163</x:v>
      </x:c>
      <x:c r="F3731" s="22" t="str">
        <x:f>"080.266.257-90"</x:f>
        <x:v>080.266.257-90</x:v>
      </x:c>
      <x:c r="G3731" s="22" t="str">
        <x:f>"08026625790"</x:f>
        <x:v>08026625790</x:v>
      </x:c>
      <x:c r="H3731" s="23" t="str">
        <x:v>vinipaula2011@gmail.com</x:v>
      </x:c>
      <x:c r="I3731" s="22" t="str">
        <x:f>"21982846282"</x:f>
        <x:v>21982846282</x:v>
      </x:c>
      <x:c r="J3731" s="23" t="str">
        <x:v>SPOT</x:v>
      </x:c>
      <x:c r="K3731" s="23" t="str">
        <x:v>favored_only</x:v>
      </x:c>
      <x:c r="L3731" s="24" t="b">
        <x:v>1</x:v>
      </x:c>
      <x:c r="M3731" s="23" t="n">
        <x:v>1</x:v>
      </x:c>
      <x:c r="N3731" s="28" t="n">
        <x:v>46205.60610965278</x:v>
      </x:c>
      <x:c r="O3731" s="28" t="n">
        <x:v>46219.812988715275</x:v>
      </x:c>
      <x:c r="P3731" s="23" t="str">
        <x:v>CAMPO GRANDE</x:v>
      </x:c>
      <x:c r="Q3731" s="30" t="n">
        <x:v>30784</x:v>
      </x:c>
      <x:c r="R3731" s="22" t="str">
        <x:f>"200870350"</x:f>
        <x:v>200870350</x:v>
      </x:c>
      <x:c r="S3731" s="23" t="str">
        <x:v>masculino</x:v>
      </x:c>
      <x:c r="T3731" s="22" t="str">
        <x:f>"QMR4H61"</x:f>
        <x:v>QMR4H61</x:v>
      </x:c>
      <x:c r="U3731" s="23" t="str">
        <x:v>ANA PAULA DE OLIVEIRA TARANTO</x:v>
      </x:c>
      <x:c r="V3731" s="22" t="str">
        <x:f>"080.266.257-90"</x:f>
        <x:v>080.266.257-90</x:v>
      </x:c>
      <x:c r="W3731" s="22" t="str">
        <x:f>"08026625790"</x:f>
        <x:v>08026625790</x:v>
      </x:c>
      <x:c r="X3731" s="23" t="str">
        <x:v>vinipaula2011@gmail.com</x:v>
      </x:c>
      <x:c r="Y3731" s="22" t="str">
        <x:f>"21982846282"</x:f>
        <x:v>21982846282</x:v>
      </x:c>
      <x:c r="Z3731" s="30" t="n">
        <x:v>46343</x:v>
      </x:c>
    </x:row>
    <x:row r="3732" ht="18" customHeight="1">
      <x:c r="A3732" s="22" t="str">
        <x:f>"7b93722a-6e9b-4735-ad3d-5b403cc4f33c"</x:f>
        <x:v>7b93722a-6e9b-4735-ad3d-5b403cc4f33c</x:v>
      </x:c>
      <x:c r="B3732" s="23" t="str">
        <x:v>VITOR AFONSO PEREIRA</x:v>
      </x:c>
      <x:c r="C3732" s="23" t="str">
        <x:v>vitor afonso pereira</x:v>
      </x:c>
      <x:c r="D3732" s="22" t="str">
        <x:f>"63.141.327/0001-01"</x:f>
        <x:v>63.141.327/0001-01</x:v>
      </x:c>
      <x:c r="E3732" s="22" t="str">
        <x:f>"63141327000101"</x:f>
        <x:v>63141327000101</x:v>
      </x:c>
      <x:c r="F3732" s="22" t="str">
        <x:f>"121.444.766-08"</x:f>
        <x:v>121.444.766-08</x:v>
      </x:c>
      <x:c r="G3732" s="22" t="str">
        <x:f>"12144476608"</x:f>
        <x:v>12144476608</x:v>
      </x:c>
      <x:c r="H3732" s="23" t="str">
        <x:v>afonsovitor623@gmail.com</x:v>
      </x:c>
      <x:c r="I3732" s="22" t="str">
        <x:f>"34998430526"</x:f>
        <x:v>34998430526</x:v>
      </x:c>
      <x:c r="J3732" s="23" t="str">
        <x:v>SPOT</x:v>
      </x:c>
      <x:c r="K3732" s="23" t="str">
        <x:v>favored_only</x:v>
      </x:c>
      <x:c r="L3732" s="24" t="b">
        <x:v>1</x:v>
      </x:c>
      <x:c r="M3732" s="23" t="n">
        <x:v>1</x:v>
      </x:c>
      <x:c r="N3732" s="28" t="n">
        <x:v>46219.812988715275</x:v>
      </x:c>
      <x:c r="O3732" s="28" t="n">
        <x:v>46219.812988715275</x:v>
      </x:c>
      <x:c r="P3732" s="23" t="str">
        <x:v>PATOS DE MINAS</x:v>
      </x:c>
      <x:c r="Q3732" s="30" t="n">
        <x:v>36148</x:v>
      </x:c>
      <x:c r="R3732" s="22" t="str">
        <x:f>"MG18522411"</x:f>
        <x:v>MG18522411</x:v>
      </x:c>
      <x:c r="S3732" s="23" t="str">
        <x:v>masculino</x:v>
      </x:c>
      <x:c r="T3732" s="22" t="str">
        <x:f>"UIV8A47"</x:f>
        <x:v>UIV8A47</x:v>
      </x:c>
      <x:c r="U3732" s="23" t="str">
        <x:v>CRISTHIAN PABLO PEREIRA FERREIRA</x:v>
      </x:c>
      <x:c r="V3732" s="22" t="str">
        <x:f>"114.507.436-76"</x:f>
        <x:v>114.507.436-76</x:v>
      </x:c>
      <x:c r="W3732" s="22" t="str">
        <x:f>"11450743676"</x:f>
        <x:v>11450743676</x:v>
      </x:c>
      <x:c r="X3732" s="23" t="str">
        <x:v>cristhian.pablo@hotmail.com</x:v>
      </x:c>
      <x:c r="Y3732" s="22" t="str">
        <x:f>"3484258665"</x:f>
        <x:v>3484258665</x:v>
      </x:c>
      <x:c r="Z3732" s="30" t="n">
        <x:v>46507</x:v>
      </x:c>
    </x:row>
    <x:row r="3733" ht="18" customHeight="1">
      <x:c r="A3733" s="22" t="str">
        <x:f>"04cedbee-ccbf-4458-887e-b85beba59d69"</x:f>
        <x:v>04cedbee-ccbf-4458-887e-b85beba59d69</x:v>
      </x:c>
      <x:c r="B3733" s="23" t="str">
        <x:v>VITOR ANDRE BAPTISTA</x:v>
      </x:c>
      <x:c r="C3733" s="23" t="str">
        <x:v>vitor andre baptista</x:v>
      </x:c>
      <x:c r="D3733" s="22" t="str">
        <x:f>"62.644.338/0001-33"</x:f>
        <x:v>62.644.338/0001-33</x:v>
      </x:c>
      <x:c r="E3733" s="22" t="str">
        <x:f>"62644338000133"</x:f>
        <x:v>62644338000133</x:v>
      </x:c>
      <x:c r="F3733" s="22" t="str">
        <x:f>"445.840.948-45"</x:f>
        <x:v>445.840.948-45</x:v>
      </x:c>
      <x:c r="G3733" s="22" t="str">
        <x:f>"44584094845"</x:f>
        <x:v>44584094845</x:v>
      </x:c>
      <x:c r="H3733" s="23" t="str">
        <x:v>Vitor.baptista@ufu.br</x:v>
      </x:c>
      <x:c r="I3733" s="22" t="str">
        <x:f>"16997735274"</x:f>
        <x:v>16997735274</x:v>
      </x:c>
      <x:c r="J3733" s="23" t="str">
        <x:v>RENTAL</x:v>
      </x:c>
      <x:c r="K3733" s="23" t="str">
        <x:v>rental_company</x:v>
      </x:c>
      <x:c r="L3733" s="24" t="b">
        <x:v>1</x:v>
      </x:c>
      <x:c r="M3733" s="23" t="n">
        <x:v>1</x:v>
      </x:c>
      <x:c r="N3733" s="28" t="n">
        <x:v>46219.812988715275</x:v>
      </x:c>
      <x:c r="O3733" s="28" t="n">
        <x:v>46219.812988715275</x:v>
      </x:c>
      <x:c r="P3733" s="23" t="str">
        <x:v>SÃO CARLOS</x:v>
      </x:c>
      <x:c r="Q3733" s="30" t="n">
        <x:v>36891</x:v>
      </x:c>
      <x:c r="R3733" s="22" t="str">
        <x:f>"538975310"</x:f>
        <x:v>538975310</x:v>
      </x:c>
      <x:c r="S3733" s="23" t="str">
        <x:v>masculino</x:v>
      </x:c>
      <x:c r="T3733" s="22" t="str"/>
      <x:c r="U3733" s="23" t="str">
        <x:v>VITOR ANDRE BAPTISTA</x:v>
      </x:c>
      <x:c r="V3733" s="22" t="str">
        <x:f>"445.840.948-45"</x:f>
        <x:v>445.840.948-45</x:v>
      </x:c>
      <x:c r="W3733" s="22" t="str">
        <x:f>"44584094845"</x:f>
        <x:v>44584094845</x:v>
      </x:c>
      <x:c r="X3733" s="23" t="str">
        <x:v>Vitor.baptista@ufu.br</x:v>
      </x:c>
      <x:c r="Y3733" s="22" t="str">
        <x:f>"16997735274"</x:f>
        <x:v>16997735274</x:v>
      </x:c>
      <x:c r="Z3733" s="30" t="n">
        <x:v>46576</x:v>
      </x:c>
    </x:row>
    <x:row r="3734" ht="18" customHeight="1">
      <x:c r="A3734" s="22" t="str">
        <x:f>"141d09db-c018-42a7-8c9d-b45654a264dd"</x:f>
        <x:v>141d09db-c018-42a7-8c9d-b45654a264dd</x:v>
      </x:c>
      <x:c r="B3734" s="23" t="str">
        <x:v>VITOR COSME MONTEIRO PEREIRA</x:v>
      </x:c>
      <x:c r="C3734" s="23" t="str">
        <x:v>vitor cosme monteiro pereira</x:v>
      </x:c>
      <x:c r="D3734" s="22" t="str">
        <x:f>"41.675.013/0001-48"</x:f>
        <x:v>41.675.013/0001-48</x:v>
      </x:c>
      <x:c r="E3734" s="22" t="str">
        <x:f>"41675013000148"</x:f>
        <x:v>41675013000148</x:v>
      </x:c>
      <x:c r="F3734" s="22" t="str">
        <x:f>"123.818.937-76"</x:f>
        <x:v>123.818.937-76</x:v>
      </x:c>
      <x:c r="G3734" s="22" t="str">
        <x:f>"12381893776"</x:f>
        <x:v>12381893776</x:v>
      </x:c>
      <x:c r="H3734" s="23" t="str">
        <x:v>vitorcosme00@gmail.com</x:v>
      </x:c>
      <x:c r="I3734" s="22" t="str">
        <x:f>"22 999121543"</x:f>
        <x:v>22 999121543</x:v>
      </x:c>
      <x:c r="J3734" s="23" t="str">
        <x:v>RENTAL</x:v>
      </x:c>
      <x:c r="K3734" s="23" t="str">
        <x:v>rental_company</x:v>
      </x:c>
      <x:c r="L3734" s="24" t="b">
        <x:v>1</x:v>
      </x:c>
      <x:c r="M3734" s="23" t="n">
        <x:v>1</x:v>
      </x:c>
      <x:c r="N3734" s="28" t="n">
        <x:v>46203.92189349537</x:v>
      </x:c>
      <x:c r="O3734" s="28" t="n">
        <x:v>46219.812988715275</x:v>
      </x:c>
      <x:c r="P3734" s="23" t="str">
        <x:v>CAMPOS DOS GOYTACAZES</x:v>
      </x:c>
      <x:c r="Q3734" s="30" t="n">
        <x:v>31856</x:v>
      </x:c>
      <x:c r="R3734" s="22" t="str">
        <x:f>"21488459"</x:f>
        <x:v>21488459</x:v>
      </x:c>
      <x:c r="S3734" s="23" t="str">
        <x:v>masculino</x:v>
      </x:c>
      <x:c r="T3734" s="22" t="str"/>
      <x:c r="U3734" s="23" t="str">
        <x:v>VITOR COSME MONTEIRO PEREIRA</x:v>
      </x:c>
      <x:c r="V3734" s="22" t="str">
        <x:f>"123.818.937-76"</x:f>
        <x:v>123.818.937-76</x:v>
      </x:c>
      <x:c r="W3734" s="22" t="str">
        <x:f>"12381893776"</x:f>
        <x:v>12381893776</x:v>
      </x:c>
      <x:c r="X3734" s="23" t="str">
        <x:v>vitorcosme00@gmail.com</x:v>
      </x:c>
      <x:c r="Y3734" s="22" t="str">
        <x:f>"22 999121543"</x:f>
        <x:v>22 999121543</x:v>
      </x:c>
      <x:c r="Z3734" s="30" t="n">
        <x:v>46336</x:v>
      </x:c>
    </x:row>
    <x:row r="3735" ht="18" customHeight="1">
      <x:c r="A3735" s="22" t="str">
        <x:f>"a047dd9d-26e3-4a58-ab98-ef3f6963ee9f"</x:f>
        <x:v>a047dd9d-26e3-4a58-ab98-ef3f6963ee9f</x:v>
      </x:c>
      <x:c r="B3735" s="23" t="str">
        <x:v>VITOR DA SILVA COSTA</x:v>
      </x:c>
      <x:c r="C3735" s="23" t="str">
        <x:v>vitor da silva costa</x:v>
      </x:c>
      <x:c r="D3735" s="22" t="str">
        <x:f>"45.131.499/0001-04"</x:f>
        <x:v>45.131.499/0001-04</x:v>
      </x:c>
      <x:c r="E3735" s="22" t="str">
        <x:f>"45131499000104"</x:f>
        <x:v>45131499000104</x:v>
      </x:c>
      <x:c r="F3735" s="22" t="str">
        <x:f>"153.924.206-48"</x:f>
        <x:v>153.924.206-48</x:v>
      </x:c>
      <x:c r="G3735" s="22" t="str">
        <x:f>"15392420648"</x:f>
        <x:v>15392420648</x:v>
      </x:c>
      <x:c r="H3735" s="23" t="str">
        <x:v>vitorcosta0226@yahoo.com</x:v>
      </x:c>
      <x:c r="I3735" s="22" t="str">
        <x:f>"+55 31 9198-6000"</x:f>
        <x:v>+55 31 9198-6000</x:v>
      </x:c>
      <x:c r="J3735" s="23" t="str">
        <x:v>SPOT</x:v>
      </x:c>
      <x:c r="K3735" s="23" t="str">
        <x:v>favored_only</x:v>
      </x:c>
      <x:c r="L3735" s="24" t="b">
        <x:v>1</x:v>
      </x:c>
      <x:c r="M3735" s="23" t="n">
        <x:v>1</x:v>
      </x:c>
      <x:c r="N3735" s="28" t="n">
        <x:v>46205.60567739583</x:v>
      </x:c>
      <x:c r="O3735" s="28" t="n">
        <x:v>46219.812988715275</x:v>
      </x:c>
      <x:c r="P3735" s="23" t="str">
        <x:v>IPATINGA</x:v>
      </x:c>
      <x:c r="Q3735" s="30" t="n">
        <x:v>36460</x:v>
      </x:c>
      <x:c r="R3735" s="22" t="str">
        <x:f>"17584609"</x:f>
        <x:v>17584609</x:v>
      </x:c>
      <x:c r="S3735" s="23" t="str">
        <x:v>masculino</x:v>
      </x:c>
      <x:c r="T3735" s="22" t="str">
        <x:f>"PKW7I01"</x:f>
        <x:v>PKW7I01</x:v>
      </x:c>
      <x:c r="U3735" s="23" t="str">
        <x:v>IGOR THIAGO DE MATOS LAIA</x:v>
      </x:c>
      <x:c r="V3735" s="22" t="str">
        <x:f>"127.470.466-99"</x:f>
        <x:v>127.470.466-99</x:v>
      </x:c>
      <x:c r="W3735" s="22" t="str">
        <x:f>"12747046699"</x:f>
        <x:v>12747046699</x:v>
      </x:c>
      <x:c r="X3735" s="23" t="str">
        <x:v>igoralctransportes@gmail.com</x:v>
      </x:c>
      <x:c r="Y3735" s="22" t="str">
        <x:f>"31985381065"</x:f>
        <x:v>31985381065</x:v>
      </x:c>
      <x:c r="Z3735" s="30" t="n">
        <x:v>46330</x:v>
      </x:c>
    </x:row>
    <x:row r="3736" ht="18" customHeight="1">
      <x:c r="A3736" s="22" t="str">
        <x:f>"11ccf023-c2c5-4a12-a483-d6762e5e366d"</x:f>
        <x:v>11ccf023-c2c5-4a12-a483-d6762e5e366d</x:v>
      </x:c>
      <x:c r="B3736" s="23" t="str">
        <x:v>VITOR EDUARDO SANTOS COUTO</x:v>
      </x:c>
      <x:c r="C3736" s="23" t="str">
        <x:v>vitor eduardo santos couto</x:v>
      </x:c>
      <x:c r="D3736" s="22" t="str">
        <x:f>"65.333.568/0001-70"</x:f>
        <x:v>65.333.568/0001-70</x:v>
      </x:c>
      <x:c r="E3736" s="22" t="str">
        <x:f>"65333568000170"</x:f>
        <x:v>65333568000170</x:v>
      </x:c>
      <x:c r="F3736" s="22" t="str">
        <x:f>"132.999.906-16"</x:f>
        <x:v>132.999.906-16</x:v>
      </x:c>
      <x:c r="G3736" s="22" t="str">
        <x:f>"13299990616"</x:f>
        <x:v>13299990616</x:v>
      </x:c>
      <x:c r="H3736" s="23" t="str">
        <x:v>vythoryoky-14@hotmail.com</x:v>
      </x:c>
      <x:c r="I3736" s="22" t="str">
        <x:f>"(35) 99767-7112"</x:f>
        <x:v>(35) 99767-7112</x:v>
      </x:c>
      <x:c r="J3736" s="23" t="str">
        <x:v>rental</x:v>
      </x:c>
      <x:c r="K3736" s="23" t="str">
        <x:v>rental_company</x:v>
      </x:c>
      <x:c r="L3736" s="24" t="b">
        <x:v>1</x:v>
      </x:c>
      <x:c r="M3736" s="23" t="n">
        <x:v>1</x:v>
      </x:c>
      <x:c r="N3736" s="28" t="n">
        <x:v>46219.812988715275</x:v>
      </x:c>
      <x:c r="O3736" s="28" t="n">
        <x:v>46219.812988715275</x:v>
      </x:c>
      <x:c r="P3736" s="23" t="str">
        <x:v>POUSO ALEGRE</x:v>
      </x:c>
      <x:c r="Q3736" s="30" t="n">
        <x:v>37011</x:v>
      </x:c>
      <x:c r="R3736" s="22" t="str">
        <x:f>"MG20673163 SSP MG"</x:f>
        <x:v>MG20673163 SSP MG</x:v>
      </x:c>
      <x:c r="S3736" s="23" t="str">
        <x:v>masculino</x:v>
      </x:c>
      <x:c r="T3736" s="22" t="str"/>
      <x:c r="U3736" s="23" t="str">
        <x:v>VITOR EDUARDO SANTOS COUTO</x:v>
      </x:c>
      <x:c r="V3736" s="22" t="str">
        <x:f>"132.999.906-16"</x:f>
        <x:v>132.999.906-16</x:v>
      </x:c>
      <x:c r="W3736" s="22" t="str">
        <x:f>"13299990616"</x:f>
        <x:v>13299990616</x:v>
      </x:c>
      <x:c r="X3736" s="23" t="str">
        <x:v>vythoryoky-14@hotmail.com</x:v>
      </x:c>
      <x:c r="Y3736" s="22" t="str">
        <x:f>"(35) 99767-7112"</x:f>
        <x:v>(35) 99767-7112</x:v>
      </x:c>
      <x:c r="Z3736" s="30" t="n">
        <x:v>46547</x:v>
      </x:c>
    </x:row>
    <x:row r="3737" ht="18" customHeight="1">
      <x:c r="A3737" s="22" t="str">
        <x:f>"ee5139d3-5017-4c57-afdc-cb4d2b1a8348"</x:f>
        <x:v>ee5139d3-5017-4c57-afdc-cb4d2b1a8348</x:v>
      </x:c>
      <x:c r="B3737" s="23" t="str">
        <x:v>VITOR GABRIEL RODRIGUES DOS SANTOS</x:v>
      </x:c>
      <x:c r="C3737" s="23" t="str">
        <x:v>vitor gabriel rodrigues dos santos</x:v>
      </x:c>
      <x:c r="D3737" s="22" t="str">
        <x:f>"59.929.953/0001-81"</x:f>
        <x:v>59.929.953/0001-81</x:v>
      </x:c>
      <x:c r="E3737" s="22" t="str">
        <x:f>"59929953000181"</x:f>
        <x:v>59929953000181</x:v>
      </x:c>
      <x:c r="F3737" s="22" t="str">
        <x:f>"118.492.696-45"</x:f>
        <x:v>118.492.696-45</x:v>
      </x:c>
      <x:c r="G3737" s="22" t="str">
        <x:f>"11849269645"</x:f>
        <x:v>11849269645</x:v>
      </x:c>
      <x:c r="H3737" s="23" t="str">
        <x:v>17vitorgabriel@gmail.com</x:v>
      </x:c>
      <x:c r="I3737" s="22" t="str">
        <x:f>"31986423750"</x:f>
        <x:v>31986423750</x:v>
      </x:c>
      <x:c r="J3737" s="23" t="str">
        <x:v>SPOT</x:v>
      </x:c>
      <x:c r="K3737" s="23" t="str">
        <x:v>favored_only</x:v>
      </x:c>
      <x:c r="L3737" s="24" t="b">
        <x:v>1</x:v>
      </x:c>
      <x:c r="M3737" s="23" t="n">
        <x:v>1</x:v>
      </x:c>
      <x:c r="N3737" s="28" t="n">
        <x:v>46203.92186462963</x:v>
      </x:c>
      <x:c r="O3737" s="28" t="n">
        <x:v>46219.812988715275</x:v>
      </x:c>
      <x:c r="P3737" s="23" t="str">
        <x:v>CONTAGEM</x:v>
      </x:c>
      <x:c r="Q3737" s="30" t="n">
        <x:v>37788</x:v>
      </x:c>
      <x:c r="R3737" s="22" t="str">
        <x:f>"18382067"</x:f>
        <x:v>18382067</x:v>
      </x:c>
      <x:c r="S3737" s="23" t="str">
        <x:v>masculino</x:v>
      </x:c>
      <x:c r="T3737" s="22" t="str">
        <x:f>"RMW4F86"</x:f>
        <x:v>RMW4F86</x:v>
      </x:c>
      <x:c r="U3737" s="23" t="str">
        <x:v>VITOR GABRIEL RODRIGUES DOS SANTOS</x:v>
      </x:c>
      <x:c r="V3737" s="22" t="str">
        <x:f>"118.492.696-45"</x:f>
        <x:v>118.492.696-45</x:v>
      </x:c>
      <x:c r="W3737" s="22" t="str">
        <x:f>"11849269645"</x:f>
        <x:v>11849269645</x:v>
      </x:c>
      <x:c r="X3737" s="23" t="str">
        <x:v>17vitorgabriel@gmail.com</x:v>
      </x:c>
      <x:c r="Y3737" s="22" t="str">
        <x:f>"31986423750"</x:f>
        <x:v>31986423750</x:v>
      </x:c>
      <x:c r="Z3737" s="30" t="n">
        <x:v>46283</x:v>
      </x:c>
    </x:row>
    <x:row r="3738" ht="18" customHeight="1">
      <x:c r="A3738" s="22" t="str">
        <x:f>"6b047465-91ef-457b-9873-8ee3bb5de248"</x:f>
        <x:v>6b047465-91ef-457b-9873-8ee3bb5de248</x:v>
      </x:c>
      <x:c r="B3738" s="23" t="str">
        <x:v>VITOR GABRIEL VALERIO</x:v>
      </x:c>
      <x:c r="C3738" s="23" t="str">
        <x:v>vitor gabriel valerio</x:v>
      </x:c>
      <x:c r="D3738" s="22" t="str">
        <x:f>"55.146.454/0001-67"</x:f>
        <x:v>55.146.454/0001-67</x:v>
      </x:c>
      <x:c r="E3738" s="22" t="str">
        <x:f>"55146454000167"</x:f>
        <x:v>55146454000167</x:v>
      </x:c>
      <x:c r="F3738" s="22" t="str">
        <x:f>"150.327.516-77"</x:f>
        <x:v>150.327.516-77</x:v>
      </x:c>
      <x:c r="G3738" s="22" t="str">
        <x:f>"15032751677"</x:f>
        <x:v>15032751677</x:v>
      </x:c>
      <x:c r="H3738" s="23" t="str">
        <x:v>vitorls.bh@gmail.com</x:v>
      </x:c>
      <x:c r="I3738" s="22" t="str">
        <x:f>"31 98920-2072"</x:f>
        <x:v>31 98920-2072</x:v>
      </x:c>
      <x:c r="J3738" s="23" t="str">
        <x:v>RENTAL</x:v>
      </x:c>
      <x:c r="K3738" s="23" t="str">
        <x:v>rental_company</x:v>
      </x:c>
      <x:c r="L3738" s="24" t="b">
        <x:v>1</x:v>
      </x:c>
      <x:c r="M3738" s="23" t="n">
        <x:v>1</x:v>
      </x:c>
      <x:c r="N3738" s="28" t="n">
        <x:v>46203.92183017361</x:v>
      </x:c>
      <x:c r="O3738" s="28" t="n">
        <x:v>46219.812988715275</x:v>
      </x:c>
      <x:c r="P3738" s="23" t="str">
        <x:v>VESPASIANO</x:v>
      </x:c>
      <x:c r="Q3738" s="30" t="n">
        <x:v>36635</x:v>
      </x:c>
      <x:c r="R3738" s="22" t="str">
        <x:f>"MG18007741"</x:f>
        <x:v>MG18007741</x:v>
      </x:c>
      <x:c r="S3738" s="23" t="str">
        <x:v>masculino</x:v>
      </x:c>
      <x:c r="T3738" s="22" t="str"/>
      <x:c r="U3738" s="23" t="str">
        <x:v>VITOR GABRIEL VALERIO</x:v>
      </x:c>
      <x:c r="V3738" s="22" t="str">
        <x:f>"150.327.516-77"</x:f>
        <x:v>150.327.516-77</x:v>
      </x:c>
      <x:c r="W3738" s="22" t="str">
        <x:f>"15032751677"</x:f>
        <x:v>15032751677</x:v>
      </x:c>
      <x:c r="X3738" s="23" t="str">
        <x:v>vitorls.bh@gmail.com</x:v>
      </x:c>
      <x:c r="Y3738" s="22" t="str">
        <x:f>"31 98920-2072"</x:f>
        <x:v>31 98920-2072</x:v>
      </x:c>
      <x:c r="Z3738" s="30" t="n">
        <x:v>46402</x:v>
      </x:c>
    </x:row>
    <x:row r="3739" ht="18" customHeight="1">
      <x:c r="A3739" s="22" t="str">
        <x:f>"13f6688b-9d4e-4353-892c-f872ba3af094"</x:f>
        <x:v>13f6688b-9d4e-4353-892c-f872ba3af094</x:v>
      </x:c>
      <x:c r="B3739" s="23" t="str">
        <x:v>VITOR GONCALVES DA SILVA</x:v>
      </x:c>
      <x:c r="C3739" s="23" t="str">
        <x:v>vitor goncalves da silva</x:v>
      </x:c>
      <x:c r="D3739" s="22" t="str">
        <x:f>"59.234.863/0001-76"</x:f>
        <x:v>59.234.863/0001-76</x:v>
      </x:c>
      <x:c r="E3739" s="22" t="str">
        <x:f>"59234863000176"</x:f>
        <x:v>59234863000176</x:v>
      </x:c>
      <x:c r="F3739" s="22" t="str">
        <x:f>"134.071.627-58"</x:f>
        <x:v>134.071.627-58</x:v>
      </x:c>
      <x:c r="G3739" s="22" t="str">
        <x:f>"13407162758"</x:f>
        <x:v>13407162758</x:v>
      </x:c>
      <x:c r="H3739" s="23" t="str">
        <x:v>vitords2022@gmail.com</x:v>
      </x:c>
      <x:c r="I3739" s="22" t="str">
        <x:f>"21991166215"</x:f>
        <x:v>21991166215</x:v>
      </x:c>
      <x:c r="J3739" s="23" t="str">
        <x:v>SPOT</x:v>
      </x:c>
      <x:c r="K3739" s="23" t="str">
        <x:v>favored_only</x:v>
      </x:c>
      <x:c r="L3739" s="24" t="b">
        <x:v>1</x:v>
      </x:c>
      <x:c r="M3739" s="23" t="n">
        <x:v>1</x:v>
      </x:c>
      <x:c r="N3739" s="28" t="n">
        <x:v>46203.92191240741</x:v>
      </x:c>
      <x:c r="O3739" s="28" t="n">
        <x:v>46219.812988715275</x:v>
      </x:c>
      <x:c r="P3739" s="23" t="str">
        <x:v>ITABORAI</x:v>
      </x:c>
      <x:c r="Q3739" s="30" t="n">
        <x:v>32592</x:v>
      </x:c>
      <x:c r="R3739" s="22" t="str">
        <x:f>"237611157"</x:f>
        <x:v>237611157</x:v>
      </x:c>
      <x:c r="S3739" s="23" t="str">
        <x:v>masculino</x:v>
      </x:c>
      <x:c r="T3739" s="22" t="str">
        <x:f>"ODA3G86"</x:f>
        <x:v>ODA3G86</x:v>
      </x:c>
      <x:c r="U3739" s="23" t="str">
        <x:v>VITOR GONCALVES DA SILVA</x:v>
      </x:c>
      <x:c r="V3739" s="22" t="str">
        <x:f>"134.071.627-58"</x:f>
        <x:v>134.071.627-58</x:v>
      </x:c>
      <x:c r="W3739" s="22" t="str">
        <x:f>"13407162758"</x:f>
        <x:v>13407162758</x:v>
      </x:c>
      <x:c r="X3739" s="23" t="str">
        <x:v>vitords2022@gmail.com</x:v>
      </x:c>
      <x:c r="Y3739" s="22" t="str">
        <x:f>"21991166215"</x:f>
        <x:v>21991166215</x:v>
      </x:c>
      <x:c r="Z3739" s="30" t="n">
        <x:v>265384</x:v>
      </x:c>
    </x:row>
    <x:row r="3740" ht="18" customHeight="1">
      <x:c r="A3740" s="22" t="str">
        <x:f>"ff20d989-a557-4f64-9a11-8cf5ae40e885"</x:f>
        <x:v>ff20d989-a557-4f64-9a11-8cf5ae40e885</x:v>
      </x:c>
      <x:c r="B3740" s="23" t="str">
        <x:v>VITOR GUILHERME FERREIRA LIMA DE ANDRADE</x:v>
      </x:c>
      <x:c r="C3740" s="23" t="str">
        <x:v>vitor guilherme ferreira lima de andrade</x:v>
      </x:c>
      <x:c r="D3740" s="22" t="str">
        <x:f>"65.665.063/0001-02"</x:f>
        <x:v>65.665.063/0001-02</x:v>
      </x:c>
      <x:c r="E3740" s="22" t="str">
        <x:f>"65665063000102"</x:f>
        <x:v>65665063000102</x:v>
      </x:c>
      <x:c r="F3740" s="22" t="str">
        <x:f>"429.661.228-03"</x:f>
        <x:v>429.661.228-03</x:v>
      </x:c>
      <x:c r="G3740" s="22" t="str">
        <x:f>"42966122803"</x:f>
        <x:v>42966122803</x:v>
      </x:c>
      <x:c r="H3740" s="23" t="str">
        <x:v>vitor.glorenzo@icloud.com</x:v>
      </x:c>
      <x:c r="I3740" s="22" t="str">
        <x:f>"18 99122-6098"</x:f>
        <x:v>18 99122-6098</x:v>
      </x:c>
      <x:c r="J3740" s="23" t="str">
        <x:v>RENTAL</x:v>
      </x:c>
      <x:c r="K3740" s="23" t="str">
        <x:v>rental_company</x:v>
      </x:c>
      <x:c r="L3740" s="24" t="b">
        <x:v>1</x:v>
      </x:c>
      <x:c r="M3740" s="23" t="n">
        <x:v>1</x:v>
      </x:c>
      <x:c r="N3740" s="28" t="n">
        <x:v>46219.812988715275</x:v>
      </x:c>
      <x:c r="O3740" s="28" t="n">
        <x:v>46219.812988715275</x:v>
      </x:c>
      <x:c r="P3740" s="23" t="str">
        <x:v>PRESIDENTE PRUDENTE</x:v>
      </x:c>
      <x:c r="Q3740" s="30" t="n">
        <x:v>34661</x:v>
      </x:c>
      <x:c r="R3740" s="22" t="str">
        <x:f>"405871624"</x:f>
        <x:v>405871624</x:v>
      </x:c>
      <x:c r="S3740" s="23" t="str">
        <x:v>masculino</x:v>
      </x:c>
      <x:c r="T3740" s="22" t="str"/>
      <x:c r="U3740" s="23" t="str">
        <x:v>VITOR GUILHERME FERREIRA LIMA DE ANDRADE</x:v>
      </x:c>
      <x:c r="V3740" s="22" t="str">
        <x:f>"429.661.228-03"</x:f>
        <x:v>429.661.228-03</x:v>
      </x:c>
      <x:c r="W3740" s="22" t="str">
        <x:f>"42966122803"</x:f>
        <x:v>42966122803</x:v>
      </x:c>
      <x:c r="X3740" s="23" t="str">
        <x:v>vitor.glorenzo@icloud.com</x:v>
      </x:c>
      <x:c r="Y3740" s="22" t="str">
        <x:f>"18 99122-6098"</x:f>
        <x:v>18 99122-6098</x:v>
      </x:c>
      <x:c r="Z3740" s="30" t="n">
        <x:v>46459</x:v>
      </x:c>
    </x:row>
    <x:row r="3741" ht="18" customHeight="1">
      <x:c r="A3741" s="22" t="str">
        <x:f>"b7639a77-b2be-4ccf-bfa5-82482e1b9160"</x:f>
        <x:v>b7639a77-b2be-4ccf-bfa5-82482e1b9160</x:v>
      </x:c>
      <x:c r="B3741" s="23" t="str">
        <x:v>VITOR HENRIQUE DE OLIVEIRA SILVA</x:v>
      </x:c>
      <x:c r="C3741" s="23" t="str">
        <x:v>vitor henrique de oliveira silva</x:v>
      </x:c>
      <x:c r="D3741" s="22" t="str">
        <x:f>"57.839.285/0001-76"</x:f>
        <x:v>57.839.285/0001-76</x:v>
      </x:c>
      <x:c r="E3741" s="22" t="str">
        <x:f>"57839285000176"</x:f>
        <x:v>57839285000176</x:v>
      </x:c>
      <x:c r="F3741" s="22" t="str">
        <x:f>"477.390.858-04"</x:f>
        <x:v>477.390.858-04</x:v>
      </x:c>
      <x:c r="G3741" s="22" t="str">
        <x:f>"47739085804"</x:f>
        <x:v>47739085804</x:v>
      </x:c>
      <x:c r="H3741" s="23" t="str">
        <x:v>viittor0521@gmail.com</x:v>
      </x:c>
      <x:c r="I3741" s="22" t="str">
        <x:f>"14998868376"</x:f>
        <x:v>14998868376</x:v>
      </x:c>
      <x:c r="J3741" s="23" t="str">
        <x:v>RENTAL</x:v>
      </x:c>
      <x:c r="K3741" s="23" t="str">
        <x:v>rental_company</x:v>
      </x:c>
      <x:c r="L3741" s="24" t="b">
        <x:v>1</x:v>
      </x:c>
      <x:c r="M3741" s="23" t="n">
        <x:v>1</x:v>
      </x:c>
      <x:c r="N3741" s="28" t="n">
        <x:v>46203.92183017361</x:v>
      </x:c>
      <x:c r="O3741" s="28" t="n">
        <x:v>46219.812988715275</x:v>
      </x:c>
      <x:c r="P3741" s="23" t="str">
        <x:v>MARILIA</x:v>
      </x:c>
      <x:c r="Q3741" s="30" t="n">
        <x:v>36914</x:v>
      </x:c>
      <x:c r="R3741" s="22" t="str">
        <x:f>"58118543"</x:f>
        <x:v>58118543</x:v>
      </x:c>
      <x:c r="S3741" s="23" t="str">
        <x:v>masculino</x:v>
      </x:c>
      <x:c r="T3741" s="22" t="str"/>
      <x:c r="U3741" s="23" t="str">
        <x:v>VITOR HENRIQUE DE OLIVEIRA SILVA</x:v>
      </x:c>
      <x:c r="V3741" s="22" t="str">
        <x:f>"477.390.858-04"</x:f>
        <x:v>477.390.858-04</x:v>
      </x:c>
      <x:c r="W3741" s="22" t="str">
        <x:f>"47739085804"</x:f>
        <x:v>47739085804</x:v>
      </x:c>
      <x:c r="X3741" s="23" t="str">
        <x:v>viittor0521@gmail.com</x:v>
      </x:c>
      <x:c r="Y3741" s="22" t="str">
        <x:f>"14998868376"</x:f>
        <x:v>14998868376</x:v>
      </x:c>
      <x:c r="Z3741" s="30" t="n">
        <x:v>46294</x:v>
      </x:c>
    </x:row>
    <x:row r="3742" ht="18" customHeight="1">
      <x:c r="A3742" s="22" t="str">
        <x:f>"039ccdb0-fee5-45c7-915f-5ae0fa106336"</x:f>
        <x:v>039ccdb0-fee5-45c7-915f-5ae0fa106336</x:v>
      </x:c>
      <x:c r="B3742" s="23" t="str">
        <x:v>VITOR HENRIQUE GOMES TERCI LIMA</x:v>
      </x:c>
      <x:c r="C3742" s="23" t="str">
        <x:v>vitor henrique gomes terci lima</x:v>
      </x:c>
      <x:c r="D3742" s="22" t="str">
        <x:f>"62.708.625/0001-60"</x:f>
        <x:v>62.708.625/0001-60</x:v>
      </x:c>
      <x:c r="E3742" s="22" t="str">
        <x:f>"62708625000160"</x:f>
        <x:v>62708625000160</x:v>
      </x:c>
      <x:c r="F3742" s="22" t="str">
        <x:f>"470.973.418-66"</x:f>
        <x:v>470.973.418-66</x:v>
      </x:c>
      <x:c r="G3742" s="22" t="str">
        <x:f>"47097341866"</x:f>
        <x:v>47097341866</x:v>
      </x:c>
      <x:c r="H3742" s="23" t="str">
        <x:v>vitorhenriquelima@outlook.com.br</x:v>
      </x:c>
      <x:c r="I3742" s="22" t="str">
        <x:f>"18 99721-9013"</x:f>
        <x:v>18 99721-9013</x:v>
      </x:c>
      <x:c r="J3742" s="23" t="str">
        <x:v>SPOT</x:v>
      </x:c>
      <x:c r="K3742" s="23" t="str">
        <x:v>favored_only</x:v>
      </x:c>
      <x:c r="L3742" s="24" t="b">
        <x:v>1</x:v>
      </x:c>
      <x:c r="M3742" s="23" t="n">
        <x:v>1</x:v>
      </x:c>
      <x:c r="N3742" s="28" t="n">
        <x:v>46205.60466587963</x:v>
      </x:c>
      <x:c r="O3742" s="28" t="n">
        <x:v>46219.812988715275</x:v>
      </x:c>
      <x:c r="P3742" s="23" t="str">
        <x:v>ARAÇATUBA</x:v>
      </x:c>
      <x:c r="Q3742" s="30" t="n">
        <x:v>36428</x:v>
      </x:c>
      <x:c r="R3742" s="22" t="str">
        <x:f>"52381805"</x:f>
        <x:v>52381805</x:v>
      </x:c>
      <x:c r="S3742" s="23" t="str">
        <x:v>masculino</x:v>
      </x:c>
      <x:c r="T3742" s="22" t="str">
        <x:f>"ECU8I19"</x:f>
        <x:v>ECU8I19</x:v>
      </x:c>
      <x:c r="U3742" s="23" t="str">
        <x:v>MILENA NUNES DE OLIVEIRA DA SILVA</x:v>
      </x:c>
      <x:c r="V3742" s="22" t="str">
        <x:f>"497.229.598-83"</x:f>
        <x:v>497.229.598-83</x:v>
      </x:c>
      <x:c r="W3742" s="22" t="str">
        <x:f>"49722959883"</x:f>
        <x:v>49722959883</x:v>
      </x:c>
      <x:c r="X3742" s="23" t="str">
        <x:v>vitorhenriquelima@outlook.com.br</x:v>
      </x:c>
      <x:c r="Y3742" s="22" t="str">
        <x:f>"18 99721-9013"</x:f>
        <x:v>18 99721-9013</x:v>
      </x:c>
      <x:c r="Z3742" s="30" t="n">
        <x:v>46288</x:v>
      </x:c>
    </x:row>
    <x:row r="3743" ht="18" customHeight="1">
      <x:c r="A3743" s="22" t="str">
        <x:f>"8d1e806e-ea90-4297-b83b-f155b5bde70b"</x:f>
        <x:v>8d1e806e-ea90-4297-b83b-f155b5bde70b</x:v>
      </x:c>
      <x:c r="B3743" s="23" t="str">
        <x:v>VITOR HUGO GOMES MARTINS</x:v>
      </x:c>
      <x:c r="C3743" s="23" t="str">
        <x:v>vitor hugo gomes martins</x:v>
      </x:c>
      <x:c r="D3743" s="22" t="str">
        <x:f>"66.444.527/0001-13"</x:f>
        <x:v>66.444.527/0001-13</x:v>
      </x:c>
      <x:c r="E3743" s="22" t="str">
        <x:f>"66444527000113"</x:f>
        <x:v>66444527000113</x:v>
      </x:c>
      <x:c r="F3743" s="22" t="str">
        <x:f>"083.502.261-70"</x:f>
        <x:v>083.502.261-70</x:v>
      </x:c>
      <x:c r="G3743" s="22" t="str">
        <x:f>"08350226170"</x:f>
        <x:v>08350226170</x:v>
      </x:c>
      <x:c r="H3743" s="23" t="str">
        <x:v>vitorhugo20052004@gmail.com</x:v>
      </x:c>
      <x:c r="I3743" s="22" t="str">
        <x:f>"62994711289"</x:f>
        <x:v>62994711289</x:v>
      </x:c>
      <x:c r="J3743" s="23" t="str">
        <x:v>SPOT</x:v>
      </x:c>
      <x:c r="K3743" s="23" t="str">
        <x:v>favored_only</x:v>
      </x:c>
      <x:c r="L3743" s="24" t="b">
        <x:v>1</x:v>
      </x:c>
      <x:c r="M3743" s="23" t="n">
        <x:v>1</x:v>
      </x:c>
      <x:c r="N3743" s="28" t="n">
        <x:v>46219.812988715275</x:v>
      </x:c>
      <x:c r="O3743" s="28" t="n">
        <x:v>46219.812988715275</x:v>
      </x:c>
      <x:c r="P3743" s="23" t="str">
        <x:v>GOIANIA</x:v>
      </x:c>
      <x:c r="Q3743" s="30" t="n">
        <x:v>38127</x:v>
      </x:c>
      <x:c r="R3743" s="22" t="str">
        <x:f>"6267896"</x:f>
        <x:v>6267896</x:v>
      </x:c>
      <x:c r="S3743" s="23" t="str">
        <x:v>masculino</x:v>
      </x:c>
      <x:c r="T3743" s="22" t="str">
        <x:f>"QQK0J20"</x:f>
        <x:v>QQK0J20</x:v>
      </x:c>
      <x:c r="U3743" s="23" t="str">
        <x:v>VITOR HUGO GOMES MARTINS</x:v>
      </x:c>
      <x:c r="V3743" s="22" t="str">
        <x:f>"083.502.261-70"</x:f>
        <x:v>083.502.261-70</x:v>
      </x:c>
      <x:c r="W3743" s="22" t="str">
        <x:f>"08350226170"</x:f>
        <x:v>08350226170</x:v>
      </x:c>
      <x:c r="X3743" s="23" t="str">
        <x:v>vitorhugo20052004@gmail.com</x:v>
      </x:c>
      <x:c r="Y3743" s="22" t="str">
        <x:f>"62994711289"</x:f>
        <x:v>62994711289</x:v>
      </x:c>
      <x:c r="Z3743" s="30" t="n">
        <x:v>46556</x:v>
      </x:c>
    </x:row>
    <x:row r="3744" ht="18" customHeight="1">
      <x:c r="A3744" s="22" t="str">
        <x:f>"0ee51fe7-acd0-40bf-9c1c-bb7bd04b1d4c"</x:f>
        <x:v>0ee51fe7-acd0-40bf-9c1c-bb7bd04b1d4c</x:v>
      </x:c>
      <x:c r="B3744" s="23" t="str">
        <x:v>VITOR HUGO INDIANO MONTEIRO DA SILVA</x:v>
      </x:c>
      <x:c r="C3744" s="23" t="str">
        <x:v>vitor hugo indiano monteiro da silva</x:v>
      </x:c>
      <x:c r="D3744" s="22" t="str">
        <x:f>"65.699.174/0001-30"</x:f>
        <x:v>65.699.174/0001-30</x:v>
      </x:c>
      <x:c r="E3744" s="22" t="str">
        <x:f>"65699174000130"</x:f>
        <x:v>65699174000130</x:v>
      </x:c>
      <x:c r="F3744" s="22" t="str">
        <x:f>"541.740.258-35"</x:f>
        <x:v>541.740.258-35</x:v>
      </x:c>
      <x:c r="G3744" s="22" t="str">
        <x:f>"54174025835"</x:f>
        <x:v>54174025835</x:v>
      </x:c>
      <x:c r="H3744" s="23" t="str">
        <x:v>vitor_1611@icloud.com</x:v>
      </x:c>
      <x:c r="I3744" s="22" t="str">
        <x:f>"(16)99412-5288"</x:f>
        <x:v>(16)99412-5288</x:v>
      </x:c>
      <x:c r="J3744" s="23" t="str">
        <x:v>RENTAL</x:v>
      </x:c>
      <x:c r="K3744" s="23" t="str">
        <x:v>rental_company</x:v>
      </x:c>
      <x:c r="L3744" s="24" t="b">
        <x:v>1</x:v>
      </x:c>
      <x:c r="M3744" s="23" t="n">
        <x:v>1</x:v>
      </x:c>
      <x:c r="N3744" s="28" t="n">
        <x:v>46219.812988715275</x:v>
      </x:c>
      <x:c r="O3744" s="28" t="n">
        <x:v>46219.812988715275</x:v>
      </x:c>
      <x:c r="P3744" s="23" t="str">
        <x:v>RIBEIRAO PRETO</x:v>
      </x:c>
      <x:c r="Q3744" s="30" t="n">
        <x:v>38672</x:v>
      </x:c>
      <x:c r="R3744" s="22" t="str">
        <x:f>"586269368"</x:f>
        <x:v>586269368</x:v>
      </x:c>
      <x:c r="S3744" s="23" t="str">
        <x:v>masculino</x:v>
      </x:c>
      <x:c r="T3744" s="22" t="str"/>
      <x:c r="U3744" s="23" t="str">
        <x:v>VITOR HUGO INDIANO MONTEIRO DA SILVA</x:v>
      </x:c>
      <x:c r="V3744" s="22" t="str">
        <x:f>"541.740.258-35"</x:f>
        <x:v>541.740.258-35</x:v>
      </x:c>
      <x:c r="W3744" s="22" t="str">
        <x:f>"54174025835"</x:f>
        <x:v>54174025835</x:v>
      </x:c>
      <x:c r="X3744" s="23" t="str">
        <x:v>vitor_1611@icloud.com</x:v>
      </x:c>
      <x:c r="Y3744" s="22" t="str">
        <x:f>"(16)99412-5288"</x:f>
        <x:v>(16)99412-5288</x:v>
      </x:c>
      <x:c r="Z3744" s="30" t="n">
        <x:v>46463</x:v>
      </x:c>
    </x:row>
    <x:row r="3745" ht="18" customHeight="1">
      <x:c r="A3745" s="22" t="str">
        <x:f>"8288cb6c-b426-4516-88e2-3a08d965a201"</x:f>
        <x:v>8288cb6c-b426-4516-88e2-3a08d965a201</x:v>
      </x:c>
      <x:c r="B3745" s="23" t="str">
        <x:v>VITOR HUGO NASCIMENTO DE OLIVEIRA</x:v>
      </x:c>
      <x:c r="C3745" s="23" t="str">
        <x:v>vitor hugo nascimento de oliveira</x:v>
      </x:c>
      <x:c r="D3745" s="22" t="str">
        <x:f>"64.790.193/0001-04"</x:f>
        <x:v>64.790.193/0001-04</x:v>
      </x:c>
      <x:c r="E3745" s="22" t="str">
        <x:f>"64790193000104"</x:f>
        <x:v>64790193000104</x:v>
      </x:c>
      <x:c r="F3745" s="22" t="str">
        <x:f>"507.771.938-17"</x:f>
        <x:v>507.771.938-17</x:v>
      </x:c>
      <x:c r="G3745" s="22" t="str">
        <x:f>"50777193817"</x:f>
        <x:v>50777193817</x:v>
      </x:c>
      <x:c r="H3745" s="23" t="str">
        <x:v>vitin.oliveira@icloud.com</x:v>
      </x:c>
      <x:c r="I3745" s="22" t="str">
        <x:f>"18997769116"</x:f>
        <x:v>18997769116</x:v>
      </x:c>
      <x:c r="J3745" s="23" t="str">
        <x:v>RENTAL</x:v>
      </x:c>
      <x:c r="K3745" s="23" t="str">
        <x:v>rental_company</x:v>
      </x:c>
      <x:c r="L3745" s="24" t="b">
        <x:v>1</x:v>
      </x:c>
      <x:c r="M3745" s="23" t="n">
        <x:v>1</x:v>
      </x:c>
      <x:c r="N3745" s="28" t="n">
        <x:v>46219.812988715275</x:v>
      </x:c>
      <x:c r="O3745" s="28" t="n">
        <x:v>46219.812988715275</x:v>
      </x:c>
      <x:c r="P3745" s="23" t="str">
        <x:v>PRESIDENTE PRUDENTE</x:v>
      </x:c>
      <x:c r="Q3745" s="30" t="n">
        <x:v>38217</x:v>
      </x:c>
      <x:c r="R3745" s="22" t="str">
        <x:f>"60869695x"</x:f>
        <x:v>60869695x</x:v>
      </x:c>
      <x:c r="S3745" s="23" t="str">
        <x:v>masculino</x:v>
      </x:c>
      <x:c r="T3745" s="22" t="str"/>
      <x:c r="U3745" s="23" t="str">
        <x:v>VITOR HUGO NASCIMENTO DE OLIVEIRA</x:v>
      </x:c>
      <x:c r="V3745" s="22" t="str">
        <x:f>"507.771.938-17"</x:f>
        <x:v>507.771.938-17</x:v>
      </x:c>
      <x:c r="W3745" s="22" t="str">
        <x:f>"50777193817"</x:f>
        <x:v>50777193817</x:v>
      </x:c>
      <x:c r="X3745" s="23" t="str">
        <x:v>vitin.oliveira@icloud.com</x:v>
      </x:c>
      <x:c r="Y3745" s="22" t="str">
        <x:f>"18997769116"</x:f>
        <x:v>18997769116</x:v>
      </x:c>
      <x:c r="Z3745" s="30" t="n">
        <x:v>46583</x:v>
      </x:c>
    </x:row>
    <x:row r="3746" ht="18" customHeight="1">
      <x:c r="A3746" s="22" t="str">
        <x:f>"5c0979f0-867b-4a3c-8d2c-1bc8a0ce454c"</x:f>
        <x:v>5c0979f0-867b-4a3c-8d2c-1bc8a0ce454c</x:v>
      </x:c>
      <x:c r="B3746" s="23" t="str">
        <x:v>VITOR HUGO SILVA</x:v>
      </x:c>
      <x:c r="C3746" s="23" t="str">
        <x:v>vitor hugo silva</x:v>
      </x:c>
      <x:c r="D3746" s="22" t="str">
        <x:f>"47.791.170/0001-03"</x:f>
        <x:v>47.791.170/0001-03</x:v>
      </x:c>
      <x:c r="E3746" s="22" t="str">
        <x:f>"47791170000103"</x:f>
        <x:v>47791170000103</x:v>
      </x:c>
      <x:c r="F3746" s="22" t="str">
        <x:f>"152.150.026-65"</x:f>
        <x:v>152.150.026-65</x:v>
      </x:c>
      <x:c r="G3746" s="22" t="str">
        <x:f>"15215002665"</x:f>
        <x:v>15215002665</x:v>
      </x:c>
      <x:c r="H3746" s="23" t="str">
        <x:v>vitorhugozika3@hotmail.com</x:v>
      </x:c>
      <x:c r="I3746" s="22" t="str">
        <x:f>"3496580653"</x:f>
        <x:v>3496580653</x:v>
      </x:c>
      <x:c r="J3746" s="23" t="str">
        <x:v>SPOT</x:v>
      </x:c>
      <x:c r="K3746" s="23" t="str">
        <x:v>favored_only</x:v>
      </x:c>
      <x:c r="L3746" s="24" t="b">
        <x:v>1</x:v>
      </x:c>
      <x:c r="M3746" s="23" t="n">
        <x:v>1</x:v>
      </x:c>
      <x:c r="N3746" s="28" t="n">
        <x:v>46205.60727916667</x:v>
      </x:c>
      <x:c r="O3746" s="28" t="n">
        <x:v>46219.812988715275</x:v>
      </x:c>
      <x:c r="P3746" s="23" t="str">
        <x:v>PATOS DE MINAS</x:v>
      </x:c>
      <x:c r="Q3746" s="30" t="n">
        <x:v>35770</x:v>
      </x:c>
      <x:c r="R3746" s="22" t="str">
        <x:f>"MG 21561312"</x:f>
        <x:v>MG 21561312</x:v>
      </x:c>
      <x:c r="S3746" s="23" t="str">
        <x:v>masculino</x:v>
      </x:c>
      <x:c r="T3746" s="22" t="str">
        <x:f>"TCT2H39"</x:f>
        <x:v>TCT2H39</x:v>
      </x:c>
      <x:c r="U3746" s="23" t="str">
        <x:v>MATHEUS HENRIQUE HAUEISEN CARDOSO</x:v>
      </x:c>
      <x:c r="V3746" s="22" t="str">
        <x:f>"131.277.686-21"</x:f>
        <x:v>131.277.686-21</x:v>
      </x:c>
      <x:c r="W3746" s="22" t="str">
        <x:f>"13127768621"</x:f>
        <x:v>13127768621</x:v>
      </x:c>
      <x:c r="X3746" s="23" t="str">
        <x:v>mhenryhc@gmail.com</x:v>
      </x:c>
      <x:c r="Y3746" s="22" t="str">
        <x:f>"34998750403"</x:f>
        <x:v>34998750403</x:v>
      </x:c>
      <x:c r="Z3746" s="30" t="str"/>
    </x:row>
    <x:row r="3747" ht="18" customHeight="1">
      <x:c r="A3747" s="22" t="str">
        <x:f>"f4201fa3-3ce4-45ad-b071-4db8ebbb7573"</x:f>
        <x:v>f4201fa3-3ce4-45ad-b071-4db8ebbb7573</x:v>
      </x:c>
      <x:c r="B3747" s="23" t="str">
        <x:v>VITOR HUGO SOUSA DA SILVA</x:v>
      </x:c>
      <x:c r="C3747" s="23" t="str">
        <x:v>vitor hugo sousa da silva</x:v>
      </x:c>
      <x:c r="D3747" s="22" t="str">
        <x:f>"51.156.795/0001-62"</x:f>
        <x:v>51.156.795/0001-62</x:v>
      </x:c>
      <x:c r="E3747" s="22" t="str">
        <x:f>"51156795000162"</x:f>
        <x:v>51156795000162</x:v>
      </x:c>
      <x:c r="F3747" s="22" t="str">
        <x:f>"451.877.528-71"</x:f>
        <x:v>451.877.528-71</x:v>
      </x:c>
      <x:c r="G3747" s="22" t="str">
        <x:f>"45187752871"</x:f>
        <x:v>45187752871</x:v>
      </x:c>
      <x:c r="H3747" s="23" t="str">
        <x:v>vitorhugo.adm19@gmail.com</x:v>
      </x:c>
      <x:c r="I3747" s="22" t="str">
        <x:f>"18998269331"</x:f>
        <x:v>18998269331</x:v>
      </x:c>
      <x:c r="J3747" s="23" t="str">
        <x:v>RENTAL</x:v>
      </x:c>
      <x:c r="K3747" s="23" t="str">
        <x:v>rental_company</x:v>
      </x:c>
      <x:c r="L3747" s="24" t="b">
        <x:v>1</x:v>
      </x:c>
      <x:c r="M3747" s="23" t="n">
        <x:v>1</x:v>
      </x:c>
      <x:c r="N3747" s="28" t="n">
        <x:v>46203.92183017361</x:v>
      </x:c>
      <x:c r="O3747" s="28" t="n">
        <x:v>46219.812988715275</x:v>
      </x:c>
      <x:c r="P3747" s="23" t="str">
        <x:v>ARAÇATUBA</x:v>
      </x:c>
      <x:c r="Q3747" s="30" t="n">
        <x:v>35697</x:v>
      </x:c>
      <x:c r="R3747" s="22" t="str">
        <x:f>"52611641"</x:f>
        <x:v>52611641</x:v>
      </x:c>
      <x:c r="S3747" s="23" t="str">
        <x:v>masculino</x:v>
      </x:c>
      <x:c r="T3747" s="22" t="str"/>
      <x:c r="U3747" s="23" t="str">
        <x:v>VITOR HUGO SOUSA DA SILVA</x:v>
      </x:c>
      <x:c r="V3747" s="22" t="str">
        <x:f>"451.877.528-71"</x:f>
        <x:v>451.877.528-71</x:v>
      </x:c>
      <x:c r="W3747" s="22" t="str">
        <x:f>"45187752871"</x:f>
        <x:v>45187752871</x:v>
      </x:c>
      <x:c r="X3747" s="23" t="str">
        <x:v>vitorhugo.adm19@gmail.com</x:v>
      </x:c>
      <x:c r="Y3747" s="22" t="str">
        <x:f>"18998269331"</x:f>
        <x:v>18998269331</x:v>
      </x:c>
      <x:c r="Z3747" s="30" t="n">
        <x:v>46374</x:v>
      </x:c>
    </x:row>
    <x:row r="3748" ht="18" customHeight="1">
      <x:c r="A3748" s="22" t="str">
        <x:f>"5e8e0928-245a-4de6-bb41-0284ba2d9ad4"</x:f>
        <x:v>5e8e0928-245a-4de6-bb41-0284ba2d9ad4</x:v>
      </x:c>
      <x:c r="B3748" s="23" t="str">
        <x:v>VITORIA BARBOSA DE JESUS</x:v>
      </x:c>
      <x:c r="C3748" s="23" t="str">
        <x:v>vitoria barbosa de jesus</x:v>
      </x:c>
      <x:c r="D3748" s="22" t="str">
        <x:f>"58.292.404/0001-86"</x:f>
        <x:v>58.292.404/0001-86</x:v>
      </x:c>
      <x:c r="E3748" s="22" t="str">
        <x:f>"58292404000186"</x:f>
        <x:v>58292404000186</x:v>
      </x:c>
      <x:c r="F3748" s="22" t="str">
        <x:f>"186.191.107-64"</x:f>
        <x:v>186.191.107-64</x:v>
      </x:c>
      <x:c r="G3748" s="22" t="str">
        <x:f>"18619110764"</x:f>
        <x:v>18619110764</x:v>
      </x:c>
      <x:c r="H3748" s="23" t="str">
        <x:v>vitoriabarbosajesus@yahoo.com.br</x:v>
      </x:c>
      <x:c r="I3748" s="22" t="str">
        <x:f>"2199901-0794"</x:f>
        <x:v>2199901-0794</x:v>
      </x:c>
      <x:c r="J3748" s="23" t="str">
        <x:v>SPOT</x:v>
      </x:c>
      <x:c r="K3748" s="23" t="str">
        <x:v>favored_only</x:v>
      </x:c>
      <x:c r="L3748" s="24" t="b">
        <x:v>1</x:v>
      </x:c>
      <x:c r="M3748" s="23" t="n">
        <x:v>1</x:v>
      </x:c>
      <x:c r="N3748" s="28" t="n">
        <x:v>46219.812988715275</x:v>
      </x:c>
      <x:c r="O3748" s="28" t="n">
        <x:v>46219.812988715275</x:v>
      </x:c>
      <x:c r="P3748" s="23" t="str">
        <x:v>SÃO JOAO DE MERITI</x:v>
      </x:c>
      <x:c r="Q3748" s="30" t="n">
        <x:v>36392</x:v>
      </x:c>
      <x:c r="R3748" s="22" t="str">
        <x:f>"24.891.001-0"</x:f>
        <x:v>24.891.001-0</x:v>
      </x:c>
      <x:c r="S3748" s="23" t="str">
        <x:v>feminino</x:v>
      </x:c>
      <x:c r="T3748" s="22" t="str">
        <x:f>"kos6389"</x:f>
        <x:v>kos6389</x:v>
      </x:c>
      <x:c r="U3748" s="23" t="str">
        <x:v>VITORIA BARBOSA DE JESUS</x:v>
      </x:c>
      <x:c r="V3748" s="22" t="str">
        <x:f>"186.191.107-64"</x:f>
        <x:v>186.191.107-64</x:v>
      </x:c>
      <x:c r="W3748" s="22" t="str">
        <x:f>"18619110764"</x:f>
        <x:v>18619110764</x:v>
      </x:c>
      <x:c r="X3748" s="23" t="str">
        <x:v>vitoriabarbosajesus@yahoo.com.br</x:v>
      </x:c>
      <x:c r="Y3748" s="22" t="str">
        <x:f>"2199901-0794"</x:f>
        <x:v>2199901-0794</x:v>
      </x:c>
      <x:c r="Z3748" s="30" t="n">
        <x:v>46543</x:v>
      </x:c>
    </x:row>
    <x:row r="3749" ht="18" customHeight="1">
      <x:c r="A3749" s="22" t="str">
        <x:f>"4c7a6e51-5a4b-4392-8f26-650814006d33"</x:f>
        <x:v>4c7a6e51-5a4b-4392-8f26-650814006d33</x:v>
      </x:c>
      <x:c r="B3749" s="23" t="str">
        <x:v>VITOR KRULL DE CARVALHO</x:v>
      </x:c>
      <x:c r="C3749" s="23" t="str">
        <x:v>vitor krull de carvalho</x:v>
      </x:c>
      <x:c r="D3749" s="22" t="str">
        <x:f>"61.782.765/0001-15"</x:f>
        <x:v>61.782.765/0001-15</x:v>
      </x:c>
      <x:c r="E3749" s="22" t="str">
        <x:f>"61782765000115"</x:f>
        <x:v>61782765000115</x:v>
      </x:c>
      <x:c r="F3749" s="22" t="str">
        <x:f>"016.737.276-97"</x:f>
        <x:v>016.737.276-97</x:v>
      </x:c>
      <x:c r="G3749" s="22" t="str">
        <x:f>"01673727697"</x:f>
        <x:v>01673727697</x:v>
      </x:c>
      <x:c r="H3749" s="23" t="str">
        <x:v>grupoavenidacatuji@gmail.com</x:v>
      </x:c>
      <x:c r="I3749" s="22" t="str">
        <x:f>"33991336298"</x:f>
        <x:v>33991336298</x:v>
      </x:c>
      <x:c r="J3749" s="23" t="str">
        <x:v>SPOT</x:v>
      </x:c>
      <x:c r="K3749" s="23" t="str">
        <x:v>favored_only</x:v>
      </x:c>
      <x:c r="L3749" s="24" t="b">
        <x:v>1</x:v>
      </x:c>
      <x:c r="M3749" s="23" t="n">
        <x:v>1</x:v>
      </x:c>
      <x:c r="N3749" s="28" t="n">
        <x:v>46219.812988715275</x:v>
      </x:c>
      <x:c r="O3749" s="28" t="n">
        <x:v>46219.812988715275</x:v>
      </x:c>
      <x:c r="P3749" s="23" t="str">
        <x:v>TEOFILO OTONI</x:v>
      </x:c>
      <x:c r="Q3749" s="30" t="n">
        <x:v>32037</x:v>
      </x:c>
      <x:c r="R3749" s="22" t="str">
        <x:f>"14963983"</x:f>
        <x:v>14963983</x:v>
      </x:c>
      <x:c r="S3749" s="23" t="str">
        <x:v>masculino</x:v>
      </x:c>
      <x:c r="T3749" s="22" t="str">
        <x:f>"HMK1H26"</x:f>
        <x:v>HMK1H26</x:v>
      </x:c>
      <x:c r="U3749" s="23" t="str">
        <x:v>AVENIDA TRANSPORTES</x:v>
      </x:c>
      <x:c r="V3749" s="22" t="str">
        <x:f>"011.890.866-28"</x:f>
        <x:v>011.890.866-28</x:v>
      </x:c>
      <x:c r="W3749" s="22" t="str">
        <x:f>"01189086628"</x:f>
        <x:v>01189086628</x:v>
      </x:c>
      <x:c r="X3749" s="23" t="str">
        <x:v>GRUPOAVENIDACATUJI@GMAIL.COM</x:v>
      </x:c>
      <x:c r="Y3749" s="22" t="str">
        <x:f>"33 9133-6298"</x:f>
        <x:v>33 9133-6298</x:v>
      </x:c>
      <x:c r="Z3749" s="30" t="n">
        <x:v>46526</x:v>
      </x:c>
    </x:row>
    <x:row r="3750" ht="18" customHeight="1">
      <x:c r="A3750" s="22" t="str">
        <x:f>"7dee6341-4c45-469a-874d-acfe22beeb33"</x:f>
        <x:v>7dee6341-4c45-469a-874d-acfe22beeb33</x:v>
      </x:c>
      <x:c r="B3750" s="23" t="str">
        <x:v>VITOR KRULL DE CARVALHO</x:v>
      </x:c>
      <x:c r="C3750" s="23" t="str">
        <x:v>vitor krull de carvalho</x:v>
      </x:c>
      <x:c r="D3750" s="22" t="str">
        <x:f>"63.366.269/0001-06"</x:f>
        <x:v>63.366.269/0001-06</x:v>
      </x:c>
      <x:c r="E3750" s="22" t="str">
        <x:f>"63366269000106"</x:f>
        <x:v>63366269000106</x:v>
      </x:c>
      <x:c r="F3750" s="22" t="str">
        <x:f>"016.737.276-97"</x:f>
        <x:v>016.737.276-97</x:v>
      </x:c>
      <x:c r="G3750" s="22" t="str">
        <x:f>"01673727697"</x:f>
        <x:v>01673727697</x:v>
      </x:c>
      <x:c r="H3750" s="23" t="str">
        <x:v>grupoavenidacatuji@gmail.com</x:v>
      </x:c>
      <x:c r="I3750" s="22" t="str">
        <x:f>"33991336298"</x:f>
        <x:v>33991336298</x:v>
      </x:c>
      <x:c r="J3750" s="23" t="str">
        <x:v>SPOT</x:v>
      </x:c>
      <x:c r="K3750" s="23" t="str">
        <x:v>favored_only</x:v>
      </x:c>
      <x:c r="L3750" s="24" t="b">
        <x:v>1</x:v>
      </x:c>
      <x:c r="M3750" s="23" t="n">
        <x:v>1</x:v>
      </x:c>
      <x:c r="N3750" s="28" t="n">
        <x:v>46203.92188238426</x:v>
      </x:c>
      <x:c r="O3750" s="28" t="n">
        <x:v>46219.812988715275</x:v>
      </x:c>
      <x:c r="P3750" s="23" t="str">
        <x:v>TEOFILO OTONI</x:v>
      </x:c>
      <x:c r="Q3750" s="30" t="n">
        <x:v>32037</x:v>
      </x:c>
      <x:c r="R3750" s="22" t="str">
        <x:f>"14963983"</x:f>
        <x:v>14963983</x:v>
      </x:c>
      <x:c r="S3750" s="23" t="str">
        <x:v>masculino</x:v>
      </x:c>
      <x:c r="T3750" s="22" t="str">
        <x:f>"HMK1H26"</x:f>
        <x:v>HMK1H26</x:v>
      </x:c>
      <x:c r="U3750" s="23" t="str">
        <x:v>VITOR KRULL DE CARVALHO</x:v>
      </x:c>
      <x:c r="V3750" s="22" t="str">
        <x:f>"016.737.276-97"</x:f>
        <x:v>016.737.276-97</x:v>
      </x:c>
      <x:c r="W3750" s="22" t="str">
        <x:f>"01673727697"</x:f>
        <x:v>01673727697</x:v>
      </x:c>
      <x:c r="X3750" s="23" t="str">
        <x:v>grupoavenidacatuji@gmail.com</x:v>
      </x:c>
      <x:c r="Y3750" s="22" t="str">
        <x:f>"33991336298"</x:f>
        <x:v>33991336298</x:v>
      </x:c>
      <x:c r="Z3750" s="30" t="n">
        <x:v>46323</x:v>
      </x:c>
    </x:row>
    <x:row r="3751" ht="18" customHeight="1">
      <x:c r="A3751" s="22" t="str">
        <x:f>"35e9f087-c7c7-4080-8ec9-e9c824117dd9"</x:f>
        <x:v>35e9f087-c7c7-4080-8ec9-e9c824117dd9</x:v>
      </x:c>
      <x:c r="B3751" s="23" t="str">
        <x:v>VITOR LINHARES CAMPANHA</x:v>
      </x:c>
      <x:c r="C3751" s="23" t="str">
        <x:v>vitor linhares campanha</x:v>
      </x:c>
      <x:c r="D3751" s="22" t="str">
        <x:f>"53.509.281/0001-79"</x:f>
        <x:v>53.509.281/0001-79</x:v>
      </x:c>
      <x:c r="E3751" s="22" t="str">
        <x:f>"53509281000179"</x:f>
        <x:v>53509281000179</x:v>
      </x:c>
      <x:c r="F3751" s="22" t="str">
        <x:f>"138.200.077-41"</x:f>
        <x:v>138.200.077-41</x:v>
      </x:c>
      <x:c r="G3751" s="22" t="str">
        <x:f>"13820007741"</x:f>
        <x:v>13820007741</x:v>
      </x:c>
      <x:c r="H3751" s="23" t="str">
        <x:v>VTLINHARES@HOTMAIL.COM</x:v>
      </x:c>
      <x:c r="I3751" s="22" t="str">
        <x:f>"21 973183176"</x:f>
        <x:v>21 973183176</x:v>
      </x:c>
      <x:c r="J3751" s="23" t="str">
        <x:v>SPOT</x:v>
      </x:c>
      <x:c r="K3751" s="23" t="str">
        <x:v>favored_only</x:v>
      </x:c>
      <x:c r="L3751" s="24" t="b">
        <x:v>1</x:v>
      </x:c>
      <x:c r="M3751" s="23" t="n">
        <x:v>1</x:v>
      </x:c>
      <x:c r="N3751" s="28" t="n">
        <x:v>46219.812988715275</x:v>
      </x:c>
      <x:c r="O3751" s="28" t="n">
        <x:v>46219.812988715275</x:v>
      </x:c>
      <x:c r="P3751" s="23" t="str">
        <x:v>QUEIMADOS</x:v>
      </x:c>
      <x:c r="Q3751" s="30" t="n">
        <x:v>35687</x:v>
      </x:c>
      <x:c r="R3751" s="22" t="str">
        <x:f>"254747561"</x:f>
        <x:v>254747561</x:v>
      </x:c>
      <x:c r="S3751" s="23" t="str">
        <x:v>masculino</x:v>
      </x:c>
      <x:c r="T3751" s="22" t="str">
        <x:f>"LST9E32"</x:f>
        <x:v>LST9E32</x:v>
      </x:c>
      <x:c r="U3751" s="23" t="str">
        <x:v>VITOR LINHARES CAMPANHA</x:v>
      </x:c>
      <x:c r="V3751" s="22" t="str">
        <x:f>"138.200.077-41"</x:f>
        <x:v>138.200.077-41</x:v>
      </x:c>
      <x:c r="W3751" s="22" t="str">
        <x:f>"13820007741"</x:f>
        <x:v>13820007741</x:v>
      </x:c>
      <x:c r="X3751" s="23" t="str">
        <x:v>VTLINHARES@HOTMAIL.COM</x:v>
      </x:c>
      <x:c r="Y3751" s="22" t="str">
        <x:f>"21 973183176"</x:f>
        <x:v>21 973183176</x:v>
      </x:c>
      <x:c r="Z3751" s="30" t="n">
        <x:v>46429</x:v>
      </x:c>
    </x:row>
    <x:row r="3752" ht="18" customHeight="1">
      <x:c r="A3752" s="22" t="str">
        <x:f>"0d0bbe05-648e-4e05-9bbc-fdae45fc8cd7"</x:f>
        <x:v>0d0bbe05-648e-4e05-9bbc-fdae45fc8cd7</x:v>
      </x:c>
      <x:c r="B3752" s="23" t="str">
        <x:v>VITOR MANOEL ARANTES FERREIRA</x:v>
      </x:c>
      <x:c r="C3752" s="23" t="str">
        <x:v>vitor manoel arantes ferreira</x:v>
      </x:c>
      <x:c r="D3752" s="22" t="str">
        <x:f>"66.514.368/0001-86"</x:f>
        <x:v>66.514.368/0001-86</x:v>
      </x:c>
      <x:c r="E3752" s="22" t="str">
        <x:f>"66514368000186"</x:f>
        <x:v>66514368000186</x:v>
      </x:c>
      <x:c r="F3752" s="22" t="str">
        <x:f>"051.382.621-14"</x:f>
        <x:v>051.382.621-14</x:v>
      </x:c>
      <x:c r="G3752" s="22" t="str">
        <x:f>"05138262114"</x:f>
        <x:v>05138262114</x:v>
      </x:c>
      <x:c r="H3752" s="23" t="str">
        <x:v>vitorarantes9144@gmail.com</x:v>
      </x:c>
      <x:c r="I3752" s="22" t="str">
        <x:f>"(67)9 98057522"</x:f>
        <x:v>(67)9 98057522</x:v>
      </x:c>
      <x:c r="J3752" s="23" t="str">
        <x:v>SPOT</x:v>
      </x:c>
      <x:c r="K3752" s="23" t="str">
        <x:v>favored_only</x:v>
      </x:c>
      <x:c r="L3752" s="24" t="b">
        <x:v>1</x:v>
      </x:c>
      <x:c r="M3752" s="23" t="n">
        <x:v>1</x:v>
      </x:c>
      <x:c r="N3752" s="28" t="n">
        <x:v>46219.812988715275</x:v>
      </x:c>
      <x:c r="O3752" s="28" t="n">
        <x:v>46219.812988715275</x:v>
      </x:c>
      <x:c r="P3752" s="23" t="str">
        <x:v>CHAPADÃO DO SUL</x:v>
      </x:c>
      <x:c r="Q3752" s="30" t="n">
        <x:v>36723</x:v>
      </x:c>
      <x:c r="R3752" s="22" t="str">
        <x:f>"2292254"</x:f>
        <x:v>2292254</x:v>
      </x:c>
      <x:c r="S3752" s="23" t="str">
        <x:v>masculino</x:v>
      </x:c>
      <x:c r="T3752" s="22" t="str">
        <x:f>"NRH7J76"</x:f>
        <x:v>NRH7J76</x:v>
      </x:c>
      <x:c r="U3752" s="23" t="str">
        <x:v>LAUANA DE BRITO BARBOSA</x:v>
      </x:c>
      <x:c r="V3752" s="22" t="str">
        <x:f>"062.703.301-65"</x:f>
        <x:v>062.703.301-65</x:v>
      </x:c>
      <x:c r="W3752" s="22" t="str">
        <x:f>"06270330165"</x:f>
        <x:v>06270330165</x:v>
      </x:c>
      <x:c r="X3752" s="23" t="str">
        <x:v>Lauanabritodezoito@gmail.com</x:v>
      </x:c>
      <x:c r="Y3752" s="22" t="str">
        <x:f>"(67)9 98057522"</x:f>
        <x:v>(67)9 98057522</x:v>
      </x:c>
      <x:c r="Z3752" s="30" t="n">
        <x:v>46571</x:v>
      </x:c>
    </x:row>
    <x:row r="3753" ht="18" customHeight="1">
      <x:c r="A3753" s="22" t="str">
        <x:f>"7bd08d85-8507-4378-a1a5-7c94636a5990"</x:f>
        <x:v>7bd08d85-8507-4378-a1a5-7c94636a5990</x:v>
      </x:c>
      <x:c r="B3753" s="23" t="str">
        <x:v>VITOR MANOEL VIRGENS DA PAZ</x:v>
      </x:c>
      <x:c r="C3753" s="23" t="str">
        <x:v>vitor manoel virgens da paz</x:v>
      </x:c>
      <x:c r="D3753" s="22" t="str">
        <x:f>"59.793.571/0001-73"</x:f>
        <x:v>59.793.571/0001-73</x:v>
      </x:c>
      <x:c r="E3753" s="22" t="str">
        <x:f>"59793571000173"</x:f>
        <x:v>59793571000173</x:v>
      </x:c>
      <x:c r="F3753" s="22" t="str">
        <x:f>"169.223.067-08"</x:f>
        <x:v>169.223.067-08</x:v>
      </x:c>
      <x:c r="G3753" s="22" t="str">
        <x:f>"16922306708"</x:f>
        <x:v>16922306708</x:v>
      </x:c>
      <x:c r="H3753" s="23" t="str">
        <x:v>Vitormanoell1234@gmail.com</x:v>
      </x:c>
      <x:c r="I3753" s="22" t="str">
        <x:f>"21959551755"</x:f>
        <x:v>21959551755</x:v>
      </x:c>
      <x:c r="J3753" s="23" t="str">
        <x:v>SPOT</x:v>
      </x:c>
      <x:c r="K3753" s="23" t="str">
        <x:v>favored_only</x:v>
      </x:c>
      <x:c r="L3753" s="24" t="b">
        <x:v>1</x:v>
      </x:c>
      <x:c r="M3753" s="23" t="n">
        <x:v>1</x:v>
      </x:c>
      <x:c r="N3753" s="28" t="n">
        <x:v>46219.812988715275</x:v>
      </x:c>
      <x:c r="O3753" s="28" t="n">
        <x:v>46219.812988715275</x:v>
      </x:c>
      <x:c r="P3753" s="23" t="str">
        <x:v>SÃO JOAO DE MERITI</x:v>
      </x:c>
      <x:c r="Q3753" s="30" t="n">
        <x:v>36075</x:v>
      </x:c>
      <x:c r="R3753" s="22" t="str">
        <x:f>"21959551755"</x:f>
        <x:v>21959551755</x:v>
      </x:c>
      <x:c r="S3753" s="23" t="str">
        <x:v>masculino</x:v>
      </x:c>
      <x:c r="T3753" s="22" t="str">
        <x:f>"TCZ1D46"</x:f>
        <x:v>TCZ1D46</x:v>
      </x:c>
      <x:c r="U3753" s="23" t="str">
        <x:v>VITOR MANOEL VIRGENS DA PAZ</x:v>
      </x:c>
      <x:c r="V3753" s="22" t="str">
        <x:f>"169.223.067-08"</x:f>
        <x:v>169.223.067-08</x:v>
      </x:c>
      <x:c r="W3753" s="22" t="str">
        <x:f>"16922306708"</x:f>
        <x:v>16922306708</x:v>
      </x:c>
      <x:c r="X3753" s="23" t="str">
        <x:v>Vitormanoell1234@gmail.com</x:v>
      </x:c>
      <x:c r="Y3753" s="22" t="str">
        <x:f>"21959551755"</x:f>
        <x:v>21959551755</x:v>
      </x:c>
      <x:c r="Z3753" s="30" t="n">
        <x:v>46445</x:v>
      </x:c>
    </x:row>
    <x:row r="3754" ht="18" customHeight="1">
      <x:c r="A3754" s="22" t="str">
        <x:f>"ccea3c85-e246-496e-8794-4ef1b6ce4e98"</x:f>
        <x:v>ccea3c85-e246-496e-8794-4ef1b6ce4e98</x:v>
      </x:c>
      <x:c r="B3754" s="23" t="str">
        <x:v>VITOR MARQUES DE MELO SILVA</x:v>
      </x:c>
      <x:c r="C3754" s="23" t="str">
        <x:v>vitor marques de melo silva</x:v>
      </x:c>
      <x:c r="D3754" s="22" t="str">
        <x:f>"65.040.199/0001-27"</x:f>
        <x:v>65.040.199/0001-27</x:v>
      </x:c>
      <x:c r="E3754" s="22" t="str">
        <x:f>"65040199000127"</x:f>
        <x:v>65040199000127</x:v>
      </x:c>
      <x:c r="F3754" s="22" t="str">
        <x:f>"156.025.846-25"</x:f>
        <x:v>156.025.846-25</x:v>
      </x:c>
      <x:c r="G3754" s="22" t="str">
        <x:f>"15602584625"</x:f>
        <x:v>15602584625</x:v>
      </x:c>
      <x:c r="H3754" s="23" t="str">
        <x:v>vitormarques.vm25@gmail.com</x:v>
      </x:c>
      <x:c r="I3754" s="22" t="str">
        <x:f>"(35) 999951408"</x:f>
        <x:v>(35) 999951408</x:v>
      </x:c>
      <x:c r="J3754" s="23" t="str">
        <x:v>spot</x:v>
      </x:c>
      <x:c r="K3754" s="23" t="str">
        <x:v>favored_only</x:v>
      </x:c>
      <x:c r="L3754" s="24" t="b">
        <x:v>1</x:v>
      </x:c>
      <x:c r="M3754" s="23" t="n">
        <x:v>1</x:v>
      </x:c>
      <x:c r="N3754" s="28" t="n">
        <x:v>46219.812988715275</x:v>
      </x:c>
      <x:c r="O3754" s="28" t="n">
        <x:v>46219.812988715275</x:v>
      </x:c>
      <x:c r="P3754" s="23" t="str">
        <x:v>POUSO ALEGRE</x:v>
      </x:c>
      <x:c r="Q3754" s="30" t="n">
        <x:v>36369</x:v>
      </x:c>
      <x:c r="R3754" s="22" t="str">
        <x:f>"MG18925907 SSP MG"</x:f>
        <x:v>MG18925907 SSP MG</x:v>
      </x:c>
      <x:c r="S3754" s="23" t="str">
        <x:v>masculino</x:v>
      </x:c>
      <x:c r="T3754" s="22" t="str">
        <x:f>"ETP4C50"</x:f>
        <x:v>ETP4C50</x:v>
      </x:c>
      <x:c r="U3754" s="23" t="str">
        <x:v>EVANDRO DE MELO SILVA</x:v>
      </x:c>
      <x:c r="V3754" s="22" t="str">
        <x:f>"189.666.588-81"</x:f>
        <x:v>189.666.588-81</x:v>
      </x:c>
      <x:c r="W3754" s="22" t="str">
        <x:f>"18966658881"</x:f>
        <x:v>18966658881</x:v>
      </x:c>
      <x:c r="X3754" s="23" t="str">
        <x:v>evandromelosilva42@gmail.com</x:v>
      </x:c>
      <x:c r="Y3754" s="22" t="str">
        <x:f>"(35) 98444-2512"</x:f>
        <x:v>(35) 98444-2512</x:v>
      </x:c>
      <x:c r="Z3754" s="30" t="n">
        <x:v>46430</x:v>
      </x:c>
    </x:row>
    <x:row r="3755" ht="18" customHeight="1">
      <x:c r="A3755" s="22" t="str">
        <x:f>"6f4c8784-0299-464e-b7fa-6b272fce1494"</x:f>
        <x:v>6f4c8784-0299-464e-b7fa-6b272fce1494</x:v>
      </x:c>
      <x:c r="B3755" s="23" t="str">
        <x:v>VITOR MARTINS FERREIRA</x:v>
      </x:c>
      <x:c r="C3755" s="23" t="str">
        <x:v>vitor martins ferreira</x:v>
      </x:c>
      <x:c r="D3755" s="22" t="str">
        <x:f>"63.656.248/0001-25"</x:f>
        <x:v>63.656.248/0001-25</x:v>
      </x:c>
      <x:c r="E3755" s="22" t="str">
        <x:f>"63656248000125"</x:f>
        <x:v>63656248000125</x:v>
      </x:c>
      <x:c r="F3755" s="22" t="str">
        <x:f>"218.495.268-00"</x:f>
        <x:v>218.495.268-00</x:v>
      </x:c>
      <x:c r="G3755" s="22" t="str">
        <x:f>"21849526800"</x:f>
        <x:v>21849526800</x:v>
      </x:c>
      <x:c r="H3755" s="23" t="str">
        <x:v>vitor.martins030405@gamil.com</x:v>
      </x:c>
      <x:c r="I3755" s="22" t="str">
        <x:f>"11965733640"</x:f>
        <x:v>11965733640</x:v>
      </x:c>
      <x:c r="J3755" s="23" t="str">
        <x:v>RENTAL</x:v>
      </x:c>
      <x:c r="K3755" s="23" t="str">
        <x:v>rental_company</x:v>
      </x:c>
      <x:c r="L3755" s="24" t="b">
        <x:v>1</x:v>
      </x:c>
      <x:c r="M3755" s="23" t="n">
        <x:v>1</x:v>
      </x:c>
      <x:c r="N3755" s="28" t="n">
        <x:v>46205.606351724535</x:v>
      </x:c>
      <x:c r="O3755" s="28" t="n">
        <x:v>46219.812988715275</x:v>
      </x:c>
      <x:c r="P3755" s="23" t="str">
        <x:v>BARUERI</x:v>
      </x:c>
      <x:c r="Q3755" s="30" t="n">
        <x:v>29111</x:v>
      </x:c>
      <x:c r="R3755" s="22" t="str">
        <x:f>"32011356"</x:f>
        <x:v>32011356</x:v>
      </x:c>
      <x:c r="S3755" s="23" t="str">
        <x:v>masculino</x:v>
      </x:c>
      <x:c r="T3755" s="22" t="str"/>
      <x:c r="U3755" s="23" t="str">
        <x:v>CLAUDIA PAPA</x:v>
      </x:c>
      <x:c r="V3755" s="22" t="str">
        <x:f>"315.914.708-23"</x:f>
        <x:v>315.914.708-23</x:v>
      </x:c>
      <x:c r="W3755" s="22" t="str">
        <x:f>"31591470823"</x:f>
        <x:v>31591470823</x:v>
      </x:c>
      <x:c r="X3755" s="23" t="str">
        <x:v>claudiapapa931@gmail.com</x:v>
      </x:c>
      <x:c r="Y3755" s="22" t="str">
        <x:f>"11988968522"</x:f>
        <x:v>11988968522</x:v>
      </x:c>
      <x:c r="Z3755" s="30" t="n">
        <x:v>46354</x:v>
      </x:c>
    </x:row>
    <x:row r="3756" ht="18" customHeight="1">
      <x:c r="A3756" s="22" t="str">
        <x:f>"9c479f7b-0a83-4781-86f2-68a3a7e9aaf4"</x:f>
        <x:v>9c479f7b-0a83-4781-86f2-68a3a7e9aaf4</x:v>
      </x:c>
      <x:c r="B3756" s="23" t="str">
        <x:v>VITOR MEIRA ARAUJO</x:v>
      </x:c>
      <x:c r="C3756" s="23" t="str">
        <x:v>vitor meira araujo</x:v>
      </x:c>
      <x:c r="D3756" s="22" t="str">
        <x:f>"44.977.434/0001-11"</x:f>
        <x:v>44.977.434/0001-11</x:v>
      </x:c>
      <x:c r="E3756" s="22" t="str">
        <x:f>"44977434000111"</x:f>
        <x:v>44977434000111</x:v>
      </x:c>
      <x:c r="F3756" s="22" t="str">
        <x:f>"336.029.638-96"</x:f>
        <x:v>336.029.638-96</x:v>
      </x:c>
      <x:c r="G3756" s="22" t="str">
        <x:f>"33602963896"</x:f>
        <x:v>33602963896</x:v>
      </x:c>
      <x:c r="H3756" s="23" t="str">
        <x:v>Vitor.meira523@gmail.com</x:v>
      </x:c>
      <x:c r="I3756" s="22" t="str">
        <x:f>"11913339512"</x:f>
        <x:v>11913339512</x:v>
      </x:c>
      <x:c r="J3756" s="23" t="str">
        <x:v>RENTAL</x:v>
      </x:c>
      <x:c r="K3756" s="23" t="str">
        <x:v>rental_company</x:v>
      </x:c>
      <x:c r="L3756" s="24" t="b">
        <x:v>1</x:v>
      </x:c>
      <x:c r="M3756" s="23" t="n">
        <x:v>1</x:v>
      </x:c>
      <x:c r="N3756" s="28" t="n">
        <x:v>46219.812988715275</x:v>
      </x:c>
      <x:c r="O3756" s="28" t="n">
        <x:v>46219.812988715275</x:v>
      </x:c>
      <x:c r="P3756" s="23" t="str">
        <x:v>BARUERI</x:v>
      </x:c>
      <x:c r="Q3756" s="30" t="n">
        <x:v>35179</x:v>
      </x:c>
      <x:c r="R3756" s="22" t="str">
        <x:f>"38099786"</x:f>
        <x:v>38099786</x:v>
      </x:c>
      <x:c r="S3756" s="23" t="str">
        <x:v>masculino</x:v>
      </x:c>
      <x:c r="T3756" s="22" t="str"/>
      <x:c r="U3756" s="23" t="str">
        <x:v>VITOR MEIRA ARAUJO</x:v>
      </x:c>
      <x:c r="V3756" s="22" t="str">
        <x:f>"336.029.638-96"</x:f>
        <x:v>336.029.638-96</x:v>
      </x:c>
      <x:c r="W3756" s="22" t="str">
        <x:f>"33602963896"</x:f>
        <x:v>33602963896</x:v>
      </x:c>
      <x:c r="X3756" s="23" t="str">
        <x:v>Vitor.meira523@gmail.com</x:v>
      </x:c>
      <x:c r="Y3756" s="22" t="str">
        <x:f>"11913339512"</x:f>
        <x:v>11913339512</x:v>
      </x:c>
      <x:c r="Z3756" s="30" t="n">
        <x:v>46563</x:v>
      </x:c>
    </x:row>
    <x:row r="3757" ht="18" customHeight="1">
      <x:c r="A3757" s="22" t="str">
        <x:f>"2f319aa8-7c00-4bb9-a010-5c212ddd0d5e"</x:f>
        <x:v>2f319aa8-7c00-4bb9-a010-5c212ddd0d5e</x:v>
      </x:c>
      <x:c r="B3757" s="23" t="str">
        <x:v>VITOR QUINTINO BORRET</x:v>
      </x:c>
      <x:c r="C3757" s="23" t="str">
        <x:v>vitor quintino borret</x:v>
      </x:c>
      <x:c r="D3757" s="22" t="str">
        <x:f>"61.955.731/0001-85"</x:f>
        <x:v>61.955.731/0001-85</x:v>
      </x:c>
      <x:c r="E3757" s="22" t="str">
        <x:f>"61955731000185"</x:f>
        <x:v>61955731000185</x:v>
      </x:c>
      <x:c r="F3757" s="22" t="str">
        <x:f>"132.702.987-14"</x:f>
        <x:v>132.702.987-14</x:v>
      </x:c>
      <x:c r="G3757" s="22" t="str">
        <x:f>"13270298714"</x:f>
        <x:v>13270298714</x:v>
      </x:c>
      <x:c r="H3757" s="23" t="str">
        <x:v>Vitor.quintino.92@gmail.com</x:v>
      </x:c>
      <x:c r="I3757" s="22" t="str">
        <x:f>"21965186173"</x:f>
        <x:v>21965186173</x:v>
      </x:c>
      <x:c r="J3757" s="23" t="str">
        <x:v>SPOT</x:v>
      </x:c>
      <x:c r="K3757" s="23" t="str">
        <x:v>favored_only</x:v>
      </x:c>
      <x:c r="L3757" s="24" t="b">
        <x:v>1</x:v>
      </x:c>
      <x:c r="M3757" s="23" t="n">
        <x:v>1</x:v>
      </x:c>
      <x:c r="N3757" s="28" t="n">
        <x:v>46219.812988715275</x:v>
      </x:c>
      <x:c r="O3757" s="28" t="n">
        <x:v>46219.812988715275</x:v>
      </x:c>
      <x:c r="P3757" s="23" t="str">
        <x:v>SÃO JOAO DE MERITI</x:v>
      </x:c>
      <x:c r="Q3757" s="30" t="n">
        <x:v>33723</x:v>
      </x:c>
      <x:c r="R3757" s="22" t="str">
        <x:f>"263985491"</x:f>
        <x:v>263985491</x:v>
      </x:c>
      <x:c r="S3757" s="23" t="str">
        <x:v>masculino</x:v>
      </x:c>
      <x:c r="T3757" s="22" t="str">
        <x:f>"KYB7B76"</x:f>
        <x:v>KYB7B76</x:v>
      </x:c>
      <x:c r="U3757" s="23" t="str">
        <x:v>VITOR QUINTINO BORRET</x:v>
      </x:c>
      <x:c r="V3757" s="22" t="str">
        <x:f>"132.702.987-14"</x:f>
        <x:v>132.702.987-14</x:v>
      </x:c>
      <x:c r="W3757" s="22" t="str">
        <x:f>"13270298714"</x:f>
        <x:v>13270298714</x:v>
      </x:c>
      <x:c r="X3757" s="23" t="str">
        <x:v>Vitor.quintino.92@gmail.com</x:v>
      </x:c>
      <x:c r="Y3757" s="22" t="str">
        <x:f>"21965186173"</x:f>
        <x:v>21965186173</x:v>
      </x:c>
      <x:c r="Z3757" s="30" t="n">
        <x:v>46526</x:v>
      </x:c>
    </x:row>
    <x:row r="3758" ht="18" customHeight="1">
      <x:c r="A3758" s="22" t="str">
        <x:f>"a241e06d-244a-4a24-8410-9ac4d2059ef8"</x:f>
        <x:v>a241e06d-244a-4a24-8410-9ac4d2059ef8</x:v>
      </x:c>
      <x:c r="B3758" s="23" t="str">
        <x:v>VITOR REZENDE CAVALCANTE DE SOUZA</x:v>
      </x:c>
      <x:c r="C3758" s="23" t="str">
        <x:v>vitor rezende cavalcante de souza</x:v>
      </x:c>
      <x:c r="D3758" s="22" t="str">
        <x:f>"44.995.206/0001-74"</x:f>
        <x:v>44.995.206/0001-74</x:v>
      </x:c>
      <x:c r="E3758" s="22" t="str">
        <x:f>"44995206000174"</x:f>
        <x:v>44995206000174</x:v>
      </x:c>
      <x:c r="F3758" s="22" t="str">
        <x:f>"175.814.577-37"</x:f>
        <x:v>175.814.577-37</x:v>
      </x:c>
      <x:c r="G3758" s="22" t="str">
        <x:f>"17581457737"</x:f>
        <x:v>17581457737</x:v>
      </x:c>
      <x:c r="H3758" s="23" t="str">
        <x:v>vitorrcavalcante08@gmail.com</x:v>
      </x:c>
      <x:c r="I3758" s="22" t="str">
        <x:f>"982963686"</x:f>
        <x:v>982963686</x:v>
      </x:c>
      <x:c r="J3758" s="23" t="str">
        <x:v>SPOT</x:v>
      </x:c>
      <x:c r="K3758" s="23" t="str">
        <x:v>favored_only</x:v>
      </x:c>
      <x:c r="L3758" s="24" t="b">
        <x:v>1</x:v>
      </x:c>
      <x:c r="M3758" s="23" t="n">
        <x:v>1</x:v>
      </x:c>
      <x:c r="N3758" s="28" t="n">
        <x:v>46203.92189349537</x:v>
      </x:c>
      <x:c r="O3758" s="28" t="n">
        <x:v>46219.812988715275</x:v>
      </x:c>
      <x:c r="P3758" s="23" t="str">
        <x:v>QUEIMADOS</x:v>
      </x:c>
      <x:c r="Q3758" s="30" t="n">
        <x:v>35193</x:v>
      </x:c>
      <x:c r="R3758" s="22" t="str">
        <x:f>"216326553"</x:f>
        <x:v>216326553</x:v>
      </x:c>
      <x:c r="S3758" s="23" t="str">
        <x:v>masculino</x:v>
      </x:c>
      <x:c r="T3758" s="22" t="str">
        <x:f>"KYP6A91"</x:f>
        <x:v>KYP6A91</x:v>
      </x:c>
      <x:c r="U3758" s="23" t="str">
        <x:v>VITOR REZENDE CAVALCANTE DE SOUZA</x:v>
      </x:c>
      <x:c r="V3758" s="22" t="str">
        <x:f>"175.814.577-37"</x:f>
        <x:v>175.814.577-37</x:v>
      </x:c>
      <x:c r="W3758" s="22" t="str">
        <x:f>"17581457737"</x:f>
        <x:v>17581457737</x:v>
      </x:c>
      <x:c r="X3758" s="23" t="str">
        <x:v>vitorrcavalcante08@gmail.com</x:v>
      </x:c>
      <x:c r="Y3758" s="22" t="str">
        <x:f>"982963686"</x:f>
        <x:v>982963686</x:v>
      </x:c>
      <x:c r="Z3758" s="30" t="n">
        <x:v>46336</x:v>
      </x:c>
    </x:row>
    <x:row r="3759" ht="18" customHeight="1">
      <x:c r="A3759" s="22" t="str">
        <x:f>"c1839e09-68a7-4ec7-8b9c-8f1662de1f02"</x:f>
        <x:v>c1839e09-68a7-4ec7-8b9c-8f1662de1f02</x:v>
      </x:c>
      <x:c r="B3759" s="23" t="str">
        <x:v>VITOR RODRIGUES FELIX</x:v>
      </x:c>
      <x:c r="C3759" s="23" t="str">
        <x:v>vitor rodrigues felix</x:v>
      </x:c>
      <x:c r="D3759" s="22" t="str">
        <x:f>"53.844.397/0001-64"</x:f>
        <x:v>53.844.397/0001-64</x:v>
      </x:c>
      <x:c r="E3759" s="22" t="str">
        <x:f>"53844397000164"</x:f>
        <x:v>53844397000164</x:v>
      </x:c>
      <x:c r="F3759" s="22" t="str">
        <x:f>"157.569.897-81"</x:f>
        <x:v>157.569.897-81</x:v>
      </x:c>
      <x:c r="G3759" s="22" t="str">
        <x:f>"15756989781"</x:f>
        <x:v>15756989781</x:v>
      </x:c>
      <x:c r="H3759" s="23" t="str">
        <x:v>vitor.malote10@gmail.com</x:v>
      </x:c>
      <x:c r="I3759" s="22" t="str">
        <x:f>"21985433845"</x:f>
        <x:v>21985433845</x:v>
      </x:c>
      <x:c r="J3759" s="23" t="str">
        <x:v>SPOT</x:v>
      </x:c>
      <x:c r="K3759" s="23" t="str">
        <x:v>favored_only</x:v>
      </x:c>
      <x:c r="L3759" s="24" t="b">
        <x:v>1</x:v>
      </x:c>
      <x:c r="M3759" s="23" t="n">
        <x:v>1</x:v>
      </x:c>
      <x:c r="N3759" s="28" t="n">
        <x:v>46219.812988715275</x:v>
      </x:c>
      <x:c r="O3759" s="28" t="n">
        <x:v>46219.812988715275</x:v>
      </x:c>
      <x:c r="P3759" s="23" t="str">
        <x:v>QUEIMADOS</x:v>
      </x:c>
      <x:c r="Q3759" s="30" t="n">
        <x:v>35606</x:v>
      </x:c>
      <x:c r="R3759" s="22" t="str">
        <x:f>"265878561"</x:f>
        <x:v>265878561</x:v>
      </x:c>
      <x:c r="S3759" s="23" t="str">
        <x:v>masculino</x:v>
      </x:c>
      <x:c r="T3759" s="22" t="str">
        <x:f>"QMS6E82"</x:f>
        <x:v>QMS6E82</x:v>
      </x:c>
      <x:c r="U3759" s="23" t="str">
        <x:v>VITOR VINICIUS DA SILVA ALMEIDA</x:v>
      </x:c>
      <x:c r="V3759" s="22" t="str">
        <x:f>"163.979.227-90"</x:f>
        <x:v>163.979.227-90</x:v>
      </x:c>
      <x:c r="W3759" s="22" t="str">
        <x:f>"16397922790"</x:f>
        <x:v>16397922790</x:v>
      </x:c>
      <x:c r="X3759" s="23" t="str">
        <x:v>vitor.vinicius8@gmail.com</x:v>
      </x:c>
      <x:c r="Y3759" s="22" t="str">
        <x:f>"21971708135"</x:f>
        <x:v>21971708135</x:v>
      </x:c>
      <x:c r="Z3759" s="30" t="n">
        <x:v>46582</x:v>
      </x:c>
    </x:row>
    <x:row r="3760" ht="18" customHeight="1">
      <x:c r="A3760" s="22" t="str">
        <x:f>"9c690e8b-28ba-490f-a1a7-e691d2904fd4"</x:f>
        <x:v>9c690e8b-28ba-490f-a1a7-e691d2904fd4</x:v>
      </x:c>
      <x:c r="B3760" s="23" t="str">
        <x:v>VITOR SANTOS ARRUDA</x:v>
      </x:c>
      <x:c r="C3760" s="23" t="str">
        <x:v>vitor santos arruda</x:v>
      </x:c>
      <x:c r="D3760" s="22" t="str">
        <x:f>"61.874.826/0001-74"</x:f>
        <x:v>61.874.826/0001-74</x:v>
      </x:c>
      <x:c r="E3760" s="22" t="str">
        <x:f>"61874826000174"</x:f>
        <x:v>61874826000174</x:v>
      </x:c>
      <x:c r="F3760" s="22" t="str">
        <x:f>"062.589.861-37"</x:f>
        <x:v>062.589.861-37</x:v>
      </x:c>
      <x:c r="G3760" s="22" t="str">
        <x:f>"06258986137"</x:f>
        <x:v>06258986137</x:v>
      </x:c>
      <x:c r="H3760" s="23" t="str">
        <x:v>vitorarruda052@gmail.com</x:v>
      </x:c>
      <x:c r="I3760" s="22" t="str">
        <x:f>"65 99241-5651"</x:f>
        <x:v>65 99241-5651</x:v>
      </x:c>
      <x:c r="J3760" s="23" t="str">
        <x:v>SPOT</x:v>
      </x:c>
      <x:c r="K3760" s="23" t="str">
        <x:v>favored_only</x:v>
      </x:c>
      <x:c r="L3760" s="24" t="b">
        <x:v>1</x:v>
      </x:c>
      <x:c r="M3760" s="23" t="n">
        <x:v>1</x:v>
      </x:c>
      <x:c r="N3760" s="28" t="n">
        <x:v>46205.603814050926</x:v>
      </x:c>
      <x:c r="O3760" s="28" t="n">
        <x:v>46219.812988715275</x:v>
      </x:c>
      <x:c r="P3760" s="23" t="str">
        <x:v>PONTES E LACERDA</x:v>
      </x:c>
      <x:c r="Q3760" s="30" t="n">
        <x:v>37730</x:v>
      </x:c>
      <x:c r="R3760" s="22" t="str">
        <x:f>"5547329"</x:f>
        <x:v>5547329</x:v>
      </x:c>
      <x:c r="S3760" s="23" t="str">
        <x:v>masculino</x:v>
      </x:c>
      <x:c r="T3760" s="22" t="str">
        <x:f>"CLB6B33"</x:f>
        <x:v>CLB6B33</x:v>
      </x:c>
      <x:c r="U3760" s="23" t="str">
        <x:v>ALINE RUMAO DA COSTA</x:v>
      </x:c>
      <x:c r="V3760" s="22" t="str">
        <x:f>"062.526.391-09"</x:f>
        <x:v>062.526.391-09</x:v>
      </x:c>
      <x:c r="W3760" s="22" t="str">
        <x:f>"06252639109"</x:f>
        <x:v>06252639109</x:v>
      </x:c>
      <x:c r="X3760" s="23" t="str">
        <x:v>alinerumaodacostaarruda@gmail.com</x:v>
      </x:c>
      <x:c r="Y3760" s="22" t="str">
        <x:f>"65 9265-4834"</x:f>
        <x:v>65 9265-4834</x:v>
      </x:c>
      <x:c r="Z3760" s="30" t="n">
        <x:v>46241</x:v>
      </x:c>
    </x:row>
    <x:row r="3761" ht="18" customHeight="1">
      <x:c r="A3761" s="22" t="str">
        <x:f>"40b2d63b-daad-4a8d-a351-26cf24f30a58"</x:f>
        <x:v>40b2d63b-daad-4a8d-a351-26cf24f30a58</x:v>
      </x:c>
      <x:c r="B3761" s="23" t="str">
        <x:v>VITOR VINICIUS DA SILVA ALMEIDA</x:v>
      </x:c>
      <x:c r="C3761" s="23" t="str">
        <x:v>vitor vinicius da silva almeida</x:v>
      </x:c>
      <x:c r="D3761" s="22" t="str">
        <x:f>"53.844.397/0001-64"</x:f>
        <x:v>53.844.397/0001-64</x:v>
      </x:c>
      <x:c r="E3761" s="22" t="str">
        <x:f>"53844397000164"</x:f>
        <x:v>53844397000164</x:v>
      </x:c>
      <x:c r="F3761" s="22" t="str">
        <x:f>"163.979.227-90"</x:f>
        <x:v>163.979.227-90</x:v>
      </x:c>
      <x:c r="G3761" s="22" t="str">
        <x:f>"16397922790"</x:f>
        <x:v>16397922790</x:v>
      </x:c>
      <x:c r="H3761" s="23" t="str">
        <x:v>vitor.vinicius8@gmail.com</x:v>
      </x:c>
      <x:c r="I3761" s="22" t="str">
        <x:f>"21971708135"</x:f>
        <x:v>21971708135</x:v>
      </x:c>
      <x:c r="J3761" s="23" t="str">
        <x:v>SPOT</x:v>
      </x:c>
      <x:c r="K3761" s="23" t="str">
        <x:v>favored_only</x:v>
      </x:c>
      <x:c r="L3761" s="24" t="b">
        <x:v>1</x:v>
      </x:c>
      <x:c r="M3761" s="23" t="n">
        <x:v>1</x:v>
      </x:c>
      <x:c r="N3761" s="28" t="n">
        <x:v>46219.812988715275</x:v>
      </x:c>
      <x:c r="O3761" s="28" t="n">
        <x:v>46219.812988715275</x:v>
      </x:c>
      <x:c r="P3761" s="23" t="str">
        <x:v>QUEIMADOS</x:v>
      </x:c>
      <x:c r="Q3761" s="30" t="n">
        <x:v>35358</x:v>
      </x:c>
      <x:c r="R3761" s="22" t="str">
        <x:f>"306623349"</x:f>
        <x:v>306623349</x:v>
      </x:c>
      <x:c r="S3761" s="23" t="str">
        <x:v>masculino</x:v>
      </x:c>
      <x:c r="T3761" s="22" t="str">
        <x:f>"QMS6E82"</x:f>
        <x:v>QMS6E82</x:v>
      </x:c>
      <x:c r="U3761" s="23" t="str">
        <x:v>VITOR VINICIUS DA SILVA ALMEIDA</x:v>
      </x:c>
      <x:c r="V3761" s="22" t="str">
        <x:f>"163.979.227-90"</x:f>
        <x:v>163.979.227-90</x:v>
      </x:c>
      <x:c r="W3761" s="22" t="str">
        <x:f>"16397922790"</x:f>
        <x:v>16397922790</x:v>
      </x:c>
      <x:c r="X3761" s="23" t="str">
        <x:v>vitor.vinicius8@gmail.com</x:v>
      </x:c>
      <x:c r="Y3761" s="22" t="str">
        <x:f>"21971708135"</x:f>
        <x:v>21971708135</x:v>
      </x:c>
      <x:c r="Z3761" s="30" t="n">
        <x:v>46558</x:v>
      </x:c>
    </x:row>
    <x:row r="3762" ht="18" customHeight="1">
      <x:c r="A3762" s="22" t="str">
        <x:f>"fddee8ce-090a-447e-92d6-2ac073903d6f"</x:f>
        <x:v>fddee8ce-090a-447e-92d6-2ac073903d6f</x:v>
      </x:c>
      <x:c r="B3762" s="23" t="str">
        <x:v>VIVALDO JOSE DA SILVA FILHO</x:v>
      </x:c>
      <x:c r="C3762" s="23" t="str">
        <x:v>vivaldo jose da silva filho</x:v>
      </x:c>
      <x:c r="D3762" s="22" t="str">
        <x:f>"62.240.016/0001-29"</x:f>
        <x:v>62.240.016/0001-29</x:v>
      </x:c>
      <x:c r="E3762" s="22" t="str">
        <x:f>"62240016000129"</x:f>
        <x:v>62240016000129</x:v>
      </x:c>
      <x:c r="F3762" s="22" t="str">
        <x:f>"038.090.025-42"</x:f>
        <x:v>038.090.025-42</x:v>
      </x:c>
      <x:c r="G3762" s="22" t="str">
        <x:f>"03809002542"</x:f>
        <x:v>03809002542</x:v>
      </x:c>
      <x:c r="H3762" s="23" t="str">
        <x:v>vivaldo.filho@live.com</x:v>
      </x:c>
      <x:c r="I3762" s="22" t="str">
        <x:f>"74999105314"</x:f>
        <x:v>74999105314</x:v>
      </x:c>
      <x:c r="J3762" s="23" t="str">
        <x:v>RENTAL</x:v>
      </x:c>
      <x:c r="K3762" s="23" t="str">
        <x:v>rental_company</x:v>
      </x:c>
      <x:c r="L3762" s="24" t="b">
        <x:v>1</x:v>
      </x:c>
      <x:c r="M3762" s="23" t="n">
        <x:v>1</x:v>
      </x:c>
      <x:c r="N3762" s="28" t="n">
        <x:v>46219.812988715275</x:v>
      </x:c>
      <x:c r="O3762" s="28" t="n">
        <x:v>46219.812988715275</x:v>
      </x:c>
      <x:c r="P3762" s="23" t="str">
        <x:v>RIO VERDE</x:v>
      </x:c>
      <x:c r="Q3762" s="30" t="n">
        <x:v>31873</x:v>
      </x:c>
      <x:c r="R3762" s="22" t="str">
        <x:f>"1425125247"</x:f>
        <x:v>1425125247</x:v>
      </x:c>
      <x:c r="S3762" s="23" t="str">
        <x:v>masculino</x:v>
      </x:c>
      <x:c r="T3762" s="22" t="str"/>
      <x:c r="U3762" s="23" t="str">
        <x:v>VIVALDO JOSE DA SILVA FILHO</x:v>
      </x:c>
      <x:c r="V3762" s="22" t="str">
        <x:f>"038.090.025-42"</x:f>
        <x:v>038.090.025-42</x:v>
      </x:c>
      <x:c r="W3762" s="22" t="str">
        <x:f>"03809002542"</x:f>
        <x:v>03809002542</x:v>
      </x:c>
      <x:c r="X3762" s="23" t="str">
        <x:v>vivaldo.filho@live.com</x:v>
      </x:c>
      <x:c r="Y3762" s="22" t="str">
        <x:f>"74999105314"</x:f>
        <x:v>74999105314</x:v>
      </x:c>
      <x:c r="Z3762" s="30" t="n">
        <x:v>46582</x:v>
      </x:c>
    </x:row>
    <x:row r="3763" ht="18" customHeight="1">
      <x:c r="A3763" s="22" t="str">
        <x:f>"fd9f737f-ad89-4804-b148-f5746556ea0b"</x:f>
        <x:v>fd9f737f-ad89-4804-b148-f5746556ea0b</x:v>
      </x:c>
      <x:c r="B3763" s="23" t="str">
        <x:v>VIVIAN CAROLINA PICIRILLO</x:v>
      </x:c>
      <x:c r="C3763" s="23" t="str">
        <x:v>vivian carolina picirillo</x:v>
      </x:c>
      <x:c r="D3763" s="22" t="str">
        <x:f>"57.753.810/0001-36"</x:f>
        <x:v>57.753.810/0001-36</x:v>
      </x:c>
      <x:c r="E3763" s="22" t="str">
        <x:f>"57753810000136"</x:f>
        <x:v>57753810000136</x:v>
      </x:c>
      <x:c r="F3763" s="22" t="str">
        <x:f>"451.701.128-31"</x:f>
        <x:v>451.701.128-31</x:v>
      </x:c>
      <x:c r="G3763" s="22" t="str">
        <x:f>"45170112831"</x:f>
        <x:v>45170112831</x:v>
      </x:c>
      <x:c r="H3763" s="23" t="str">
        <x:v>viviancarolinapicirillo@gmail.com</x:v>
      </x:c>
      <x:c r="I3763" s="22" t="str">
        <x:f>"(16)99789-1719"</x:f>
        <x:v>(16)99789-1719</x:v>
      </x:c>
      <x:c r="J3763" s="23" t="str">
        <x:v>RENTAL</x:v>
      </x:c>
      <x:c r="K3763" s="23" t="str">
        <x:v>rental_company</x:v>
      </x:c>
      <x:c r="L3763" s="24" t="b">
        <x:v>1</x:v>
      </x:c>
      <x:c r="M3763" s="23" t="n">
        <x:v>1</x:v>
      </x:c>
      <x:c r="N3763" s="28" t="n">
        <x:v>46203.92183017361</x:v>
      </x:c>
      <x:c r="O3763" s="28" t="n">
        <x:v>46219.812988715275</x:v>
      </x:c>
      <x:c r="P3763" s="23" t="str">
        <x:v>SÃO CARLOS</x:v>
      </x:c>
      <x:c r="Q3763" s="30" t="n">
        <x:v>34842</x:v>
      </x:c>
      <x:c r="R3763" s="22" t="str">
        <x:f>"45441429"</x:f>
        <x:v>45441429</x:v>
      </x:c>
      <x:c r="S3763" s="23" t="str">
        <x:v>feminino</x:v>
      </x:c>
      <x:c r="T3763" s="22" t="str"/>
      <x:c r="U3763" s="23" t="str">
        <x:v>VIVIAN CAROLINA PICIRILLO</x:v>
      </x:c>
      <x:c r="V3763" s="22" t="str">
        <x:f>"451.701.128-31"</x:f>
        <x:v>451.701.128-31</x:v>
      </x:c>
      <x:c r="W3763" s="22" t="str">
        <x:f>"45170112831"</x:f>
        <x:v>45170112831</x:v>
      </x:c>
      <x:c r="X3763" s="23" t="str">
        <x:v>viviancarolinapicirillo@gmail.com</x:v>
      </x:c>
      <x:c r="Y3763" s="22" t="str">
        <x:f>"(16)99789-1719"</x:f>
        <x:v>(16)99789-1719</x:v>
      </x:c>
      <x:c r="Z3763" s="30" t="n">
        <x:v>46277</x:v>
      </x:c>
    </x:row>
    <x:row r="3764" ht="18" customHeight="1">
      <x:c r="A3764" s="22" t="str">
        <x:f>"ebc777e1-ba77-427f-b26b-52a5e52849bb"</x:f>
        <x:v>ebc777e1-ba77-427f-b26b-52a5e52849bb</x:v>
      </x:c>
      <x:c r="B3764" s="23" t="str">
        <x:v>VIVIANE CRISTINA DA SILVA</x:v>
      </x:c>
      <x:c r="C3764" s="23" t="str">
        <x:v>viviane cristina da silva</x:v>
      </x:c>
      <x:c r="D3764" s="22" t="str">
        <x:f>"51.315.561/0001-10"</x:f>
        <x:v>51.315.561/0001-10</x:v>
      </x:c>
      <x:c r="E3764" s="22" t="str">
        <x:f>"51315561000110"</x:f>
        <x:v>51315561000110</x:v>
      </x:c>
      <x:c r="F3764" s="22" t="str">
        <x:f>"049.064.446-52"</x:f>
        <x:v>049.064.446-52</x:v>
      </x:c>
      <x:c r="G3764" s="22" t="str">
        <x:f>"04906444652"</x:f>
        <x:v>04906444652</x:v>
      </x:c>
      <x:c r="H3764" s="23" t="str">
        <x:v>galegaa@bol.com.br</x:v>
      </x:c>
      <x:c r="I3764" s="22" t="str">
        <x:f>"11943486404"</x:f>
        <x:v>11943486404</x:v>
      </x:c>
      <x:c r="J3764" s="23" t="str">
        <x:v>SPOT</x:v>
      </x:c>
      <x:c r="K3764" s="23" t="str">
        <x:v>favored_only</x:v>
      </x:c>
      <x:c r="L3764" s="24" t="b">
        <x:v>1</x:v>
      </x:c>
      <x:c r="M3764" s="23" t="n">
        <x:v>1</x:v>
      </x:c>
      <x:c r="N3764" s="28" t="n">
        <x:v>46219.812988715275</x:v>
      </x:c>
      <x:c r="O3764" s="28" t="n">
        <x:v>46219.812988715275</x:v>
      </x:c>
      <x:c r="P3764" s="23" t="str">
        <x:v>ARAXÁ</x:v>
      </x:c>
      <x:c r="Q3764" s="30" t="n">
        <x:v>28477</x:v>
      </x:c>
      <x:c r="R3764" s="22" t="str">
        <x:f>"7259596"</x:f>
        <x:v>7259596</x:v>
      </x:c>
      <x:c r="S3764" s="23" t="str">
        <x:v>feminino</x:v>
      </x:c>
      <x:c r="T3764" s="22" t="str">
        <x:f>"RFQ7D37"</x:f>
        <x:v>RFQ7D37</x:v>
      </x:c>
      <x:c r="U3764" s="23" t="str">
        <x:v>YURI AUGUSTO SILVA</x:v>
      </x:c>
      <x:c r="V3764" s="22" t="str">
        <x:f>"152.194.986-73"</x:f>
        <x:v>152.194.986-73</x:v>
      </x:c>
      <x:c r="W3764" s="22" t="str">
        <x:f>"15219498673"</x:f>
        <x:v>15219498673</x:v>
      </x:c>
      <x:c r="X3764" s="23" t="str">
        <x:v>yuriaugustosilva@outlook.com.br</x:v>
      </x:c>
      <x:c r="Y3764" s="22" t="str">
        <x:f>"11943486404"</x:f>
        <x:v>11943486404</x:v>
      </x:c>
      <x:c r="Z3764" s="30" t="n">
        <x:v>46444</x:v>
      </x:c>
    </x:row>
    <x:row r="3765" ht="18" customHeight="1">
      <x:c r="A3765" s="22" t="str">
        <x:f>"e2f1e8c0-4e95-407e-a6bc-e84f978788cf"</x:f>
        <x:v>e2f1e8c0-4e95-407e-a6bc-e84f978788cf</x:v>
      </x:c>
      <x:c r="B3765" s="23" t="str">
        <x:v>Viviane Maria De Souza Reis</x:v>
      </x:c>
      <x:c r="C3765" s="23" t="str">
        <x:v>viviane maria de souza reis</x:v>
      </x:c>
      <x:c r="D3765" s="22" t="str">
        <x:f>"61.223.527/0001-70"</x:f>
        <x:v>61.223.527/0001-70</x:v>
      </x:c>
      <x:c r="E3765" s="22" t="str">
        <x:f>"61223527000170"</x:f>
        <x:v>61223527000170</x:v>
      </x:c>
      <x:c r="F3765" s="22" t="str">
        <x:f>"06103680603"</x:f>
        <x:v>06103680603</x:v>
      </x:c>
      <x:c r="G3765" s="22" t="str">
        <x:f>"06103680603"</x:f>
        <x:v>06103680603</x:v>
      </x:c>
      <x:c r="H3765" s="23" t="str">
        <x:v>vivianereis120@gmail.com</x:v>
      </x:c>
      <x:c r="I3765" s="22" t="str">
        <x:f>"3198424-2236"</x:f>
        <x:v>3198424-2236</x:v>
      </x:c>
      <x:c r="J3765" s="23" t="str">
        <x:v>SPOT</x:v>
      </x:c>
      <x:c r="K3765" s="23" t="str">
        <x:v>favored_only</x:v>
      </x:c>
      <x:c r="L3765" s="24" t="b">
        <x:v>1</x:v>
      </x:c>
      <x:c r="M3765" s="23" t="n">
        <x:v>1</x:v>
      </x:c>
      <x:c r="N3765" s="28" t="n">
        <x:v>46203.92184908565</x:v>
      </x:c>
      <x:c r="O3765" s="28" t="n">
        <x:v>46203.92184908565</x:v>
      </x:c>
      <x:c r="P3765" s="23" t="str"/>
      <x:c r="Q3765" s="30" t="str"/>
      <x:c r="R3765" s="22" t="str"/>
      <x:c r="S3765" s="23" t="str"/>
      <x:c r="T3765" s="22" t="str"/>
      <x:c r="U3765" s="23" t="str">
        <x:v>Viviane Maria De Souza Reis</x:v>
      </x:c>
      <x:c r="V3765" s="22" t="str">
        <x:f>"06103680603"</x:f>
        <x:v>06103680603</x:v>
      </x:c>
      <x:c r="W3765" s="22" t="str">
        <x:f>"06103680603"</x:f>
        <x:v>06103680603</x:v>
      </x:c>
      <x:c r="X3765" s="23" t="str">
        <x:v>vivianereis120@gmail.com</x:v>
      </x:c>
      <x:c r="Y3765" s="22" t="str">
        <x:f>"3198424-2236"</x:f>
        <x:v>3198424-2236</x:v>
      </x:c>
      <x:c r="Z3765" s="30" t="str"/>
    </x:row>
    <x:row r="3766" ht="18" customHeight="1">
      <x:c r="A3766" s="22" t="str">
        <x:f>"8203a0c6-98db-42ae-a7c3-000b024cd3cc"</x:f>
        <x:v>8203a0c6-98db-42ae-a7c3-000b024cd3cc</x:v>
      </x:c>
      <x:c r="B3766" s="23" t="str">
        <x:v>VYTOR EDUARDO DA SILVA</x:v>
      </x:c>
      <x:c r="C3766" s="23" t="str">
        <x:v>vytor eduardo da silva</x:v>
      </x:c>
      <x:c r="D3766" s="22" t="str">
        <x:f>"49.018.117/0001-91"</x:f>
        <x:v>49.018.117/0001-91</x:v>
      </x:c>
      <x:c r="E3766" s="22" t="str">
        <x:f>"49018117000191"</x:f>
        <x:v>49018117000191</x:v>
      </x:c>
      <x:c r="F3766" s="22" t="str">
        <x:f>"060.211.991-03"</x:f>
        <x:v>060.211.991-03</x:v>
      </x:c>
      <x:c r="G3766" s="22" t="str">
        <x:f>"06021199103"</x:f>
        <x:v>06021199103</x:v>
      </x:c>
      <x:c r="H3766" s="23" t="str">
        <x:v>Vytoreduardodasilva@gmail.com</x:v>
      </x:c>
      <x:c r="I3766" s="22" t="str">
        <x:f>"31 98764-3395"</x:f>
        <x:v>31 98764-3395</x:v>
      </x:c>
      <x:c r="J3766" s="23" t="str">
        <x:v>RENTAL</x:v>
      </x:c>
      <x:c r="K3766" s="23" t="str">
        <x:v>rental_company</x:v>
      </x:c>
      <x:c r="L3766" s="24" t="b">
        <x:v>1</x:v>
      </x:c>
      <x:c r="M3766" s="23" t="n">
        <x:v>2</x:v>
      </x:c>
      <x:c r="N3766" s="28" t="n">
        <x:v>46219.812988715275</x:v>
      </x:c>
      <x:c r="O3766" s="28" t="n">
        <x:v>46219.812988715275</x:v>
      </x:c>
      <x:c r="P3766" s="23" t="str">
        <x:v>IPATINGA</x:v>
      </x:c>
      <x:c r="Q3766" s="30" t="n">
        <x:v>35648</x:v>
      </x:c>
      <x:c r="R3766" s="22" t="str">
        <x:f>"MG 17959457 PC MG"</x:f>
        <x:v>MG 17959457 PC MG</x:v>
      </x:c>
      <x:c r="S3766" s="23" t="str">
        <x:v>masculino</x:v>
      </x:c>
      <x:c r="T3766" s="22" t="str"/>
      <x:c r="U3766" s="23" t="str">
        <x:v>VYTOR EDUARDO DA SILVA</x:v>
      </x:c>
      <x:c r="V3766" s="22" t="str">
        <x:f>"060.211.991-03"</x:f>
        <x:v>060.211.991-03</x:v>
      </x:c>
      <x:c r="W3766" s="22" t="str">
        <x:f>"06021199103"</x:f>
        <x:v>06021199103</x:v>
      </x:c>
      <x:c r="X3766" s="23" t="str">
        <x:v>Vytoreduardodasilva@gmail.com</x:v>
      </x:c>
      <x:c r="Y3766" s="22" t="str">
        <x:f>"31 98764-3395"</x:f>
        <x:v>31 98764-3395</x:v>
      </x:c>
      <x:c r="Z3766" s="30" t="n">
        <x:v>46544</x:v>
      </x:c>
    </x:row>
    <x:row r="3767" ht="18" customHeight="1">
      <x:c r="A3767" s="22" t="str">
        <x:f>"84cd8495-7ae3-48b3-87ef-aba5748bbe30"</x:f>
        <x:v>84cd8495-7ae3-48b3-87ef-aba5748bbe30</x:v>
      </x:c>
      <x:c r="B3767" s="23" t="str">
        <x:v>WAGNER BRIGGS DE ANDRADE</x:v>
      </x:c>
      <x:c r="C3767" s="23" t="str">
        <x:v>wagner briggs de andrade</x:v>
      </x:c>
      <x:c r="D3767" s="22" t="str">
        <x:f>"54.221.037/0001-79"</x:f>
        <x:v>54.221.037/0001-79</x:v>
      </x:c>
      <x:c r="E3767" s="22" t="str">
        <x:f>"54221037000179"</x:f>
        <x:v>54221037000179</x:v>
      </x:c>
      <x:c r="F3767" s="22" t="str">
        <x:f>"074.144.627-81"</x:f>
        <x:v>074.144.627-81</x:v>
      </x:c>
      <x:c r="G3767" s="22" t="str">
        <x:f>"07414462781"</x:f>
        <x:v>07414462781</x:v>
      </x:c>
      <x:c r="H3767" s="23" t="str">
        <x:v>wagnerbriggs01@gmail.com</x:v>
      </x:c>
      <x:c r="I3767" s="22" t="str">
        <x:f>"21986521222"</x:f>
        <x:v>21986521222</x:v>
      </x:c>
      <x:c r="J3767" s="23" t="str">
        <x:v>SPOT</x:v>
      </x:c>
      <x:c r="K3767" s="23" t="str">
        <x:v>favored_only</x:v>
      </x:c>
      <x:c r="L3767" s="24" t="b">
        <x:v>1</x:v>
      </x:c>
      <x:c r="M3767" s="23" t="n">
        <x:v>2</x:v>
      </x:c>
      <x:c r="N3767" s="28" t="n">
        <x:v>46203.9219084375</x:v>
      </x:c>
      <x:c r="O3767" s="28" t="n">
        <x:v>46219.812988715275</x:v>
      </x:c>
      <x:c r="P3767" s="23" t="str">
        <x:v>QUEIMADOS</x:v>
      </x:c>
      <x:c r="Q3767" s="30" t="n">
        <x:v>28788</x:v>
      </x:c>
      <x:c r="R3767" s="22" t="str">
        <x:f>"101009991"</x:f>
        <x:v>101009991</x:v>
      </x:c>
      <x:c r="S3767" s="23" t="str">
        <x:v>masculino</x:v>
      </x:c>
      <x:c r="T3767" s="22" t="str">
        <x:f>"LRX0165"</x:f>
        <x:v>LRX0165</x:v>
      </x:c>
      <x:c r="U3767" s="23" t="str">
        <x:v>WAGNER BRIGGS DE ANDRADE</x:v>
      </x:c>
      <x:c r="V3767" s="22" t="str">
        <x:f>"074.144.627-81"</x:f>
        <x:v>074.144.627-81</x:v>
      </x:c>
      <x:c r="W3767" s="22" t="str">
        <x:f>"07414462781"</x:f>
        <x:v>07414462781</x:v>
      </x:c>
      <x:c r="X3767" s="23" t="str">
        <x:v>wagnerbriggs01@gmail.com</x:v>
      </x:c>
      <x:c r="Y3767" s="22" t="str">
        <x:f>"21986521222"</x:f>
        <x:v>21986521222</x:v>
      </x:c>
      <x:c r="Z3767" s="30" t="n">
        <x:v>46459</x:v>
      </x:c>
    </x:row>
    <x:row r="3768" ht="18" customHeight="1">
      <x:c r="A3768" s="22" t="str">
        <x:f>"97c9cc3d-3853-4dfc-a0cc-69ad81c504b5"</x:f>
        <x:v>97c9cc3d-3853-4dfc-a0cc-69ad81c504b5</x:v>
      </x:c>
      <x:c r="B3768" s="23" t="str">
        <x:v>WAGNER DA SILVA SOUZA</x:v>
      </x:c>
      <x:c r="C3768" s="23" t="str">
        <x:v>wagner da silva souza</x:v>
      </x:c>
      <x:c r="D3768" s="22" t="str">
        <x:f>"37.624.531/0001-65"</x:f>
        <x:v>37.624.531/0001-65</x:v>
      </x:c>
      <x:c r="E3768" s="22" t="str">
        <x:f>"37624531000165"</x:f>
        <x:v>37624531000165</x:v>
      </x:c>
      <x:c r="F3768" s="22" t="str">
        <x:f>"025.131.171-66"</x:f>
        <x:v>025.131.171-66</x:v>
      </x:c>
      <x:c r="G3768" s="22" t="str">
        <x:f>"02513117166"</x:f>
        <x:v>02513117166</x:v>
      </x:c>
      <x:c r="H3768" s="23" t="str">
        <x:v>silvasouzawagner579@gmail.com</x:v>
      </x:c>
      <x:c r="I3768" s="22" t="str">
        <x:f>"65-9 9693-5268"</x:f>
        <x:v>65-9 9693-5268</x:v>
      </x:c>
      <x:c r="J3768" s="23" t="str">
        <x:v>SPOT</x:v>
      </x:c>
      <x:c r="K3768" s="23" t="str">
        <x:v>favored_only</x:v>
      </x:c>
      <x:c r="L3768" s="24" t="b">
        <x:v>1</x:v>
      </x:c>
      <x:c r="M3768" s="23" t="n">
        <x:v>1</x:v>
      </x:c>
      <x:c r="N3768" s="28" t="n">
        <x:v>46219.812988715275</x:v>
      </x:c>
      <x:c r="O3768" s="28" t="n">
        <x:v>46219.812988715275</x:v>
      </x:c>
      <x:c r="P3768" s="23" t="str">
        <x:v>CÁCERES</x:v>
      </x:c>
      <x:c r="Q3768" s="30" t="n">
        <x:v>31814</x:v>
      </x:c>
      <x:c r="R3768" s="22" t="str">
        <x:f>"24709"</x:f>
        <x:v>24709</x:v>
      </x:c>
      <x:c r="S3768" s="23" t="str">
        <x:v>masculino</x:v>
      </x:c>
      <x:c r="T3768" s="22" t="str">
        <x:f>"oos7i91"</x:f>
        <x:v>oos7i91</x:v>
      </x:c>
      <x:c r="U3768" s="23" t="str">
        <x:v>OLDAIR JOSE RIBEIRO DE MATOS</x:v>
      </x:c>
      <x:c r="V3768" s="22" t="str">
        <x:f>"901.012.430-49"</x:f>
        <x:v>901.012.430-49</x:v>
      </x:c>
      <x:c r="W3768" s="22" t="str">
        <x:f>"90101243049"</x:f>
        <x:v>90101243049</x:v>
      </x:c>
      <x:c r="X3768" s="23" t="str">
        <x:v>oldairmatos73@gmail.com</x:v>
      </x:c>
      <x:c r="Y3768" s="22" t="str">
        <x:f>"+55 67 9622-4877"</x:f>
        <x:v>+55 67 9622-4877</x:v>
      </x:c>
      <x:c r="Z3768" s="30" t="n">
        <x:v>46528</x:v>
      </x:c>
    </x:row>
    <x:row r="3769" ht="18" customHeight="1">
      <x:c r="A3769" s="22" t="str">
        <x:f>"5abdcee8-4095-4497-b390-011ebfca9848"</x:f>
        <x:v>5abdcee8-4095-4497-b390-011ebfca9848</x:v>
      </x:c>
      <x:c r="B3769" s="23" t="str">
        <x:v>WAGNER DE OLIVEIRA SURUBI</x:v>
      </x:c>
      <x:c r="C3769" s="23" t="str">
        <x:v>wagner de oliveira surubi</x:v>
      </x:c>
      <x:c r="D3769" s="22" t="str">
        <x:f>"61.519.593/0001-91"</x:f>
        <x:v>61.519.593/0001-91</x:v>
      </x:c>
      <x:c r="E3769" s="22" t="str">
        <x:f>"61519593000191"</x:f>
        <x:v>61519593000191</x:v>
      </x:c>
      <x:c r="F3769" s="22" t="str">
        <x:f>"039.985.191-73"</x:f>
        <x:v>039.985.191-73</x:v>
      </x:c>
      <x:c r="G3769" s="22" t="str">
        <x:f>"03998519173"</x:f>
        <x:v>03998519173</x:v>
      </x:c>
      <x:c r="H3769" s="23" t="str">
        <x:v>Wagnerdeoliveirasurubi@gmail.com</x:v>
      </x:c>
      <x:c r="I3769" s="22" t="str">
        <x:f>"+55 65 8175-3557"</x:f>
        <x:v>+55 65 8175-3557</x:v>
      </x:c>
      <x:c r="J3769" s="23" t="str">
        <x:v>SPOT</x:v>
      </x:c>
      <x:c r="K3769" s="23" t="str">
        <x:v>favored_only</x:v>
      </x:c>
      <x:c r="L3769" s="24" t="b">
        <x:v>1</x:v>
      </x:c>
      <x:c r="M3769" s="23" t="n">
        <x:v>1</x:v>
      </x:c>
      <x:c r="N3769" s="28" t="n">
        <x:v>46205.6032603125</x:v>
      </x:c>
      <x:c r="O3769" s="28" t="n">
        <x:v>46205.604805</x:v>
      </x:c>
      <x:c r="P3769" s="23" t="str">
        <x:v>PONTES E LACERDA</x:v>
      </x:c>
      <x:c r="Q3769" s="30" t="n">
        <x:v>33593</x:v>
      </x:c>
      <x:c r="R3769" s="22" t="str">
        <x:f>"22802649"</x:f>
        <x:v>22802649</x:v>
      </x:c>
      <x:c r="S3769" s="23" t="str">
        <x:v>Masculino</x:v>
      </x:c>
      <x:c r="T3769" s="22" t="str">
        <x:f>"RFO4J42"</x:f>
        <x:v>RFO4J42</x:v>
      </x:c>
      <x:c r="U3769" s="23" t="str">
        <x:v>BIANNI SALVI</x:v>
      </x:c>
      <x:c r="V3769" s="22" t="str">
        <x:f>"223.175.668-40"</x:f>
        <x:v>223.175.668-40</x:v>
      </x:c>
      <x:c r="W3769" s="22" t="str">
        <x:f>"22317566840"</x:f>
        <x:v>22317566840</x:v>
      </x:c>
      <x:c r="X3769" s="23" t="str">
        <x:v>biannisalvi@yahoo.com</x:v>
      </x:c>
      <x:c r="Y3769" s="22" t="str">
        <x:f>"+55 65 9683-5020"</x:f>
        <x:v>+55 65 9683-5020</x:v>
      </x:c>
      <x:c r="Z3769" s="30" t="n">
        <x:v>46213</x:v>
      </x:c>
    </x:row>
    <x:row r="3770" ht="18" customHeight="1">
      <x:c r="A3770" s="22" t="str">
        <x:f>"d0402ed1-d1a7-4017-ba47-fd8fe937d41e"</x:f>
        <x:v>d0402ed1-d1a7-4017-ba47-fd8fe937d41e</x:v>
      </x:c>
      <x:c r="B3770" s="23" t="str">
        <x:v>WAGNER DINIZ BARBOSA</x:v>
      </x:c>
      <x:c r="C3770" s="23" t="str">
        <x:v>wagner diniz barbosa</x:v>
      </x:c>
      <x:c r="D3770" s="22" t="str">
        <x:f>"66.670.947/0001-18"</x:f>
        <x:v>66.670.947/0001-18</x:v>
      </x:c>
      <x:c r="E3770" s="22" t="str">
        <x:f>"66670947000118"</x:f>
        <x:v>66670947000118</x:v>
      </x:c>
      <x:c r="F3770" s="22" t="str">
        <x:f>"046.098.386-56"</x:f>
        <x:v>046.098.386-56</x:v>
      </x:c>
      <x:c r="G3770" s="22" t="str">
        <x:f>"04609838656"</x:f>
        <x:v>04609838656</x:v>
      </x:c>
      <x:c r="H3770" s="23" t="str">
        <x:v>professorwagnerdiniz@gmail.com</x:v>
      </x:c>
      <x:c r="I3770" s="22" t="str">
        <x:f>"(31) 99208-2470"</x:f>
        <x:v>(31) 99208-2470</x:v>
      </x:c>
      <x:c r="J3770" s="23" t="str">
        <x:v>SPOT</x:v>
      </x:c>
      <x:c r="K3770" s="23" t="str">
        <x:v>favored_only</x:v>
      </x:c>
      <x:c r="L3770" s="24" t="b">
        <x:v>1</x:v>
      </x:c>
      <x:c r="M3770" s="23" t="n">
        <x:v>2</x:v>
      </x:c>
      <x:c r="N3770" s="28" t="n">
        <x:v>46219.812988715275</x:v>
      </x:c>
      <x:c r="O3770" s="28" t="n">
        <x:v>46219.812988715275</x:v>
      </x:c>
      <x:c r="P3770" s="23" t="str">
        <x:v>CONTAGEM</x:v>
      </x:c>
      <x:c r="Q3770" s="30" t="n">
        <x:v>29204</x:v>
      </x:c>
      <x:c r="R3770" s="22" t="str">
        <x:f>"mg10528427"</x:f>
        <x:v>mg10528427</x:v>
      </x:c>
      <x:c r="S3770" s="23" t="str">
        <x:v>masculino</x:v>
      </x:c>
      <x:c r="T3770" s="22" t="str">
        <x:f>"egy0a31"</x:f>
        <x:v>egy0a31</x:v>
      </x:c>
      <x:c r="U3770" s="23" t="str">
        <x:v>WAGNER DINIZ BARBOSA</x:v>
      </x:c>
      <x:c r="V3770" s="22" t="str">
        <x:f>"046.098.386-56"</x:f>
        <x:v>046.098.386-56</x:v>
      </x:c>
      <x:c r="W3770" s="22" t="str">
        <x:f>"04609838656"</x:f>
        <x:v>04609838656</x:v>
      </x:c>
      <x:c r="X3770" s="23" t="str">
        <x:v>professorwagnerdiniz@gmail.com</x:v>
      </x:c>
      <x:c r="Y3770" s="22" t="str">
        <x:f>"(31) 99208-2470"</x:f>
        <x:v>(31) 99208-2470</x:v>
      </x:c>
      <x:c r="Z3770" s="30" t="n">
        <x:v>46561</x:v>
      </x:c>
    </x:row>
    <x:row r="3771" ht="18" customHeight="1">
      <x:c r="A3771" s="22" t="str">
        <x:f>"0e433642-c9d9-4437-afdc-689513508a70"</x:f>
        <x:v>0e433642-c9d9-4437-afdc-689513508a70</x:v>
      </x:c>
      <x:c r="B3771" s="23" t="str">
        <x:v>WAGNER HENRIQUE DONIZETE DA SILVA</x:v>
      </x:c>
      <x:c r="C3771" s="23" t="str">
        <x:v>wagner henrique donizete da silva</x:v>
      </x:c>
      <x:c r="D3771" s="22" t="str">
        <x:f>"61.466.500/0001-08"</x:f>
        <x:v>61.466.500/0001-08</x:v>
      </x:c>
      <x:c r="E3771" s="22" t="str">
        <x:f>"61466500000108"</x:f>
        <x:v>61466500000108</x:v>
      </x:c>
      <x:c r="F3771" s="22" t="str">
        <x:f>"095.906.246-77"</x:f>
        <x:v>095.906.246-77</x:v>
      </x:c>
      <x:c r="G3771" s="22" t="str">
        <x:f>"09590624677"</x:f>
        <x:v>09590624677</x:v>
      </x:c>
      <x:c r="H3771" s="23" t="str">
        <x:v>Wagnerhenriquesilva09@gmail.com</x:v>
      </x:c>
      <x:c r="I3771" s="22" t="str">
        <x:f>"35 99872-0599"</x:f>
        <x:v>35 99872-0599</x:v>
      </x:c>
      <x:c r="J3771" s="23" t="str">
        <x:v>RENTAL</x:v>
      </x:c>
      <x:c r="K3771" s="23" t="str">
        <x:v>rental_company</x:v>
      </x:c>
      <x:c r="L3771" s="24" t="b">
        <x:v>1</x:v>
      </x:c>
      <x:c r="M3771" s="23" t="n">
        <x:v>1</x:v>
      </x:c>
      <x:c r="N3771" s="28" t="n">
        <x:v>46219.812988715275</x:v>
      </x:c>
      <x:c r="O3771" s="28" t="n">
        <x:v>46219.812988715275</x:v>
      </x:c>
      <x:c r="P3771" s="23" t="str">
        <x:v>POUSO ALEGRE</x:v>
      </x:c>
      <x:c r="Q3771" s="30" t="n">
        <x:v>32927</x:v>
      </x:c>
      <x:c r="R3771" s="22" t="str">
        <x:f>"000000016257900SSP MG"</x:f>
        <x:v>000000016257900SSP MG</x:v>
      </x:c>
      <x:c r="S3771" s="23" t="str">
        <x:v>masculino</x:v>
      </x:c>
      <x:c r="T3771" s="22" t="str"/>
      <x:c r="U3771" s="23" t="str">
        <x:v>WAGNER HENRIQUE DONIZETE DA SILVA</x:v>
      </x:c>
      <x:c r="V3771" s="22" t="str">
        <x:f>"095.906.246-77"</x:f>
        <x:v>095.906.246-77</x:v>
      </x:c>
      <x:c r="W3771" s="22" t="str">
        <x:f>"09590624677"</x:f>
        <x:v>09590624677</x:v>
      </x:c>
      <x:c r="X3771" s="23" t="str">
        <x:v>Wagnerhenriquesilva09@gmail.com</x:v>
      </x:c>
      <x:c r="Y3771" s="22" t="str">
        <x:f>"35 99872-0599"</x:f>
        <x:v>35 99872-0599</x:v>
      </x:c>
      <x:c r="Z3771" s="30" t="n">
        <x:v>46578</x:v>
      </x:c>
    </x:row>
    <x:row r="3772" ht="18" customHeight="1">
      <x:c r="A3772" s="22" t="str">
        <x:f>"a5ae29ca-3942-47f6-be1b-420190089503"</x:f>
        <x:v>a5ae29ca-3942-47f6-be1b-420190089503</x:v>
      </x:c>
      <x:c r="B3772" s="23" t="str">
        <x:v>WAGNER LUIS DE SOUZA</x:v>
      </x:c>
      <x:c r="C3772" s="23" t="str">
        <x:v>wagner luis de souza</x:v>
      </x:c>
      <x:c r="D3772" s="22" t="str">
        <x:f>"00.061.156/0946-15"</x:f>
        <x:v>00.061.156/0946-15</x:v>
      </x:c>
      <x:c r="E3772" s="22" t="str">
        <x:f>"00061156094615"</x:f>
        <x:v>00061156094615</x:v>
      </x:c>
      <x:c r="F3772" s="22" t="str">
        <x:f>"611.560.924-15"</x:f>
        <x:v>611.560.924-15</x:v>
      </x:c>
      <x:c r="G3772" s="22" t="str">
        <x:f>"61156092415"</x:f>
        <x:v>61156092415</x:v>
      </x:c>
      <x:c r="H3772" s="23" t="str">
        <x:v>souzaluiz1967@gmail.com</x:v>
      </x:c>
      <x:c r="I3772" s="22" t="str">
        <x:f>"(11)999238676"</x:f>
        <x:v>(11)999238676</x:v>
      </x:c>
      <x:c r="J3772" s="23" t="str">
        <x:v>SPOT</x:v>
      </x:c>
      <x:c r="K3772" s="23" t="str">
        <x:v>favored_only</x:v>
      </x:c>
      <x:c r="L3772" s="24" t="b">
        <x:v>1</x:v>
      </x:c>
      <x:c r="M3772" s="23" t="n">
        <x:v>1</x:v>
      </x:c>
      <x:c r="N3772" s="28" t="n">
        <x:v>46219.812988715275</x:v>
      </x:c>
      <x:c r="O3772" s="28" t="n">
        <x:v>46219.812988715275</x:v>
      </x:c>
      <x:c r="P3772" s="23" t="str">
        <x:v>JALES</x:v>
      </x:c>
      <x:c r="Q3772" s="30" t="n">
        <x:v>-622187</x:v>
      </x:c>
      <x:c r="R3772" s="22" t="str">
        <x:f>"158220729"</x:f>
        <x:v>158220729</x:v>
      </x:c>
      <x:c r="S3772" s="23" t="str">
        <x:v>masculino</x:v>
      </x:c>
      <x:c r="T3772" s="22" t="str">
        <x:f>"FHA3C06"</x:f>
        <x:v>FHA3C06</x:v>
      </x:c>
      <x:c r="U3772" s="23" t="str">
        <x:v>WAGNER LUIS DE SOUZA</x:v>
      </x:c>
      <x:c r="V3772" s="22" t="str">
        <x:f>"611.560.924-15"</x:f>
        <x:v>611.560.924-15</x:v>
      </x:c>
      <x:c r="W3772" s="22" t="str">
        <x:f>"61156092415"</x:f>
        <x:v>61156092415</x:v>
      </x:c>
      <x:c r="X3772" s="23" t="str">
        <x:v>souzaluiz1967@gmail.com</x:v>
      </x:c>
      <x:c r="Y3772" s="22" t="str">
        <x:f>"(11)999238676"</x:f>
        <x:v>(11)999238676</x:v>
      </x:c>
      <x:c r="Z3772" s="30" t="n">
        <x:v>46487</x:v>
      </x:c>
    </x:row>
    <x:row r="3773" ht="18" customHeight="1">
      <x:c r="A3773" s="22" t="str">
        <x:f>"50bfda1e-2df1-462a-bbad-8afad50b0c14"</x:f>
        <x:v>50bfda1e-2df1-462a-bbad-8afad50b0c14</x:v>
      </x:c>
      <x:c r="B3773" s="23" t="str">
        <x:v>WAGNER OLIVEIRA RIBEIRO</x:v>
      </x:c>
      <x:c r="C3773" s="23" t="str">
        <x:v>wagner oliveira ribeiro</x:v>
      </x:c>
      <x:c r="D3773" s="22" t="str">
        <x:f>"20.119.447/0001-91"</x:f>
        <x:v>20.119.447/0001-91</x:v>
      </x:c>
      <x:c r="E3773" s="22" t="str">
        <x:f>"20119447000191"</x:f>
        <x:v>20119447000191</x:v>
      </x:c>
      <x:c r="F3773" s="22" t="str">
        <x:f>"448.790.321-15"</x:f>
        <x:v>448.790.321-15</x:v>
      </x:c>
      <x:c r="G3773" s="22" t="str">
        <x:f>"44879032115"</x:f>
        <x:v>44879032115</x:v>
      </x:c>
      <x:c r="H3773" s="23" t="str">
        <x:v>wagnertransportete@gmail.com</x:v>
      </x:c>
      <x:c r="I3773" s="22" t="str">
        <x:f>"64996250428"</x:f>
        <x:v>64996250428</x:v>
      </x:c>
      <x:c r="J3773" s="23" t="str">
        <x:v>SPOT</x:v>
      </x:c>
      <x:c r="K3773" s="23" t="str">
        <x:v>favored_only</x:v>
      </x:c>
      <x:c r="L3773" s="24" t="b">
        <x:v>1</x:v>
      </x:c>
      <x:c r="M3773" s="23" t="n">
        <x:v>1</x:v>
      </x:c>
      <x:c r="N3773" s="28" t="n">
        <x:v>46219.812988715275</x:v>
      </x:c>
      <x:c r="O3773" s="28" t="n">
        <x:v>46219.812988715275</x:v>
      </x:c>
      <x:c r="P3773" s="23" t="str">
        <x:v>RIO VERDE</x:v>
      </x:c>
      <x:c r="Q3773" s="30" t="n">
        <x:v>24993</x:v>
      </x:c>
      <x:c r="R3773" s="22" t="str">
        <x:f>"2478981"</x:f>
        <x:v>2478981</x:v>
      </x:c>
      <x:c r="S3773" s="23" t="str">
        <x:v>masculino</x:v>
      </x:c>
      <x:c r="T3773" s="22" t="str">
        <x:f>"TFK2I31"</x:f>
        <x:v>TFK2I31</x:v>
      </x:c>
      <x:c r="U3773" s="23" t="str">
        <x:v>WAGNER OLIVEIRA RIBEIRO</x:v>
      </x:c>
      <x:c r="V3773" s="22" t="str">
        <x:f>"448.790.321-15"</x:f>
        <x:v>448.790.321-15</x:v>
      </x:c>
      <x:c r="W3773" s="22" t="str">
        <x:f>"44879032115"</x:f>
        <x:v>44879032115</x:v>
      </x:c>
      <x:c r="X3773" s="23" t="str">
        <x:v>wagnertransportete@gmail.com</x:v>
      </x:c>
      <x:c r="Y3773" s="22" t="str">
        <x:f>"64996250428"</x:f>
        <x:v>64996250428</x:v>
      </x:c>
      <x:c r="Z3773" s="30" t="n">
        <x:v>46583</x:v>
      </x:c>
    </x:row>
    <x:row r="3774" ht="18" customHeight="1">
      <x:c r="A3774" s="22" t="str">
        <x:f>"e08ae533-5a44-4a09-b339-ff5b4efca31a"</x:f>
        <x:v>e08ae533-5a44-4a09-b339-ff5b4efca31a</x:v>
      </x:c>
      <x:c r="B3774" s="23" t="str">
        <x:v>WAGNER PIRES SILVA</x:v>
      </x:c>
      <x:c r="C3774" s="23" t="str">
        <x:v>wagner pires silva</x:v>
      </x:c>
      <x:c r="D3774" s="22" t="str">
        <x:f>"59.382.854/0001-22"</x:f>
        <x:v>59.382.854/0001-22</x:v>
      </x:c>
      <x:c r="E3774" s="22" t="str">
        <x:f>"59382854000122"</x:f>
        <x:v>59382854000122</x:v>
      </x:c>
      <x:c r="F3774" s="22" t="str">
        <x:f>"029.548.446-20"</x:f>
        <x:v>029.548.446-20</x:v>
      </x:c>
      <x:c r="G3774" s="22" t="str">
        <x:f>"02954844620"</x:f>
        <x:v>02954844620</x:v>
      </x:c>
      <x:c r="H3774" s="23" t="str">
        <x:v>DAI1WAG2@YAHOO.COM.BR</x:v>
      </x:c>
      <x:c r="I3774" s="22" t="str">
        <x:f>"34988304779"</x:f>
        <x:v>34988304779</x:v>
      </x:c>
      <x:c r="J3774" s="23" t="str">
        <x:v>SPOT</x:v>
      </x:c>
      <x:c r="K3774" s="23" t="str">
        <x:v>favored_only</x:v>
      </x:c>
      <x:c r="L3774" s="24" t="b">
        <x:v>1</x:v>
      </x:c>
      <x:c r="M3774" s="23" t="n">
        <x:v>1</x:v>
      </x:c>
      <x:c r="N3774" s="28" t="n">
        <x:v>46203.921824756944</x:v>
      </x:c>
      <x:c r="O3774" s="28" t="n">
        <x:v>46219.812988715275</x:v>
      </x:c>
      <x:c r="P3774" s="23" t="str">
        <x:v>ARAXÁ</x:v>
      </x:c>
      <x:c r="Q3774" s="30" t="n">
        <x:v>28256</x:v>
      </x:c>
      <x:c r="R3774" s="22" t="str">
        <x:f>"8592708"</x:f>
        <x:v>8592708</x:v>
      </x:c>
      <x:c r="S3774" s="23" t="str">
        <x:v>masculino</x:v>
      </x:c>
      <x:c r="T3774" s="22" t="str">
        <x:f>"QUD3J81"</x:f>
        <x:v>QUD3J81</x:v>
      </x:c>
      <x:c r="U3774" s="23" t="str">
        <x:v>WAGNER PIRES SILVA</x:v>
      </x:c>
      <x:c r="V3774" s="22" t="str">
        <x:f>"029.548.446-20"</x:f>
        <x:v>029.548.446-20</x:v>
      </x:c>
      <x:c r="W3774" s="22" t="str">
        <x:f>"02954844620"</x:f>
        <x:v>02954844620</x:v>
      </x:c>
      <x:c r="X3774" s="23" t="str">
        <x:v>DAI1WAG2@YAHOO.COM.BR</x:v>
      </x:c>
      <x:c r="Y3774" s="22" t="str">
        <x:f>"34988304779"</x:f>
        <x:v>34988304779</x:v>
      </x:c>
      <x:c r="Z3774" s="30" t="n">
        <x:v>46294</x:v>
      </x:c>
    </x:row>
    <x:row r="3775" ht="18" customHeight="1">
      <x:c r="A3775" s="22" t="str">
        <x:f>"08343cba-365f-4530-806f-14514f6d6253"</x:f>
        <x:v>08343cba-365f-4530-806f-14514f6d6253</x:v>
      </x:c>
      <x:c r="B3775" s="23" t="str">
        <x:v>WAGNER RIBEIRO</x:v>
      </x:c>
      <x:c r="C3775" s="23" t="str">
        <x:v>wagner ribeiro</x:v>
      </x:c>
      <x:c r="D3775" s="22" t="str">
        <x:f>"64.364.770/0001-04"</x:f>
        <x:v>64.364.770/0001-04</x:v>
      </x:c>
      <x:c r="E3775" s="22" t="str">
        <x:f>"64364770000104"</x:f>
        <x:v>64364770000104</x:v>
      </x:c>
      <x:c r="F3775" s="22" t="str">
        <x:f>"371.354.141-87"</x:f>
        <x:v>371.354.141-87</x:v>
      </x:c>
      <x:c r="G3775" s="22" t="str">
        <x:f>"37135414187"</x:f>
        <x:v>37135414187</x:v>
      </x:c>
      <x:c r="H3775" s="23" t="str">
        <x:v>wag-rib@hotmail.com</x:v>
      </x:c>
      <x:c r="I3775" s="22" t="str">
        <x:f>"62920003167"</x:f>
        <x:v>62920003167</x:v>
      </x:c>
      <x:c r="J3775" s="23" t="str">
        <x:v>SPOT</x:v>
      </x:c>
      <x:c r="K3775" s="23" t="str">
        <x:v>favored_only</x:v>
      </x:c>
      <x:c r="L3775" s="24" t="b">
        <x:v>1</x:v>
      </x:c>
      <x:c r="M3775" s="23" t="n">
        <x:v>1</x:v>
      </x:c>
      <x:c r="N3775" s="28" t="n">
        <x:v>46219.812988715275</x:v>
      </x:c>
      <x:c r="O3775" s="28" t="n">
        <x:v>46219.812988715275</x:v>
      </x:c>
      <x:c r="P3775" s="23" t="str">
        <x:v>GOIANIA</x:v>
      </x:c>
      <x:c r="Q3775" s="30" t="n">
        <x:v>35168</x:v>
      </x:c>
      <x:c r="R3775" s="22" t="str">
        <x:f>"1570208"</x:f>
        <x:v>1570208</x:v>
      </x:c>
      <x:c r="S3775" s="23" t="str">
        <x:v>masculino</x:v>
      </x:c>
      <x:c r="T3775" s="22" t="str">
        <x:f>"JWD8I74"</x:f>
        <x:v>JWD8I74</x:v>
      </x:c>
      <x:c r="U3775" s="23" t="str">
        <x:v>WAGNER RIBEIRO</x:v>
      </x:c>
      <x:c r="V3775" s="22" t="str">
        <x:f>"371.354.141-87"</x:f>
        <x:v>371.354.141-87</x:v>
      </x:c>
      <x:c r="W3775" s="22" t="str">
        <x:f>"37135414187"</x:f>
        <x:v>37135414187</x:v>
      </x:c>
      <x:c r="X3775" s="23" t="str">
        <x:v>wag-rib@hotmail.com</x:v>
      </x:c>
      <x:c r="Y3775" s="22" t="str">
        <x:f>"62920003167"</x:f>
        <x:v>62920003167</x:v>
      </x:c>
      <x:c r="Z3775" s="30" t="n">
        <x:v>46449</x:v>
      </x:c>
    </x:row>
    <x:row r="3776" ht="18" customHeight="1">
      <x:c r="A3776" s="22" t="str">
        <x:f>"1ba219d5-34e5-4fb5-8cc6-c15d516372bf"</x:f>
        <x:v>1ba219d5-34e5-4fb5-8cc6-c15d516372bf</x:v>
      </x:c>
      <x:c r="B3776" s="23" t="str">
        <x:v>WAGNER SOARES DA SILVA</x:v>
      </x:c>
      <x:c r="C3776" s="23" t="str">
        <x:v>wagner soares da silva</x:v>
      </x:c>
      <x:c r="D3776" s="22" t="str">
        <x:f>"65.634.534/0001-15"</x:f>
        <x:v>65.634.534/0001-15</x:v>
      </x:c>
      <x:c r="E3776" s="22" t="str">
        <x:f>"65634534000115"</x:f>
        <x:v>65634534000115</x:v>
      </x:c>
      <x:c r="F3776" s="22" t="str">
        <x:f>"017.919.947-17"</x:f>
        <x:v>017.919.947-17</x:v>
      </x:c>
      <x:c r="G3776" s="22" t="str">
        <x:f>"01791994717"</x:f>
        <x:v>01791994717</x:v>
      </x:c>
      <x:c r="H3776" s="23" t="str">
        <x:v>wagnersoares729197@gmail.com</x:v>
      </x:c>
      <x:c r="I3776" s="22" t="str">
        <x:f>"21-99987-8667"</x:f>
        <x:v>21-99987-8667</x:v>
      </x:c>
      <x:c r="J3776" s="23" t="str">
        <x:v>SPOT</x:v>
      </x:c>
      <x:c r="K3776" s="23" t="str">
        <x:v>favored_only</x:v>
      </x:c>
      <x:c r="L3776" s="24" t="b">
        <x:v>1</x:v>
      </x:c>
      <x:c r="M3776" s="23" t="n">
        <x:v>1</x:v>
      </x:c>
      <x:c r="N3776" s="28" t="n">
        <x:v>46219.812988715275</x:v>
      </x:c>
      <x:c r="O3776" s="28" t="n">
        <x:v>46219.812988715275</x:v>
      </x:c>
      <x:c r="P3776" s="23" t="str">
        <x:v>CORDOVIL</x:v>
      </x:c>
      <x:c r="Q3776" s="30" t="n">
        <x:v>26559</x:v>
      </x:c>
      <x:c r="R3776" s="22" t="str">
        <x:f>"09972900-6"</x:f>
        <x:v>09972900-6</x:v>
      </x:c>
      <x:c r="S3776" s="23" t="str">
        <x:v>masculino</x:v>
      </x:c>
      <x:c r="T3776" s="22" t="str">
        <x:f>"RML5G76"</x:f>
        <x:v>RML5G76</x:v>
      </x:c>
      <x:c r="U3776" s="23" t="str">
        <x:v>WAGNER SOARES DA SILVA</x:v>
      </x:c>
      <x:c r="V3776" s="22" t="str">
        <x:f>"017.919.947-17"</x:f>
        <x:v>017.919.947-17</x:v>
      </x:c>
      <x:c r="W3776" s="22" t="str">
        <x:f>"01791994717"</x:f>
        <x:v>01791994717</x:v>
      </x:c>
      <x:c r="X3776" s="23" t="str">
        <x:v>wagnersoares729197@gmail.com</x:v>
      </x:c>
      <x:c r="Y3776" s="22" t="str">
        <x:f>"21-99987-8667"</x:f>
        <x:v>21-99987-8667</x:v>
      </x:c>
      <x:c r="Z3776" s="30" t="n">
        <x:v>46533</x:v>
      </x:c>
    </x:row>
    <x:row r="3777" ht="18" customHeight="1">
      <x:c r="A3777" s="22" t="str">
        <x:f>"252edb85-ef68-4547-873a-1e3cd20cb110"</x:f>
        <x:v>252edb85-ef68-4547-873a-1e3cd20cb110</x:v>
      </x:c>
      <x:c r="B3777" s="23" t="str">
        <x:v>WAGNER TENORIO JUNIOR</x:v>
      </x:c>
      <x:c r="C3777" s="23" t="str">
        <x:v>wagner tenorio junior</x:v>
      </x:c>
      <x:c r="D3777" s="22" t="str">
        <x:f>"65.545.203/0001-09"</x:f>
        <x:v>65.545.203/0001-09</x:v>
      </x:c>
      <x:c r="E3777" s="22" t="str">
        <x:f>"65545203000109"</x:f>
        <x:v>65545203000109</x:v>
      </x:c>
      <x:c r="F3777" s="22" t="str">
        <x:f>"330.499.648-63"</x:f>
        <x:v>330.499.648-63</x:v>
      </x:c>
      <x:c r="G3777" s="22" t="str">
        <x:f>"33049964863"</x:f>
        <x:v>33049964863</x:v>
      </x:c>
      <x:c r="H3777" s="23" t="str">
        <x:v>wagner.tenorio.junior@gmail.com</x:v>
      </x:c>
      <x:c r="I3777" s="22" t="str">
        <x:f>"11958664788"</x:f>
        <x:v>11958664788</x:v>
      </x:c>
      <x:c r="J3777" s="23" t="str">
        <x:v>SPOT</x:v>
      </x:c>
      <x:c r="K3777" s="23" t="str">
        <x:v>favored_only</x:v>
      </x:c>
      <x:c r="L3777" s="24" t="b">
        <x:v>1</x:v>
      </x:c>
      <x:c r="M3777" s="23" t="n">
        <x:v>1</x:v>
      </x:c>
      <x:c r="N3777" s="28" t="n">
        <x:v>46219.812988715275</x:v>
      </x:c>
      <x:c r="O3777" s="28" t="n">
        <x:v>46219.812988715275</x:v>
      </x:c>
      <x:c r="P3777" s="23" t="str">
        <x:v>CUIABA</x:v>
      </x:c>
      <x:c r="Q3777" s="30" t="n">
        <x:v>31495</x:v>
      </x:c>
      <x:c r="R3777" s="22" t="str">
        <x:f>"33049964863"</x:f>
        <x:v>33049964863</x:v>
      </x:c>
      <x:c r="S3777" s="23" t="str">
        <x:v>masculino</x:v>
      </x:c>
      <x:c r="T3777" s="22" t="str">
        <x:f>"GEX3J80"</x:f>
        <x:v>GEX3J80</x:v>
      </x:c>
      <x:c r="U3777" s="23" t="str">
        <x:v>WAGNER TENORIO JUNIOR</x:v>
      </x:c>
      <x:c r="V3777" s="22" t="str">
        <x:f>"330.499.648-63"</x:f>
        <x:v>330.499.648-63</x:v>
      </x:c>
      <x:c r="W3777" s="22" t="str">
        <x:f>"33049964863"</x:f>
        <x:v>33049964863</x:v>
      </x:c>
      <x:c r="X3777" s="23" t="str">
        <x:v>wagner.tenorio.junior@gmail.com</x:v>
      </x:c>
      <x:c r="Y3777" s="22" t="str">
        <x:f>"11958664788"</x:f>
        <x:v>11958664788</x:v>
      </x:c>
      <x:c r="Z3777" s="30" t="n">
        <x:v>46560</x:v>
      </x:c>
    </x:row>
    <x:row r="3778" ht="18" customHeight="1">
      <x:c r="A3778" s="22" t="str">
        <x:f>"31c41e95-1056-4472-9827-ae093293fc3b"</x:f>
        <x:v>31c41e95-1056-4472-9827-ae093293fc3b</x:v>
      </x:c>
      <x:c r="B3778" s="23" t="str">
        <x:v>WAGNER VINICIUS GONZALES PEREIRA</x:v>
      </x:c>
      <x:c r="C3778" s="23" t="str">
        <x:v>wagner vinicius gonzales pereira</x:v>
      </x:c>
      <x:c r="D3778" s="22" t="str">
        <x:f>"58.200.743/0001-95"</x:f>
        <x:v>58.200.743/0001-95</x:v>
      </x:c>
      <x:c r="E3778" s="22" t="str">
        <x:f>"58200743000195"</x:f>
        <x:v>58200743000195</x:v>
      </x:c>
      <x:c r="F3778" s="22" t="str">
        <x:f>"520.562.318-75"</x:f>
        <x:v>520.562.318-75</x:v>
      </x:c>
      <x:c r="G3778" s="22" t="str">
        <x:f>"52056231875"</x:f>
        <x:v>52056231875</x:v>
      </x:c>
      <x:c r="H3778" s="23" t="str">
        <x:v>wv4735774@gmail.com</x:v>
      </x:c>
      <x:c r="I3778" s="22" t="str">
        <x:f>"16991470558"</x:f>
        <x:v>16991470558</x:v>
      </x:c>
      <x:c r="J3778" s="23" t="str">
        <x:v>RENTAL</x:v>
      </x:c>
      <x:c r="K3778" s="23" t="str">
        <x:v>rental_company</x:v>
      </x:c>
      <x:c r="L3778" s="24" t="b">
        <x:v>1</x:v>
      </x:c>
      <x:c r="M3778" s="23" t="n">
        <x:v>1</x:v>
      </x:c>
      <x:c r="N3778" s="28" t="n">
        <x:v>46203.92183017361</x:v>
      </x:c>
      <x:c r="O3778" s="28" t="n">
        <x:v>46219.812988715275</x:v>
      </x:c>
      <x:c r="P3778" s="23" t="str">
        <x:v>BARRETOS</x:v>
      </x:c>
      <x:c r="Q3778" s="30" t="n">
        <x:v>37320</x:v>
      </x:c>
      <x:c r="R3778" s="22" t="str">
        <x:f>"57534294-8"</x:f>
        <x:v>57534294-8</x:v>
      </x:c>
      <x:c r="S3778" s="23" t="str">
        <x:v>masculino</x:v>
      </x:c>
      <x:c r="T3778" s="22" t="str"/>
      <x:c r="U3778" s="23" t="str">
        <x:v>WAGNER VINICIUS GONZALES PEREIRA</x:v>
      </x:c>
      <x:c r="V3778" s="22" t="str">
        <x:f>"520.562.318-75"</x:f>
        <x:v>520.562.318-75</x:v>
      </x:c>
      <x:c r="W3778" s="22" t="str">
        <x:f>"52056231875"</x:f>
        <x:v>52056231875</x:v>
      </x:c>
      <x:c r="X3778" s="23" t="str">
        <x:v>wv4735774@gmail.com</x:v>
      </x:c>
      <x:c r="Y3778" s="22" t="str">
        <x:f>"16991470558"</x:f>
        <x:v>16991470558</x:v>
      </x:c>
      <x:c r="Z3778" s="30" t="n">
        <x:v>46332</x:v>
      </x:c>
    </x:row>
    <x:row r="3779" ht="18" customHeight="1">
      <x:c r="A3779" s="22" t="str">
        <x:f>"9ec064e8-095d-405d-9ee2-f683b07e6f5f"</x:f>
        <x:v>9ec064e8-095d-405d-9ee2-f683b07e6f5f</x:v>
      </x:c>
      <x:c r="B3779" s="23" t="str">
        <x:v>WAINER MARCELO XAVIER GIROTO</x:v>
      </x:c>
      <x:c r="C3779" s="23" t="str">
        <x:v>wainer marcelo xavier giroto</x:v>
      </x:c>
      <x:c r="D3779" s="22" t="str">
        <x:f>"35.937.904/0001-22"</x:f>
        <x:v>35.937.904/0001-22</x:v>
      </x:c>
      <x:c r="E3779" s="22" t="str">
        <x:f>"35937904000122"</x:f>
        <x:v>35937904000122</x:v>
      </x:c>
      <x:c r="F3779" s="22" t="str">
        <x:f>"703.002.911-91"</x:f>
        <x:v>703.002.911-91</x:v>
      </x:c>
      <x:c r="G3779" s="22" t="str">
        <x:f>"70300291191"</x:f>
        <x:v>70300291191</x:v>
      </x:c>
      <x:c r="H3779" s="23" t="str">
        <x:v>wainermarceloxavier@gmail.com</x:v>
      </x:c>
      <x:c r="I3779" s="22" t="str">
        <x:f>"659 9991-8981"</x:f>
        <x:v>659 9991-8981</x:v>
      </x:c>
      <x:c r="J3779" s="23" t="str">
        <x:v>RENTAL</x:v>
      </x:c>
      <x:c r="K3779" s="23" t="str">
        <x:v>rental_company</x:v>
      </x:c>
      <x:c r="L3779" s="24" t="b">
        <x:v>1</x:v>
      </x:c>
      <x:c r="M3779" s="23" t="n">
        <x:v>1</x:v>
      </x:c>
      <x:c r="N3779" s="28" t="n">
        <x:v>46203.9218771875</x:v>
      </x:c>
      <x:c r="O3779" s="28" t="n">
        <x:v>46219.812988715275</x:v>
      </x:c>
      <x:c r="P3779" s="23" t="str">
        <x:v>CUIABA</x:v>
      </x:c>
      <x:c r="Q3779" s="30" t="n">
        <x:v>30180</x:v>
      </x:c>
      <x:c r="R3779" s="22" t="str">
        <x:f>"1176318-3"</x:f>
        <x:v>1176318-3</x:v>
      </x:c>
      <x:c r="S3779" s="23" t="str">
        <x:v>masculino</x:v>
      </x:c>
      <x:c r="T3779" s="22" t="str"/>
      <x:c r="U3779" s="23" t="str">
        <x:v>WAINER MARCELO XAVIER GIROTO</x:v>
      </x:c>
      <x:c r="V3779" s="22" t="str">
        <x:f>"703.002.911-91"</x:f>
        <x:v>703.002.911-91</x:v>
      </x:c>
      <x:c r="W3779" s="22" t="str">
        <x:f>"70300291191"</x:f>
        <x:v>70300291191</x:v>
      </x:c>
      <x:c r="X3779" s="23" t="str">
        <x:v>wainermarceloxavier@gmail.com</x:v>
      </x:c>
      <x:c r="Y3779" s="22" t="str">
        <x:f>"659 9991-8981"</x:f>
        <x:v>659 9991-8981</x:v>
      </x:c>
      <x:c r="Z3779" s="30" t="n">
        <x:v>46308</x:v>
      </x:c>
    </x:row>
    <x:row r="3780" ht="18" customHeight="1">
      <x:c r="A3780" s="22" t="str">
        <x:f>"dc009550-a450-41bd-a23b-e6c1126d06f2"</x:f>
        <x:v>dc009550-a450-41bd-a23b-e6c1126d06f2</x:v>
      </x:c>
      <x:c r="B3780" s="23" t="str">
        <x:v>WALACE BARROSO BATISTA</x:v>
      </x:c>
      <x:c r="C3780" s="23" t="str">
        <x:v>walace barroso batista</x:v>
      </x:c>
      <x:c r="D3780" s="22" t="str">
        <x:f>"57.326.745/0001-62"</x:f>
        <x:v>57.326.745/0001-62</x:v>
      </x:c>
      <x:c r="E3780" s="22" t="str">
        <x:f>"57326745000162"</x:f>
        <x:v>57326745000162</x:v>
      </x:c>
      <x:c r="F3780" s="22" t="str">
        <x:f>"131.338.067-93"</x:f>
        <x:v>131.338.067-93</x:v>
      </x:c>
      <x:c r="G3780" s="22" t="str">
        <x:f>"13133806793"</x:f>
        <x:v>13133806793</x:v>
      </x:c>
      <x:c r="H3780" s="23" t="str">
        <x:v>drawsetor01@gmail.com</x:v>
      </x:c>
      <x:c r="I3780" s="22" t="str">
        <x:f>"21 98872-2732"</x:f>
        <x:v>21 98872-2732</x:v>
      </x:c>
      <x:c r="J3780" s="23" t="str">
        <x:v>SPOT</x:v>
      </x:c>
      <x:c r="K3780" s="23" t="str">
        <x:v>favored_only</x:v>
      </x:c>
      <x:c r="L3780" s="24" t="b">
        <x:v>1</x:v>
      </x:c>
      <x:c r="M3780" s="23" t="n">
        <x:v>1</x:v>
      </x:c>
      <x:c r="N3780" s="28" t="n">
        <x:v>46203.921887453704</x:v>
      </x:c>
      <x:c r="O3780" s="28" t="n">
        <x:v>46219.812988715275</x:v>
      </x:c>
      <x:c r="P3780" s="23" t="str">
        <x:v>CAMPO GRANDE</x:v>
      </x:c>
      <x:c r="Q3780" s="30" t="n">
        <x:v>32520</x:v>
      </x:c>
      <x:c r="R3780" s="22" t="str">
        <x:f>"217574763"</x:f>
        <x:v>217574763</x:v>
      </x:c>
      <x:c r="S3780" s="23" t="str">
        <x:v>masculino</x:v>
      </x:c>
      <x:c r="T3780" s="22" t="str">
        <x:f>"TTJ8C58"</x:f>
        <x:v>TTJ8C58</x:v>
      </x:c>
      <x:c r="U3780" s="23" t="str">
        <x:v>WALACE BARROSO BATISTA</x:v>
      </x:c>
      <x:c r="V3780" s="22" t="str">
        <x:f>"131.338.067-93"</x:f>
        <x:v>131.338.067-93</x:v>
      </x:c>
      <x:c r="W3780" s="22" t="str">
        <x:f>"13133806793"</x:f>
        <x:v>13133806793</x:v>
      </x:c>
      <x:c r="X3780" s="23" t="str">
        <x:v>drawsetor01@gmail.com</x:v>
      </x:c>
      <x:c r="Y3780" s="22" t="str">
        <x:f>"21 98872-2732"</x:f>
        <x:v>21 98872-2732</x:v>
      </x:c>
      <x:c r="Z3780" s="30" t="n">
        <x:v>46331</x:v>
      </x:c>
    </x:row>
    <x:row r="3781" ht="18" customHeight="1">
      <x:c r="A3781" s="22" t="str">
        <x:f>"e0fbda57-7b82-4dc6-ae4f-2839947e9b94"</x:f>
        <x:v>e0fbda57-7b82-4dc6-ae4f-2839947e9b94</x:v>
      </x:c>
      <x:c r="B3781" s="23" t="str">
        <x:v>WALACE BATISTA RODRIGUES</x:v>
      </x:c>
      <x:c r="C3781" s="23" t="str">
        <x:v>walace batista rodrigues</x:v>
      </x:c>
      <x:c r="D3781" s="22" t="str">
        <x:f>"50.165.112/0001-70"</x:f>
        <x:v>50.165.112/0001-70</x:v>
      </x:c>
      <x:c r="E3781" s="22" t="str">
        <x:f>"50165112000170"</x:f>
        <x:v>50165112000170</x:v>
      </x:c>
      <x:c r="F3781" s="22" t="str">
        <x:f>"704.080.816-19"</x:f>
        <x:v>704.080.816-19</x:v>
      </x:c>
      <x:c r="G3781" s="22" t="str">
        <x:f>"70408081619"</x:f>
        <x:v>70408081619</x:v>
      </x:c>
      <x:c r="H3781" s="23" t="str">
        <x:v>rwalace732@gmail.com</x:v>
      </x:c>
      <x:c r="I3781" s="22" t="str">
        <x:f>"33 9813-2541"</x:f>
        <x:v>33 9813-2541</x:v>
      </x:c>
      <x:c r="J3781" s="23" t="str">
        <x:v>SPOT</x:v>
      </x:c>
      <x:c r="K3781" s="23" t="str">
        <x:v>favored_only</x:v>
      </x:c>
      <x:c r="L3781" s="24" t="b">
        <x:v>1</x:v>
      </x:c>
      <x:c r="M3781" s="23" t="n">
        <x:v>2</x:v>
      </x:c>
      <x:c r="N3781" s="28" t="n">
        <x:v>46219.812988715275</x:v>
      </x:c>
      <x:c r="O3781" s="28" t="n">
        <x:v>46219.812988715275</x:v>
      </x:c>
      <x:c r="P3781" s="23" t="str">
        <x:v>TEOFILO OTONI</x:v>
      </x:c>
      <x:c r="Q3781" s="30" t="n">
        <x:v>37140</x:v>
      </x:c>
      <x:c r="R3781" s="22" t="str">
        <x:f>"22411237"</x:f>
        <x:v>22411237</x:v>
      </x:c>
      <x:c r="S3781" s="23" t="str">
        <x:v>masculino</x:v>
      </x:c>
      <x:c r="T3781" s="22" t="str">
        <x:f>"HEQ3C63"</x:f>
        <x:v>HEQ3C63</x:v>
      </x:c>
      <x:c r="U3781" s="23" t="str">
        <x:v>WALACE BATISTA RODRIGUES</x:v>
      </x:c>
      <x:c r="V3781" s="22" t="str">
        <x:f>"704.080.816-19"</x:f>
        <x:v>704.080.816-19</x:v>
      </x:c>
      <x:c r="W3781" s="22" t="str">
        <x:f>"70408081619"</x:f>
        <x:v>70408081619</x:v>
      </x:c>
      <x:c r="X3781" s="23" t="str">
        <x:v>rwalace732@gmail.com</x:v>
      </x:c>
      <x:c r="Y3781" s="22" t="str">
        <x:f>"33 9813-2541"</x:f>
        <x:v>33 9813-2541</x:v>
      </x:c>
      <x:c r="Z3781" s="30" t="n">
        <x:v>46465</x:v>
      </x:c>
    </x:row>
    <x:row r="3782" ht="18" customHeight="1">
      <x:c r="A3782" s="22" t="str">
        <x:f>"8720d8e0-6990-4ad3-8744-ebb5f1bda902"</x:f>
        <x:v>8720d8e0-6990-4ad3-8744-ebb5f1bda902</x:v>
      </x:c>
      <x:c r="B3782" s="23" t="str">
        <x:v>WALAKCI ALVES DA SILVA</x:v>
      </x:c>
      <x:c r="C3782" s="23" t="str">
        <x:v>walakci alves da silva</x:v>
      </x:c>
      <x:c r="D3782" s="22" t="str">
        <x:f>"61.750.749/0001-40"</x:f>
        <x:v>61.750.749/0001-40</x:v>
      </x:c>
      <x:c r="E3782" s="22" t="str">
        <x:f>"61750749000140"</x:f>
        <x:v>61750749000140</x:v>
      </x:c>
      <x:c r="F3782" s="22" t="str">
        <x:f>"162.505.736-90"</x:f>
        <x:v>162.505.736-90</x:v>
      </x:c>
      <x:c r="G3782" s="22" t="str">
        <x:f>"16250573690"</x:f>
        <x:v>16250573690</x:v>
      </x:c>
      <x:c r="H3782" s="23" t="str">
        <x:v>WALAKCI@gmail.com</x:v>
      </x:c>
      <x:c r="I3782" s="22" t="str">
        <x:f>"31 99402-5585"</x:f>
        <x:v>31 99402-5585</x:v>
      </x:c>
      <x:c r="J3782" s="23" t="str">
        <x:v>SPOT</x:v>
      </x:c>
      <x:c r="K3782" s="23" t="str">
        <x:v>favored_only</x:v>
      </x:c>
      <x:c r="L3782" s="24" t="b">
        <x:v>1</x:v>
      </x:c>
      <x:c r="M3782" s="23" t="n">
        <x:v>1</x:v>
      </x:c>
      <x:c r="N3782" s="28" t="n">
        <x:v>46203.921840393516</x:v>
      </x:c>
      <x:c r="O3782" s="28" t="n">
        <x:v>46219.812988715275</x:v>
      </x:c>
      <x:c r="P3782" s="23" t="str">
        <x:v>GUANHAES</x:v>
      </x:c>
      <x:c r="Q3782" s="30" t="n">
        <x:v>36516</x:v>
      </x:c>
      <x:c r="R3782" s="22" t="str">
        <x:f>"22354754"</x:f>
        <x:v>22354754</x:v>
      </x:c>
      <x:c r="S3782" s="23" t="str">
        <x:v>masculino</x:v>
      </x:c>
      <x:c r="T3782" s="22" t="str">
        <x:f>"Hju2e41"</x:f>
        <x:v>Hju2e41</x:v>
      </x:c>
      <x:c r="U3782" s="23" t="str">
        <x:v>WALAKCI ALVES DA SILVA</x:v>
      </x:c>
      <x:c r="V3782" s="22" t="str">
        <x:f>"162.505.736-90"</x:f>
        <x:v>162.505.736-90</x:v>
      </x:c>
      <x:c r="W3782" s="22" t="str">
        <x:f>"16250573690"</x:f>
        <x:v>16250573690</x:v>
      </x:c>
      <x:c r="X3782" s="23" t="str">
        <x:v>WALAKCI@GMAIL.COM</x:v>
      </x:c>
      <x:c r="Y3782" s="22" t="str">
        <x:f>"31 99402-5585"</x:f>
        <x:v>31 99402-5585</x:v>
      </x:c>
      <x:c r="Z3782" s="30" t="n">
        <x:v>46578</x:v>
      </x:c>
    </x:row>
    <x:row r="3783" ht="18" customHeight="1">
      <x:c r="A3783" s="22" t="str">
        <x:f>"a870ce2d-b929-4d58-ac7d-4fab622643fd"</x:f>
        <x:v>a870ce2d-b929-4d58-ac7d-4fab622643fd</x:v>
      </x:c>
      <x:c r="B3783" s="23" t="str">
        <x:v>WALAN SILVA DA CRUZ</x:v>
      </x:c>
      <x:c r="C3783" s="23" t="str">
        <x:v>walan silva da cruz</x:v>
      </x:c>
      <x:c r="D3783" s="22" t="str">
        <x:f>"62.345.077/0001-50"</x:f>
        <x:v>62.345.077/0001-50</x:v>
      </x:c>
      <x:c r="E3783" s="22" t="str">
        <x:f>"62345077000150"</x:f>
        <x:v>62345077000150</x:v>
      </x:c>
      <x:c r="F3783" s="22" t="str">
        <x:f>"021.739.436-18"</x:f>
        <x:v>021.739.436-18</x:v>
      </x:c>
      <x:c r="G3783" s="22" t="str">
        <x:f>"02173943618"</x:f>
        <x:v>02173943618</x:v>
      </x:c>
      <x:c r="H3783" s="23" t="str">
        <x:v>silvawalan3592@gmail.com</x:v>
      </x:c>
      <x:c r="I3783" s="22" t="str">
        <x:f>"(31) 9 9197-2962"</x:f>
        <x:v>(31) 9 9197-2962</x:v>
      </x:c>
      <x:c r="J3783" s="23" t="str">
        <x:v>RENTAL</x:v>
      </x:c>
      <x:c r="K3783" s="23" t="str">
        <x:v>rental_company</x:v>
      </x:c>
      <x:c r="L3783" s="24" t="b">
        <x:v>1</x:v>
      </x:c>
      <x:c r="M3783" s="23" t="n">
        <x:v>1</x:v>
      </x:c>
      <x:c r="N3783" s="28" t="n">
        <x:v>46203.921887453704</x:v>
      </x:c>
      <x:c r="O3783" s="28" t="n">
        <x:v>46219.812988715275</x:v>
      </x:c>
      <x:c r="P3783" s="23" t="str">
        <x:v>NOVA LIMA</x:v>
      </x:c>
      <x:c r="Q3783" s="30" t="n">
        <x:v>37836</x:v>
      </x:c>
      <x:c r="R3783" s="22" t="str">
        <x:f>"20456204"</x:f>
        <x:v>20456204</x:v>
      </x:c>
      <x:c r="S3783" s="23" t="str">
        <x:v>masculino</x:v>
      </x:c>
      <x:c r="T3783" s="22" t="str"/>
      <x:c r="U3783" s="23" t="str">
        <x:v>WALAN SILVA DA CRUZ</x:v>
      </x:c>
      <x:c r="V3783" s="22" t="str">
        <x:f>"021.739.436-18"</x:f>
        <x:v>021.739.436-18</x:v>
      </x:c>
      <x:c r="W3783" s="22" t="str">
        <x:f>"02173943618"</x:f>
        <x:v>02173943618</x:v>
      </x:c>
      <x:c r="X3783" s="23" t="str">
        <x:v>silvawalan3592@gmail.com</x:v>
      </x:c>
      <x:c r="Y3783" s="22" t="str">
        <x:f>"(31) 9 9197-2962"</x:f>
        <x:v>(31) 9 9197-2962</x:v>
      </x:c>
      <x:c r="Z3783" s="30" t="n">
        <x:v>46325</x:v>
      </x:c>
    </x:row>
    <x:row r="3784" ht="18" customHeight="1">
      <x:c r="A3784" s="22" t="str">
        <x:f>"7e2b3fb3-7744-4617-a3c4-ffd1504bf9a4"</x:f>
        <x:v>7e2b3fb3-7744-4617-a3c4-ffd1504bf9a4</x:v>
      </x:c>
      <x:c r="B3784" s="23" t="str">
        <x:v>WALBER PABLO FIGUEIRA DA SILVA</x:v>
      </x:c>
      <x:c r="C3784" s="23" t="str">
        <x:v>walber pablo figueira da silva</x:v>
      </x:c>
      <x:c r="D3784" s="22" t="str">
        <x:f>"63.909.968/0001-55"</x:f>
        <x:v>63.909.968/0001-55</x:v>
      </x:c>
      <x:c r="E3784" s="22" t="str">
        <x:f>"63909968000155"</x:f>
        <x:v>63909968000155</x:v>
      </x:c>
      <x:c r="F3784" s="22" t="str">
        <x:f>"062.707.591-61"</x:f>
        <x:v>062.707.591-61</x:v>
      </x:c>
      <x:c r="G3784" s="22" t="str">
        <x:f>"06270759161"</x:f>
        <x:v>06270759161</x:v>
      </x:c>
      <x:c r="H3784" s="23" t="str">
        <x:v>Walbersilvawalber95@gmail.com</x:v>
      </x:c>
      <x:c r="I3784" s="22" t="str">
        <x:f>"65 99352-9018"</x:f>
        <x:v>65 99352-9018</x:v>
      </x:c>
      <x:c r="J3784" s="23" t="str">
        <x:v>SPOT</x:v>
      </x:c>
      <x:c r="K3784" s="23" t="str">
        <x:v>favored_only</x:v>
      </x:c>
      <x:c r="L3784" s="24" t="b">
        <x:v>1</x:v>
      </x:c>
      <x:c r="M3784" s="23" t="n">
        <x:v>1</x:v>
      </x:c>
      <x:c r="N3784" s="28" t="n">
        <x:v>46219.812988715275</x:v>
      </x:c>
      <x:c r="O3784" s="28" t="n">
        <x:v>46219.812988715275</x:v>
      </x:c>
      <x:c r="P3784" s="23" t="str">
        <x:v>CUIABA</x:v>
      </x:c>
      <x:c r="Q3784" s="30" t="n">
        <x:v>35825</x:v>
      </x:c>
      <x:c r="R3784" s="22" t="str">
        <x:f>"28702247"</x:f>
        <x:v>28702247</x:v>
      </x:c>
      <x:c r="S3784" s="23" t="str">
        <x:v>masculino</x:v>
      </x:c>
      <x:c r="T3784" s="22" t="str">
        <x:f>"RHH1F55"</x:f>
        <x:v>RHH1F55</x:v>
      </x:c>
      <x:c r="U3784" s="23" t="str">
        <x:v>WALBER PABLO FIGUEIRA DA SILVA</x:v>
      </x:c>
      <x:c r="V3784" s="22" t="str">
        <x:f>"062.707.591-61"</x:f>
        <x:v>062.707.591-61</x:v>
      </x:c>
      <x:c r="W3784" s="22" t="str">
        <x:f>"06270759161"</x:f>
        <x:v>06270759161</x:v>
      </x:c>
      <x:c r="X3784" s="23" t="str">
        <x:v>Walbersilvawalber95@gmail.com</x:v>
      </x:c>
      <x:c r="Y3784" s="22" t="str">
        <x:f>"65 99352-9018"</x:f>
        <x:v>65 99352-9018</x:v>
      </x:c>
      <x:c r="Z3784" s="30" t="n">
        <x:v>46553</x:v>
      </x:c>
    </x:row>
    <x:row r="3785" ht="18" customHeight="1">
      <x:c r="A3785" s="22" t="str">
        <x:f>"8401889d-1a7c-40c3-9aeb-6cb07fe8d604"</x:f>
        <x:v>8401889d-1a7c-40c3-9aeb-6cb07fe8d604</x:v>
      </x:c>
      <x:c r="B3785" s="23" t="str">
        <x:v>WALESSON PIRES GONCALVES</x:v>
      </x:c>
      <x:c r="C3785" s="23" t="str">
        <x:v>walesson pires goncalves</x:v>
      </x:c>
      <x:c r="D3785" s="22" t="str">
        <x:f>"50.416.382/0001-07"</x:f>
        <x:v>50.416.382/0001-07</x:v>
      </x:c>
      <x:c r="E3785" s="22" t="str">
        <x:f>"50416382000107"</x:f>
        <x:v>50416382000107</x:v>
      </x:c>
      <x:c r="F3785" s="22" t="str">
        <x:f>"125.964.716-12"</x:f>
        <x:v>125.964.716-12</x:v>
      </x:c>
      <x:c r="G3785" s="22" t="str">
        <x:f>"12596471612"</x:f>
        <x:v>12596471612</x:v>
      </x:c>
      <x:c r="H3785" s="23" t="str">
        <x:v>walessonandressa@gmail.com</x:v>
      </x:c>
      <x:c r="I3785" s="22" t="str">
        <x:f>"22920089490"</x:f>
        <x:v>22920089490</x:v>
      </x:c>
      <x:c r="J3785" s="23" t="str">
        <x:v>SPOT</x:v>
      </x:c>
      <x:c r="K3785" s="23" t="str">
        <x:v>favored_only</x:v>
      </x:c>
      <x:c r="L3785" s="24" t="b">
        <x:v>1</x:v>
      </x:c>
      <x:c r="M3785" s="23" t="n">
        <x:v>1</x:v>
      </x:c>
      <x:c r="N3785" s="28" t="n">
        <x:v>46205.60501112269</x:v>
      </x:c>
      <x:c r="O3785" s="28" t="n">
        <x:v>46219.812988715275</x:v>
      </x:c>
      <x:c r="P3785" s="23" t="str">
        <x:v>CAMPOS DOS GOYTACAZES</x:v>
      </x:c>
      <x:c r="Q3785" s="30" t="n">
        <x:v>33704</x:v>
      </x:c>
      <x:c r="R3785" s="22" t="str">
        <x:f>"327669396"</x:f>
        <x:v>327669396</x:v>
      </x:c>
      <x:c r="S3785" s="23" t="str">
        <x:v>masculino</x:v>
      </x:c>
      <x:c r="T3785" s="22" t="str">
        <x:f>"OYE4A40"</x:f>
        <x:v>OYE4A40</x:v>
      </x:c>
      <x:c r="U3785" s="23" t="str">
        <x:v>THIAGO BARBOSA MACHADO GOMES</x:v>
      </x:c>
      <x:c r="V3785" s="22" t="str">
        <x:f>"058.477.007-33"</x:f>
        <x:v>058.477.007-33</x:v>
      </x:c>
      <x:c r="W3785" s="22" t="str">
        <x:f>"05847700733"</x:f>
        <x:v>05847700733</x:v>
      </x:c>
      <x:c r="X3785" s="23" t="str">
        <x:v>machado-tb@bol.com.br</x:v>
      </x:c>
      <x:c r="Y3785" s="22" t="str">
        <x:f>"22998657718"</x:f>
        <x:v>22998657718</x:v>
      </x:c>
      <x:c r="Z3785" s="30" t="n">
        <x:v>46308</x:v>
      </x:c>
    </x:row>
    <x:row r="3786" ht="18" customHeight="1">
      <x:c r="A3786" s="22" t="str">
        <x:f>"5722d962-2c6d-4e50-b220-b603d7c0669b"</x:f>
        <x:v>5722d962-2c6d-4e50-b220-b603d7c0669b</x:v>
      </x:c>
      <x:c r="B3786" s="23" t="str">
        <x:v>WALFRANIO MARCELINO DE ALMEIDA</x:v>
      </x:c>
      <x:c r="C3786" s="23" t="str">
        <x:v>walfranio marcelino de almeida</x:v>
      </x:c>
      <x:c r="D3786" s="22" t="str">
        <x:f>"65.502.702/0001-19"</x:f>
        <x:v>65.502.702/0001-19</x:v>
      </x:c>
      <x:c r="E3786" s="22" t="str">
        <x:f>"65502702000119"</x:f>
        <x:v>65502702000119</x:v>
      </x:c>
      <x:c r="F3786" s="22" t="str">
        <x:f>"041.732.516-96"</x:f>
        <x:v>041.732.516-96</x:v>
      </x:c>
      <x:c r="G3786" s="22" t="str">
        <x:f>"04173251696"</x:f>
        <x:v>04173251696</x:v>
      </x:c>
      <x:c r="H3786" s="23" t="str">
        <x:v>walfranio.almeida@hotmail.com</x:v>
      </x:c>
      <x:c r="I3786" s="22" t="str">
        <x:f>"31986499781"</x:f>
        <x:v>31986499781</x:v>
      </x:c>
      <x:c r="J3786" s="23" t="str">
        <x:v>SPOT</x:v>
      </x:c>
      <x:c r="K3786" s="23" t="str">
        <x:v>favored_only</x:v>
      </x:c>
      <x:c r="L3786" s="24" t="b">
        <x:v>1</x:v>
      </x:c>
      <x:c r="M3786" s="23" t="n">
        <x:v>1</x:v>
      </x:c>
      <x:c r="N3786" s="28" t="n">
        <x:v>46219.812988715275</x:v>
      </x:c>
      <x:c r="O3786" s="28" t="n">
        <x:v>46219.812988715275</x:v>
      </x:c>
      <x:c r="P3786" s="23" t="str">
        <x:v>IPATINGA</x:v>
      </x:c>
      <x:c r="Q3786" s="30" t="n">
        <x:v>29237</x:v>
      </x:c>
      <x:c r="R3786" s="22" t="str">
        <x:f>"MG 10853311 SSP MG"</x:f>
        <x:v>MG 10853311 SSP MG</x:v>
      </x:c>
      <x:c r="S3786" s="23" t="str">
        <x:v>masculino</x:v>
      </x:c>
      <x:c r="T3786" s="22" t="str">
        <x:f>"PVG9G53"</x:f>
        <x:v>PVG9G53</x:v>
      </x:c>
      <x:c r="U3786" s="23" t="str">
        <x:v>WALFRANIO MARCELINO DE ALMEIDA</x:v>
      </x:c>
      <x:c r="V3786" s="22" t="str">
        <x:f>"041.732.516-96"</x:f>
        <x:v>041.732.516-96</x:v>
      </x:c>
      <x:c r="W3786" s="22" t="str">
        <x:f>"04173251696"</x:f>
        <x:v>04173251696</x:v>
      </x:c>
      <x:c r="X3786" s="23" t="str">
        <x:v>walfranio.almeida@hotmail.com</x:v>
      </x:c>
      <x:c r="Y3786" s="22" t="str">
        <x:f>"31986499781"</x:f>
        <x:v>31986499781</x:v>
      </x:c>
      <x:c r="Z3786" s="30" t="n">
        <x:v>46451</x:v>
      </x:c>
    </x:row>
    <x:row r="3787" ht="18" customHeight="1">
      <x:c r="A3787" s="22" t="str">
        <x:f>"83f49639-295a-41db-a09f-4ae5e47d799b"</x:f>
        <x:v>83f49639-295a-41db-a09f-4ae5e47d799b</x:v>
      </x:c>
      <x:c r="B3787" s="23" t="str">
        <x:v>WALISON FERREIRA SOARES</x:v>
      </x:c>
      <x:c r="C3787" s="23" t="str">
        <x:v>walison ferreira soares</x:v>
      </x:c>
      <x:c r="D3787" s="22" t="str">
        <x:f>"57.869.732/0001-30"</x:f>
        <x:v>57.869.732/0001-30</x:v>
      </x:c>
      <x:c r="E3787" s="22" t="str">
        <x:f>"57869732000130"</x:f>
        <x:v>57869732000130</x:v>
      </x:c>
      <x:c r="F3787" s="22" t="str">
        <x:f>"528.235.738-01"</x:f>
        <x:v>528.235.738-01</x:v>
      </x:c>
      <x:c r="G3787" s="22" t="str">
        <x:f>"52823573801"</x:f>
        <x:v>52823573801</x:v>
      </x:c>
      <x:c r="H3787" s="23" t="str">
        <x:v>walisontransporte@gmail.com</x:v>
      </x:c>
      <x:c r="I3787" s="22" t="str">
        <x:f>"17991555999"</x:f>
        <x:v>17991555999</x:v>
      </x:c>
      <x:c r="J3787" s="23" t="str">
        <x:v>SPOT</x:v>
      </x:c>
      <x:c r="K3787" s="23" t="str">
        <x:v>favored_only</x:v>
      </x:c>
      <x:c r="L3787" s="24" t="b">
        <x:v>1</x:v>
      </x:c>
      <x:c r="M3787" s="23" t="n">
        <x:v>2</x:v>
      </x:c>
      <x:c r="N3787" s="28" t="n">
        <x:v>46203.921858726855</x:v>
      </x:c>
      <x:c r="O3787" s="28" t="n">
        <x:v>46219.812988715275</x:v>
      </x:c>
      <x:c r="P3787" s="23" t="str">
        <x:v>SÃO JOSE DO RIO PRETO</x:v>
      </x:c>
      <x:c r="Q3787" s="30" t="n">
        <x:v>37617</x:v>
      </x:c>
      <x:c r="R3787" s="22" t="str">
        <x:f>"398252087"</x:f>
        <x:v>398252087</x:v>
      </x:c>
      <x:c r="S3787" s="23" t="str">
        <x:v>masculino</x:v>
      </x:c>
      <x:c r="T3787" s="22" t="str">
        <x:f>"EPR9I46"</x:f>
        <x:v>EPR9I46</x:v>
      </x:c>
      <x:c r="U3787" s="23" t="str">
        <x:v>WALISON FERREIRA SOARES</x:v>
      </x:c>
      <x:c r="V3787" s="22" t="str">
        <x:f>"528.235.738-01"</x:f>
        <x:v>528.235.738-01</x:v>
      </x:c>
      <x:c r="W3787" s="22" t="str">
        <x:f>"52823573801"</x:f>
        <x:v>52823573801</x:v>
      </x:c>
      <x:c r="X3787" s="23" t="str">
        <x:v>walisontransporte@gmail.com</x:v>
      </x:c>
      <x:c r="Y3787" s="22" t="str">
        <x:f>"17991555999"</x:f>
        <x:v>17991555999</x:v>
      </x:c>
      <x:c r="Z3787" s="30" t="n">
        <x:v>46262</x:v>
      </x:c>
    </x:row>
    <x:row r="3788" ht="18" customHeight="1">
      <x:c r="A3788" s="22" t="str">
        <x:f>"0a657805-b427-430f-9ddb-300aae539b51"</x:f>
        <x:v>0a657805-b427-430f-9ddb-300aae539b51</x:v>
      </x:c>
      <x:c r="B3788" s="23" t="str">
        <x:v>WALISON MAMEDIO VENANCIO</x:v>
      </x:c>
      <x:c r="C3788" s="23" t="str">
        <x:v>walison mamedio venancio</x:v>
      </x:c>
      <x:c r="D3788" s="22" t="str">
        <x:f>"27.833.088/0001-89"</x:f>
        <x:v>27.833.088/0001-89</x:v>
      </x:c>
      <x:c r="E3788" s="22" t="str">
        <x:f>"27833088000189"</x:f>
        <x:v>27833088000189</x:v>
      </x:c>
      <x:c r="F3788" s="22" t="str">
        <x:f>"146.526.426-44"</x:f>
        <x:v>146.526.426-44</x:v>
      </x:c>
      <x:c r="G3788" s="22" t="str">
        <x:f>"14652642644"</x:f>
        <x:v>14652642644</x:v>
      </x:c>
      <x:c r="H3788" s="23" t="str">
        <x:v>walisonmamedio39@gmail.com</x:v>
      </x:c>
      <x:c r="I3788" s="22" t="str">
        <x:f>"35 98721-1339"</x:f>
        <x:v>35 98721-1339</x:v>
      </x:c>
      <x:c r="J3788" s="23" t="str">
        <x:v>SPOT</x:v>
      </x:c>
      <x:c r="K3788" s="23" t="str">
        <x:v>favored_only</x:v>
      </x:c>
      <x:c r="L3788" s="24" t="b">
        <x:v>1</x:v>
      </x:c>
      <x:c r="M3788" s="23" t="n">
        <x:v>1</x:v>
      </x:c>
      <x:c r="N3788" s="28" t="n">
        <x:v>46205.60614875</x:v>
      </x:c>
      <x:c r="O3788" s="28" t="n">
        <x:v>46219.812988715275</x:v>
      </x:c>
      <x:c r="P3788" s="23" t="str">
        <x:v>GUAXUPE</x:v>
      </x:c>
      <x:c r="Q3788" s="30" t="n">
        <x:v>36583</x:v>
      </x:c>
      <x:c r="R3788" s="22" t="str">
        <x:f>"21873096"</x:f>
        <x:v>21873096</x:v>
      </x:c>
      <x:c r="S3788" s="23" t="str">
        <x:v>masculino</x:v>
      </x:c>
      <x:c r="T3788" s="22" t="str">
        <x:f>"OBT4F44"</x:f>
        <x:v>OBT4F44</x:v>
      </x:c>
      <x:c r="U3788" s="23" t="str">
        <x:v>RAFAEL CLAUDINO DA SILVA</x:v>
      </x:c>
      <x:c r="V3788" s="22" t="str">
        <x:f>"121.506.836-01"</x:f>
        <x:v>121.506.836-01</x:v>
      </x:c>
      <x:c r="W3788" s="22" t="str">
        <x:f>"12150683601"</x:f>
        <x:v>12150683601</x:v>
      </x:c>
      <x:c r="X3788" s="23" t="str">
        <x:v>adguaranesiaoficial@gmail.com</x:v>
      </x:c>
      <x:c r="Y3788" s="22" t="str">
        <x:f>"35 9930-2102"</x:f>
        <x:v>35 9930-2102</x:v>
      </x:c>
      <x:c r="Z3788" s="30" t="n">
        <x:v>46345</x:v>
      </x:c>
    </x:row>
    <x:row r="3789" ht="18" customHeight="1">
      <x:c r="A3789" s="22" t="str">
        <x:f>"88c0ad60-ea84-44ff-8bf4-d9e1ee3559a3"</x:f>
        <x:v>88c0ad60-ea84-44ff-8bf4-d9e1ee3559a3</x:v>
      </x:c>
      <x:c r="B3789" s="23" t="str">
        <x:v>WALISTON LUIZ DE SOUZA</x:v>
      </x:c>
      <x:c r="C3789" s="23" t="str">
        <x:v>waliston luiz de souza</x:v>
      </x:c>
      <x:c r="D3789" s="22" t="str">
        <x:f>"65.540.773/0001-06"</x:f>
        <x:v>65.540.773/0001-06</x:v>
      </x:c>
      <x:c r="E3789" s="22" t="str">
        <x:f>"65540773000106"</x:f>
        <x:v>65540773000106</x:v>
      </x:c>
      <x:c r="F3789" s="22" t="str">
        <x:f>"061.811.316-98"</x:f>
        <x:v>061.811.316-98</x:v>
      </x:c>
      <x:c r="G3789" s="22" t="str">
        <x:f>"06181131698"</x:f>
        <x:v>06181131698</x:v>
      </x:c>
      <x:c r="H3789" s="23" t="str">
        <x:v>walistomluiz@gmail.com</x:v>
      </x:c>
      <x:c r="I3789" s="22" t="str">
        <x:f>"(31) 984156621"</x:f>
        <x:v>(31) 984156621</x:v>
      </x:c>
      <x:c r="J3789" s="23" t="str">
        <x:v>SPOT</x:v>
      </x:c>
      <x:c r="K3789" s="23" t="str">
        <x:v>favored_only</x:v>
      </x:c>
      <x:c r="L3789" s="24" t="b">
        <x:v>1</x:v>
      </x:c>
      <x:c r="M3789" s="23" t="n">
        <x:v>1</x:v>
      </x:c>
      <x:c r="N3789" s="28" t="n">
        <x:v>46219.812988715275</x:v>
      </x:c>
      <x:c r="O3789" s="28" t="n">
        <x:v>46219.812988715275</x:v>
      </x:c>
      <x:c r="P3789" s="23" t="str">
        <x:v>NOVA LIMA</x:v>
      </x:c>
      <x:c r="Q3789" s="30" t="n">
        <x:v>31836</x:v>
      </x:c>
      <x:c r="R3789" s="22" t="str">
        <x:f>"13636139"</x:f>
        <x:v>13636139</x:v>
      </x:c>
      <x:c r="S3789" s="23" t="str">
        <x:v>masculino</x:v>
      </x:c>
      <x:c r="T3789" s="22" t="str">
        <x:f>"TXT7B16"</x:f>
        <x:v>TXT7B16</x:v>
      </x:c>
      <x:c r="U3789" s="23" t="str">
        <x:v>MARCELA LAGE VIEIRA</x:v>
      </x:c>
      <x:c r="V3789" s="22" t="str">
        <x:f>"112.278.106-79"</x:f>
        <x:v>112.278.106-79</x:v>
      </x:c>
      <x:c r="W3789" s="22" t="str">
        <x:f>"11227810679"</x:f>
        <x:v>11227810679</x:v>
      </x:c>
      <x:c r="X3789" s="23" t="str">
        <x:v>marcelalage1502@gamail.com</x:v>
      </x:c>
      <x:c r="Y3789" s="22" t="str">
        <x:f>"3198415-6621"</x:f>
        <x:v>3198415-6621</x:v>
      </x:c>
      <x:c r="Z3789" s="30" t="n">
        <x:v>46458</x:v>
      </x:c>
    </x:row>
    <x:row r="3790" ht="18" customHeight="1">
      <x:c r="A3790" s="22" t="str">
        <x:f>"fb9b4d78-5e8b-473e-9de5-887f37977190"</x:f>
        <x:v>fb9b4d78-5e8b-473e-9de5-887f37977190</x:v>
      </x:c>
      <x:c r="B3790" s="23" t="str">
        <x:v>WALITAS LIMA BATISTA</x:v>
      </x:c>
      <x:c r="C3790" s="23" t="str">
        <x:v>walitas lima batista</x:v>
      </x:c>
      <x:c r="D3790" s="22" t="str">
        <x:f>"66.584.156/0001-75"</x:f>
        <x:v>66.584.156/0001-75</x:v>
      </x:c>
      <x:c r="E3790" s="22" t="str">
        <x:f>"66584156000175"</x:f>
        <x:v>66584156000175</x:v>
      </x:c>
      <x:c r="F3790" s="22" t="str">
        <x:f>"714.872.891-62"</x:f>
        <x:v>714.872.891-62</x:v>
      </x:c>
      <x:c r="G3790" s="22" t="str">
        <x:f>"71487289162"</x:f>
        <x:v>71487289162</x:v>
      </x:c>
      <x:c r="H3790" s="23" t="str">
        <x:v>Walitaslima67@gmail.com</x:v>
      </x:c>
      <x:c r="I3790" s="22" t="str">
        <x:f>"62998588264"</x:f>
        <x:v>62998588264</x:v>
      </x:c>
      <x:c r="J3790" s="23" t="str">
        <x:v>SPOT</x:v>
      </x:c>
      <x:c r="K3790" s="23" t="str">
        <x:v>favored_only</x:v>
      </x:c>
      <x:c r="L3790" s="24" t="b">
        <x:v>1</x:v>
      </x:c>
      <x:c r="M3790" s="23" t="n">
        <x:v>1</x:v>
      </x:c>
      <x:c r="N3790" s="28" t="n">
        <x:v>46219.812988715275</x:v>
      </x:c>
      <x:c r="O3790" s="28" t="n">
        <x:v>46219.812988715275</x:v>
      </x:c>
      <x:c r="P3790" s="23" t="str">
        <x:v>MINAÇU</x:v>
      </x:c>
      <x:c r="Q3790" s="30" t="n">
        <x:v>38063</x:v>
      </x:c>
      <x:c r="R3790" s="22" t="str">
        <x:f>"7449177"</x:f>
        <x:v>7449177</x:v>
      </x:c>
      <x:c r="S3790" s="23" t="str">
        <x:v>masculino</x:v>
      </x:c>
      <x:c r="T3790" s="22" t="str">
        <x:f>"SCS3H02"</x:f>
        <x:v>SCS3H02</x:v>
      </x:c>
      <x:c r="U3790" s="23" t="str">
        <x:v>WALITAS LIMA BATISTA</x:v>
      </x:c>
      <x:c r="V3790" s="22" t="str">
        <x:f>"714.872.891-62"</x:f>
        <x:v>714.872.891-62</x:v>
      </x:c>
      <x:c r="W3790" s="22" t="str">
        <x:f>"71487289162"</x:f>
        <x:v>71487289162</x:v>
      </x:c>
      <x:c r="X3790" s="23" t="str">
        <x:v>Walitaslima67@gmail.com</x:v>
      </x:c>
      <x:c r="Y3790" s="22" t="str">
        <x:f>"62998588264"</x:f>
        <x:v>62998588264</x:v>
      </x:c>
      <x:c r="Z3790" s="30" t="n">
        <x:v>46512</x:v>
      </x:c>
    </x:row>
    <x:row r="3791" ht="18" customHeight="1">
      <x:c r="A3791" s="22" t="str">
        <x:f>"4232cea0-ba95-4dec-afd6-a859f8ac20fe"</x:f>
        <x:v>4232cea0-ba95-4dec-afd6-a859f8ac20fe</x:v>
      </x:c>
      <x:c r="B3791" s="23" t="str">
        <x:v>WALLACE FERREIRA DE MACEDO</x:v>
      </x:c>
      <x:c r="C3791" s="23" t="str">
        <x:v>wallace ferreira de macedo</x:v>
      </x:c>
      <x:c r="D3791" s="22" t="str">
        <x:f>"25.039.152/0001-29"</x:f>
        <x:v>25.039.152/0001-29</x:v>
      </x:c>
      <x:c r="E3791" s="22" t="str">
        <x:f>"25039152000129"</x:f>
        <x:v>25039152000129</x:v>
      </x:c>
      <x:c r="F3791" s="22" t="str">
        <x:f>"033.344.747-63"</x:f>
        <x:v>033.344.747-63</x:v>
      </x:c>
      <x:c r="G3791" s="22" t="str">
        <x:f>"03334474763"</x:f>
        <x:v>03334474763</x:v>
      </x:c>
      <x:c r="H3791" s="23" t="str">
        <x:v>wm2016automotivo@gmail.com</x:v>
      </x:c>
      <x:c r="I3791" s="22" t="str">
        <x:f>"2197936-4965"</x:f>
        <x:v>2197936-4965</x:v>
      </x:c>
      <x:c r="J3791" s="23" t="str">
        <x:v>SPOT</x:v>
      </x:c>
      <x:c r="K3791" s="23" t="str">
        <x:v>favored_only</x:v>
      </x:c>
      <x:c r="L3791" s="24" t="b">
        <x:v>1</x:v>
      </x:c>
      <x:c r="M3791" s="23" t="n">
        <x:v>1</x:v>
      </x:c>
      <x:c r="N3791" s="28" t="n">
        <x:v>46219.812988715275</x:v>
      </x:c>
      <x:c r="O3791" s="28" t="n">
        <x:v>46219.812988715275</x:v>
      </x:c>
      <x:c r="P3791" s="23" t="str">
        <x:v>CORDOVIL</x:v>
      </x:c>
      <x:c r="Q3791" s="30" t="n">
        <x:v>26926</x:v>
      </x:c>
      <x:c r="R3791" s="22" t="str">
        <x:f>"10029909-8"</x:f>
        <x:v>10029909-8</x:v>
      </x:c>
      <x:c r="S3791" s="23" t="str">
        <x:v>masculino</x:v>
      </x:c>
      <x:c r="T3791" s="22" t="str">
        <x:f>"kxd2724"</x:f>
        <x:v>kxd2724</x:v>
      </x:c>
      <x:c r="U3791" s="23" t="str">
        <x:v>WALLACE FERREIRA DE MACEDO</x:v>
      </x:c>
      <x:c r="V3791" s="22" t="str">
        <x:f>"033.344.747-63"</x:f>
        <x:v>033.344.747-63</x:v>
      </x:c>
      <x:c r="W3791" s="22" t="str">
        <x:f>"03334474763"</x:f>
        <x:v>03334474763</x:v>
      </x:c>
      <x:c r="X3791" s="23" t="str">
        <x:v>wm2016automotivo@gmail.com</x:v>
      </x:c>
      <x:c r="Y3791" s="22" t="str">
        <x:f>"2197936-4965"</x:f>
        <x:v>2197936-4965</x:v>
      </x:c>
      <x:c r="Z3791" s="30" t="n">
        <x:v>46408</x:v>
      </x:c>
    </x:row>
    <x:row r="3792" ht="18" customHeight="1">
      <x:c r="A3792" s="22" t="str">
        <x:f>"785d227e-543d-410a-9ced-8dbafe348fe8"</x:f>
        <x:v>785d227e-543d-410a-9ced-8dbafe348fe8</x:v>
      </x:c>
      <x:c r="B3792" s="23" t="str">
        <x:v>WALLACE MATHEUS DE OLIVEIRA</x:v>
      </x:c>
      <x:c r="C3792" s="23" t="str">
        <x:v>wallace matheus de oliveira</x:v>
      </x:c>
      <x:c r="D3792" s="22" t="str">
        <x:f>"66.262.458/0001-27"</x:f>
        <x:v>66.262.458/0001-27</x:v>
      </x:c>
      <x:c r="E3792" s="22" t="str">
        <x:f>"66262458000127"</x:f>
        <x:v>66262458000127</x:v>
      </x:c>
      <x:c r="F3792" s="22" t="str">
        <x:f>"126.497.876-60"</x:f>
        <x:v>126.497.876-60</x:v>
      </x:c>
      <x:c r="G3792" s="22" t="str">
        <x:f>"12649787660"</x:f>
        <x:v>12649787660</x:v>
      </x:c>
      <x:c r="H3792" s="23" t="str">
        <x:v>wallacem841@gmail.com</x:v>
      </x:c>
      <x:c r="I3792" s="22" t="str">
        <x:f>"31983632686"</x:f>
        <x:v>31983632686</x:v>
      </x:c>
      <x:c r="J3792" s="23" t="str">
        <x:v>spot</x:v>
      </x:c>
      <x:c r="K3792" s="23" t="str">
        <x:v>favored_only</x:v>
      </x:c>
      <x:c r="L3792" s="24" t="b">
        <x:v>1</x:v>
      </x:c>
      <x:c r="M3792" s="23" t="n">
        <x:v>2</x:v>
      </x:c>
      <x:c r="N3792" s="28" t="n">
        <x:v>46219.812988715275</x:v>
      </x:c>
      <x:c r="O3792" s="28" t="n">
        <x:v>46219.812988715275</x:v>
      </x:c>
      <x:c r="P3792" s="23" t="str">
        <x:v>VESPASIANO</x:v>
      </x:c>
      <x:c r="Q3792" s="30" t="n">
        <x:v>34600</x:v>
      </x:c>
      <x:c r="R3792" s="22" t="str">
        <x:f>"MG 16763277"</x:f>
        <x:v>MG 16763277</x:v>
      </x:c>
      <x:c r="S3792" s="23" t="str">
        <x:v>masculino</x:v>
      </x:c>
      <x:c r="T3792" s="22" t="str">
        <x:f>"TXA1C94"</x:f>
        <x:v>TXA1C94</x:v>
      </x:c>
      <x:c r="U3792" s="23" t="str">
        <x:v>WALLACE MATHEUS DE OLIVEIRA</x:v>
      </x:c>
      <x:c r="V3792" s="22" t="str">
        <x:f>"126.497.876-60"</x:f>
        <x:v>126.497.876-60</x:v>
      </x:c>
      <x:c r="W3792" s="22" t="str">
        <x:f>"12649787660"</x:f>
        <x:v>12649787660</x:v>
      </x:c>
      <x:c r="X3792" s="23" t="str">
        <x:v>wallacem841@gmail.com</x:v>
      </x:c>
      <x:c r="Y3792" s="22" t="str">
        <x:f>"31983632686"</x:f>
        <x:v>31983632686</x:v>
      </x:c>
      <x:c r="Z3792" s="30" t="n">
        <x:v>46525</x:v>
      </x:c>
    </x:row>
    <x:row r="3793" ht="18" customHeight="1">
      <x:c r="A3793" s="22" t="str">
        <x:f>"72a57d22-9cbd-4087-80f8-4f6dfcc1a8dc"</x:f>
        <x:v>72a57d22-9cbd-4087-80f8-4f6dfcc1a8dc</x:v>
      </x:c>
      <x:c r="B3793" s="23" t="str">
        <x:v>WALLEF JUNIOR SILVA</x:v>
      </x:c>
      <x:c r="C3793" s="23" t="str">
        <x:v>wallef junior silva</x:v>
      </x:c>
      <x:c r="D3793" s="22" t="str">
        <x:f>"51.390.247/0001-00"</x:f>
        <x:v>51.390.247/0001-00</x:v>
      </x:c>
      <x:c r="E3793" s="22" t="str">
        <x:f>"51390247000100"</x:f>
        <x:v>51390247000100</x:v>
      </x:c>
      <x:c r="F3793" s="22" t="str">
        <x:f>"118.757.696-41"</x:f>
        <x:v>118.757.696-41</x:v>
      </x:c>
      <x:c r="G3793" s="22" t="str">
        <x:f>"11875769641"</x:f>
        <x:v>11875769641</x:v>
      </x:c>
      <x:c r="H3793" s="23" t="str">
        <x:v>silvawallef906@gmail.com</x:v>
      </x:c>
      <x:c r="I3793" s="22" t="str">
        <x:f>"31 98416-2406"</x:f>
        <x:v>31 98416-2406</x:v>
      </x:c>
      <x:c r="J3793" s="23" t="str">
        <x:v>SPOT</x:v>
      </x:c>
      <x:c r="K3793" s="23" t="str">
        <x:v>favored_only</x:v>
      </x:c>
      <x:c r="L3793" s="24" t="b">
        <x:v>1</x:v>
      </x:c>
      <x:c r="M3793" s="23" t="n">
        <x:v>1</x:v>
      </x:c>
      <x:c r="N3793" s="28" t="n">
        <x:v>46203.921824756944</x:v>
      </x:c>
      <x:c r="O3793" s="28" t="n">
        <x:v>46219.812988715275</x:v>
      </x:c>
      <x:c r="P3793" s="23" t="str">
        <x:v>CONCEIÇÃO DO MATO DENTRO</x:v>
      </x:c>
      <x:c r="Q3793" s="30" t="n">
        <x:v>34413</x:v>
      </x:c>
      <x:c r="R3793" s="22" t="str">
        <x:f>"17800299"</x:f>
        <x:v>17800299</x:v>
      </x:c>
      <x:c r="S3793" s="23" t="str">
        <x:v>masculino</x:v>
      </x:c>
      <x:c r="T3793" s="22" t="str">
        <x:f>"HKR5200"</x:f>
        <x:v>HKR5200</x:v>
      </x:c>
      <x:c r="U3793" s="23" t="str">
        <x:v>WALLEF JUNIOR SILVA</x:v>
      </x:c>
      <x:c r="V3793" s="22" t="str">
        <x:f>"118.757.696-41"</x:f>
        <x:v>118.757.696-41</x:v>
      </x:c>
      <x:c r="W3793" s="22" t="str">
        <x:f>"11875769641"</x:f>
        <x:v>11875769641</x:v>
      </x:c>
      <x:c r="X3793" s="23" t="str">
        <x:v>silvawallef906@gmail.com</x:v>
      </x:c>
      <x:c r="Y3793" s="22" t="str">
        <x:f>"31 98416-2406"</x:f>
        <x:v>31 98416-2406</x:v>
      </x:c>
      <x:c r="Z3793" s="30" t="n">
        <x:v>46375</x:v>
      </x:c>
    </x:row>
    <x:row r="3794" ht="18" customHeight="1">
      <x:c r="A3794" s="22" t="str">
        <x:f>"fbe09170-4e9f-4b76-9979-7be12dfd200c"</x:f>
        <x:v>fbe09170-4e9f-4b76-9979-7be12dfd200c</x:v>
      </x:c>
      <x:c r="B3794" s="23" t="str">
        <x:v>WALLIFER GONCALVES DE ASSIS</x:v>
      </x:c>
      <x:c r="C3794" s="23" t="str">
        <x:v>wallifer goncalves de assis</x:v>
      </x:c>
      <x:c r="D3794" s="22" t="str">
        <x:f>"63.588.797/0001-00"</x:f>
        <x:v>63.588.797/0001-00</x:v>
      </x:c>
      <x:c r="E3794" s="22" t="str">
        <x:f>"63588797000100"</x:f>
        <x:v>63588797000100</x:v>
      </x:c>
      <x:c r="F3794" s="22" t="str">
        <x:f>"047.929.431-32"</x:f>
        <x:v>047.929.431-32</x:v>
      </x:c>
      <x:c r="G3794" s="22" t="str">
        <x:f>"04792943132"</x:f>
        <x:v>04792943132</x:v>
      </x:c>
      <x:c r="H3794" s="23" t="str">
        <x:v>walliferself@gmail.com</x:v>
      </x:c>
      <x:c r="I3794" s="22" t="str">
        <x:f>"+55 65 9924-7045"</x:f>
        <x:v>+55 65 9924-7045</x:v>
      </x:c>
      <x:c r="J3794" s="23" t="str">
        <x:v>SPOT</x:v>
      </x:c>
      <x:c r="K3794" s="23" t="str">
        <x:v>favored_only</x:v>
      </x:c>
      <x:c r="L3794" s="24" t="b">
        <x:v>1</x:v>
      </x:c>
      <x:c r="M3794" s="23" t="n">
        <x:v>1</x:v>
      </x:c>
      <x:c r="N3794" s="28" t="n">
        <x:v>46205.60709993055</x:v>
      </x:c>
      <x:c r="O3794" s="28" t="n">
        <x:v>46219.812988715275</x:v>
      </x:c>
      <x:c r="P3794" s="23" t="str">
        <x:v>ARAPUTANGA</x:v>
      </x:c>
      <x:c r="Q3794" s="30" t="n">
        <x:v>34936</x:v>
      </x:c>
      <x:c r="R3794" s="22" t="str">
        <x:f>"23135751 SESP MT"</x:f>
        <x:v>23135751 SESP MT</x:v>
      </x:c>
      <x:c r="S3794" s="23" t="str">
        <x:v>masculino</x:v>
      </x:c>
      <x:c r="T3794" s="22" t="str">
        <x:f>"QBY8100"</x:f>
        <x:v>QBY8100</x:v>
      </x:c>
      <x:c r="U3794" s="23" t="str">
        <x:v>ADEGILSON MOREIRA RIOS JUNIOR</x:v>
      </x:c>
      <x:c r="V3794" s="22" t="str">
        <x:f>"058.389.761-44"</x:f>
        <x:v>058.389.761-44</x:v>
      </x:c>
      <x:c r="W3794" s="22" t="str">
        <x:f>"05838976144"</x:f>
        <x:v>05838976144</x:v>
      </x:c>
      <x:c r="X3794" s="23" t="str">
        <x:v>adegilsonjunior.aj@gmail.com</x:v>
      </x:c>
      <x:c r="Y3794" s="22" t="str">
        <x:f>"+55 65 9973-9615"</x:f>
        <x:v>+55 65 9973-9615</x:v>
      </x:c>
      <x:c r="Z3794" s="30" t="n">
        <x:v>46399</x:v>
      </x:c>
    </x:row>
    <x:row r="3795" ht="18" customHeight="1">
      <x:c r="A3795" s="22" t="str">
        <x:f>"e92c3210-c243-4ad6-a669-fca153e2a880"</x:f>
        <x:v>e92c3210-c243-4ad6-a669-fca153e2a880</x:v>
      </x:c>
      <x:c r="B3795" s="23" t="str">
        <x:v>WALLYSON SIQUEIRA PAIVA</x:v>
      </x:c>
      <x:c r="C3795" s="23" t="str">
        <x:v>wallyson siqueira paiva</x:v>
      </x:c>
      <x:c r="D3795" s="22" t="str">
        <x:f>"63.975.904/0001-52"</x:f>
        <x:v>63.975.904/0001-52</x:v>
      </x:c>
      <x:c r="E3795" s="22" t="str">
        <x:f>"63975904000152"</x:f>
        <x:v>63975904000152</x:v>
      </x:c>
      <x:c r="F3795" s="22" t="str">
        <x:f>"700.539.841-61"</x:f>
        <x:v>700.539.841-61</x:v>
      </x:c>
      <x:c r="G3795" s="22" t="str">
        <x:f>"70053984161"</x:f>
        <x:v>70053984161</x:v>
      </x:c>
      <x:c r="H3795" s="23" t="str">
        <x:v>wallysonb9000@gmail.com</x:v>
      </x:c>
      <x:c r="I3795" s="22" t="str">
        <x:f>"062996186170"</x:f>
        <x:v>062996186170</x:v>
      </x:c>
      <x:c r="J3795" s="23" t="str">
        <x:v>RENTAL</x:v>
      </x:c>
      <x:c r="K3795" s="23" t="str">
        <x:v>rental_company</x:v>
      </x:c>
      <x:c r="L3795" s="24" t="b">
        <x:v>1</x:v>
      </x:c>
      <x:c r="M3795" s="23" t="n">
        <x:v>1</x:v>
      </x:c>
      <x:c r="N3795" s="28" t="n">
        <x:v>46203.921904421295</x:v>
      </x:c>
      <x:c r="O3795" s="28" t="n">
        <x:v>46219.812988715275</x:v>
      </x:c>
      <x:c r="P3795" s="23" t="str">
        <x:v>GOIANIA</x:v>
      </x:c>
      <x:c r="Q3795" s="30" t="n">
        <x:v>34843</x:v>
      </x:c>
      <x:c r="R3795" s="22" t="str">
        <x:f>"5913763"</x:f>
        <x:v>5913763</x:v>
      </x:c>
      <x:c r="S3795" s="23" t="str">
        <x:v>masculino</x:v>
      </x:c>
      <x:c r="T3795" s="22" t="str"/>
      <x:c r="U3795" s="23" t="str">
        <x:v>WALLYSON SIQUEIRA PAIVA</x:v>
      </x:c>
      <x:c r="V3795" s="22" t="str">
        <x:f>"700.539.841-61"</x:f>
        <x:v>700.539.841-61</x:v>
      </x:c>
      <x:c r="W3795" s="22" t="str">
        <x:f>"70053984161"</x:f>
        <x:v>70053984161</x:v>
      </x:c>
      <x:c r="X3795" s="23" t="str">
        <x:v>wallysonb9000@gmail.com</x:v>
      </x:c>
      <x:c r="Y3795" s="22" t="str">
        <x:f>"062996186170"</x:f>
        <x:v>062996186170</x:v>
      </x:c>
      <x:c r="Z3795" s="30" t="n">
        <x:v>46374</x:v>
      </x:c>
    </x:row>
    <x:row r="3796" ht="18" customHeight="1">
      <x:c r="A3796" s="22" t="str">
        <x:f>"5948ab5f-4cda-4f9c-98f1-183c766964cb"</x:f>
        <x:v>5948ab5f-4cda-4f9c-98f1-183c766964cb</x:v>
      </x:c>
      <x:c r="B3796" s="23" t="str">
        <x:v>WALTER CAVALLINI PINTO</x:v>
      </x:c>
      <x:c r="C3796" s="23" t="str">
        <x:v>walter cavallini pinto</x:v>
      </x:c>
      <x:c r="D3796" s="22" t="str">
        <x:f>"62.615.047/0001-17"</x:f>
        <x:v>62.615.047/0001-17</x:v>
      </x:c>
      <x:c r="E3796" s="22" t="str">
        <x:f>"62615047000117"</x:f>
        <x:v>62615047000117</x:v>
      </x:c>
      <x:c r="F3796" s="22" t="str">
        <x:f>"143.197.008-56"</x:f>
        <x:v>143.197.008-56</x:v>
      </x:c>
      <x:c r="G3796" s="22" t="str">
        <x:f>"14319700856"</x:f>
        <x:v>14319700856</x:v>
      </x:c>
      <x:c r="H3796" s="23" t="str">
        <x:v>waltercavallini50@outlook.com</x:v>
      </x:c>
      <x:c r="I3796" s="22" t="str">
        <x:f>"18 99638-8865"</x:f>
        <x:v>18 99638-8865</x:v>
      </x:c>
      <x:c r="J3796" s="23" t="str">
        <x:v>SPOT</x:v>
      </x:c>
      <x:c r="K3796" s="23" t="str">
        <x:v>favored_only</x:v>
      </x:c>
      <x:c r="L3796" s="24" t="b">
        <x:v>1</x:v>
      </x:c>
      <x:c r="M3796" s="23" t="n">
        <x:v>1</x:v>
      </x:c>
      <x:c r="N3796" s="28" t="n">
        <x:v>46203.92186462963</x:v>
      </x:c>
      <x:c r="O3796" s="28" t="n">
        <x:v>46219.812988715275</x:v>
      </x:c>
      <x:c r="P3796" s="23" t="str">
        <x:v>PRESIDENTE PRUDENTE</x:v>
      </x:c>
      <x:c r="Q3796" s="30" t="n">
        <x:v>26386</x:v>
      </x:c>
      <x:c r="R3796" s="22" t="str">
        <x:f>"22060078"</x:f>
        <x:v>22060078</x:v>
      </x:c>
      <x:c r="S3796" s="23" t="str">
        <x:v>masculino</x:v>
      </x:c>
      <x:c r="T3796" s="22" t="str">
        <x:f>"ETM9A47"</x:f>
        <x:v>ETM9A47</x:v>
      </x:c>
      <x:c r="U3796" s="23" t="str">
        <x:v>WALTER CAVALLINI PINTO</x:v>
      </x:c>
      <x:c r="V3796" s="22" t="str">
        <x:f>"143.197.008-56"</x:f>
        <x:v>143.197.008-56</x:v>
      </x:c>
      <x:c r="W3796" s="22" t="str">
        <x:f>"14319700856"</x:f>
        <x:v>14319700856</x:v>
      </x:c>
      <x:c r="X3796" s="23" t="str">
        <x:v>waltercavallini50@outlook.com</x:v>
      </x:c>
      <x:c r="Y3796" s="22" t="str">
        <x:f>"18 99638-8865"</x:f>
        <x:v>18 99638-8865</x:v>
      </x:c>
      <x:c r="Z3796" s="30" t="n">
        <x:v>46287</x:v>
      </x:c>
    </x:row>
    <x:row r="3797" ht="18" customHeight="1">
      <x:c r="A3797" s="22" t="str">
        <x:f>"c40ed3a8-b3d0-40ae-865b-a95524d52732"</x:f>
        <x:v>c40ed3a8-b3d0-40ae-865b-a95524d52732</x:v>
      </x:c>
      <x:c r="B3797" s="23" t="str">
        <x:v>WALTER DIAS DE FIGUEIREDO</x:v>
      </x:c>
      <x:c r="C3797" s="23" t="str">
        <x:v>walter dias de figueiredo</x:v>
      </x:c>
      <x:c r="D3797" s="22" t="str">
        <x:f>"60.744.362/0001-19"</x:f>
        <x:v>60.744.362/0001-19</x:v>
      </x:c>
      <x:c r="E3797" s="22" t="str">
        <x:f>"60744362000119"</x:f>
        <x:v>60744362000119</x:v>
      </x:c>
      <x:c r="F3797" s="22" t="str">
        <x:f>"551.568.861-91"</x:f>
        <x:v>551.568.861-91</x:v>
      </x:c>
      <x:c r="G3797" s="22" t="str">
        <x:f>"55156886191"</x:f>
        <x:v>55156886191</x:v>
      </x:c>
      <x:c r="H3797" s="23" t="str">
        <x:v>walter.figueiredo@hotmail.com</x:v>
      </x:c>
      <x:c r="I3797" s="22" t="str">
        <x:f>"65 992261747"</x:f>
        <x:v>65 992261747</x:v>
      </x:c>
      <x:c r="J3797" s="23" t="str">
        <x:v>SPOT</x:v>
      </x:c>
      <x:c r="K3797" s="23" t="str">
        <x:v>favored_only</x:v>
      </x:c>
      <x:c r="L3797" s="24" t="b">
        <x:v>1</x:v>
      </x:c>
      <x:c r="M3797" s="23" t="n">
        <x:v>1</x:v>
      </x:c>
      <x:c r="N3797" s="28" t="n">
        <x:v>46205.60296943287</x:v>
      </x:c>
      <x:c r="O3797" s="28" t="n">
        <x:v>46219.812988715275</x:v>
      </x:c>
      <x:c r="P3797" s="23" t="str">
        <x:v>CUIABA</x:v>
      </x:c>
      <x:c r="Q3797" s="30" t="n">
        <x:v>26145</x:v>
      </x:c>
      <x:c r="R3797" s="22" t="str">
        <x:f>"841466"</x:f>
        <x:v>841466</x:v>
      </x:c>
      <x:c r="S3797" s="23" t="str">
        <x:v>masculino</x:v>
      </x:c>
      <x:c r="T3797" s="22" t="str">
        <x:f>"QUP1G22"</x:f>
        <x:v>QUP1G22</x:v>
      </x:c>
      <x:c r="U3797" s="23" t="str">
        <x:v>ARILANE DE OLIVEIRA FIGUEIREDO</x:v>
      </x:c>
      <x:c r="V3797" s="22" t="str">
        <x:f>"651.392.591-68"</x:f>
        <x:v>651.392.591-68</x:v>
      </x:c>
      <x:c r="W3797" s="22" t="str">
        <x:f>"65139259168"</x:f>
        <x:v>65139259168</x:v>
      </x:c>
      <x:c r="X3797" s="23" t="str">
        <x:v>lane.of@hotmail.com</x:v>
      </x:c>
      <x:c r="Y3797" s="22" t="str">
        <x:f>"65 99236 4156"</x:f>
        <x:v>65 99236 4156</x:v>
      </x:c>
      <x:c r="Z3797" s="30" t="n">
        <x:v>46569</x:v>
      </x:c>
    </x:row>
    <x:row r="3798" ht="18" customHeight="1">
      <x:c r="A3798" s="22" t="str">
        <x:f>"b60fa72b-be2c-4043-a38b-e108890b684f"</x:f>
        <x:v>b60fa72b-be2c-4043-a38b-e108890b684f</x:v>
      </x:c>
      <x:c r="B3798" s="23" t="str">
        <x:v>WALTER EMANUEL ABREU DE OLIVEIRA</x:v>
      </x:c>
      <x:c r="C3798" s="23" t="str">
        <x:v>walter emanuel abreu de oliveira</x:v>
      </x:c>
      <x:c r="D3798" s="22" t="str">
        <x:f>"62.167.521/0001-95"</x:f>
        <x:v>62.167.521/0001-95</x:v>
      </x:c>
      <x:c r="E3798" s="22" t="str">
        <x:f>"62167521000195"</x:f>
        <x:v>62167521000195</x:v>
      </x:c>
      <x:c r="F3798" s="22" t="str">
        <x:f>"046.989.801-19"</x:f>
        <x:v>046.989.801-19</x:v>
      </x:c>
      <x:c r="G3798" s="22" t="str">
        <x:f>"04698980119"</x:f>
        <x:v>04698980119</x:v>
      </x:c>
      <x:c r="H3798" s="23" t="str">
        <x:v>walter.emanuel@hotmail.com</x:v>
      </x:c>
      <x:c r="I3798" s="22" t="str">
        <x:f>"65996889410"</x:f>
        <x:v>65996889410</x:v>
      </x:c>
      <x:c r="J3798" s="23" t="str">
        <x:v>SPOT</x:v>
      </x:c>
      <x:c r="K3798" s="23" t="str">
        <x:v>favored_only</x:v>
      </x:c>
      <x:c r="L3798" s="24" t="b">
        <x:v>1</x:v>
      </x:c>
      <x:c r="M3798" s="23" t="n">
        <x:v>1</x:v>
      </x:c>
      <x:c r="N3798" s="28" t="n">
        <x:v>46205.60432484953</x:v>
      </x:c>
      <x:c r="O3798" s="28" t="n">
        <x:v>46219.812988715275</x:v>
      </x:c>
      <x:c r="P3798" s="23" t="str">
        <x:v>ARAPUTANGA</x:v>
      </x:c>
      <x:c r="Q3798" s="30" t="n">
        <x:v>34857</x:v>
      </x:c>
      <x:c r="R3798" s="22" t="str">
        <x:f>"19430345 SSP MT"</x:f>
        <x:v>19430345 SSP MT</x:v>
      </x:c>
      <x:c r="S3798" s="23" t="str">
        <x:v>masculino</x:v>
      </x:c>
      <x:c r="T3798" s="22" t="str">
        <x:f>"FYS4D00"</x:f>
        <x:v>FYS4D00</x:v>
      </x:c>
      <x:c r="U3798" s="23" t="str">
        <x:v>MATHEUS GOMES AZEVEDO</x:v>
      </x:c>
      <x:c r="V3798" s="22" t="str">
        <x:f>"050.420.141-79"</x:f>
        <x:v>050.420.141-79</x:v>
      </x:c>
      <x:c r="W3798" s="22" t="str">
        <x:f>"05042014179"</x:f>
        <x:v>05042014179</x:v>
      </x:c>
      <x:c r="X3798" s="23" t="str">
        <x:v>mateusjauruazevedo@hotmail.com</x:v>
      </x:c>
      <x:c r="Y3798" s="22" t="str">
        <x:f>"65996786166"</x:f>
        <x:v>65996786166</x:v>
      </x:c>
      <x:c r="Z3798" s="30" t="n">
        <x:v>46268</x:v>
      </x:c>
    </x:row>
    <x:row r="3799" ht="18" customHeight="1">
      <x:c r="A3799" s="22" t="str">
        <x:f>"da299c0d-1dc5-404b-b820-ac09064413bb"</x:f>
        <x:v>da299c0d-1dc5-404b-b820-ac09064413bb</x:v>
      </x:c>
      <x:c r="B3799" s="23" t="str">
        <x:v>WALTER ROBERTO SANTAGNELO</x:v>
      </x:c>
      <x:c r="C3799" s="23" t="str">
        <x:v>walter roberto santagnelo</x:v>
      </x:c>
      <x:c r="D3799" s="22" t="str">
        <x:f>"31.973.995/0001-09"</x:f>
        <x:v>31.973.995/0001-09</x:v>
      </x:c>
      <x:c r="E3799" s="22" t="str">
        <x:f>"31973995000109"</x:f>
        <x:v>31973995000109</x:v>
      </x:c>
      <x:c r="F3799" s="22" t="str">
        <x:f>"221.376.698-38"</x:f>
        <x:v>221.376.698-38</x:v>
      </x:c>
      <x:c r="G3799" s="22" t="str">
        <x:f>"22137669838"</x:f>
        <x:v>22137669838</x:v>
      </x:c>
      <x:c r="H3799" s="23" t="str">
        <x:v>Waltersantagnelo@gmail.com</x:v>
      </x:c>
      <x:c r="I3799" s="22" t="str">
        <x:f>"(11)995127402"</x:f>
        <x:v>(11)995127402</x:v>
      </x:c>
      <x:c r="J3799" s="23" t="str">
        <x:v>RENTAL</x:v>
      </x:c>
      <x:c r="K3799" s="23" t="str">
        <x:v>rental_company</x:v>
      </x:c>
      <x:c r="L3799" s="24" t="b">
        <x:v>1</x:v>
      </x:c>
      <x:c r="M3799" s="23" t="n">
        <x:v>1</x:v>
      </x:c>
      <x:c r="N3799" s="28" t="n">
        <x:v>46203.921858726855</x:v>
      </x:c>
      <x:c r="O3799" s="28" t="n">
        <x:v>46219.812988715275</x:v>
      </x:c>
      <x:c r="P3799" s="23" t="str">
        <x:v>BARUERI</x:v>
      </x:c>
      <x:c r="Q3799" s="30" t="n">
        <x:v>27330</x:v>
      </x:c>
      <x:c r="R3799" s="22" t="str">
        <x:f>"271051498"</x:f>
        <x:v>271051498</x:v>
      </x:c>
      <x:c r="S3799" s="23" t="str">
        <x:v>masculino</x:v>
      </x:c>
      <x:c r="T3799" s="22" t="str"/>
      <x:c r="U3799" s="23" t="str">
        <x:v>WALTER ROBERTO SANTAGNELO</x:v>
      </x:c>
      <x:c r="V3799" s="22" t="str">
        <x:f>"221.376.698-38"</x:f>
        <x:v>221.376.698-38</x:v>
      </x:c>
      <x:c r="W3799" s="22" t="str">
        <x:f>"22137669838"</x:f>
        <x:v>22137669838</x:v>
      </x:c>
      <x:c r="X3799" s="23" t="str">
        <x:v>Waltersantagnelo@gmail.com</x:v>
      </x:c>
      <x:c r="Y3799" s="22" t="str">
        <x:f>"(11)995127402"</x:f>
        <x:v>(11)995127402</x:v>
      </x:c>
      <x:c r="Z3799" s="30" t="n">
        <x:v>46260</x:v>
      </x:c>
    </x:row>
    <x:row r="3800" ht="18" customHeight="1">
      <x:c r="A3800" s="22" t="str">
        <x:f>"f927cedd-47b4-4ce7-9847-b3e7e8d7a8ef"</x:f>
        <x:v>f927cedd-47b4-4ce7-9847-b3e7e8d7a8ef</x:v>
      </x:c>
      <x:c r="B3800" s="23" t="str">
        <x:v>WANDER FERREIRA DA SILVA</x:v>
      </x:c>
      <x:c r="C3800" s="23" t="str">
        <x:v>wander ferreira da silva</x:v>
      </x:c>
      <x:c r="D3800" s="22" t="str">
        <x:f>"64.214.388/0001-06"</x:f>
        <x:v>64.214.388/0001-06</x:v>
      </x:c>
      <x:c r="E3800" s="22" t="str">
        <x:f>"64214388000106"</x:f>
        <x:v>64214388000106</x:v>
      </x:c>
      <x:c r="F3800" s="22" t="str">
        <x:f>"990.890.501-59"</x:f>
        <x:v>990.890.501-59</x:v>
      </x:c>
      <x:c r="G3800" s="22" t="str">
        <x:f>"99089050159"</x:f>
        <x:v>99089050159</x:v>
      </x:c>
      <x:c r="H3800" s="23" t="str">
        <x:v>wanderfsilva8@gmail.com</x:v>
      </x:c>
      <x:c r="I3800" s="22" t="str">
        <x:f>"64992940608"</x:f>
        <x:v>64992940608</x:v>
      </x:c>
      <x:c r="J3800" s="23" t="str">
        <x:v>RENTAL</x:v>
      </x:c>
      <x:c r="K3800" s="23" t="str">
        <x:v>rental_company</x:v>
      </x:c>
      <x:c r="L3800" s="24" t="b">
        <x:v>1</x:v>
      </x:c>
      <x:c r="M3800" s="23" t="n">
        <x:v>1</x:v>
      </x:c>
      <x:c r="N3800" s="28" t="n">
        <x:v>46219.812988715275</x:v>
      </x:c>
      <x:c r="O3800" s="28" t="n">
        <x:v>46219.812988715275</x:v>
      </x:c>
      <x:c r="P3800" s="23" t="str">
        <x:v>RIO VERDE</x:v>
      </x:c>
      <x:c r="Q3800" s="30" t="n">
        <x:v>29532</x:v>
      </x:c>
      <x:c r="R3800" s="22" t="str">
        <x:f>"4318294"</x:f>
        <x:v>4318294</x:v>
      </x:c>
      <x:c r="S3800" s="23" t="str">
        <x:v>masculino</x:v>
      </x:c>
      <x:c r="T3800" s="22" t="str"/>
      <x:c r="U3800" s="23" t="str">
        <x:v>WANDER FERREIRA DA SILVA</x:v>
      </x:c>
      <x:c r="V3800" s="22" t="str">
        <x:f>"990.890.501-59"</x:f>
        <x:v>990.890.501-59</x:v>
      </x:c>
      <x:c r="W3800" s="22" t="str">
        <x:f>"99089050159"</x:f>
        <x:v>99089050159</x:v>
      </x:c>
      <x:c r="X3800" s="23" t="str">
        <x:v>wanderfsilva8@gmail.com</x:v>
      </x:c>
      <x:c r="Y3800" s="22" t="str">
        <x:f>"64992940608"</x:f>
        <x:v>64992940608</x:v>
      </x:c>
      <x:c r="Z3800" s="30" t="n">
        <x:v>46582</x:v>
      </x:c>
    </x:row>
    <x:row r="3801" ht="18" customHeight="1">
      <x:c r="A3801" s="22" t="str">
        <x:f>"fe8f056e-960c-4b1f-b729-16628312a199"</x:f>
        <x:v>fe8f056e-960c-4b1f-b729-16628312a199</x:v>
      </x:c>
      <x:c r="B3801" s="23" t="str">
        <x:v>WANDERLEI HELENO REZENDE</x:v>
      </x:c>
      <x:c r="C3801" s="23" t="str">
        <x:v>wanderlei heleno rezende</x:v>
      </x:c>
      <x:c r="D3801" s="22" t="str">
        <x:f>"56.228.088/0001-58"</x:f>
        <x:v>56.228.088/0001-58</x:v>
      </x:c>
      <x:c r="E3801" s="22" t="str">
        <x:f>"56228088000158"</x:f>
        <x:v>56228088000158</x:v>
      </x:c>
      <x:c r="F3801" s="22" t="str">
        <x:f>"776.478.746-91"</x:f>
        <x:v>776.478.746-91</x:v>
      </x:c>
      <x:c r="G3801" s="22" t="str">
        <x:f>"77647874691"</x:f>
        <x:v>77647874691</x:v>
      </x:c>
      <x:c r="H3801" s="23" t="str">
        <x:v>lionrezende3172@gmail.com</x:v>
      </x:c>
      <x:c r="I3801" s="22" t="str">
        <x:f>"35 9105-3263"</x:f>
        <x:v>35 9105-3263</x:v>
      </x:c>
      <x:c r="J3801" s="23" t="str">
        <x:v>SPOT</x:v>
      </x:c>
      <x:c r="K3801" s="23" t="str">
        <x:v>favored_only</x:v>
      </x:c>
      <x:c r="L3801" s="24" t="b">
        <x:v>1</x:v>
      </x:c>
      <x:c r="M3801" s="23" t="n">
        <x:v>1</x:v>
      </x:c>
      <x:c r="N3801" s="28" t="n">
        <x:v>46203.921904421295</x:v>
      </x:c>
      <x:c r="O3801" s="28" t="n">
        <x:v>46219.812988715275</x:v>
      </x:c>
      <x:c r="P3801" s="23" t="str">
        <x:v>GUAXUPE</x:v>
      </x:c>
      <x:c r="Q3801" s="30" t="n">
        <x:v>26389</x:v>
      </x:c>
      <x:c r="R3801" s="22" t="str">
        <x:f>"7560863"</x:f>
        <x:v>7560863</x:v>
      </x:c>
      <x:c r="S3801" s="23" t="str">
        <x:v>masculino</x:v>
      </x:c>
      <x:c r="T3801" s="22" t="str">
        <x:f>"QQT 3C55"</x:f>
        <x:v>QQT 3C55</x:v>
      </x:c>
      <x:c r="U3801" s="23" t="str">
        <x:v>WANDERLEI HELENO REZENDE</x:v>
      </x:c>
      <x:c r="V3801" s="22" t="str">
        <x:f>"776.478.746-91"</x:f>
        <x:v>776.478.746-91</x:v>
      </x:c>
      <x:c r="W3801" s="22" t="str">
        <x:f>"77647874691"</x:f>
        <x:v>77647874691</x:v>
      </x:c>
      <x:c r="X3801" s="23" t="str">
        <x:v>lionrezende3172@gmail.com</x:v>
      </x:c>
      <x:c r="Y3801" s="22" t="str">
        <x:f>"35 9105-3263"</x:f>
        <x:v>35 9105-3263</x:v>
      </x:c>
      <x:c r="Z3801" s="30" t="n">
        <x:v>46522</x:v>
      </x:c>
    </x:row>
    <x:row r="3802" ht="18" customHeight="1">
      <x:c r="A3802" s="22" t="str">
        <x:f>"6d34708a-222e-4bdb-9fd9-49e73c2cd803"</x:f>
        <x:v>6d34708a-222e-4bdb-9fd9-49e73c2cd803</x:v>
      </x:c>
      <x:c r="B3802" s="23" t="str">
        <x:v>WANDERLEY DA SILVA MERCHO</x:v>
      </x:c>
      <x:c r="C3802" s="23" t="str">
        <x:v>wanderley da silva mercho</x:v>
      </x:c>
      <x:c r="D3802" s="22" t="str">
        <x:f>"46.657.891/0001-54"</x:f>
        <x:v>46.657.891/0001-54</x:v>
      </x:c>
      <x:c r="E3802" s="22" t="str">
        <x:f>"46657891000154"</x:f>
        <x:v>46657891000154</x:v>
      </x:c>
      <x:c r="F3802" s="22" t="str">
        <x:f>"288.557.518-24"</x:f>
        <x:v>288.557.518-24</x:v>
      </x:c>
      <x:c r="G3802" s="22" t="str">
        <x:f>"28855751824"</x:f>
        <x:v>28855751824</x:v>
      </x:c>
      <x:c r="H3802" s="23" t="str">
        <x:v>delley03@gmail.com</x:v>
      </x:c>
      <x:c r="I3802" s="22" t="str">
        <x:f>"14 99608-3996"</x:f>
        <x:v>14 99608-3996</x:v>
      </x:c>
      <x:c r="J3802" s="23" t="str">
        <x:v>SPOT</x:v>
      </x:c>
      <x:c r="K3802" s="23" t="str">
        <x:v>favored_only</x:v>
      </x:c>
      <x:c r="L3802" s="24" t="b">
        <x:v>1</x:v>
      </x:c>
      <x:c r="M3802" s="23" t="n">
        <x:v>1</x:v>
      </x:c>
      <x:c r="N3802" s="28" t="n">
        <x:v>46219.812988715275</x:v>
      </x:c>
      <x:c r="O3802" s="28" t="n">
        <x:v>46219.812988715275</x:v>
      </x:c>
      <x:c r="P3802" s="23" t="str">
        <x:v>MARILIA</x:v>
      </x:c>
      <x:c r="Q3802" s="30" t="n">
        <x:v>28718</x:v>
      </x:c>
      <x:c r="R3802" s="22" t="str">
        <x:f>"32140551"</x:f>
        <x:v>32140551</x:v>
      </x:c>
      <x:c r="S3802" s="23" t="str">
        <x:v>masculino</x:v>
      </x:c>
      <x:c r="T3802" s="22" t="str">
        <x:f>"EZQ5146"</x:f>
        <x:v>EZQ5146</x:v>
      </x:c>
      <x:c r="U3802" s="23" t="str">
        <x:v>WANDERLEY DA SILVA MERCHO</x:v>
      </x:c>
      <x:c r="V3802" s="22" t="str">
        <x:f>"288.557.518-24"</x:f>
        <x:v>288.557.518-24</x:v>
      </x:c>
      <x:c r="W3802" s="22" t="str">
        <x:f>"28855751824"</x:f>
        <x:v>28855751824</x:v>
      </x:c>
      <x:c r="X3802" s="23" t="str">
        <x:v>delley03@gmail.com</x:v>
      </x:c>
      <x:c r="Y3802" s="22" t="str">
        <x:f>"14 99608-3996"</x:f>
        <x:v>14 99608-3996</x:v>
      </x:c>
      <x:c r="Z3802" s="30" t="n">
        <x:v>46581</x:v>
      </x:c>
    </x:row>
    <x:row r="3803" ht="18" customHeight="1">
      <x:c r="A3803" s="22" t="str">
        <x:f>"a203fffd-1eaa-47ba-877d-2a67b446e09a"</x:f>
        <x:v>a203fffd-1eaa-47ba-877d-2a67b446e09a</x:v>
      </x:c>
      <x:c r="B3803" s="23" t="str">
        <x:v>WANDERSON DE SOUZA SANTOS</x:v>
      </x:c>
      <x:c r="C3803" s="23" t="str">
        <x:v>wanderson de souza santos</x:v>
      </x:c>
      <x:c r="D3803" s="22" t="str">
        <x:f>"53.584.069/0001-76"</x:f>
        <x:v>53.584.069/0001-76</x:v>
      </x:c>
      <x:c r="E3803" s="22" t="str">
        <x:f>"53584069000176"</x:f>
        <x:v>53584069000176</x:v>
      </x:c>
      <x:c r="F3803" s="22" t="str">
        <x:f>"140.263.527-30"</x:f>
        <x:v>140.263.527-30</x:v>
      </x:c>
      <x:c r="G3803" s="22" t="str">
        <x:f>"14026352730"</x:f>
        <x:v>14026352730</x:v>
      </x:c>
      <x:c r="H3803" s="23" t="str">
        <x:v>wandersonsouza0566@gmail.com</x:v>
      </x:c>
      <x:c r="I3803" s="22" t="str">
        <x:f>"22992771355"</x:f>
        <x:v>22992771355</x:v>
      </x:c>
      <x:c r="J3803" s="23" t="str">
        <x:v>SPOT</x:v>
      </x:c>
      <x:c r="K3803" s="23" t="str">
        <x:v>favored_only</x:v>
      </x:c>
      <x:c r="L3803" s="24" t="b">
        <x:v>1</x:v>
      </x:c>
      <x:c r="M3803" s="23" t="n">
        <x:v>1</x:v>
      </x:c>
      <x:c r="N3803" s="28" t="n">
        <x:v>46205.60449416667</x:v>
      </x:c>
      <x:c r="O3803" s="28" t="n">
        <x:v>46219.812988715275</x:v>
      </x:c>
      <x:c r="P3803" s="23" t="str">
        <x:v>CAMPOS DOS GOYTACAZES</x:v>
      </x:c>
      <x:c r="Q3803" s="30" t="n">
        <x:v>34088</x:v>
      </x:c>
      <x:c r="R3803" s="22" t="str">
        <x:f>"265729236"</x:f>
        <x:v>265729236</x:v>
      </x:c>
      <x:c r="S3803" s="23" t="str">
        <x:v>masculino</x:v>
      </x:c>
      <x:c r="T3803" s="22" t="str">
        <x:f>"KWE6145"</x:f>
        <x:v>KWE6145</x:v>
      </x:c>
      <x:c r="U3803" s="23" t="str">
        <x:v>WANDERSONDE SOUZA SANTOS</x:v>
      </x:c>
      <x:c r="V3803" s="22" t="str">
        <x:f>"140.263.527-30"</x:f>
        <x:v>140.263.527-30</x:v>
      </x:c>
      <x:c r="W3803" s="22" t="str">
        <x:f>"14026352730"</x:f>
        <x:v>14026352730</x:v>
      </x:c>
      <x:c r="X3803" s="23" t="str">
        <x:v>wandersonsouza0566@gmail.com</x:v>
      </x:c>
      <x:c r="Y3803" s="22" t="str">
        <x:f>"22992771355"</x:f>
        <x:v>22992771355</x:v>
      </x:c>
      <x:c r="Z3803" s="30" t="n">
        <x:v>46280</x:v>
      </x:c>
    </x:row>
    <x:row r="3804" ht="18" customHeight="1">
      <x:c r="A3804" s="22" t="str">
        <x:f>"dbc597ab-09c0-452f-bee7-695ecbaa5858"</x:f>
        <x:v>dbc597ab-09c0-452f-bee7-695ecbaa5858</x:v>
      </x:c>
      <x:c r="B3804" s="23" t="str">
        <x:v>WANDERSON EDUARDO DA SILVA</x:v>
      </x:c>
      <x:c r="C3804" s="23" t="str">
        <x:v>wanderson eduardo da silva</x:v>
      </x:c>
      <x:c r="D3804" s="22" t="str">
        <x:f>"65.969.154/0001-31"</x:f>
        <x:v>65.969.154/0001-31</x:v>
      </x:c>
      <x:c r="E3804" s="22" t="str">
        <x:f>"65969154000131"</x:f>
        <x:v>65969154000131</x:v>
      </x:c>
      <x:c r="F3804" s="22" t="str">
        <x:f>"021.882.171-95"</x:f>
        <x:v>021.882.171-95</x:v>
      </x:c>
      <x:c r="G3804" s="22" t="str">
        <x:f>"02188217195"</x:f>
        <x:v>02188217195</x:v>
      </x:c>
      <x:c r="H3804" s="23" t="str">
        <x:v>wandersonsilvatuty@gmail.com</x:v>
      </x:c>
      <x:c r="I3804" s="22" t="str">
        <x:f>"62991072026"</x:f>
        <x:v>62991072026</x:v>
      </x:c>
      <x:c r="J3804" s="23" t="str">
        <x:v>RENTAL</x:v>
      </x:c>
      <x:c r="K3804" s="23" t="str">
        <x:v>rental_company</x:v>
      </x:c>
      <x:c r="L3804" s="24" t="b">
        <x:v>1</x:v>
      </x:c>
      <x:c r="M3804" s="23" t="n">
        <x:v>1</x:v>
      </x:c>
      <x:c r="N3804" s="28" t="n">
        <x:v>46219.812988715275</x:v>
      </x:c>
      <x:c r="O3804" s="28" t="n">
        <x:v>46219.812988715275</x:v>
      </x:c>
      <x:c r="P3804" s="23" t="str">
        <x:v>GOIANIA</x:v>
      </x:c>
      <x:c r="Q3804" s="30" t="n">
        <x:v>31749</x:v>
      </x:c>
      <x:c r="R3804" s="22" t="str">
        <x:f>"5110175"</x:f>
        <x:v>5110175</x:v>
      </x:c>
      <x:c r="S3804" s="23" t="str">
        <x:v>masculino</x:v>
      </x:c>
      <x:c r="T3804" s="22" t="str"/>
      <x:c r="U3804" s="23" t="str">
        <x:v>WANDERSON EDUARDO DA SILVA</x:v>
      </x:c>
      <x:c r="V3804" s="22" t="str">
        <x:f>"021.882.171-95"</x:f>
        <x:v>021.882.171-95</x:v>
      </x:c>
      <x:c r="W3804" s="22" t="str">
        <x:f>"02188217195"</x:f>
        <x:v>02188217195</x:v>
      </x:c>
      <x:c r="X3804" s="23" t="str">
        <x:v>wandersonsilvatuty@gmail.com</x:v>
      </x:c>
      <x:c r="Y3804" s="22" t="str">
        <x:f>"62991072026"</x:f>
        <x:v>62991072026</x:v>
      </x:c>
      <x:c r="Z3804" s="30" t="n">
        <x:v>46476</x:v>
      </x:c>
    </x:row>
    <x:row r="3805" ht="18" customHeight="1">
      <x:c r="A3805" s="22" t="str">
        <x:f>"126351a8-5d15-47ca-9715-d9af36771d7d"</x:f>
        <x:v>126351a8-5d15-47ca-9715-d9af36771d7d</x:v>
      </x:c>
      <x:c r="B3805" s="23" t="str">
        <x:v>WANDERSON GOMES DA CONCEICAO</x:v>
      </x:c>
      <x:c r="C3805" s="23" t="str">
        <x:v>wanderson gomes da conceicao</x:v>
      </x:c>
      <x:c r="D3805" s="22" t="str">
        <x:f>"31.155.838/0001-88"</x:f>
        <x:v>31.155.838/0001-88</x:v>
      </x:c>
      <x:c r="E3805" s="22" t="str">
        <x:f>"31155838000188"</x:f>
        <x:v>31155838000188</x:v>
      </x:c>
      <x:c r="F3805" s="22" t="str">
        <x:f>"115.292.386-25"</x:f>
        <x:v>115.292.386-25</x:v>
      </x:c>
      <x:c r="G3805" s="22" t="str">
        <x:f>"11529238625"</x:f>
        <x:v>11529238625</x:v>
      </x:c>
      <x:c r="H3805" s="23" t="str">
        <x:v>wandersongomesdc@gmail.com</x:v>
      </x:c>
      <x:c r="I3805" s="22" t="str">
        <x:f>"31993507328"</x:f>
        <x:v>31993507328</x:v>
      </x:c>
      <x:c r="J3805" s="23" t="str">
        <x:v>SPOT</x:v>
      </x:c>
      <x:c r="K3805" s="23" t="str">
        <x:v>favored_only</x:v>
      </x:c>
      <x:c r="L3805" s="24" t="b">
        <x:v>1</x:v>
      </x:c>
      <x:c r="M3805" s="23" t="n">
        <x:v>1</x:v>
      </x:c>
      <x:c r="N3805" s="28" t="n">
        <x:v>46205.60683880787</x:v>
      </x:c>
      <x:c r="O3805" s="28" t="n">
        <x:v>46219.812988715275</x:v>
      </x:c>
      <x:c r="P3805" s="23" t="str">
        <x:v>NOVA LIMA</x:v>
      </x:c>
      <x:c r="Q3805" s="30" t="n">
        <x:v>33620</x:v>
      </x:c>
      <x:c r="R3805" s="22" t="str">
        <x:f>"16349640"</x:f>
        <x:v>16349640</x:v>
      </x:c>
      <x:c r="S3805" s="23" t="str">
        <x:v>masculino</x:v>
      </x:c>
      <x:c r="T3805" s="22" t="str">
        <x:f>"QNS7H06"</x:f>
        <x:v>QNS7H06</x:v>
      </x:c>
      <x:c r="U3805" s="23" t="str">
        <x:v>TAMIRES CRISTINA DE AGUIAR COSTA.</x:v>
      </x:c>
      <x:c r="V3805" s="22" t="str">
        <x:f>"114.231.896-63"</x:f>
        <x:v>114.231.896-63</x:v>
      </x:c>
      <x:c r="W3805" s="22" t="str">
        <x:f>"11423189663"</x:f>
        <x:v>11423189663</x:v>
      </x:c>
      <x:c r="X3805" s="23" t="str">
        <x:v>tamirescacosta@gmail.com</x:v>
      </x:c>
      <x:c r="Y3805" s="22" t="str">
        <x:f>"(31) 994235545"</x:f>
        <x:v>(31) 994235545</x:v>
      </x:c>
      <x:c r="Z3805" s="30" t="n">
        <x:v>46380</x:v>
      </x:c>
    </x:row>
    <x:row r="3806" ht="18" customHeight="1">
      <x:c r="A3806" s="22" t="str">
        <x:f>"d9e6a94a-0058-455b-9c06-de4f1f8a1e76"</x:f>
        <x:v>d9e6a94a-0058-455b-9c06-de4f1f8a1e76</x:v>
      </x:c>
      <x:c r="B3806" s="23" t="str">
        <x:v>WANDERSON HAGNER BARACHO AMARAL</x:v>
      </x:c>
      <x:c r="C3806" s="23" t="str">
        <x:v>wanderson hagner baracho amaral</x:v>
      </x:c>
      <x:c r="D3806" s="22" t="str">
        <x:f>"63.816.596/0001-12"</x:f>
        <x:v>63.816.596/0001-12</x:v>
      </x:c>
      <x:c r="E3806" s="22" t="str">
        <x:f>"63816596000112"</x:f>
        <x:v>63816596000112</x:v>
      </x:c>
      <x:c r="F3806" s="22" t="str">
        <x:f>"032.290.831-05"</x:f>
        <x:v>032.290.831-05</x:v>
      </x:c>
      <x:c r="G3806" s="22" t="str">
        <x:f>"03229083105"</x:f>
        <x:v>03229083105</x:v>
      </x:c>
      <x:c r="H3806" s="23" t="str">
        <x:v>instabaracho@gmail.com</x:v>
      </x:c>
      <x:c r="I3806" s="22" t="str">
        <x:f>"(65)996122427"</x:f>
        <x:v>(65)996122427</x:v>
      </x:c>
      <x:c r="J3806" s="23" t="str">
        <x:v>RENTAL</x:v>
      </x:c>
      <x:c r="K3806" s="23" t="str">
        <x:v>rental_company</x:v>
      </x:c>
      <x:c r="L3806" s="24" t="b">
        <x:v>1</x:v>
      </x:c>
      <x:c r="M3806" s="23" t="n">
        <x:v>1</x:v>
      </x:c>
      <x:c r="N3806" s="28" t="n">
        <x:v>46219.812988715275</x:v>
      </x:c>
      <x:c r="O3806" s="28" t="n">
        <x:v>46219.812988715275</x:v>
      </x:c>
      <x:c r="P3806" s="23" t="str">
        <x:v>CUIABA</x:v>
      </x:c>
      <x:c r="Q3806" s="30" t="n">
        <x:v>32712</x:v>
      </x:c>
      <x:c r="R3806" s="22" t="str">
        <x:f>"18765068"</x:f>
        <x:v>18765068</x:v>
      </x:c>
      <x:c r="S3806" s="23" t="str">
        <x:v>masculino</x:v>
      </x:c>
      <x:c r="T3806" s="22" t="str"/>
      <x:c r="U3806" s="23" t="str">
        <x:v>WANDERSON HAGNER BARACHO AMARAL</x:v>
      </x:c>
      <x:c r="V3806" s="22" t="str">
        <x:f>"032.290.831-05"</x:f>
        <x:v>032.290.831-05</x:v>
      </x:c>
      <x:c r="W3806" s="22" t="str">
        <x:f>"03229083105"</x:f>
        <x:v>03229083105</x:v>
      </x:c>
      <x:c r="X3806" s="23" t="str">
        <x:v>instabaracho@gmail.com</x:v>
      </x:c>
      <x:c r="Y3806" s="22" t="str">
        <x:f>"(65)996122427"</x:f>
        <x:v>(65)996122427</x:v>
      </x:c>
      <x:c r="Z3806" s="30" t="n">
        <x:v>46442</x:v>
      </x:c>
    </x:row>
    <x:row r="3807" ht="18" customHeight="1">
      <x:c r="A3807" s="22" t="str">
        <x:f>"25f702e6-bc4b-4723-b914-e19ba599a910"</x:f>
        <x:v>25f702e6-bc4b-4723-b914-e19ba599a910</x:v>
      </x:c>
      <x:c r="B3807" s="23" t="str">
        <x:v>WANDERSON JUNIOR CASTRO LOPES</x:v>
      </x:c>
      <x:c r="C3807" s="23" t="str">
        <x:v>wanderson junior castro lopes</x:v>
      </x:c>
      <x:c r="D3807" s="22" t="str">
        <x:f>"62.305.154/0001-49"</x:f>
        <x:v>62.305.154/0001-49</x:v>
      </x:c>
      <x:c r="E3807" s="22" t="str">
        <x:f>"62305154000149"</x:f>
        <x:v>62305154000149</x:v>
      </x:c>
      <x:c r="F3807" s="22" t="str">
        <x:f>"159.837.336-64"</x:f>
        <x:v>159.837.336-64</x:v>
      </x:c>
      <x:c r="G3807" s="22" t="str">
        <x:f>"15983733664"</x:f>
        <x:v>15983733664</x:v>
      </x:c>
      <x:c r="H3807" s="23" t="str">
        <x:v>jnandinho26@gmail.com</x:v>
      </x:c>
      <x:c r="I3807" s="22" t="str">
        <x:f>"31982507477"</x:f>
        <x:v>31982507477</x:v>
      </x:c>
      <x:c r="J3807" s="23" t="str">
        <x:v>SPOT</x:v>
      </x:c>
      <x:c r="K3807" s="23" t="str">
        <x:v>favored_only</x:v>
      </x:c>
      <x:c r="L3807" s="24" t="b">
        <x:v>1</x:v>
      </x:c>
      <x:c r="M3807" s="23" t="n">
        <x:v>1</x:v>
      </x:c>
      <x:c r="N3807" s="28" t="n">
        <x:v>46205.60433396991</x:v>
      </x:c>
      <x:c r="O3807" s="28" t="n">
        <x:v>46219.812988715275</x:v>
      </x:c>
      <x:c r="P3807" s="23" t="str">
        <x:v>CONCEIÇÃO DO MATO DENTRO</x:v>
      </x:c>
      <x:c r="Q3807" s="30" t="n">
        <x:v>37238</x:v>
      </x:c>
      <x:c r="R3807" s="22" t="str">
        <x:f>"MG-22360846"</x:f>
        <x:v>MG-22360846</x:v>
      </x:c>
      <x:c r="S3807" s="23" t="str">
        <x:v>masculino</x:v>
      </x:c>
      <x:c r="T3807" s="22" t="str">
        <x:f>"OQF9E69"</x:f>
        <x:v>OQF9E69</x:v>
      </x:c>
      <x:c r="U3807" s="23" t="str">
        <x:v>PATRICIA APARECIDA DA SILVA</x:v>
      </x:c>
      <x:c r="V3807" s="22" t="str">
        <x:f>"122.043.276-89"</x:f>
        <x:v>122.043.276-89</x:v>
      </x:c>
      <x:c r="W3807" s="22" t="str">
        <x:f>"12204327689"</x:f>
        <x:v>12204327689</x:v>
      </x:c>
      <x:c r="X3807" s="23" t="str">
        <x:v>patricia19aparecida@gmail.com</x:v>
      </x:c>
      <x:c r="Y3807" s="22" t="str">
        <x:f>"31971212396"</x:f>
        <x:v>31971212396</x:v>
      </x:c>
      <x:c r="Z3807" s="30" t="n">
        <x:v>46268</x:v>
      </x:c>
    </x:row>
    <x:row r="3808" ht="18" customHeight="1">
      <x:c r="A3808" s="22" t="str">
        <x:f>"32bb87c3-f4a1-429c-97ae-8c4a680211d6"</x:f>
        <x:v>32bb87c3-f4a1-429c-97ae-8c4a680211d6</x:v>
      </x:c>
      <x:c r="B3808" s="23" t="str">
        <x:v>WANDERSON KIND DE ASSIS</x:v>
      </x:c>
      <x:c r="C3808" s="23" t="str">
        <x:v>wanderson kind de assis</x:v>
      </x:c>
      <x:c r="D3808" s="22" t="str">
        <x:f>"65.118.251/0001-10"</x:f>
        <x:v>65.118.251/0001-10</x:v>
      </x:c>
      <x:c r="E3808" s="22" t="str">
        <x:f>"65118251000110"</x:f>
        <x:v>65118251000110</x:v>
      </x:c>
      <x:c r="F3808" s="22" t="str">
        <x:f>"110.714.666-66"</x:f>
        <x:v>110.714.666-66</x:v>
      </x:c>
      <x:c r="G3808" s="22" t="str">
        <x:f>"11071466666"</x:f>
        <x:v>11071466666</x:v>
      </x:c>
      <x:c r="H3808" s="23" t="str">
        <x:v>wawanderson509e1@outlook.com</x:v>
      </x:c>
      <x:c r="I3808" s="22" t="str">
        <x:f>"33 9981-1908"</x:f>
        <x:v>33 9981-1908</x:v>
      </x:c>
      <x:c r="J3808" s="23" t="str">
        <x:v>SPOT</x:v>
      </x:c>
      <x:c r="K3808" s="23" t="str">
        <x:v>favored_only</x:v>
      </x:c>
      <x:c r="L3808" s="24" t="b">
        <x:v>1</x:v>
      </x:c>
      <x:c r="M3808" s="23" t="n">
        <x:v>1</x:v>
      </x:c>
      <x:c r="N3808" s="28" t="n">
        <x:v>46219.812988715275</x:v>
      </x:c>
      <x:c r="O3808" s="28" t="n">
        <x:v>46219.812988715275</x:v>
      </x:c>
      <x:c r="P3808" s="23" t="str">
        <x:v>TEOFILO OTONI</x:v>
      </x:c>
      <x:c r="Q3808" s="30" t="n">
        <x:v>33936</x:v>
      </x:c>
      <x:c r="R3808" s="22" t="str">
        <x:f>"17558156"</x:f>
        <x:v>17558156</x:v>
      </x:c>
      <x:c r="S3808" s="23" t="str">
        <x:v>masculino</x:v>
      </x:c>
      <x:c r="T3808" s="22" t="str"/>
      <x:c r="U3808" s="23" t="str">
        <x:v>WANDERSON KIND DE ASSIS</x:v>
      </x:c>
      <x:c r="V3808" s="22" t="str">
        <x:f>"110.714.666-66"</x:f>
        <x:v>110.714.666-66</x:v>
      </x:c>
      <x:c r="W3808" s="22" t="str">
        <x:f>"11071466666"</x:f>
        <x:v>11071466666</x:v>
      </x:c>
      <x:c r="X3808" s="23" t="str">
        <x:v>wawanderson509e1@outlook.com</x:v>
      </x:c>
      <x:c r="Y3808" s="22" t="str">
        <x:f>"33 9981-1908"</x:f>
        <x:v>33 9981-1908</x:v>
      </x:c>
      <x:c r="Z3808" s="30" t="n">
        <x:v>46456</x:v>
      </x:c>
    </x:row>
    <x:row r="3809" ht="18" customHeight="1">
      <x:c r="A3809" s="22" t="str">
        <x:f>"687340b8-437b-4ea4-97b2-c195b6e54a48"</x:f>
        <x:v>687340b8-437b-4ea4-97b2-c195b6e54a48</x:v>
      </x:c>
      <x:c r="B3809" s="23" t="str">
        <x:v>WANDERSON ROBERTO COSTA JUNIOR</x:v>
      </x:c>
      <x:c r="C3809" s="23" t="str">
        <x:v>wanderson roberto costa junior</x:v>
      </x:c>
      <x:c r="D3809" s="22" t="str">
        <x:f>"65.557.090/0001-61"</x:f>
        <x:v>65.557.090/0001-61</x:v>
      </x:c>
      <x:c r="E3809" s="22" t="str">
        <x:f>"65557090000161"</x:f>
        <x:v>65557090000161</x:v>
      </x:c>
      <x:c r="F3809" s="22" t="str">
        <x:f>"389.993.858-50"</x:f>
        <x:v>389.993.858-50</x:v>
      </x:c>
      <x:c r="G3809" s="22" t="str">
        <x:f>"38999385850"</x:f>
        <x:v>38999385850</x:v>
      </x:c>
      <x:c r="H3809" s="23" t="str">
        <x:v>wanderson.13.costa@gmail.com</x:v>
      </x:c>
      <x:c r="I3809" s="22" t="str">
        <x:f>"17 99176-9206"</x:f>
        <x:v>17 99176-9206</x:v>
      </x:c>
      <x:c r="J3809" s="23" t="str">
        <x:v>SPOT</x:v>
      </x:c>
      <x:c r="K3809" s="23" t="str">
        <x:v>favored_only</x:v>
      </x:c>
      <x:c r="L3809" s="24" t="b">
        <x:v>1</x:v>
      </x:c>
      <x:c r="M3809" s="23" t="n">
        <x:v>2</x:v>
      </x:c>
      <x:c r="N3809" s="28" t="n">
        <x:v>46219.812988715275</x:v>
      </x:c>
      <x:c r="O3809" s="28" t="n">
        <x:v>46219.812988715275</x:v>
      </x:c>
      <x:c r="P3809" s="23" t="str">
        <x:v>SÃO JOSE DO RIO PRETO</x:v>
      </x:c>
      <x:c r="Q3809" s="30" t="n">
        <x:v>35137</x:v>
      </x:c>
      <x:c r="R3809" s="22" t="str">
        <x:f>"42915845"</x:f>
        <x:v>42915845</x:v>
      </x:c>
      <x:c r="S3809" s="23" t="str">
        <x:v>masculino</x:v>
      </x:c>
      <x:c r="T3809" s="22" t="str">
        <x:f>"RFF1C71 2"</x:f>
        <x:v>RFF1C71 2</x:v>
      </x:c>
      <x:c r="U3809" s="23" t="str">
        <x:v>WANDERSON ROBERTO COSTA JUNIOR</x:v>
      </x:c>
      <x:c r="V3809" s="22" t="str">
        <x:f>"389.993.858-50"</x:f>
        <x:v>389.993.858-50</x:v>
      </x:c>
      <x:c r="W3809" s="22" t="str">
        <x:f>"38999385850"</x:f>
        <x:v>38999385850</x:v>
      </x:c>
      <x:c r="X3809" s="23" t="str">
        <x:v>wanderson.13.costa@gmail.com</x:v>
      </x:c>
      <x:c r="Y3809" s="22" t="str">
        <x:f>"17 99176-9206"</x:f>
        <x:v>17 99176-9206</x:v>
      </x:c>
      <x:c r="Z3809" s="30" t="n">
        <x:v>46581</x:v>
      </x:c>
    </x:row>
    <x:row r="3810" ht="18" customHeight="1">
      <x:c r="A3810" s="22" t="str">
        <x:f>"8a7e4f91-6b61-4732-8f93-7b123635c220"</x:f>
        <x:v>8a7e4f91-6b61-4732-8f93-7b123635c220</x:v>
      </x:c>
      <x:c r="B3810" s="23" t="str">
        <x:v>WANDERSON ROCHA GIVIGI</x:v>
      </x:c>
      <x:c r="C3810" s="23" t="str">
        <x:v>wanderson rocha givigi</x:v>
      </x:c>
      <x:c r="D3810" s="22" t="str">
        <x:f>"61.873.241/0001-30"</x:f>
        <x:v>61.873.241/0001-30</x:v>
      </x:c>
      <x:c r="E3810" s="22" t="str">
        <x:f>"61873241000130"</x:f>
        <x:v>61873241000130</x:v>
      </x:c>
      <x:c r="F3810" s="22" t="str">
        <x:f>"131.435.177-00"</x:f>
        <x:v>131.435.177-00</x:v>
      </x:c>
      <x:c r="G3810" s="22" t="str">
        <x:f>"13143517700"</x:f>
        <x:v>13143517700</x:v>
      </x:c>
      <x:c r="H3810" s="23" t="str">
        <x:v>wandersongivigirocha88@gmail.com</x:v>
      </x:c>
      <x:c r="I3810" s="22" t="str">
        <x:f>"22981200963"</x:f>
        <x:v>22981200963</x:v>
      </x:c>
      <x:c r="J3810" s="23" t="str">
        <x:v>SPOT</x:v>
      </x:c>
      <x:c r="K3810" s="23" t="str">
        <x:v>favored_only</x:v>
      </x:c>
      <x:c r="L3810" s="24" t="b">
        <x:v>1</x:v>
      </x:c>
      <x:c r="M3810" s="23" t="n">
        <x:v>1</x:v>
      </x:c>
      <x:c r="N3810" s="28" t="n">
        <x:v>46205.60448732639</x:v>
      </x:c>
      <x:c r="O3810" s="28" t="n">
        <x:v>46219.812988715275</x:v>
      </x:c>
      <x:c r="P3810" s="23" t="str">
        <x:v>CAMPOS DOS GOYTACAZES</x:v>
      </x:c>
      <x:c r="Q3810" s="30" t="n">
        <x:v>32306</x:v>
      </x:c>
      <x:c r="R3810" s="22" t="str">
        <x:f>"214631574"</x:f>
        <x:v>214631574</x:v>
      </x:c>
      <x:c r="S3810" s="23" t="str">
        <x:v>masculino</x:v>
      </x:c>
      <x:c r="T3810" s="22" t="str">
        <x:f>"KWC8G04"</x:f>
        <x:v>KWC8G04</x:v>
      </x:c>
      <x:c r="U3810" s="23" t="str">
        <x:v>ALEXANDRE DA SILVA GIVIGIER</x:v>
      </x:c>
      <x:c r="V3810" s="22" t="str">
        <x:f>"124.744.127-00"</x:f>
        <x:v>124.744.127-00</x:v>
      </x:c>
      <x:c r="W3810" s="22" t="str">
        <x:f>"12474412700"</x:f>
        <x:v>12474412700</x:v>
      </x:c>
      <x:c r="X3810" s="23" t="str">
        <x:v>alexandregivigier5@gmail.com</x:v>
      </x:c>
      <x:c r="Y3810" s="22" t="str">
        <x:f>"22997076041"</x:f>
        <x:v>22997076041</x:v>
      </x:c>
      <x:c r="Z3810" s="30" t="n">
        <x:v>46280</x:v>
      </x:c>
    </x:row>
    <x:row r="3811" ht="18" customHeight="1">
      <x:c r="A3811" s="22" t="str">
        <x:f>"17882998-16f3-4961-b533-0d4a1f4e8c7f"</x:f>
        <x:v>17882998-16f3-4961-b533-0d4a1f4e8c7f</x:v>
      </x:c>
      <x:c r="B3811" s="23" t="str">
        <x:v>WANDERSON RODRIGUES SILVA</x:v>
      </x:c>
      <x:c r="C3811" s="23" t="str">
        <x:v>wanderson rodrigues silva</x:v>
      </x:c>
      <x:c r="D3811" s="22" t="str">
        <x:f>"60.308.980/0001-16"</x:f>
        <x:v>60.308.980/0001-16</x:v>
      </x:c>
      <x:c r="E3811" s="22" t="str">
        <x:f>"60308980000116"</x:f>
        <x:v>60308980000116</x:v>
      </x:c>
      <x:c r="F3811" s="22" t="str">
        <x:f>"319.862.708-74"</x:f>
        <x:v>319.862.708-74</x:v>
      </x:c>
      <x:c r="G3811" s="22" t="str">
        <x:f>"31986270874"</x:f>
        <x:v>31986270874</x:v>
      </x:c>
      <x:c r="H3811" s="23" t="str">
        <x:v>silvawanderson59578@gmail.com</x:v>
      </x:c>
      <x:c r="I3811" s="22" t="str">
        <x:f>"31986270874"</x:f>
        <x:v>31986270874</x:v>
      </x:c>
      <x:c r="J3811" s="23" t="str">
        <x:v>SPOT</x:v>
      </x:c>
      <x:c r="K3811" s="23" t="str">
        <x:v>favored_only</x:v>
      </x:c>
      <x:c r="L3811" s="24" t="b">
        <x:v>1</x:v>
      </x:c>
      <x:c r="M3811" s="23" t="n">
        <x:v>1</x:v>
      </x:c>
      <x:c r="N3811" s="28" t="n">
        <x:v>46219.812988715275</x:v>
      </x:c>
      <x:c r="O3811" s="28" t="n">
        <x:v>46219.812988715275</x:v>
      </x:c>
      <x:c r="P3811" s="23" t="str">
        <x:v>VESPASIANO</x:v>
      </x:c>
      <x:c r="Q3811" s="30" t="n">
        <x:v>31087</x:v>
      </x:c>
      <x:c r="R3811" s="22" t="str">
        <x:f>"10761996"</x:f>
        <x:v>10761996</x:v>
      </x:c>
      <x:c r="S3811" s="23" t="str">
        <x:v>masculino</x:v>
      </x:c>
      <x:c r="T3811" s="22" t="str">
        <x:f>"RUX6B51"</x:f>
        <x:v>RUX6B51</x:v>
      </x:c>
      <x:c r="U3811" s="23" t="str">
        <x:v>WANDERSON RODRIGUES SILVA</x:v>
      </x:c>
      <x:c r="V3811" s="22" t="str">
        <x:f>"319.862.708-74"</x:f>
        <x:v>319.862.708-74</x:v>
      </x:c>
      <x:c r="W3811" s="22" t="str">
        <x:f>"31986270874"</x:f>
        <x:v>31986270874</x:v>
      </x:c>
      <x:c r="X3811" s="23" t="str">
        <x:v>silvawanderson59578@gmail.com</x:v>
      </x:c>
      <x:c r="Y3811" s="22" t="str">
        <x:f>"31986270874"</x:f>
        <x:v>31986270874</x:v>
      </x:c>
      <x:c r="Z3811" s="30" t="n">
        <x:v>46414</x:v>
      </x:c>
    </x:row>
    <x:row r="3812" ht="18" customHeight="1">
      <x:c r="A3812" s="22" t="str">
        <x:f>"a74773cc-cb44-4587-920a-fab71bab6986"</x:f>
        <x:v>a74773cc-cb44-4587-920a-fab71bab6986</x:v>
      </x:c>
      <x:c r="B3812" s="23" t="str">
        <x:v>WANDERSPN FERREIRA MARTINS</x:v>
      </x:c>
      <x:c r="C3812" s="23" t="str">
        <x:v>wanderspn ferreira martins</x:v>
      </x:c>
      <x:c r="D3812" s="22" t="str">
        <x:f>"26.345.373/0001-98"</x:f>
        <x:v>26.345.373/0001-98</x:v>
      </x:c>
      <x:c r="E3812" s="22" t="str">
        <x:f>"26345373000198"</x:f>
        <x:v>26345373000198</x:v>
      </x:c>
      <x:c r="F3812" s="22" t="str">
        <x:f>"051.518.786-03"</x:f>
        <x:v>051.518.786-03</x:v>
      </x:c>
      <x:c r="G3812" s="22" t="str">
        <x:f>"05151878603"</x:f>
        <x:v>05151878603</x:v>
      </x:c>
      <x:c r="H3812" s="23" t="str">
        <x:v>wanderson.ferreiramartins@gmail.com</x:v>
      </x:c>
      <x:c r="I3812" s="22" t="str">
        <x:f>"+55 31 8895-1363"</x:f>
        <x:v>+55 31 8895-1363</x:v>
      </x:c>
      <x:c r="J3812" s="23" t="str">
        <x:v>SPOT</x:v>
      </x:c>
      <x:c r="K3812" s="23" t="str">
        <x:v>favored_only</x:v>
      </x:c>
      <x:c r="L3812" s="24" t="b">
        <x:v>1</x:v>
      </x:c>
      <x:c r="M3812" s="23" t="n">
        <x:v>1</x:v>
      </x:c>
      <x:c r="N3812" s="28" t="n">
        <x:v>46203.9219084375</x:v>
      </x:c>
      <x:c r="O3812" s="28" t="n">
        <x:v>46219.812988715275</x:v>
      </x:c>
      <x:c r="P3812" s="23" t="str">
        <x:v>IPATINGA</x:v>
      </x:c>
      <x:c r="Q3812" s="30" t="n">
        <x:v>30216</x:v>
      </x:c>
      <x:c r="R3812" s="22" t="str">
        <x:f>"12350695"</x:f>
        <x:v>12350695</x:v>
      </x:c>
      <x:c r="S3812" s="23" t="str">
        <x:v>masculino</x:v>
      </x:c>
      <x:c r="T3812" s="22" t="str">
        <x:f>"LUT2G52"</x:f>
        <x:v>LUT2G52</x:v>
      </x:c>
      <x:c r="U3812" s="23" t="str">
        <x:v>WANDERSPN FERREIRA MARTINS</x:v>
      </x:c>
      <x:c r="V3812" s="22" t="str">
        <x:f>"051.518.786-03"</x:f>
        <x:v>051.518.786-03</x:v>
      </x:c>
      <x:c r="W3812" s="22" t="str">
        <x:f>"05151878603"</x:f>
        <x:v>05151878603</x:v>
      </x:c>
      <x:c r="X3812" s="23" t="str">
        <x:v>wanderson.ferreiramartins@gmail.com</x:v>
      </x:c>
      <x:c r="Y3812" s="22" t="str">
        <x:f>"+55 31 8895-1363"</x:f>
        <x:v>+55 31 8895-1363</x:v>
      </x:c>
      <x:c r="Z3812" s="30" t="n">
        <x:v>46394</x:v>
      </x:c>
    </x:row>
    <x:row r="3813" ht="18" customHeight="1">
      <x:c r="A3813" s="22" t="str">
        <x:f>"c284d286-c629-4a88-ac12-5a59352354d3"</x:f>
        <x:v>c284d286-c629-4a88-ac12-5a59352354d3</x:v>
      </x:c>
      <x:c r="B3813" s="23" t="str">
        <x:v>Wanessa karolyne Souza Lino</x:v>
      </x:c>
      <x:c r="C3813" s="23" t="str">
        <x:v>wanessa karolyne souza lino</x:v>
      </x:c>
      <x:c r="D3813" s="22" t="str">
        <x:f>"61.034.230/0001-66"</x:f>
        <x:v>61.034.230/0001-66</x:v>
      </x:c>
      <x:c r="E3813" s="22" t="str">
        <x:f>"61034230000166"</x:f>
        <x:v>61034230000166</x:v>
      </x:c>
      <x:c r="F3813" s="22" t="str">
        <x:f>"061.856.251-64"</x:f>
        <x:v>061.856.251-64</x:v>
      </x:c>
      <x:c r="G3813" s="22" t="str">
        <x:f>"06185625164"</x:f>
        <x:v>06185625164</x:v>
      </x:c>
      <x:c r="H3813" s="23" t="str">
        <x:v>wanessakarolyne0@icloud.com</x:v>
      </x:c>
      <x:c r="I3813" s="22" t="str">
        <x:f>"(65)98471-1107"</x:f>
        <x:v>(65)98471-1107</x:v>
      </x:c>
      <x:c r="J3813" s="23" t="str">
        <x:v>SPOT</x:v>
      </x:c>
      <x:c r="K3813" s="23" t="str">
        <x:v>favored_only</x:v>
      </x:c>
      <x:c r="L3813" s="24" t="b">
        <x:v>1</x:v>
      </x:c>
      <x:c r="M3813" s="23" t="n">
        <x:v>3</x:v>
      </x:c>
      <x:c r="N3813" s="28" t="n">
        <x:v>46203.921858726855</x:v>
      </x:c>
      <x:c r="O3813" s="28" t="n">
        <x:v>46203.921858726855</x:v>
      </x:c>
      <x:c r="P3813" s="23" t="str"/>
      <x:c r="Q3813" s="30" t="str"/>
      <x:c r="R3813" s="22" t="str"/>
      <x:c r="S3813" s="23" t="str"/>
      <x:c r="T3813" s="22" t="str"/>
      <x:c r="U3813" s="23" t="str">
        <x:v>Wanessa karolyne Souza Lino</x:v>
      </x:c>
      <x:c r="V3813" s="22" t="str">
        <x:f>"061.856.251-64"</x:f>
        <x:v>061.856.251-64</x:v>
      </x:c>
      <x:c r="W3813" s="22" t="str">
        <x:f>"06185625164"</x:f>
        <x:v>06185625164</x:v>
      </x:c>
      <x:c r="X3813" s="23" t="str">
        <x:v>Wanessakarolyne0@icloud.com</x:v>
      </x:c>
      <x:c r="Y3813" s="22" t="str">
        <x:f>"(65)98471-1107"</x:f>
        <x:v>(65)98471-1107</x:v>
      </x:c>
      <x:c r="Z3813" s="30" t="str"/>
    </x:row>
    <x:row r="3814" ht="18" customHeight="1">
      <x:c r="A3814" s="22" t="str">
        <x:f>"d64ff56d-a865-43d1-8d96-3f9a25106e96"</x:f>
        <x:v>d64ff56d-a865-43d1-8d96-3f9a25106e96</x:v>
      </x:c>
      <x:c r="B3814" s="23" t="str">
        <x:v>WARLEFF CRYSTIAN DA SILVA GOMES</x:v>
      </x:c>
      <x:c r="C3814" s="23" t="str">
        <x:v>warleff crystian da silva gomes</x:v>
      </x:c>
      <x:c r="D3814" s="22" t="str">
        <x:f>"49.894.510/0001-49"</x:f>
        <x:v>49.894.510/0001-49</x:v>
      </x:c>
      <x:c r="E3814" s="22" t="str">
        <x:f>"49894510000149"</x:f>
        <x:v>49894510000149</x:v>
      </x:c>
      <x:c r="F3814" s="22" t="str">
        <x:f>"151.349.636-06"</x:f>
        <x:v>151.349.636-06</x:v>
      </x:c>
      <x:c r="G3814" s="22" t="str">
        <x:f>"15134963606"</x:f>
        <x:v>15134963606</x:v>
      </x:c>
      <x:c r="H3814" s="23" t="str">
        <x:v>warleffwc@gmail.com</x:v>
      </x:c>
      <x:c r="I3814" s="22" t="str">
        <x:f>"31975271452"</x:f>
        <x:v>31975271452</x:v>
      </x:c>
      <x:c r="J3814" s="23" t="str">
        <x:v>SPOT</x:v>
      </x:c>
      <x:c r="K3814" s="23" t="str">
        <x:v>favored_only</x:v>
      </x:c>
      <x:c r="L3814" s="24" t="b">
        <x:v>1</x:v>
      </x:c>
      <x:c r="M3814" s="23" t="n">
        <x:v>1</x:v>
      </x:c>
      <x:c r="N3814" s="28" t="n">
        <x:v>46203.9218771875</x:v>
      </x:c>
      <x:c r="O3814" s="28" t="n">
        <x:v>46219.812988715275</x:v>
      </x:c>
      <x:c r="P3814" s="23" t="str">
        <x:v>CONTAGEM</x:v>
      </x:c>
      <x:c r="Q3814" s="30" t="n">
        <x:v>36909</x:v>
      </x:c>
      <x:c r="R3814" s="22" t="str">
        <x:f>"16106639"</x:f>
        <x:v>16106639</x:v>
      </x:c>
      <x:c r="S3814" s="23" t="str">
        <x:v>masculino</x:v>
      </x:c>
      <x:c r="T3814" s="22" t="str">
        <x:f>"LPD6G20"</x:f>
        <x:v>LPD6G20</x:v>
      </x:c>
      <x:c r="U3814" s="23" t="str">
        <x:v>WARLEFF CRYSTIAN DA SILVA GOMES</x:v>
      </x:c>
      <x:c r="V3814" s="22" t="str">
        <x:f>"151.349.636-06"</x:f>
        <x:v>151.349.636-06</x:v>
      </x:c>
      <x:c r="W3814" s="22" t="str">
        <x:f>"15134963606"</x:f>
        <x:v>15134963606</x:v>
      </x:c>
      <x:c r="X3814" s="23" t="str">
        <x:v>warleffwc@gmail.com</x:v>
      </x:c>
      <x:c r="Y3814" s="22" t="str">
        <x:f>"31975271452"</x:f>
        <x:v>31975271452</x:v>
      </x:c>
      <x:c r="Z3814" s="30" t="n">
        <x:v>46308</x:v>
      </x:c>
    </x:row>
    <x:row r="3815" ht="18" customHeight="1">
      <x:c r="A3815" s="22" t="str">
        <x:f>"9e365862-785e-4806-ad74-c0249764ee44"</x:f>
        <x:v>9e365862-785e-4806-ad74-c0249764ee44</x:v>
      </x:c>
      <x:c r="B3815" s="23" t="str">
        <x:v>WARLEY CARLOS CAETANO</x:v>
      </x:c>
      <x:c r="C3815" s="23" t="str">
        <x:v>warley carlos caetano</x:v>
      </x:c>
      <x:c r="D3815" s="22" t="str">
        <x:f>"28.636.997/0001-90"</x:f>
        <x:v>28.636.997/0001-90</x:v>
      </x:c>
      <x:c r="E3815" s="22" t="str">
        <x:f>"28636997000190"</x:f>
        <x:v>28636997000190</x:v>
      </x:c>
      <x:c r="F3815" s="22" t="str">
        <x:f>"024.421.481-61"</x:f>
        <x:v>024.421.481-61</x:v>
      </x:c>
      <x:c r="G3815" s="22" t="str">
        <x:f>"02442148161"</x:f>
        <x:v>02442148161</x:v>
      </x:c>
      <x:c r="H3815" s="23" t="str">
        <x:v>warleyccaetano@gmail.com</x:v>
      </x:c>
      <x:c r="I3815" s="22" t="str">
        <x:f>"3199530-4435"</x:f>
        <x:v>3199530-4435</x:v>
      </x:c>
      <x:c r="J3815" s="23" t="str">
        <x:v>SPOT</x:v>
      </x:c>
      <x:c r="K3815" s="23" t="str">
        <x:v>favored_only</x:v>
      </x:c>
      <x:c r="L3815" s="24" t="b">
        <x:v>1</x:v>
      </x:c>
      <x:c r="M3815" s="23" t="n">
        <x:v>1</x:v>
      </x:c>
      <x:c r="N3815" s="28" t="n">
        <x:v>46205.60589288195</x:v>
      </x:c>
      <x:c r="O3815" s="28" t="n">
        <x:v>46219.812988715275</x:v>
      </x:c>
      <x:c r="P3815" s="23" t="str">
        <x:v>CONTAGEM</x:v>
      </x:c>
      <x:c r="Q3815" s="30" t="n">
        <x:v>32051</x:v>
      </x:c>
      <x:c r="R3815" s="22" t="str">
        <x:f>"19698909"</x:f>
        <x:v>19698909</x:v>
      </x:c>
      <x:c r="S3815" s="23" t="str">
        <x:v>masculino</x:v>
      </x:c>
      <x:c r="T3815" s="22" t="str">
        <x:f>"OPO4A31"</x:f>
        <x:v>OPO4A31</x:v>
      </x:c>
      <x:c r="U3815" s="23" t="str">
        <x:v>WESLEY CARLOS CAETANO</x:v>
      </x:c>
      <x:c r="V3815" s="22" t="str">
        <x:f>"024.421.481-61"</x:f>
        <x:v>024.421.481-61</x:v>
      </x:c>
      <x:c r="W3815" s="22" t="str">
        <x:f>"02442148161"</x:f>
        <x:v>02442148161</x:v>
      </x:c>
      <x:c r="X3815" s="23" t="str">
        <x:v>warleyccaetano@gmail.com</x:v>
      </x:c>
      <x:c r="Y3815" s="22" t="str">
        <x:f>"3199530-4435"</x:f>
        <x:v>3199530-4435</x:v>
      </x:c>
      <x:c r="Z3815" s="30" t="n">
        <x:v>46337</x:v>
      </x:c>
    </x:row>
    <x:row r="3816" ht="18" customHeight="1">
      <x:c r="A3816" s="22" t="str">
        <x:f>"fc0e67b8-e977-4d97-807a-3cbff7638b89"</x:f>
        <x:v>fc0e67b8-e977-4d97-807a-3cbff7638b89</x:v>
      </x:c>
      <x:c r="B3816" s="23" t="str">
        <x:v>WARLEY PEREIRA DE SOUZA</x:v>
      </x:c>
      <x:c r="C3816" s="23" t="str">
        <x:v>warley pereira de souza</x:v>
      </x:c>
      <x:c r="D3816" s="22" t="str">
        <x:f>"59.198.966/0001-28"</x:f>
        <x:v>59.198.966/0001-28</x:v>
      </x:c>
      <x:c r="E3816" s="22" t="str">
        <x:f>"59198966000128"</x:f>
        <x:v>59198966000128</x:v>
      </x:c>
      <x:c r="F3816" s="22" t="str">
        <x:f>"701.226.976-69"</x:f>
        <x:v>701.226.976-69</x:v>
      </x:c>
      <x:c r="G3816" s="22" t="str">
        <x:f>"70122697669"</x:f>
        <x:v>70122697669</x:v>
      </x:c>
      <x:c r="H3816" s="23" t="str">
        <x:v>warleyguanabara@gmail.com</x:v>
      </x:c>
      <x:c r="I3816" s="22" t="str">
        <x:f>"31975078884"</x:f>
        <x:v>31975078884</x:v>
      </x:c>
      <x:c r="J3816" s="23" t="str">
        <x:v>SPOT</x:v>
      </x:c>
      <x:c r="K3816" s="23" t="str">
        <x:v>favored_only</x:v>
      </x:c>
      <x:c r="L3816" s="24" t="b">
        <x:v>1</x:v>
      </x:c>
      <x:c r="M3816" s="23" t="n">
        <x:v>1</x:v>
      </x:c>
      <x:c r="N3816" s="28" t="n">
        <x:v>46219.812988715275</x:v>
      </x:c>
      <x:c r="O3816" s="28" t="n">
        <x:v>46219.812988715275</x:v>
      </x:c>
      <x:c r="P3816" s="23" t="str">
        <x:v>NOVA LIMA</x:v>
      </x:c>
      <x:c r="Q3816" s="30" t="n">
        <x:v>36203</x:v>
      </x:c>
      <x:c r="R3816" s="22" t="str">
        <x:f>"21363018"</x:f>
        <x:v>21363018</x:v>
      </x:c>
      <x:c r="S3816" s="23" t="str">
        <x:v>masculino</x:v>
      </x:c>
      <x:c r="T3816" s="22" t="str">
        <x:f>"QUK8G51"</x:f>
        <x:v>QUK8G51</x:v>
      </x:c>
      <x:c r="U3816" s="23" t="str">
        <x:v>WARLEY PEREIRA DE SOUZA</x:v>
      </x:c>
      <x:c r="V3816" s="22" t="str">
        <x:f>"701.226.976-69"</x:f>
        <x:v>701.226.976-69</x:v>
      </x:c>
      <x:c r="W3816" s="22" t="str">
        <x:f>"70122697669"</x:f>
        <x:v>70122697669</x:v>
      </x:c>
      <x:c r="X3816" s="23" t="str">
        <x:v>warleyguanabara@gmail.com</x:v>
      </x:c>
      <x:c r="Y3816" s="22" t="str">
        <x:f>"31975078884"</x:f>
        <x:v>31975078884</x:v>
      </x:c>
      <x:c r="Z3816" s="30" t="n">
        <x:v>46432</x:v>
      </x:c>
    </x:row>
    <x:row r="3817" ht="18" customHeight="1">
      <x:c r="A3817" s="22" t="str">
        <x:f>"4a795031-d5db-4840-b514-d88040033719"</x:f>
        <x:v>4a795031-d5db-4840-b514-d88040033719</x:v>
      </x:c>
      <x:c r="B3817" s="23" t="str">
        <x:v>WARLLEY ARAUJO BRITO</x:v>
      </x:c>
      <x:c r="C3817" s="23" t="str">
        <x:v>warlley araujo brito</x:v>
      </x:c>
      <x:c r="D3817" s="22" t="str">
        <x:f>"67.570.466/0001-01"</x:f>
        <x:v>67.570.466/0001-01</x:v>
      </x:c>
      <x:c r="E3817" s="22" t="str">
        <x:f>"67570466000101"</x:f>
        <x:v>67570466000101</x:v>
      </x:c>
      <x:c r="F3817" s="22" t="str">
        <x:f>"035.154.181-05"</x:f>
        <x:v>035.154.181-05</x:v>
      </x:c>
      <x:c r="G3817" s="22" t="str">
        <x:f>"03515418105"</x:f>
        <x:v>03515418105</x:v>
      </x:c>
      <x:c r="H3817" s="23" t="str">
        <x:v>warlleyaraujobrito@gmail.com</x:v>
      </x:c>
      <x:c r="I3817" s="22" t="str">
        <x:f>"(65)99252-6842"</x:f>
        <x:v>(65)99252-6842</x:v>
      </x:c>
      <x:c r="J3817" s="23" t="str">
        <x:v>SPOT</x:v>
      </x:c>
      <x:c r="K3817" s="23" t="str">
        <x:v>favored_only</x:v>
      </x:c>
      <x:c r="L3817" s="24" t="b">
        <x:v>1</x:v>
      </x:c>
      <x:c r="M3817" s="23" t="n">
        <x:v>1</x:v>
      </x:c>
      <x:c r="N3817" s="28" t="n">
        <x:v>46219.812988715275</x:v>
      </x:c>
      <x:c r="O3817" s="28" t="n">
        <x:v>46219.812988715275</x:v>
      </x:c>
      <x:c r="P3817" s="23" t="str">
        <x:v>CUIABA</x:v>
      </x:c>
      <x:c r="Q3817" s="30" t="n">
        <x:v>32756</x:v>
      </x:c>
      <x:c r="R3817" s="22" t="str">
        <x:f>"20486642"</x:f>
        <x:v>20486642</x:v>
      </x:c>
      <x:c r="S3817" s="23" t="str">
        <x:v>masculino</x:v>
      </x:c>
      <x:c r="T3817" s="22" t="str">
        <x:f>"QCL2963"</x:f>
        <x:v>QCL2963</x:v>
      </x:c>
      <x:c r="U3817" s="23" t="str">
        <x:v>WARLLEY ARAUJO BRITO</x:v>
      </x:c>
      <x:c r="V3817" s="22" t="str">
        <x:f>"035.154.181-05"</x:f>
        <x:v>035.154.181-05</x:v>
      </x:c>
      <x:c r="W3817" s="22" t="str">
        <x:f>"03515418105"</x:f>
        <x:v>03515418105</x:v>
      </x:c>
      <x:c r="X3817" s="23" t="str">
        <x:v>warlleyaraujobrito@gmail.com</x:v>
      </x:c>
      <x:c r="Y3817" s="22" t="str">
        <x:f>"(65)99252-6842"</x:f>
        <x:v>(65)99252-6842</x:v>
      </x:c>
      <x:c r="Z3817" s="30" t="n">
        <x:v>46560</x:v>
      </x:c>
    </x:row>
    <x:row r="3818" ht="18" customHeight="1">
      <x:c r="A3818" s="22" t="str">
        <x:f>"b1d1defc-5b82-461b-bbfd-97e7e3d25452"</x:f>
        <x:v>b1d1defc-5b82-461b-bbfd-97e7e3d25452</x:v>
      </x:c>
      <x:c r="B3818" s="23" t="str">
        <x:v>WARLLYM SANTANA DE ANDRADE</x:v>
      </x:c>
      <x:c r="C3818" s="23" t="str">
        <x:v>warllym santana de andrade</x:v>
      </x:c>
      <x:c r="D3818" s="22" t="str">
        <x:f>"65.552.391/0001-00"</x:f>
        <x:v>65.552.391/0001-00</x:v>
      </x:c>
      <x:c r="E3818" s="22" t="str">
        <x:f>"65552391000100"</x:f>
        <x:v>65552391000100</x:v>
      </x:c>
      <x:c r="F3818" s="22" t="str">
        <x:f>"159.518.117-24"</x:f>
        <x:v>159.518.117-24</x:v>
      </x:c>
      <x:c r="G3818" s="22" t="str">
        <x:f>"15951811724"</x:f>
        <x:v>15951811724</x:v>
      </x:c>
      <x:c r="H3818" s="23" t="str">
        <x:v>warllyn_19@hotmail.com</x:v>
      </x:c>
      <x:c r="I3818" s="22" t="str">
        <x:f>"21964812738"</x:f>
        <x:v>21964812738</x:v>
      </x:c>
      <x:c r="J3818" s="23" t="str">
        <x:v>SPOT</x:v>
      </x:c>
      <x:c r="K3818" s="23" t="str">
        <x:v>favored_only</x:v>
      </x:c>
      <x:c r="L3818" s="24" t="b">
        <x:v>1</x:v>
      </x:c>
      <x:c r="M3818" s="23" t="n">
        <x:v>1</x:v>
      </x:c>
      <x:c r="N3818" s="28" t="n">
        <x:v>46219.812988715275</x:v>
      </x:c>
      <x:c r="O3818" s="28" t="n">
        <x:v>46219.812988715275</x:v>
      </x:c>
      <x:c r="P3818" s="23" t="str">
        <x:v>CORDOVIL</x:v>
      </x:c>
      <x:c r="Q3818" s="30" t="n">
        <x:v>37157</x:v>
      </x:c>
      <x:c r="R3818" s="22" t="str">
        <x:f>"29.472.078-4"</x:f>
        <x:v>29.472.078-4</x:v>
      </x:c>
      <x:c r="S3818" s="23" t="str">
        <x:v>masculino</x:v>
      </x:c>
      <x:c r="T3818" s="22" t="str">
        <x:f>"qnm-6g46"</x:f>
        <x:v>qnm-6g46</x:v>
      </x:c>
      <x:c r="U3818" s="23" t="str">
        <x:v>KAYLANE SOUZA SIMOES</x:v>
      </x:c>
      <x:c r="V3818" s="22" t="str">
        <x:f>"203.884.527-14"</x:f>
        <x:v>203.884.527-14</x:v>
      </x:c>
      <x:c r="W3818" s="22" t="str">
        <x:f>"20388452714"</x:f>
        <x:v>20388452714</x:v>
      </x:c>
      <x:c r="X3818" s="23" t="str">
        <x:v>warllyn_19@hotmail.com</x:v>
      </x:c>
      <x:c r="Y3818" s="22" t="str">
        <x:f>"21964812738"</x:f>
        <x:v>21964812738</x:v>
      </x:c>
      <x:c r="Z3818" s="30" t="n">
        <x:v>46456</x:v>
      </x:c>
    </x:row>
    <x:row r="3819" ht="18" customHeight="1">
      <x:c r="A3819" s="22" t="str">
        <x:f>"2c00f30e-6f91-4e57-83ee-0f9e8f6e4d0c"</x:f>
        <x:v>2c00f30e-6f91-4e57-83ee-0f9e8f6e4d0c</x:v>
      </x:c>
      <x:c r="B3819" s="23" t="str">
        <x:v>Washington Alves</x:v>
      </x:c>
      <x:c r="C3819" s="23" t="str">
        <x:v>washington alves</x:v>
      </x:c>
      <x:c r="D3819" s="22" t="str">
        <x:f>"39.630.873/0001-13"</x:f>
        <x:v>39.630.873/0001-13</x:v>
      </x:c>
      <x:c r="E3819" s="22" t="str">
        <x:f>"39630873000113"</x:f>
        <x:v>39630873000113</x:v>
      </x:c>
      <x:c r="F3819" s="22" t="str">
        <x:f>"322.163.938-43"</x:f>
        <x:v>322.163.938-43</x:v>
      </x:c>
      <x:c r="G3819" s="22" t="str">
        <x:f>"32216393843"</x:f>
        <x:v>32216393843</x:v>
      </x:c>
      <x:c r="H3819" s="23" t="str">
        <x:v>washington.alves2016@outlook.com</x:v>
      </x:c>
      <x:c r="I3819" s="22" t="str">
        <x:f>"(11)915804810"</x:f>
        <x:v>(11)915804810</x:v>
      </x:c>
      <x:c r="J3819" s="23" t="str">
        <x:v>RENTAL</x:v>
      </x:c>
      <x:c r="K3819" s="23" t="str">
        <x:v>rental_company</x:v>
      </x:c>
      <x:c r="L3819" s="24" t="b">
        <x:v>1</x:v>
      </x:c>
      <x:c r="M3819" s="23" t="n">
        <x:v>1</x:v>
      </x:c>
      <x:c r="N3819" s="28" t="n">
        <x:v>46203.921840393516</x:v>
      </x:c>
      <x:c r="O3819" s="28" t="n">
        <x:v>46205.60490814815</x:v>
      </x:c>
      <x:c r="P3819" s="23" t="str">
        <x:v>MADEIRA MADEIRA</x:v>
      </x:c>
      <x:c r="Q3819" s="30" t="n">
        <x:v>31053</x:v>
      </x:c>
      <x:c r="R3819" s="22" t="str">
        <x:f>"45602891-2"</x:f>
        <x:v>45602891-2</x:v>
      </x:c>
      <x:c r="S3819" s="23" t="str">
        <x:v>Masculino</x:v>
      </x:c>
      <x:c r="T3819" s="22" t="str"/>
      <x:c r="U3819" s="23" t="str">
        <x:v>Washington Alves</x:v>
      </x:c>
      <x:c r="V3819" s="22" t="str">
        <x:f>"32216393843"</x:f>
        <x:v>32216393843</x:v>
      </x:c>
      <x:c r="W3819" s="22" t="str">
        <x:f>"32216393843"</x:f>
        <x:v>32216393843</x:v>
      </x:c>
      <x:c r="X3819" s="23" t="str">
        <x:v>washington.alves2016@outlook.com</x:v>
      </x:c>
      <x:c r="Y3819" s="22" t="str">
        <x:f>"(11)915804810"</x:f>
        <x:v>(11)915804810</x:v>
      </x:c>
      <x:c r="Z3819" s="30" t="n">
        <x:v>46218</x:v>
      </x:c>
    </x:row>
    <x:row r="3820" ht="18" customHeight="1">
      <x:c r="A3820" s="22" t="str">
        <x:f>"81a096e1-eb51-479a-a9f9-165a72425f47"</x:f>
        <x:v>81a096e1-eb51-479a-a9f9-165a72425f47</x:v>
      </x:c>
      <x:c r="B3820" s="23" t="str">
        <x:v>WASHINGTON ALVES</x:v>
      </x:c>
      <x:c r="C3820" s="23" t="str">
        <x:v>washington alves</x:v>
      </x:c>
      <x:c r="D3820" s="22" t="str">
        <x:f>"396308730000113"</x:f>
        <x:v>396308730000113</x:v>
      </x:c>
      <x:c r="E3820" s="22" t="str">
        <x:f>"396308730000113"</x:f>
        <x:v>396308730000113</x:v>
      </x:c>
      <x:c r="F3820" s="22" t="str">
        <x:f>"322.163.938-43"</x:f>
        <x:v>322.163.938-43</x:v>
      </x:c>
      <x:c r="G3820" s="22" t="str">
        <x:f>"32216393843"</x:f>
        <x:v>32216393843</x:v>
      </x:c>
      <x:c r="H3820" s="23" t="str">
        <x:v>washington.alves2016@outlook.com</x:v>
      </x:c>
      <x:c r="I3820" s="22" t="str">
        <x:f>"11915804810"</x:f>
        <x:v>11915804810</x:v>
      </x:c>
      <x:c r="J3820" s="23" t="str">
        <x:v>RENTAL</x:v>
      </x:c>
      <x:c r="K3820" s="23" t="str">
        <x:v>rental_company</x:v>
      </x:c>
      <x:c r="L3820" s="24" t="b">
        <x:v>1</x:v>
      </x:c>
      <x:c r="M3820" s="23" t="n">
        <x:v>1</x:v>
      </x:c>
      <x:c r="N3820" s="28" t="n">
        <x:v>46203.921904421295</x:v>
      </x:c>
      <x:c r="O3820" s="28" t="n">
        <x:v>46205.60828903935</x:v>
      </x:c>
      <x:c r="P3820" s="23" t="str">
        <x:v>MADEIRA MADEIRA</x:v>
      </x:c>
      <x:c r="Q3820" s="30" t="n">
        <x:v>31053</x:v>
      </x:c>
      <x:c r="R3820" s="22" t="str">
        <x:f>"456028912"</x:f>
        <x:v>456028912</x:v>
      </x:c>
      <x:c r="S3820" s="23" t="str">
        <x:v>Masculino</x:v>
      </x:c>
      <x:c r="T3820" s="22" t="str"/>
      <x:c r="U3820" s="23" t="str">
        <x:v>WASHINGTON ALVES</x:v>
      </x:c>
      <x:c r="V3820" s="22" t="str">
        <x:f>"32216393843"</x:f>
        <x:v>32216393843</x:v>
      </x:c>
      <x:c r="W3820" s="22" t="str">
        <x:f>"32216393843"</x:f>
        <x:v>32216393843</x:v>
      </x:c>
      <x:c r="X3820" s="23" t="str">
        <x:v>washington.alves2016@outlook.com</x:v>
      </x:c>
      <x:c r="Y3820" s="22" t="str">
        <x:f>"11915804810"</x:f>
        <x:v>11915804810</x:v>
      </x:c>
      <x:c r="Z3820" s="30" t="n">
        <x:v>46372</x:v>
      </x:c>
    </x:row>
    <x:row r="3821" ht="18" customHeight="1">
      <x:c r="A3821" s="22" t="str">
        <x:f>"15e83e08-6601-4a5c-983f-431f55c75056"</x:f>
        <x:v>15e83e08-6601-4a5c-983f-431f55c75056</x:v>
      </x:c>
      <x:c r="B3821" s="23" t="str">
        <x:v>WASHINGTON BARBOZA DA SILVA</x:v>
      </x:c>
      <x:c r="C3821" s="23" t="str">
        <x:v>washington barboza da silva</x:v>
      </x:c>
      <x:c r="D3821" s="22" t="str">
        <x:f>"47.968.510/0001-10"</x:f>
        <x:v>47.968.510/0001-10</x:v>
      </x:c>
      <x:c r="E3821" s="22" t="str">
        <x:f>"47968510000110"</x:f>
        <x:v>47968510000110</x:v>
      </x:c>
      <x:c r="F3821" s="22" t="str">
        <x:f>"070.491.424-76"</x:f>
        <x:v>070.491.424-76</x:v>
      </x:c>
      <x:c r="G3821" s="22" t="str">
        <x:f>"07049142476"</x:f>
        <x:v>07049142476</x:v>
      </x:c>
      <x:c r="H3821" s="23" t="str">
        <x:v>washington43318@gmail.com</x:v>
      </x:c>
      <x:c r="I3821" s="22" t="str">
        <x:f>"(11)937696492"</x:f>
        <x:v>(11)937696492</x:v>
      </x:c>
      <x:c r="J3821" s="23" t="str">
        <x:v>RENTAL</x:v>
      </x:c>
      <x:c r="K3821" s="23" t="str">
        <x:v>rental_company</x:v>
      </x:c>
      <x:c r="L3821" s="24" t="b">
        <x:v>1</x:v>
      </x:c>
      <x:c r="M3821" s="23" t="n">
        <x:v>1</x:v>
      </x:c>
      <x:c r="N3821" s="28" t="n">
        <x:v>46203.921852962965</x:v>
      </x:c>
      <x:c r="O3821" s="28" t="n">
        <x:v>46219.812988715275</x:v>
      </x:c>
      <x:c r="P3821" s="23" t="str">
        <x:v>POUSO ALEGRE</x:v>
      </x:c>
      <x:c r="Q3821" s="30" t="n">
        <x:v>32138</x:v>
      </x:c>
      <x:c r="R3821" s="22" t="str">
        <x:f>"39608198"</x:f>
        <x:v>39608198</x:v>
      </x:c>
      <x:c r="S3821" s="23" t="str">
        <x:v>masculino</x:v>
      </x:c>
      <x:c r="T3821" s="22" t="str"/>
      <x:c r="U3821" s="23" t="str">
        <x:v>WASHINGTON BARBOZA DA SILVA</x:v>
      </x:c>
      <x:c r="V3821" s="22" t="str">
        <x:f>"070.491.424-76"</x:f>
        <x:v>070.491.424-76</x:v>
      </x:c>
      <x:c r="W3821" s="22" t="str">
        <x:f>"07049142476"</x:f>
        <x:v>07049142476</x:v>
      </x:c>
      <x:c r="X3821" s="23" t="str">
        <x:v>washington43318@gmail.com</x:v>
      </x:c>
      <x:c r="Y3821" s="22" t="str">
        <x:f>"(11)937696492"</x:f>
        <x:v>(11)937696492</x:v>
      </x:c>
      <x:c r="Z3821" s="30" t="n">
        <x:v>46249</x:v>
      </x:c>
    </x:row>
    <x:row r="3822" ht="18" customHeight="1">
      <x:c r="A3822" s="22" t="str">
        <x:f>"4aa0c8b3-854c-4098-86ee-1e1dccac46d7"</x:f>
        <x:v>4aa0c8b3-854c-4098-86ee-1e1dccac46d7</x:v>
      </x:c>
      <x:c r="B3822" s="23" t="str">
        <x:v>WASHINGTON BATISTA MONTES</x:v>
      </x:c>
      <x:c r="C3822" s="23" t="str">
        <x:v>washington batista montes</x:v>
      </x:c>
      <x:c r="D3822" s="22" t="str">
        <x:f>"55.777.966/0001-21"</x:f>
        <x:v>55.777.966/0001-21</x:v>
      </x:c>
      <x:c r="E3822" s="22" t="str">
        <x:f>"55777966000121"</x:f>
        <x:v>55777966000121</x:v>
      </x:c>
      <x:c r="F3822" s="22" t="str">
        <x:f>"009.544.067-45"</x:f>
        <x:v>009.544.067-45</x:v>
      </x:c>
      <x:c r="G3822" s="22" t="str">
        <x:f>"00954406745"</x:f>
        <x:v>00954406745</x:v>
      </x:c>
      <x:c r="H3822" s="23" t="str">
        <x:v>monteswashington13@gmail.com</x:v>
      </x:c>
      <x:c r="I3822" s="22" t="str">
        <x:f>"2197924-1029"</x:f>
        <x:v>2197924-1029</x:v>
      </x:c>
      <x:c r="J3822" s="23" t="str">
        <x:v>SPOT</x:v>
      </x:c>
      <x:c r="K3822" s="23" t="str">
        <x:v>favored_only</x:v>
      </x:c>
      <x:c r="L3822" s="24" t="b">
        <x:v>1</x:v>
      </x:c>
      <x:c r="M3822" s="23" t="n">
        <x:v>1</x:v>
      </x:c>
      <x:c r="N3822" s="28" t="n">
        <x:v>46205.606891469906</x:v>
      </x:c>
      <x:c r="O3822" s="28" t="n">
        <x:v>46219.812988715275</x:v>
      </x:c>
      <x:c r="P3822" s="23" t="str">
        <x:v>CAMPO GRANDE</x:v>
      </x:c>
      <x:c r="Q3822" s="30" t="n">
        <x:v>26406</x:v>
      </x:c>
      <x:c r="R3822" s="22" t="str">
        <x:f>"253276233"</x:f>
        <x:v>253276233</x:v>
      </x:c>
      <x:c r="S3822" s="23" t="str">
        <x:v>masculino</x:v>
      </x:c>
      <x:c r="T3822" s="22" t="str">
        <x:f>"LLJ1134"</x:f>
        <x:v>LLJ1134</x:v>
      </x:c>
      <x:c r="U3822" s="23" t="str">
        <x:v>LEONARDO DOS SANTOS MONTES</x:v>
      </x:c>
      <x:c r="V3822" s="22" t="str">
        <x:f>"153.036.197-45"</x:f>
        <x:v>153.036.197-45</x:v>
      </x:c>
      <x:c r="W3822" s="22" t="str">
        <x:f>"15303619745"</x:f>
        <x:v>15303619745</x:v>
      </x:c>
      <x:c r="X3822" s="23" t="str">
        <x:v>leoejesus78@gmail.com</x:v>
      </x:c>
      <x:c r="Y3822" s="22" t="str">
        <x:f>"21 998042391"</x:f>
        <x:v>21 998042391</x:v>
      </x:c>
      <x:c r="Z3822" s="30" t="n">
        <x:v>46386</x:v>
      </x:c>
    </x:row>
    <x:row r="3823" ht="18" customHeight="1">
      <x:c r="A3823" s="22" t="str">
        <x:f>"a46c5707-169b-4b61-a3e3-55af9ef0eaa9"</x:f>
        <x:v>a46c5707-169b-4b61-a3e3-55af9ef0eaa9</x:v>
      </x:c>
      <x:c r="B3823" s="23" t="str">
        <x:v>WASHINGTON GERALDO GOMES</x:v>
      </x:c>
      <x:c r="C3823" s="23" t="str">
        <x:v>washington geraldo gomes</x:v>
      </x:c>
      <x:c r="D3823" s="22" t="str">
        <x:f>"63.368.877/0001-79"</x:f>
        <x:v>63.368.877/0001-79</x:v>
      </x:c>
      <x:c r="E3823" s="22" t="str">
        <x:f>"63368877000179"</x:f>
        <x:v>63368877000179</x:v>
      </x:c>
      <x:c r="F3823" s="22" t="str">
        <x:f>"408.065.536-34"</x:f>
        <x:v>408.065.536-34</x:v>
      </x:c>
      <x:c r="G3823" s="22" t="str">
        <x:f>"40806553634"</x:f>
        <x:v>40806553634</x:v>
      </x:c>
      <x:c r="H3823" s="23" t="str">
        <x:v>wash.tongg@gmail.com</x:v>
      </x:c>
      <x:c r="I3823" s="22" t="str">
        <x:f>"31 997430098"</x:f>
        <x:v>31 997430098</x:v>
      </x:c>
      <x:c r="J3823" s="23" t="str">
        <x:v>SPOT</x:v>
      </x:c>
      <x:c r="K3823" s="23" t="str">
        <x:v>favored_only</x:v>
      </x:c>
      <x:c r="L3823" s="24" t="b">
        <x:v>1</x:v>
      </x:c>
      <x:c r="M3823" s="23" t="n">
        <x:v>1</x:v>
      </x:c>
      <x:c r="N3823" s="28" t="n">
        <x:v>46203.92189965278</x:v>
      </x:c>
      <x:c r="O3823" s="28" t="n">
        <x:v>46219.812988715275</x:v>
      </x:c>
      <x:c r="P3823" s="23" t="str">
        <x:v>CONTAGEM</x:v>
      </x:c>
      <x:c r="Q3823" s="30" t="n">
        <x:v>23454</x:v>
      </x:c>
      <x:c r="R3823" s="22" t="str">
        <x:f>"872283"</x:f>
        <x:v>872283</x:v>
      </x:c>
      <x:c r="S3823" s="23" t="str">
        <x:v>masculino</x:v>
      </x:c>
      <x:c r="T3823" s="22" t="str">
        <x:f>"PUT8H65"</x:f>
        <x:v>PUT8H65</x:v>
      </x:c>
      <x:c r="U3823" s="23" t="str">
        <x:v>WASHINGTON GERALDO GOMES</x:v>
      </x:c>
      <x:c r="V3823" s="22" t="str">
        <x:f>"408.065.536-34"</x:f>
        <x:v>408.065.536-34</x:v>
      </x:c>
      <x:c r="W3823" s="22" t="str">
        <x:f>"40806553634"</x:f>
        <x:v>40806553634</x:v>
      </x:c>
      <x:c r="X3823" s="23" t="str">
        <x:v>wash.tongg@gmail.com</x:v>
      </x:c>
      <x:c r="Y3823" s="22" t="str">
        <x:f>"31 997430098"</x:f>
        <x:v>31 997430098</x:v>
      </x:c>
      <x:c r="Z3823" s="30" t="n">
        <x:v>46350</x:v>
      </x:c>
    </x:row>
    <x:row r="3824" ht="18" customHeight="1">
      <x:c r="A3824" s="22" t="str">
        <x:f>"b665254c-6c07-4972-a266-3de751a80037"</x:f>
        <x:v>b665254c-6c07-4972-a266-3de751a80037</x:v>
      </x:c>
      <x:c r="B3824" s="23" t="str">
        <x:v>WASHINGTON LUIS DAMASCENO</x:v>
      </x:c>
      <x:c r="C3824" s="23" t="str">
        <x:v>washington luis damasceno</x:v>
      </x:c>
      <x:c r="D3824" s="22" t="str">
        <x:f>"37.617.078/0001-60"</x:f>
        <x:v>37.617.078/0001-60</x:v>
      </x:c>
      <x:c r="E3824" s="22" t="str">
        <x:f>"37617078000160"</x:f>
        <x:v>37617078000160</x:v>
      </x:c>
      <x:c r="F3824" s="22" t="str">
        <x:f>"070.529.136-74"</x:f>
        <x:v>070.529.136-74</x:v>
      </x:c>
      <x:c r="G3824" s="22" t="str">
        <x:f>"07052913674"</x:f>
        <x:v>07052913674</x:v>
      </x:c>
      <x:c r="H3824" s="23" t="str">
        <x:v>washingtondamasceno27@gmail.com</x:v>
      </x:c>
      <x:c r="I3824" s="22" t="str">
        <x:f>"31986987645"</x:f>
        <x:v>31986987645</x:v>
      </x:c>
      <x:c r="J3824" s="23" t="str">
        <x:v>RENTAL</x:v>
      </x:c>
      <x:c r="K3824" s="23" t="str">
        <x:v>rental_company</x:v>
      </x:c>
      <x:c r="L3824" s="24" t="b">
        <x:v>1</x:v>
      </x:c>
      <x:c r="M3824" s="23" t="n">
        <x:v>1</x:v>
      </x:c>
      <x:c r="N3824" s="28" t="n">
        <x:v>46219.812988715275</x:v>
      </x:c>
      <x:c r="O3824" s="28" t="n">
        <x:v>46219.812988715275</x:v>
      </x:c>
      <x:c r="P3824" s="23" t="str">
        <x:v>CONTAGEM</x:v>
      </x:c>
      <x:c r="Q3824" s="30" t="n">
        <x:v>31178</x:v>
      </x:c>
      <x:c r="R3824" s="22" t="str">
        <x:f>"13536326"</x:f>
        <x:v>13536326</x:v>
      </x:c>
      <x:c r="S3824" s="23" t="str">
        <x:v>masculino</x:v>
      </x:c>
      <x:c r="T3824" s="22" t="str"/>
      <x:c r="U3824" s="23" t="str">
        <x:v>WASHINGTON LUIS DAMASCENO</x:v>
      </x:c>
      <x:c r="V3824" s="22" t="str">
        <x:f>"070.529.136-74"</x:f>
        <x:v>070.529.136-74</x:v>
      </x:c>
      <x:c r="W3824" s="22" t="str">
        <x:f>"07052913674"</x:f>
        <x:v>07052913674</x:v>
      </x:c>
      <x:c r="X3824" s="23" t="str">
        <x:v>washingtondamasceno27@gmail.com</x:v>
      </x:c>
      <x:c r="Y3824" s="22" t="str">
        <x:f>"31986987645"</x:f>
        <x:v>31986987645</x:v>
      </x:c>
      <x:c r="Z3824" s="30" t="n">
        <x:v>46528</x:v>
      </x:c>
    </x:row>
    <x:row r="3825" ht="18" customHeight="1">
      <x:c r="A3825" s="22" t="str">
        <x:f>"9fc4882f-fdcc-45b8-9adb-751701de350b"</x:f>
        <x:v>9fc4882f-fdcc-45b8-9adb-751701de350b</x:v>
      </x:c>
      <x:c r="B3825" s="23" t="str">
        <x:v>WASHINGTON LUIZ PEREIRA</x:v>
      </x:c>
      <x:c r="C3825" s="23" t="str">
        <x:v>washington luiz pereira</x:v>
      </x:c>
      <x:c r="D3825" s="22" t="str">
        <x:f>"55.692.942/0001-70"</x:f>
        <x:v>55.692.942/0001-70</x:v>
      </x:c>
      <x:c r="E3825" s="22" t="str">
        <x:f>"55692942000170"</x:f>
        <x:v>55692942000170</x:v>
      </x:c>
      <x:c r="F3825" s="22" t="str">
        <x:f>"281.081.438-45"</x:f>
        <x:v>281.081.438-45</x:v>
      </x:c>
      <x:c r="G3825" s="22" t="str">
        <x:f>"28108143845"</x:f>
        <x:v>28108143845</x:v>
      </x:c>
      <x:c r="H3825" s="23" t="str">
        <x:v>washington.djgm@gmail.com</x:v>
      </x:c>
      <x:c r="I3825" s="22" t="str">
        <x:f>"(35) 9 9743-9163"</x:f>
        <x:v>(35) 9 9743-9163</x:v>
      </x:c>
      <x:c r="J3825" s="23" t="str">
        <x:v>RENTAL</x:v>
      </x:c>
      <x:c r="K3825" s="23" t="str">
        <x:v>rental_company</x:v>
      </x:c>
      <x:c r="L3825" s="24" t="b">
        <x:v>1</x:v>
      </x:c>
      <x:c r="M3825" s="23" t="n">
        <x:v>1</x:v>
      </x:c>
      <x:c r="N3825" s="28" t="n">
        <x:v>46219.812988715275</x:v>
      </x:c>
      <x:c r="O3825" s="28" t="n">
        <x:v>46219.812988715275</x:v>
      </x:c>
      <x:c r="P3825" s="23" t="str">
        <x:v>POUSO ALEGRE</x:v>
      </x:c>
      <x:c r="Q3825" s="30" t="n">
        <x:v>29363</x:v>
      </x:c>
      <x:c r="R3825" s="22" t="str">
        <x:f>"32407471 SSP SP"</x:f>
        <x:v>32407471 SSP SP</x:v>
      </x:c>
      <x:c r="S3825" s="23" t="str">
        <x:v>masculino</x:v>
      </x:c>
      <x:c r="T3825" s="22" t="str"/>
      <x:c r="U3825" s="23" t="str">
        <x:v>WASHINGTON LUIZ PEREIRA</x:v>
      </x:c>
      <x:c r="V3825" s="22" t="str">
        <x:f>"281.081.438-45"</x:f>
        <x:v>281.081.438-45</x:v>
      </x:c>
      <x:c r="W3825" s="22" t="str">
        <x:f>"28108143845"</x:f>
        <x:v>28108143845</x:v>
      </x:c>
      <x:c r="X3825" s="23" t="str">
        <x:v>washington.djgm@gmail.com</x:v>
      </x:c>
      <x:c r="Y3825" s="22" t="str">
        <x:f>"(35) 9 9743-9163"</x:f>
        <x:v>(35) 9 9743-9163</x:v>
      </x:c>
      <x:c r="Z3825" s="30" t="n">
        <x:v>46564</x:v>
      </x:c>
    </x:row>
    <x:row r="3826" ht="18" customHeight="1">
      <x:c r="A3826" s="22" t="str">
        <x:f>"eab09fac-0593-4a6b-8047-6d40113cf38b"</x:f>
        <x:v>eab09fac-0593-4a6b-8047-6d40113cf38b</x:v>
      </x:c>
      <x:c r="B3826" s="23" t="str">
        <x:v>WATSON BRENNER FELIPE DOS SANTOS</x:v>
      </x:c>
      <x:c r="C3826" s="23" t="str">
        <x:v>watson brenner felipe dos santos</x:v>
      </x:c>
      <x:c r="D3826" s="22" t="str">
        <x:f>"44.401.908/0001-82"</x:f>
        <x:v>44.401.908/0001-82</x:v>
      </x:c>
      <x:c r="E3826" s="22" t="str">
        <x:f>"44401908000182"</x:f>
        <x:v>44401908000182</x:v>
      </x:c>
      <x:c r="F3826" s="22" t="str">
        <x:f>"075.016.566-90"</x:f>
        <x:v>075.016.566-90</x:v>
      </x:c>
      <x:c r="G3826" s="22" t="str">
        <x:f>"07501656690"</x:f>
        <x:v>07501656690</x:v>
      </x:c>
      <x:c r="H3826" s="23" t="str">
        <x:v>watsonbrenner94@gmail.com</x:v>
      </x:c>
      <x:c r="I3826" s="22" t="str">
        <x:f>"(34) 9 9257-3744"</x:f>
        <x:v>(34) 9 9257-3744</x:v>
      </x:c>
      <x:c r="J3826" s="23" t="str">
        <x:v>RENTAL</x:v>
      </x:c>
      <x:c r="K3826" s="23" t="str">
        <x:v>rental_company</x:v>
      </x:c>
      <x:c r="L3826" s="24" t="b">
        <x:v>1</x:v>
      </x:c>
      <x:c r="M3826" s="23" t="n">
        <x:v>1</x:v>
      </x:c>
      <x:c r="N3826" s="28" t="n">
        <x:v>46219.812988715275</x:v>
      </x:c>
      <x:c r="O3826" s="28" t="n">
        <x:v>46219.812988715275</x:v>
      </x:c>
      <x:c r="P3826" s="23" t="str">
        <x:v>UBERLANDIA</x:v>
      </x:c>
      <x:c r="Q3826" s="30" t="n">
        <x:v>34214</x:v>
      </x:c>
      <x:c r="R3826" s="22" t="str">
        <x:f>"15371863"</x:f>
        <x:v>15371863</x:v>
      </x:c>
      <x:c r="S3826" s="23" t="str">
        <x:v>masculino</x:v>
      </x:c>
      <x:c r="T3826" s="22" t="str"/>
      <x:c r="U3826" s="23" t="str">
        <x:v>WATSON BRENNER FELIPE DOS SANTOS</x:v>
      </x:c>
      <x:c r="V3826" s="22" t="str">
        <x:f>"075.016.566-90"</x:f>
        <x:v>075.016.566-90</x:v>
      </x:c>
      <x:c r="W3826" s="22" t="str">
        <x:f>"07501656690"</x:f>
        <x:v>07501656690</x:v>
      </x:c>
      <x:c r="X3826" s="23" t="str">
        <x:v>watsonbrenner94@gmail.com</x:v>
      </x:c>
      <x:c r="Y3826" s="22" t="str">
        <x:f>"(34) 9 9257-3744"</x:f>
        <x:v>(34) 9 9257-3744</x:v>
      </x:c>
      <x:c r="Z3826" s="30" t="n">
        <x:v>46402</x:v>
      </x:c>
    </x:row>
    <x:row r="3827" ht="18" customHeight="1">
      <x:c r="A3827" s="22" t="str">
        <x:f>"491ebd4c-5507-4a3e-ab1c-ecdd9cbba076"</x:f>
        <x:v>491ebd4c-5507-4a3e-ab1c-ecdd9cbba076</x:v>
      </x:c>
      <x:c r="B3827" s="23" t="str">
        <x:v>WAYNISON THADEU SANTANA DOS SANTOS</x:v>
      </x:c>
      <x:c r="C3827" s="23" t="str">
        <x:v>waynison thadeu santana dos santos</x:v>
      </x:c>
      <x:c r="D3827" s="22" t="str">
        <x:f>"62.378.802/0001-97"</x:f>
        <x:v>62.378.802/0001-97</x:v>
      </x:c>
      <x:c r="E3827" s="22" t="str">
        <x:f>"62378802000197"</x:f>
        <x:v>62378802000197</x:v>
      </x:c>
      <x:c r="F3827" s="22" t="str">
        <x:f>"146.287.906-39"</x:f>
        <x:v>146.287.906-39</x:v>
      </x:c>
      <x:c r="G3827" s="22" t="str">
        <x:f>"14628790639"</x:f>
        <x:v>14628790639</x:v>
      </x:c>
      <x:c r="H3827" s="23" t="str">
        <x:v>Waynisonsantos@gmail.com</x:v>
      </x:c>
      <x:c r="I3827" s="22" t="str">
        <x:f>"31987553192"</x:f>
        <x:v>31987553192</x:v>
      </x:c>
      <x:c r="J3827" s="23" t="str">
        <x:v>RENTAL</x:v>
      </x:c>
      <x:c r="K3827" s="23" t="str">
        <x:v>rental_company</x:v>
      </x:c>
      <x:c r="L3827" s="24" t="b">
        <x:v>1</x:v>
      </x:c>
      <x:c r="M3827" s="23" t="n">
        <x:v>1</x:v>
      </x:c>
      <x:c r="N3827" s="28" t="n">
        <x:v>46219.812988715275</x:v>
      </x:c>
      <x:c r="O3827" s="28" t="n">
        <x:v>46219.812988715275</x:v>
      </x:c>
      <x:c r="P3827" s="23" t="str">
        <x:v>CONTAGEM</x:v>
      </x:c>
      <x:c r="Q3827" s="30" t="n">
        <x:v>36766</x:v>
      </x:c>
      <x:c r="R3827" s="22" t="str">
        <x:f>"MG17926958"</x:f>
        <x:v>MG17926958</x:v>
      </x:c>
      <x:c r="S3827" s="23" t="str">
        <x:v>masculino</x:v>
      </x:c>
      <x:c r="T3827" s="22" t="str"/>
      <x:c r="U3827" s="23" t="str">
        <x:v>WAYNISON THADEU SANTANA DOS SANTOS</x:v>
      </x:c>
      <x:c r="V3827" s="22" t="str">
        <x:f>"146.287.906-39"</x:f>
        <x:v>146.287.906-39</x:v>
      </x:c>
      <x:c r="W3827" s="22" t="str">
        <x:f>"14628790639"</x:f>
        <x:v>14628790639</x:v>
      </x:c>
      <x:c r="X3827" s="23" t="str">
        <x:v>Waynisonsantos@gmail.com</x:v>
      </x:c>
      <x:c r="Y3827" s="22" t="str">
        <x:f>"31987553192"</x:f>
        <x:v>31987553192</x:v>
      </x:c>
      <x:c r="Z3827" s="30" t="n">
        <x:v>46521</x:v>
      </x:c>
    </x:row>
    <x:row r="3828" ht="18" customHeight="1">
      <x:c r="A3828" s="22" t="str">
        <x:f>"db0f7740-05fa-45a2-9516-233c62162afe"</x:f>
        <x:v>db0f7740-05fa-45a2-9516-233c62162afe</x:v>
      </x:c>
      <x:c r="B3828" s="23" t="str">
        <x:v>WDSON FACIO LIRIO</x:v>
      </x:c>
      <x:c r="C3828" s="23" t="str">
        <x:v>wdson facio lirio</x:v>
      </x:c>
      <x:c r="D3828" s="22" t="str">
        <x:f>"61.272.789/0001-24"</x:f>
        <x:v>61.272.789/0001-24</x:v>
      </x:c>
      <x:c r="E3828" s="22" t="str">
        <x:f>"61272789000124"</x:f>
        <x:v>61272789000124</x:v>
      </x:c>
      <x:c r="F3828" s="22" t="str">
        <x:f>"206.791.847-83"</x:f>
        <x:v>206.791.847-83</x:v>
      </x:c>
      <x:c r="G3828" s="22" t="str">
        <x:f>"20679184783"</x:f>
        <x:v>20679184783</x:v>
      </x:c>
      <x:c r="H3828" s="23" t="str">
        <x:v>wdsonlirio10@gmail.com</x:v>
      </x:c>
      <x:c r="I3828" s="22" t="str">
        <x:f>"+55 22 99783-6090"</x:f>
        <x:v>+55 22 99783-6090</x:v>
      </x:c>
      <x:c r="J3828" s="23" t="str">
        <x:v>spot</x:v>
      </x:c>
      <x:c r="K3828" s="23" t="str">
        <x:v>favored_only</x:v>
      </x:c>
      <x:c r="L3828" s="24" t="b">
        <x:v>1</x:v>
      </x:c>
      <x:c r="M3828" s="23" t="n">
        <x:v>1</x:v>
      </x:c>
      <x:c r="N3828" s="28" t="n">
        <x:v>46219.812988715275</x:v>
      </x:c>
      <x:c r="O3828" s="28" t="n">
        <x:v>46219.812988715275</x:v>
      </x:c>
      <x:c r="P3828" s="23" t="str">
        <x:v>CAMPOS DOS GOYTACAZES</x:v>
      </x:c>
      <x:c r="Q3828" s="30" t="n">
        <x:v>37866</x:v>
      </x:c>
      <x:c r="R3828" s="22" t="str">
        <x:f>"318013075"</x:f>
        <x:v>318013075</x:v>
      </x:c>
      <x:c r="S3828" s="23" t="str">
        <x:v>masculino</x:v>
      </x:c>
      <x:c r="T3828" s="22" t="str">
        <x:f>"LMP7A50"</x:f>
        <x:v>LMP7A50</x:v>
      </x:c>
      <x:c r="U3828" s="23" t="str">
        <x:v>WDSON FACIO LIRIO</x:v>
      </x:c>
      <x:c r="V3828" s="22" t="str">
        <x:f>"206.791.847-83"</x:f>
        <x:v>206.791.847-83</x:v>
      </x:c>
      <x:c r="W3828" s="22" t="str">
        <x:f>"20679184783"</x:f>
        <x:v>20679184783</x:v>
      </x:c>
      <x:c r="X3828" s="23" t="str">
        <x:v>wdsonlirio10@gmail.com</x:v>
      </x:c>
      <x:c r="Y3828" s="22" t="str">
        <x:f>"+55 22 99783-6090"</x:f>
        <x:v>+55 22 99783-6090</x:v>
      </x:c>
      <x:c r="Z3828" s="30" t="n">
        <x:v>46553</x:v>
      </x:c>
    </x:row>
    <x:row r="3829" ht="18" customHeight="1">
      <x:c r="A3829" s="22" t="str">
        <x:f>"c75df823-77f4-4066-8e0d-46b8daabc36e"</x:f>
        <x:v>c75df823-77f4-4066-8e0d-46b8daabc36e</x:v>
      </x:c>
      <x:c r="B3829" s="23" t="str">
        <x:v>WEBERSON ALVES DE SOUZA</x:v>
      </x:c>
      <x:c r="C3829" s="23" t="str">
        <x:v>weberson alves de souza</x:v>
      </x:c>
      <x:c r="D3829" s="22" t="str">
        <x:f>"62.409.539/0001-56"</x:f>
        <x:v>62.409.539/0001-56</x:v>
      </x:c>
      <x:c r="E3829" s="22" t="str">
        <x:f>"62409539000156"</x:f>
        <x:v>62409539000156</x:v>
      </x:c>
      <x:c r="F3829" s="22" t="str">
        <x:f>"972.148.091-68"</x:f>
        <x:v>972.148.091-68</x:v>
      </x:c>
      <x:c r="G3829" s="22" t="str">
        <x:f>"97214809168"</x:f>
        <x:v>97214809168</x:v>
      </x:c>
      <x:c r="H3829" s="23" t="str">
        <x:v>webersonalvesdesouza1@gmail.com</x:v>
      </x:c>
      <x:c r="I3829" s="22" t="str">
        <x:f>"62 984741311"</x:f>
        <x:v>62 984741311</x:v>
      </x:c>
      <x:c r="J3829" s="23" t="str">
        <x:v>DESCONHECIDO</x:v>
      </x:c>
      <x:c r="K3829" s="23" t="str">
        <x:v>favored_only</x:v>
      </x:c>
      <x:c r="L3829" s="24" t="b">
        <x:v>1</x:v>
      </x:c>
      <x:c r="M3829" s="23" t="n">
        <x:v>1</x:v>
      </x:c>
      <x:c r="N3829" s="28" t="n">
        <x:v>46205.60684108796</x:v>
      </x:c>
      <x:c r="O3829" s="28" t="n">
        <x:v>46219.812988715275</x:v>
      </x:c>
      <x:c r="P3829" s="23" t="str">
        <x:v>MINAÇU</x:v>
      </x:c>
      <x:c r="Q3829" s="30" t="str"/>
      <x:c r="R3829" s="22" t="str">
        <x:f>"4484473"</x:f>
        <x:v>4484473</x:v>
      </x:c>
      <x:c r="S3829" s="23" t="str">
        <x:v>masculino</x:v>
      </x:c>
      <x:c r="T3829" s="22" t="str">
        <x:f>"GEM7D06"</x:f>
        <x:v>GEM7D06</x:v>
      </x:c>
      <x:c r="U3829" s="23" t="str">
        <x:v>NUBIA TAVARES BARBOSA DE SOUZA</x:v>
      </x:c>
      <x:c r="V3829" s="22" t="str">
        <x:f>"007.394.031-33"</x:f>
        <x:v>007.394.031-33</x:v>
      </x:c>
      <x:c r="W3829" s="22" t="str">
        <x:f>"00739403133"</x:f>
        <x:v>00739403133</x:v>
      </x:c>
      <x:c r="X3829" s="23" t="str">
        <x:v>nubiatavaresbabosa@gmail.com</x:v>
      </x:c>
      <x:c r="Y3829" s="22" t="str">
        <x:f>"62984948917"</x:f>
        <x:v>62984948917</x:v>
      </x:c>
      <x:c r="Z3829" s="30" t="n">
        <x:v>46380</x:v>
      </x:c>
    </x:row>
    <x:row r="3830" ht="18" customHeight="1">
      <x:c r="A3830" s="22" t="str">
        <x:f>"913ab61a-914a-472b-a160-bf0366a313c5"</x:f>
        <x:v>913ab61a-914a-472b-a160-bf0366a313c5</x:v>
      </x:c>
      <x:c r="B3830" s="23" t="str">
        <x:v>WEBERSON OLIVEIRA MENEZES</x:v>
      </x:c>
      <x:c r="C3830" s="23" t="str">
        <x:v>weberson oliveira menezes</x:v>
      </x:c>
      <x:c r="D3830" s="22" t="str">
        <x:f>"63.560.615/0001-92"</x:f>
        <x:v>63.560.615/0001-92</x:v>
      </x:c>
      <x:c r="E3830" s="22" t="str">
        <x:f>"63560615000192"</x:f>
        <x:v>63560615000192</x:v>
      </x:c>
      <x:c r="F3830" s="22" t="str">
        <x:f>"376.942.388-79"</x:f>
        <x:v>376.942.388-79</x:v>
      </x:c>
      <x:c r="G3830" s="22" t="str">
        <x:f>"37694238879"</x:f>
        <x:v>37694238879</x:v>
      </x:c>
      <x:c r="H3830" s="23" t="str">
        <x:v>weberson1205@gmail.com</x:v>
      </x:c>
      <x:c r="I3830" s="22" t="str">
        <x:f>"18988100028"</x:f>
        <x:v>18988100028</x:v>
      </x:c>
      <x:c r="J3830" s="23" t="str">
        <x:v>RENTAL</x:v>
      </x:c>
      <x:c r="K3830" s="23" t="str">
        <x:v>rental_company</x:v>
      </x:c>
      <x:c r="L3830" s="24" t="b">
        <x:v>1</x:v>
      </x:c>
      <x:c r="M3830" s="23" t="n">
        <x:v>1</x:v>
      </x:c>
      <x:c r="N3830" s="28" t="n">
        <x:v>46219.812988715275</x:v>
      </x:c>
      <x:c r="O3830" s="28" t="n">
        <x:v>46219.812988715275</x:v>
      </x:c>
      <x:c r="P3830" s="23" t="str">
        <x:v>PRESIDENTE PRUDENTE</x:v>
      </x:c>
      <x:c r="Q3830" s="30" t="n">
        <x:v>32679</x:v>
      </x:c>
      <x:c r="R3830" s="22" t="str">
        <x:f>"445740127"</x:f>
        <x:v>445740127</x:v>
      </x:c>
      <x:c r="S3830" s="23" t="str">
        <x:v>masculino</x:v>
      </x:c>
      <x:c r="T3830" s="22" t="str"/>
      <x:c r="U3830" s="23" t="str">
        <x:v>WEBERSON OLIVEIRA MENEZES</x:v>
      </x:c>
      <x:c r="V3830" s="22" t="str">
        <x:f>"376.942.388-79"</x:f>
        <x:v>376.942.388-79</x:v>
      </x:c>
      <x:c r="W3830" s="22" t="str">
        <x:f>"37694238879"</x:f>
        <x:v>37694238879</x:v>
      </x:c>
      <x:c r="X3830" s="23" t="str">
        <x:v>weberson1205@gmail.com</x:v>
      </x:c>
      <x:c r="Y3830" s="22" t="str">
        <x:f>"18988100028"</x:f>
        <x:v>18988100028</x:v>
      </x:c>
      <x:c r="Z3830" s="30" t="n">
        <x:v>46463</x:v>
      </x:c>
    </x:row>
    <x:row r="3831" ht="18" customHeight="1">
      <x:c r="A3831" s="22" t="str">
        <x:f>"5b9e79dd-cd20-4c0c-b425-7775388a9998"</x:f>
        <x:v>5b9e79dd-cd20-4c0c-b425-7775388a9998</x:v>
      </x:c>
      <x:c r="B3831" s="23" t="str">
        <x:v>WEBERTON BONFIM DE OLIVEIRA</x:v>
      </x:c>
      <x:c r="C3831" s="23" t="str">
        <x:v>weberton bonfim de oliveira</x:v>
      </x:c>
      <x:c r="D3831" s="22" t="str">
        <x:f>"49.084.548/0001-56"</x:f>
        <x:v>49.084.548/0001-56</x:v>
      </x:c>
      <x:c r="E3831" s="22" t="str">
        <x:f>"49084548000156"</x:f>
        <x:v>49084548000156</x:v>
      </x:c>
      <x:c r="F3831" s="22" t="str">
        <x:f>"111.425.896-25"</x:f>
        <x:v>111.425.896-25</x:v>
      </x:c>
      <x:c r="G3831" s="22" t="str">
        <x:f>"11142589625"</x:f>
        <x:v>11142589625</x:v>
      </x:c>
      <x:c r="H3831" s="23" t="str">
        <x:v>Weberton.bonfim2@gmail.com</x:v>
      </x:c>
      <x:c r="I3831" s="22" t="str">
        <x:f>"3499399997"</x:f>
        <x:v>3499399997</x:v>
      </x:c>
      <x:c r="J3831" s="23" t="str">
        <x:v>RENTAL</x:v>
      </x:c>
      <x:c r="K3831" s="23" t="str">
        <x:v>rental_company</x:v>
      </x:c>
      <x:c r="L3831" s="24" t="b">
        <x:v>1</x:v>
      </x:c>
      <x:c r="M3831" s="23" t="n">
        <x:v>1</x:v>
      </x:c>
      <x:c r="N3831" s="28" t="n">
        <x:v>46219.812988715275</x:v>
      </x:c>
      <x:c r="O3831" s="28" t="n">
        <x:v>46219.812988715275</x:v>
      </x:c>
      <x:c r="P3831" s="23" t="str">
        <x:v>UBERABA</x:v>
      </x:c>
      <x:c r="Q3831" s="30" t="n">
        <x:v>33513</x:v>
      </x:c>
      <x:c r="R3831" s="22" t="str">
        <x:f>"13929690"</x:f>
        <x:v>13929690</x:v>
      </x:c>
      <x:c r="S3831" s="23" t="str">
        <x:v>masculino</x:v>
      </x:c>
      <x:c r="T3831" s="22" t="str"/>
      <x:c r="U3831" s="23" t="str">
        <x:v>WEBERTON BONFIM DE OLIVEIRA</x:v>
      </x:c>
      <x:c r="V3831" s="22" t="str">
        <x:f>"111.425.896-25"</x:f>
        <x:v>111.425.896-25</x:v>
      </x:c>
      <x:c r="W3831" s="22" t="str">
        <x:f>"11142589625"</x:f>
        <x:v>11142589625</x:v>
      </x:c>
      <x:c r="X3831" s="23" t="str">
        <x:v>Weberton.bonfim2@gmail.com</x:v>
      </x:c>
      <x:c r="Y3831" s="22" t="str">
        <x:f>"3499399997"</x:f>
        <x:v>3499399997</x:v>
      </x:c>
      <x:c r="Z3831" s="30" t="n">
        <x:v>46528</x:v>
      </x:c>
    </x:row>
    <x:row r="3832" ht="18" customHeight="1">
      <x:c r="A3832" s="22" t="str">
        <x:f>"dcce0a95-dcf1-48ca-ac02-ef72655e30f4"</x:f>
        <x:v>dcce0a95-dcf1-48ca-ac02-ef72655e30f4</x:v>
      </x:c>
      <x:c r="B3832" s="23" t="str">
        <x:v>WEBER VARGAS GARCEZ DE OLIVEIRA</x:v>
      </x:c>
      <x:c r="C3832" s="23" t="str">
        <x:v>weber vargas garcez de oliveira</x:v>
      </x:c>
      <x:c r="D3832" s="22" t="str">
        <x:f>"49.283.392/0001-32"</x:f>
        <x:v>49.283.392/0001-32</x:v>
      </x:c>
      <x:c r="E3832" s="22" t="str">
        <x:f>"49283392000132"</x:f>
        <x:v>49283392000132</x:v>
      </x:c>
      <x:c r="F3832" s="22" t="str">
        <x:f>"971.119.701-44"</x:f>
        <x:v>971.119.701-44</x:v>
      </x:c>
      <x:c r="G3832" s="22" t="str">
        <x:f>"97111970144"</x:f>
        <x:v>97111970144</x:v>
      </x:c>
      <x:c r="H3832" s="23" t="str">
        <x:v>web_oliveira@hotmail.com</x:v>
      </x:c>
      <x:c r="I3832" s="22" t="str">
        <x:f>"64 999177989"</x:f>
        <x:v>64 999177989</x:v>
      </x:c>
      <x:c r="J3832" s="23" t="str">
        <x:v>SPOT</x:v>
      </x:c>
      <x:c r="K3832" s="23" t="str">
        <x:v>favored_only</x:v>
      </x:c>
      <x:c r="L3832" s="24" t="b">
        <x:v>1</x:v>
      </x:c>
      <x:c r="M3832" s="23" t="n">
        <x:v>1</x:v>
      </x:c>
      <x:c r="N3832" s="28" t="n">
        <x:v>46203.92186462963</x:v>
      </x:c>
      <x:c r="O3832" s="28" t="n">
        <x:v>46219.812988715275</x:v>
      </x:c>
      <x:c r="P3832" s="23" t="str">
        <x:v>RIO VERDE</x:v>
      </x:c>
      <x:c r="Q3832" s="30" t="n">
        <x:v>30228</x:v>
      </x:c>
      <x:c r="R3832" s="22" t="str">
        <x:f>"4440602"</x:f>
        <x:v>4440602</x:v>
      </x:c>
      <x:c r="S3832" s="23" t="str">
        <x:v>masculino</x:v>
      </x:c>
      <x:c r="T3832" s="22" t="str">
        <x:f>"HOI3C11"</x:f>
        <x:v>HOI3C11</x:v>
      </x:c>
      <x:c r="U3832" s="23" t="str">
        <x:v>WEBER VARGAS GARCEZ DE OLIVEIRA</x:v>
      </x:c>
      <x:c r="V3832" s="22" t="str">
        <x:f>"971.119.701-44"</x:f>
        <x:v>971.119.701-44</x:v>
      </x:c>
      <x:c r="W3832" s="22" t="str">
        <x:f>"97111970144"</x:f>
        <x:v>97111970144</x:v>
      </x:c>
      <x:c r="X3832" s="23" t="str">
        <x:v>web_oliveira@hotmail.com</x:v>
      </x:c>
      <x:c r="Y3832" s="22" t="str">
        <x:f>"64 999177989"</x:f>
        <x:v>64 999177989</x:v>
      </x:c>
      <x:c r="Z3832" s="30" t="n">
        <x:v>46275</x:v>
      </x:c>
    </x:row>
    <x:row r="3833" ht="18" customHeight="1">
      <x:c r="A3833" s="22" t="str">
        <x:f>"6301969e-5a4f-4ddf-bcd9-d17ebdbda021"</x:f>
        <x:v>6301969e-5a4f-4ddf-bcd9-d17ebdbda021</x:v>
      </x:c>
      <x:c r="B3833" s="23" t="str">
        <x:v>WEDER CESAR MOREIRA</x:v>
      </x:c>
      <x:c r="C3833" s="23" t="str">
        <x:v>weder cesar moreira</x:v>
      </x:c>
      <x:c r="D3833" s="22" t="str">
        <x:f>"65.996.501/0001-15"</x:f>
        <x:v>65.996.501/0001-15</x:v>
      </x:c>
      <x:c r="E3833" s="22" t="str">
        <x:f>"65996501000115"</x:f>
        <x:v>65996501000115</x:v>
      </x:c>
      <x:c r="F3833" s="22" t="str">
        <x:f>"330.607.278-80"</x:f>
        <x:v>330.607.278-80</x:v>
      </x:c>
      <x:c r="G3833" s="22" t="str">
        <x:f>"33060727880"</x:f>
        <x:v>33060727880</x:v>
      </x:c>
      <x:c r="H3833" s="23" t="str">
        <x:v>wederc099@gmail.com</x:v>
      </x:c>
      <x:c r="I3833" s="22" t="str">
        <x:f>"(35)99836-3399"</x:f>
        <x:v>(35)99836-3399</x:v>
      </x:c>
      <x:c r="J3833" s="23" t="str">
        <x:v>RENTAL</x:v>
      </x:c>
      <x:c r="K3833" s="23" t="str">
        <x:v>rental_company</x:v>
      </x:c>
      <x:c r="L3833" s="24" t="b">
        <x:v>1</x:v>
      </x:c>
      <x:c r="M3833" s="23" t="n">
        <x:v>1</x:v>
      </x:c>
      <x:c r="N3833" s="28" t="n">
        <x:v>46219.812988715275</x:v>
      </x:c>
      <x:c r="O3833" s="28" t="n">
        <x:v>46219.812988715275</x:v>
      </x:c>
      <x:c r="P3833" s="23" t="str">
        <x:v>POUSO ALEGRE</x:v>
      </x:c>
      <x:c r="Q3833" s="30" t="n">
        <x:v>34708</x:v>
      </x:c>
      <x:c r="R3833" s="22" t="str">
        <x:f>"42939932 SSP SP"</x:f>
        <x:v>42939932 SSP SP</x:v>
      </x:c>
      <x:c r="S3833" s="23" t="str">
        <x:v>masculino</x:v>
      </x:c>
      <x:c r="T3833" s="22" t="str"/>
      <x:c r="U3833" s="23" t="str">
        <x:v>WEDER CESAR MOREIRA</x:v>
      </x:c>
      <x:c r="V3833" s="22" t="str">
        <x:f>"330.607.278-80"</x:f>
        <x:v>330.607.278-80</x:v>
      </x:c>
      <x:c r="W3833" s="22" t="str">
        <x:f>"33060727880"</x:f>
        <x:v>33060727880</x:v>
      </x:c>
      <x:c r="X3833" s="23" t="str">
        <x:v>wederc099@gmail.com</x:v>
      </x:c>
      <x:c r="Y3833" s="22" t="str">
        <x:f>"(35)99836-3399"</x:f>
        <x:v>(35)99836-3399</x:v>
      </x:c>
      <x:c r="Z3833" s="30" t="n">
        <x:v>46554</x:v>
      </x:c>
    </x:row>
    <x:row r="3834" ht="18" customHeight="1">
      <x:c r="A3834" s="22" t="str">
        <x:f>"f3e228ac-1392-4ebd-91fc-a824f8f34edc"</x:f>
        <x:v>f3e228ac-1392-4ebd-91fc-a824f8f34edc</x:v>
      </x:c>
      <x:c r="B3834" s="23" t="str">
        <x:v>WEDER LUCAS DA CRUZ LUIZ DE OLIVEIRA</x:v>
      </x:c>
      <x:c r="C3834" s="23" t="str">
        <x:v>weder lucas da cruz luiz de oliveira</x:v>
      </x:c>
      <x:c r="D3834" s="22" t="str">
        <x:f>"63.699.302/0001-10"</x:f>
        <x:v>63.699.302/0001-10</x:v>
      </x:c>
      <x:c r="E3834" s="22" t="str">
        <x:f>"63699302000110"</x:f>
        <x:v>63699302000110</x:v>
      </x:c>
      <x:c r="F3834" s="22" t="str">
        <x:f>"451.154.068-37"</x:f>
        <x:v>451.154.068-37</x:v>
      </x:c>
      <x:c r="G3834" s="22" t="str">
        <x:f>"45115406837"</x:f>
        <x:v>45115406837</x:v>
      </x:c>
      <x:c r="H3834" s="23" t="str">
        <x:v>wederlu11@gmail.com</x:v>
      </x:c>
      <x:c r="I3834" s="22" t="str">
        <x:f>"11953417364"</x:f>
        <x:v>11953417364</x:v>
      </x:c>
      <x:c r="J3834" s="23" t="str">
        <x:v>RENTAL</x:v>
      </x:c>
      <x:c r="K3834" s="23" t="str">
        <x:v>rental_company</x:v>
      </x:c>
      <x:c r="L3834" s="24" t="b">
        <x:v>1</x:v>
      </x:c>
      <x:c r="M3834" s="23" t="n">
        <x:v>1</x:v>
      </x:c>
      <x:c r="N3834" s="28" t="n">
        <x:v>46219.812988715275</x:v>
      </x:c>
      <x:c r="O3834" s="28" t="n">
        <x:v>46219.812988715275</x:v>
      </x:c>
      <x:c r="P3834" s="23" t="str">
        <x:v>BARUERI</x:v>
      </x:c>
      <x:c r="Q3834" s="30" t="n">
        <x:v>35500</x:v>
      </x:c>
      <x:c r="R3834" s="22" t="str">
        <x:f>"7449985"</x:f>
        <x:v>7449985</x:v>
      </x:c>
      <x:c r="S3834" s="23" t="str">
        <x:v>masculino</x:v>
      </x:c>
      <x:c r="T3834" s="22" t="str"/>
      <x:c r="U3834" s="23" t="str">
        <x:v>WEDER LUCAS DA CRUZ LUIZ DE OLIVEIRA</x:v>
      </x:c>
      <x:c r="V3834" s="22" t="str">
        <x:f>"451.154.068-37"</x:f>
        <x:v>451.154.068-37</x:v>
      </x:c>
      <x:c r="W3834" s="22" t="str">
        <x:f>"45115406837"</x:f>
        <x:v>45115406837</x:v>
      </x:c>
      <x:c r="X3834" s="23" t="str">
        <x:v>wederlu11@gmail.com</x:v>
      </x:c>
      <x:c r="Y3834" s="22" t="str">
        <x:f>"11953417364"</x:f>
        <x:v>11953417364</x:v>
      </x:c>
      <x:c r="Z3834" s="30" t="n">
        <x:v>46486</x:v>
      </x:c>
    </x:row>
    <x:row r="3835" ht="18" customHeight="1">
      <x:c r="A3835" s="22" t="str">
        <x:f>"311ae790-90d9-4ccb-9b16-8055e97ff2a6"</x:f>
        <x:v>311ae790-90d9-4ccb-9b16-8055e97ff2a6</x:v>
      </x:c>
      <x:c r="B3835" s="23" t="str">
        <x:v>WEDERSON DENER PEREIRA LEAL</x:v>
      </x:c>
      <x:c r="C3835" s="23" t="str">
        <x:v>wederson dener pereira leal</x:v>
      </x:c>
      <x:c r="D3835" s="22" t="str">
        <x:f>"55.980.681/0001-93"</x:f>
        <x:v>55.980.681/0001-93</x:v>
      </x:c>
      <x:c r="E3835" s="22" t="str">
        <x:f>"55980681000193"</x:f>
        <x:v>55980681000193</x:v>
      </x:c>
      <x:c r="F3835" s="22" t="str">
        <x:f>"175.013.176-58"</x:f>
        <x:v>175.013.176-58</x:v>
      </x:c>
      <x:c r="G3835" s="22" t="str">
        <x:f>"17501317658"</x:f>
        <x:v>17501317658</x:v>
      </x:c>
      <x:c r="H3835" s="23" t="str">
        <x:v>WEDERSONPLEAL@GMAIL.COM</x:v>
      </x:c>
      <x:c r="I3835" s="22" t="str">
        <x:f>"34999273202"</x:f>
        <x:v>34999273202</x:v>
      </x:c>
      <x:c r="J3835" s="23" t="str">
        <x:v>SPOT</x:v>
      </x:c>
      <x:c r="K3835" s="23" t="str">
        <x:v>favored_only</x:v>
      </x:c>
      <x:c r="L3835" s="24" t="b">
        <x:v>1</x:v>
      </x:c>
      <x:c r="M3835" s="23" t="n">
        <x:v>1</x:v>
      </x:c>
      <x:c r="N3835" s="28" t="n">
        <x:v>46203.921824756944</x:v>
      </x:c>
      <x:c r="O3835" s="28" t="n">
        <x:v>46219.812988715275</x:v>
      </x:c>
      <x:c r="P3835" s="23" t="str">
        <x:v>ARAXÁ</x:v>
      </x:c>
      <x:c r="Q3835" s="30" t="n">
        <x:v>38442</x:v>
      </x:c>
      <x:c r="R3835" s="22" t="str">
        <x:f>"23173294"</x:f>
        <x:v>23173294</x:v>
      </x:c>
      <x:c r="S3835" s="23" t="str">
        <x:v>masculino</x:v>
      </x:c>
      <x:c r="T3835" s="22" t="str">
        <x:f>"RFQ7D37"</x:f>
        <x:v>RFQ7D37</x:v>
      </x:c>
      <x:c r="U3835" s="23" t="str">
        <x:v>NEYLANE RAYLA PEREIRA LEAL</x:v>
      </x:c>
      <x:c r="V3835" s="22" t="str">
        <x:f>"175.013.176-58"</x:f>
        <x:v>175.013.176-58</x:v>
      </x:c>
      <x:c r="W3835" s="22" t="str">
        <x:f>"17501317658"</x:f>
        <x:v>17501317658</x:v>
      </x:c>
      <x:c r="X3835" s="23" t="str">
        <x:v>WEDERSONPLEAL@GMAIL.COM</x:v>
      </x:c>
      <x:c r="Y3835" s="22" t="str">
        <x:f>"34999273202"</x:f>
        <x:v>34999273202</x:v>
      </x:c>
      <x:c r="Z3835" s="30" t="n">
        <x:v>46424</x:v>
      </x:c>
    </x:row>
    <x:row r="3836" ht="18" customHeight="1">
      <x:c r="A3836" s="22" t="str">
        <x:f>"a2ec60e0-95ba-428e-bb40-a154faae527f"</x:f>
        <x:v>a2ec60e0-95ba-428e-bb40-a154faae527f</x:v>
      </x:c>
      <x:c r="B3836" s="23" t="str">
        <x:v>WELBER LIMA RIBEIRO</x:v>
      </x:c>
      <x:c r="C3836" s="23" t="str">
        <x:v>welber lima ribeiro</x:v>
      </x:c>
      <x:c r="D3836" s="22" t="str">
        <x:f>"26.272.965/0001-27"</x:f>
        <x:v>26.272.965/0001-27</x:v>
      </x:c>
      <x:c r="E3836" s="22" t="str">
        <x:f>"26272965000127"</x:f>
        <x:v>26272965000127</x:v>
      </x:c>
      <x:c r="F3836" s="22" t="str">
        <x:f>"711.641.321-99"</x:f>
        <x:v>711.641.321-99</x:v>
      </x:c>
      <x:c r="G3836" s="22" t="str">
        <x:f>"71164132199"</x:f>
        <x:v>71164132199</x:v>
      </x:c>
      <x:c r="H3836" s="23" t="str">
        <x:v>welberlima2020@gmail.com</x:v>
      </x:c>
      <x:c r="I3836" s="22" t="str">
        <x:f>"64992241044"</x:f>
        <x:v>64992241044</x:v>
      </x:c>
      <x:c r="J3836" s="23" t="str">
        <x:v>SPOT</x:v>
      </x:c>
      <x:c r="K3836" s="23" t="str">
        <x:v>favored_only</x:v>
      </x:c>
      <x:c r="L3836" s="24" t="b">
        <x:v>1</x:v>
      </x:c>
      <x:c r="M3836" s="23" t="n">
        <x:v>2</x:v>
      </x:c>
      <x:c r="N3836" s="28" t="n">
        <x:v>46205.60484423611</x:v>
      </x:c>
      <x:c r="O3836" s="28" t="n">
        <x:v>46219.812988715275</x:v>
      </x:c>
      <x:c r="P3836" s="23" t="str">
        <x:v>RIO VERDE</x:v>
      </x:c>
      <x:c r="Q3836" s="30" t="n">
        <x:v>38596</x:v>
      </x:c>
      <x:c r="R3836" s="22" t="str">
        <x:f>"7233548"</x:f>
        <x:v>7233548</x:v>
      </x:c>
      <x:c r="S3836" s="23" t="str">
        <x:v>masculino</x:v>
      </x:c>
      <x:c r="T3836" s="22" t="str">
        <x:f>"TFK2I31"</x:f>
        <x:v>TFK2I31</x:v>
      </x:c>
      <x:c r="U3836" s="23" t="str">
        <x:v>SERGIO DOS SANTOS SAMPAIO</x:v>
      </x:c>
      <x:c r="V3836" s="22" t="str">
        <x:f>"598.303.521-53"</x:f>
        <x:v>598.303.521-53</x:v>
      </x:c>
      <x:c r="W3836" s="22" t="str">
        <x:f>"59830352153"</x:f>
        <x:v>59830352153</x:v>
      </x:c>
      <x:c r="X3836" s="23" t="str">
        <x:v>lanosampaio1213@gmail.com</x:v>
      </x:c>
      <x:c r="Y3836" s="22" t="str">
        <x:f>"6492089394"</x:f>
        <x:v>6492089394</x:v>
      </x:c>
      <x:c r="Z3836" s="30" t="n">
        <x:v>46329</x:v>
      </x:c>
    </x:row>
    <x:row r="3837" ht="18" customHeight="1">
      <x:c r="A3837" s="22" t="str">
        <x:f>"282ff79d-76ee-4b83-b17d-47d8ee0de6c3"</x:f>
        <x:v>282ff79d-76ee-4b83-b17d-47d8ee0de6c3</x:v>
      </x:c>
      <x:c r="B3837" s="23" t="str">
        <x:v>WELBERT ALVES DA SILVA</x:v>
      </x:c>
      <x:c r="C3837" s="23" t="str">
        <x:v>welbert alves da silva</x:v>
      </x:c>
      <x:c r="D3837" s="22" t="str">
        <x:f>"52.074.274/0001-29"</x:f>
        <x:v>52.074.274/0001-29</x:v>
      </x:c>
      <x:c r="E3837" s="22" t="str">
        <x:f>"52074274000129"</x:f>
        <x:v>52074274000129</x:v>
      </x:c>
      <x:c r="F3837" s="22" t="str">
        <x:f>"127.912.607-81"</x:f>
        <x:v>127.912.607-81</x:v>
      </x:c>
      <x:c r="G3837" s="22" t="str">
        <x:f>"12791260781"</x:f>
        <x:v>12791260781</x:v>
      </x:c>
      <x:c r="H3837" s="23" t="str">
        <x:v>welbertalves@yahoo.com</x:v>
      </x:c>
      <x:c r="I3837" s="22" t="str">
        <x:f>"+55 21 99339-2869"</x:f>
        <x:v>+55 21 99339-2869</x:v>
      </x:c>
      <x:c r="J3837" s="23" t="str">
        <x:v>SPOT</x:v>
      </x:c>
      <x:c r="K3837" s="23" t="str">
        <x:v>favored_only</x:v>
      </x:c>
      <x:c r="L3837" s="24" t="b">
        <x:v>1</x:v>
      </x:c>
      <x:c r="M3837" s="23" t="n">
        <x:v>1</x:v>
      </x:c>
      <x:c r="N3837" s="28" t="n">
        <x:v>46203.9219084375</x:v>
      </x:c>
      <x:c r="O3837" s="28" t="n">
        <x:v>46219.812988715275</x:v>
      </x:c>
      <x:c r="P3837" s="23" t="str">
        <x:v>CORDOVIL</x:v>
      </x:c>
      <x:c r="Q3837" s="30" t="n">
        <x:v>35176</x:v>
      </x:c>
      <x:c r="R3837" s="22" t="str">
        <x:f>"274163831 DETRAN RJ"</x:f>
        <x:v>274163831 DETRAN RJ</x:v>
      </x:c>
      <x:c r="S3837" s="23" t="str">
        <x:v>masculino</x:v>
      </x:c>
      <x:c r="T3837" s="22" t="str">
        <x:f>"GTN3B20"</x:f>
        <x:v>GTN3B20</x:v>
      </x:c>
      <x:c r="U3837" s="23" t="str">
        <x:v>WELBERT ALVES DA SILVA</x:v>
      </x:c>
      <x:c r="V3837" s="22" t="str">
        <x:f>"127.912.607-81"</x:f>
        <x:v>127.912.607-81</x:v>
      </x:c>
      <x:c r="W3837" s="22" t="str">
        <x:f>"12791260781"</x:f>
        <x:v>12791260781</x:v>
      </x:c>
      <x:c r="X3837" s="23" t="str">
        <x:v>welbertalves@yahoo.com</x:v>
      </x:c>
      <x:c r="Y3837" s="22" t="str">
        <x:f>"+55 21 99339-2869"</x:f>
        <x:v>+55 21 99339-2869</x:v>
      </x:c>
      <x:c r="Z3837" s="30" t="n">
        <x:v>46399</x:v>
      </x:c>
    </x:row>
    <x:row r="3838" ht="18" customHeight="1">
      <x:c r="A3838" s="22" t="str">
        <x:f>"24d3e1bc-9bc3-4abb-8622-d6b3e3717712"</x:f>
        <x:v>24d3e1bc-9bc3-4abb-8622-d6b3e3717712</x:v>
      </x:c>
      <x:c r="B3838" s="23" t="str">
        <x:v>WELDER RIBEIRO ALVES</x:v>
      </x:c>
      <x:c r="C3838" s="23" t="str">
        <x:v>welder ribeiro alves</x:v>
      </x:c>
      <x:c r="D3838" s="22" t="str">
        <x:f>"55.250.556/0001-28"</x:f>
        <x:v>55.250.556/0001-28</x:v>
      </x:c>
      <x:c r="E3838" s="22" t="str">
        <x:f>"55250556000128"</x:f>
        <x:v>55250556000128</x:v>
      </x:c>
      <x:c r="F3838" s="22" t="str">
        <x:f>"026.651.121-08"</x:f>
        <x:v>026.651.121-08</x:v>
      </x:c>
      <x:c r="G3838" s="22" t="str">
        <x:f>"02665112108"</x:f>
        <x:v>02665112108</x:v>
      </x:c>
      <x:c r="H3838" s="23" t="str">
        <x:v>welderribeiro582@gmail.com</x:v>
      </x:c>
      <x:c r="I3838" s="22" t="str">
        <x:f>"65992738106"</x:f>
        <x:v>65992738106</x:v>
      </x:c>
      <x:c r="J3838" s="23" t="str">
        <x:v>SPOT</x:v>
      </x:c>
      <x:c r="K3838" s="23" t="str">
        <x:v>favored_only</x:v>
      </x:c>
      <x:c r="L3838" s="24" t="b">
        <x:v>1</x:v>
      </x:c>
      <x:c r="M3838" s="23" t="n">
        <x:v>1</x:v>
      </x:c>
      <x:c r="N3838" s="28" t="n">
        <x:v>46203.921840393516</x:v>
      </x:c>
      <x:c r="O3838" s="28" t="n">
        <x:v>46219.812988715275</x:v>
      </x:c>
      <x:c r="P3838" s="23" t="str">
        <x:v>CUIABA</x:v>
      </x:c>
      <x:c r="Q3838" s="30" t="n">
        <x:v>38448</x:v>
      </x:c>
      <x:c r="R3838" s="22" t="str">
        <x:f>"30694418"</x:f>
        <x:v>30694418</x:v>
      </x:c>
      <x:c r="S3838" s="23" t="str">
        <x:v>masculino</x:v>
      </x:c>
      <x:c r="T3838" s="22" t="str">
        <x:f>"RFL4E94"</x:f>
        <x:v>RFL4E94</x:v>
      </x:c>
      <x:c r="U3838" s="23" t="str">
        <x:v>WELDER RIBEIRO ALVES</x:v>
      </x:c>
      <x:c r="V3838" s="22" t="str">
        <x:f>"026.651.121-08"</x:f>
        <x:v>026.651.121-08</x:v>
      </x:c>
      <x:c r="W3838" s="22" t="str">
        <x:f>"02665112108"</x:f>
        <x:v>02665112108</x:v>
      </x:c>
      <x:c r="X3838" s="23" t="str">
        <x:v>welderribeiro582@gmail.com</x:v>
      </x:c>
      <x:c r="Y3838" s="22" t="str">
        <x:f>"65992738106"</x:f>
        <x:v>65992738106</x:v>
      </x:c>
      <x:c r="Z3838" s="30" t="n">
        <x:v>46217</x:v>
      </x:c>
    </x:row>
    <x:row r="3839" ht="18" customHeight="1">
      <x:c r="A3839" s="22" t="str">
        <x:f>"8c5af54d-2fad-45d9-a220-b49619bf62b0"</x:f>
        <x:v>8c5af54d-2fad-45d9-a220-b49619bf62b0</x:v>
      </x:c>
      <x:c r="B3839" s="23" t="str">
        <x:v>WELINGTON JOSE DOS SANTOS</x:v>
      </x:c>
      <x:c r="C3839" s="23" t="str">
        <x:v>welington jose dos santos</x:v>
      </x:c>
      <x:c r="D3839" s="22" t="str">
        <x:f>"43.517.464/0001-82"</x:f>
        <x:v>43.517.464/0001-82</x:v>
      </x:c>
      <x:c r="E3839" s="22" t="str">
        <x:f>"43517464000182"</x:f>
        <x:v>43517464000182</x:v>
      </x:c>
      <x:c r="F3839" s="22" t="str">
        <x:f>"80956394787"</x:f>
        <x:v>80956394787</x:v>
      </x:c>
      <x:c r="G3839" s="22" t="str">
        <x:f>"80956394787"</x:f>
        <x:v>80956394787</x:v>
      </x:c>
      <x:c r="H3839" s="23" t="str">
        <x:v>inforwell@gmail.com</x:v>
      </x:c>
      <x:c r="I3839" s="22" t="str">
        <x:f>"2196494-0295"</x:f>
        <x:v>2196494-0295</x:v>
      </x:c>
      <x:c r="J3839" s="23" t="str">
        <x:v>SPOT</x:v>
      </x:c>
      <x:c r="K3839" s="23" t="str">
        <x:v>favored_only</x:v>
      </x:c>
      <x:c r="L3839" s="24" t="b">
        <x:v>1</x:v>
      </x:c>
      <x:c r="M3839" s="23" t="n">
        <x:v>1</x:v>
      </x:c>
      <x:c r="N3839" s="28" t="n">
        <x:v>46203.92191240741</x:v>
      </x:c>
      <x:c r="O3839" s="28" t="n">
        <x:v>46203.92191240741</x:v>
      </x:c>
      <x:c r="P3839" s="23" t="str"/>
      <x:c r="Q3839" s="30" t="str"/>
      <x:c r="R3839" s="22" t="str"/>
      <x:c r="S3839" s="23" t="str"/>
      <x:c r="T3839" s="22" t="str"/>
      <x:c r="U3839" s="23" t="str">
        <x:v>WELINGTON JOSE DOS SANTOS</x:v>
      </x:c>
      <x:c r="V3839" s="22" t="str">
        <x:f>"80956394787"</x:f>
        <x:v>80956394787</x:v>
      </x:c>
      <x:c r="W3839" s="22" t="str">
        <x:f>"80956394787"</x:f>
        <x:v>80956394787</x:v>
      </x:c>
      <x:c r="X3839" s="23" t="str">
        <x:v>inforwell@gmail.com</x:v>
      </x:c>
      <x:c r="Y3839" s="22" t="str">
        <x:f>"2196494-0295"</x:f>
        <x:v>2196494-0295</x:v>
      </x:c>
      <x:c r="Z3839" s="30" t="str"/>
    </x:row>
    <x:row r="3840" ht="18" customHeight="1">
      <x:c r="A3840" s="22" t="str">
        <x:f>"0afd800d-bc6c-4144-8b91-a80db9be5de9"</x:f>
        <x:v>0afd800d-bc6c-4144-8b91-a80db9be5de9</x:v>
      </x:c>
      <x:c r="B3840" s="23" t="str">
        <x:v>WELISON OLIVEIRA DE SOUSA</x:v>
      </x:c>
      <x:c r="C3840" s="23" t="str">
        <x:v>welison oliveira de sousa</x:v>
      </x:c>
      <x:c r="D3840" s="22" t="str">
        <x:f>"63.734.330/0001-20"</x:f>
        <x:v>63.734.330/0001-20</x:v>
      </x:c>
      <x:c r="E3840" s="22" t="str">
        <x:f>"63734330000120"</x:f>
        <x:v>63734330000120</x:v>
      </x:c>
      <x:c r="F3840" s="22" t="str">
        <x:f>"120.780.406-14"</x:f>
        <x:v>120.780.406-14</x:v>
      </x:c>
      <x:c r="G3840" s="22" t="str">
        <x:f>"12078040614"</x:f>
        <x:v>12078040614</x:v>
      </x:c>
      <x:c r="H3840" s="23" t="str">
        <x:v>Welisonoliveira08@icloud.com</x:v>
      </x:c>
      <x:c r="I3840" s="22" t="str">
        <x:f>"31 993737314"</x:f>
        <x:v>31 993737314</x:v>
      </x:c>
      <x:c r="J3840" s="23" t="str">
        <x:v>SPOT</x:v>
      </x:c>
      <x:c r="K3840" s="23" t="str">
        <x:v>favored_only</x:v>
      </x:c>
      <x:c r="L3840" s="24" t="b">
        <x:v>1</x:v>
      </x:c>
      <x:c r="M3840" s="23" t="n">
        <x:v>1</x:v>
      </x:c>
      <x:c r="N3840" s="28" t="n">
        <x:v>46219.812988715275</x:v>
      </x:c>
      <x:c r="O3840" s="28" t="n">
        <x:v>46219.812988715275</x:v>
      </x:c>
      <x:c r="P3840" s="23" t="str">
        <x:v>VESPASIANO</x:v>
      </x:c>
      <x:c r="Q3840" s="30" t="n">
        <x:v>34919</x:v>
      </x:c>
      <x:c r="R3840" s="22" t="str">
        <x:f>"18431234"</x:f>
        <x:v>18431234</x:v>
      </x:c>
      <x:c r="S3840" s="23" t="str">
        <x:v>masculino</x:v>
      </x:c>
      <x:c r="T3840" s="22" t="str">
        <x:f>"RVJ5J39"</x:f>
        <x:v>RVJ5J39</x:v>
      </x:c>
      <x:c r="U3840" s="23" t="str">
        <x:v>WELISON OLIVEIRA DE SOUSA</x:v>
      </x:c>
      <x:c r="V3840" s="22" t="str">
        <x:f>"120.780.406-14"</x:f>
        <x:v>120.780.406-14</x:v>
      </x:c>
      <x:c r="W3840" s="22" t="str">
        <x:f>"12078040614"</x:f>
        <x:v>12078040614</x:v>
      </x:c>
      <x:c r="X3840" s="23" t="str">
        <x:v>Welisonoliveira08@icloud.com</x:v>
      </x:c>
      <x:c r="Y3840" s="22" t="str">
        <x:f>"31 993737314"</x:f>
        <x:v>31 993737314</x:v>
      </x:c>
      <x:c r="Z3840" s="30" t="n">
        <x:v>46421</x:v>
      </x:c>
    </x:row>
    <x:row r="3841" ht="18" customHeight="1">
      <x:c r="A3841" s="22" t="str">
        <x:f>"036af1cf-5290-4854-bd10-d4f6ee7c259d"</x:f>
        <x:v>036af1cf-5290-4854-bd10-d4f6ee7c259d</x:v>
      </x:c>
      <x:c r="B3841" s="23" t="str">
        <x:v>WELITON CARDOSO DOS SANTOS</x:v>
      </x:c>
      <x:c r="C3841" s="23" t="str">
        <x:v>weliton cardoso dos santos</x:v>
      </x:c>
      <x:c r="D3841" s="22" t="str">
        <x:f>"55.783.923/0001-59"</x:f>
        <x:v>55.783.923/0001-59</x:v>
      </x:c>
      <x:c r="E3841" s="22" t="str">
        <x:f>"55783923000159"</x:f>
        <x:v>55783923000159</x:v>
      </x:c>
      <x:c r="F3841" s="22" t="str">
        <x:f>"001.494.962-81"</x:f>
        <x:v>001.494.962-81</x:v>
      </x:c>
      <x:c r="G3841" s="22" t="str">
        <x:f>"00149496281"</x:f>
        <x:v>00149496281</x:v>
      </x:c>
      <x:c r="H3841" s="23" t="str">
        <x:v>Welitontrabalho2018@gmail.com</x:v>
      </x:c>
      <x:c r="I3841" s="22" t="str">
        <x:f>"65999070791"</x:f>
        <x:v>65999070791</x:v>
      </x:c>
      <x:c r="J3841" s="23" t="str">
        <x:v>SPOT</x:v>
      </x:c>
      <x:c r="K3841" s="23" t="str">
        <x:v>favored_only</x:v>
      </x:c>
      <x:c r="L3841" s="24" t="b">
        <x:v>1</x:v>
      </x:c>
      <x:c r="M3841" s="23" t="n">
        <x:v>1</x:v>
      </x:c>
      <x:c r="N3841" s="28" t="n">
        <x:v>46205.60649873842</x:v>
      </x:c>
      <x:c r="O3841" s="28" t="n">
        <x:v>46219.812988715275</x:v>
      </x:c>
      <x:c r="P3841" s="23" t="str">
        <x:v>CÁCERES</x:v>
      </x:c>
      <x:c r="Q3841" s="30" t="n">
        <x:v>33111</x:v>
      </x:c>
      <x:c r="R3841" s="22" t="str">
        <x:f>"20365000001"</x:f>
        <x:v>20365000001</x:v>
      </x:c>
      <x:c r="S3841" s="23" t="str">
        <x:v>masculino</x:v>
      </x:c>
      <x:c r="T3841" s="22" t="str">
        <x:f>"OBE6H67"</x:f>
        <x:v>OBE6H67</x:v>
      </x:c>
      <x:c r="U3841" s="23" t="str">
        <x:v>CAIQUE HENRIQUE DA CRUZ</x:v>
      </x:c>
      <x:c r="V3841" s="22" t="str">
        <x:f>"058.062.901-58"</x:f>
        <x:v>058.062.901-58</x:v>
      </x:c>
      <x:c r="W3841" s="22" t="str">
        <x:f>"05806290158"</x:f>
        <x:v>05806290158</x:v>
      </x:c>
      <x:c r="X3841" s="23" t="str">
        <x:v>caiquehenrique112@gmail.com</x:v>
      </x:c>
      <x:c r="Y3841" s="22" t="str">
        <x:f>"65981695365"</x:f>
        <x:v>65981695365</x:v>
      </x:c>
      <x:c r="Z3841" s="30" t="n">
        <x:v>46361</x:v>
      </x:c>
    </x:row>
    <x:row r="3842" ht="18" customHeight="1">
      <x:c r="A3842" s="22" t="str">
        <x:f>"8ded8bb6-1057-4bda-abdc-e61d6e604b5b"</x:f>
        <x:v>8ded8bb6-1057-4bda-abdc-e61d6e604b5b</x:v>
      </x:c>
      <x:c r="B3842" s="23" t="str">
        <x:v>WELITON CARDOSO DOS SANTOS</x:v>
      </x:c>
      <x:c r="C3842" s="23" t="str">
        <x:v>weliton cardoso dos santos</x:v>
      </x:c>
      <x:c r="D3842" s="22" t="str">
        <x:f>"65.229.284/0001-38"</x:f>
        <x:v>65.229.284/0001-38</x:v>
      </x:c>
      <x:c r="E3842" s="22" t="str">
        <x:f>"65229284000138"</x:f>
        <x:v>65229284000138</x:v>
      </x:c>
      <x:c r="F3842" s="22" t="str">
        <x:f>"001.494.962-81"</x:f>
        <x:v>001.494.962-81</x:v>
      </x:c>
      <x:c r="G3842" s="22" t="str">
        <x:f>"00149496281"</x:f>
        <x:v>00149496281</x:v>
      </x:c>
      <x:c r="H3842" s="23" t="str">
        <x:v>welitontrabalho2018@gmail.com</x:v>
      </x:c>
      <x:c r="I3842" s="22" t="str">
        <x:f>"65999070791"</x:f>
        <x:v>65999070791</x:v>
      </x:c>
      <x:c r="J3842" s="23" t="str">
        <x:v>SPOT</x:v>
      </x:c>
      <x:c r="K3842" s="23" t="str">
        <x:v>favored_only</x:v>
      </x:c>
      <x:c r="L3842" s="24" t="b">
        <x:v>1</x:v>
      </x:c>
      <x:c r="M3842" s="23" t="n">
        <x:v>1</x:v>
      </x:c>
      <x:c r="N3842" s="28" t="n">
        <x:v>46219.812988715275</x:v>
      </x:c>
      <x:c r="O3842" s="28" t="n">
        <x:v>46219.812988715275</x:v>
      </x:c>
      <x:c r="P3842" s="23" t="str">
        <x:v>CÁCERES</x:v>
      </x:c>
      <x:c r="Q3842" s="30" t="n">
        <x:v>33111</x:v>
      </x:c>
      <x:c r="R3842" s="22" t="str">
        <x:f>"20365000001"</x:f>
        <x:v>20365000001</x:v>
      </x:c>
      <x:c r="S3842" s="23" t="str">
        <x:v>masculino</x:v>
      </x:c>
      <x:c r="T3842" s="22" t="str">
        <x:f>"NPL2I66"</x:f>
        <x:v>NPL2I66</x:v>
      </x:c>
      <x:c r="U3842" s="23" t="str">
        <x:v>WELITON CARDOSO DOS SANTOS</x:v>
      </x:c>
      <x:c r="V3842" s="22" t="str">
        <x:f>"001.494.962-81"</x:f>
        <x:v>001.494.962-81</x:v>
      </x:c>
      <x:c r="W3842" s="22" t="str">
        <x:f>"00149496281"</x:f>
        <x:v>00149496281</x:v>
      </x:c>
      <x:c r="X3842" s="23" t="str">
        <x:v>welitontrabalho2018@gmail.com</x:v>
      </x:c>
      <x:c r="Y3842" s="22" t="str">
        <x:f>"65999070791"</x:f>
        <x:v>65999070791</x:v>
      </x:c>
      <x:c r="Z3842" s="30" t="n">
        <x:v>46439</x:v>
      </x:c>
    </x:row>
    <x:row r="3843" ht="18" customHeight="1">
      <x:c r="A3843" s="22" t="str">
        <x:f>"99418dbd-aafa-4d7c-8457-5fde4971498f"</x:f>
        <x:v>99418dbd-aafa-4d7c-8457-5fde4971498f</x:v>
      </x:c>
      <x:c r="B3843" s="23" t="str">
        <x:v>WELLINGTON AGUIAR VILELA</x:v>
      </x:c>
      <x:c r="C3843" s="23" t="str">
        <x:v>wellington aguiar vilela</x:v>
      </x:c>
      <x:c r="D3843" s="22" t="str">
        <x:f>"41.425.468/0001-05"</x:f>
        <x:v>41.425.468/0001-05</x:v>
      </x:c>
      <x:c r="E3843" s="22" t="str">
        <x:f>"41425468000105"</x:f>
        <x:v>41425468000105</x:v>
      </x:c>
      <x:c r="F3843" s="22" t="str">
        <x:f>"496.936.908-93"</x:f>
        <x:v>496.936.908-93</x:v>
      </x:c>
      <x:c r="G3843" s="22" t="str">
        <x:f>"49693690893"</x:f>
        <x:v>49693690893</x:v>
      </x:c>
      <x:c r="H3843" s="23" t="str">
        <x:v>aguiarwellington076@gmail.com</x:v>
      </x:c>
      <x:c r="I3843" s="22" t="str">
        <x:f>"14996419159"</x:f>
        <x:v>14996419159</x:v>
      </x:c>
      <x:c r="J3843" s="23" t="str">
        <x:v>RENTAL</x:v>
      </x:c>
      <x:c r="K3843" s="23" t="str">
        <x:v>rental_company</x:v>
      </x:c>
      <x:c r="L3843" s="24" t="b">
        <x:v>1</x:v>
      </x:c>
      <x:c r="M3843" s="23" t="n">
        <x:v>1</x:v>
      </x:c>
      <x:c r="N3843" s="28" t="n">
        <x:v>46203.921852962965</x:v>
      </x:c>
      <x:c r="O3843" s="28" t="n">
        <x:v>46219.812988715275</x:v>
      </x:c>
      <x:c r="P3843" s="23" t="str">
        <x:v>BAURU</x:v>
      </x:c>
      <x:c r="Q3843" s="30" t="n">
        <x:v>36805</x:v>
      </x:c>
      <x:c r="R3843" s="22" t="str">
        <x:f>"53329093"</x:f>
        <x:v>53329093</x:v>
      </x:c>
      <x:c r="S3843" s="23" t="str">
        <x:v>masculino</x:v>
      </x:c>
      <x:c r="T3843" s="22" t="str"/>
      <x:c r="U3843" s="23" t="str">
        <x:v>WELLINGTON AGUIAR VILELA</x:v>
      </x:c>
      <x:c r="V3843" s="22" t="str">
        <x:f>"496.936.908-93"</x:f>
        <x:v>496.936.908-93</x:v>
      </x:c>
      <x:c r="W3843" s="22" t="str">
        <x:f>"49693690893"</x:f>
        <x:v>49693690893</x:v>
      </x:c>
      <x:c r="X3843" s="23" t="str">
        <x:v>aguiarwellington076@gmail.com</x:v>
      </x:c>
      <x:c r="Y3843" s="22" t="str">
        <x:f>"14996419159"</x:f>
        <x:v>14996419159</x:v>
      </x:c>
      <x:c r="Z3843" s="30" t="n">
        <x:v>46249</x:v>
      </x:c>
    </x:row>
    <x:row r="3844" ht="18" customHeight="1">
      <x:c r="A3844" s="22" t="str">
        <x:f>"bdedd88a-b135-4992-b9a1-0777baf7d877"</x:f>
        <x:v>bdedd88a-b135-4992-b9a1-0777baf7d877</x:v>
      </x:c>
      <x:c r="B3844" s="23" t="str">
        <x:v>WELLINGTON ALVES DO ROSARIO</x:v>
      </x:c>
      <x:c r="C3844" s="23" t="str">
        <x:v>wellington alves do rosario</x:v>
      </x:c>
      <x:c r="D3844" s="22" t="str">
        <x:f>"58.049.315/0001-03"</x:f>
        <x:v>58.049.315/0001-03</x:v>
      </x:c>
      <x:c r="E3844" s="22" t="str">
        <x:f>"58049315000103"</x:f>
        <x:v>58049315000103</x:v>
      </x:c>
      <x:c r="F3844" s="22" t="str">
        <x:f>"973.307.521-34"</x:f>
        <x:v>973.307.521-34</x:v>
      </x:c>
      <x:c r="G3844" s="22" t="str">
        <x:f>"97330752134"</x:f>
        <x:v>97330752134</x:v>
      </x:c>
      <x:c r="H3844" s="23" t="str">
        <x:v>warchapadao@gmail.com</x:v>
      </x:c>
      <x:c r="I3844" s="22" t="str">
        <x:f>"17997540902"</x:f>
        <x:v>17997540902</x:v>
      </x:c>
      <x:c r="J3844" s="23" t="str">
        <x:v>SPOT</x:v>
      </x:c>
      <x:c r="K3844" s="23" t="str">
        <x:v>favored_only</x:v>
      </x:c>
      <x:c r="L3844" s="24" t="b">
        <x:v>1</x:v>
      </x:c>
      <x:c r="M3844" s="23" t="n">
        <x:v>2</x:v>
      </x:c>
      <x:c r="N3844" s="28" t="n">
        <x:v>46205.6064046875</x:v>
      </x:c>
      <x:c r="O3844" s="28" t="n">
        <x:v>46219.812988715275</x:v>
      </x:c>
      <x:c r="P3844" s="23" t="str">
        <x:v>CHAPADÃO DO SUL</x:v>
      </x:c>
      <x:c r="Q3844" s="30" t="n">
        <x:v>30260</x:v>
      </x:c>
      <x:c r="R3844" s="22" t="str">
        <x:f>"1083585"</x:f>
        <x:v>1083585</x:v>
      </x:c>
      <x:c r="S3844" s="23" t="str">
        <x:v>masculino</x:v>
      </x:c>
      <x:c r="T3844" s="22" t="str">
        <x:f>"EPX3H14"</x:f>
        <x:v>EPX3H14</x:v>
      </x:c>
      <x:c r="U3844" s="23" t="str">
        <x:v>BEATRIZ ALINE BALERO DA SILVA</x:v>
      </x:c>
      <x:c r="V3844" s="22" t="str">
        <x:f>"431.195.398-48"</x:f>
        <x:v>431.195.398-48</x:v>
      </x:c>
      <x:c r="W3844" s="22" t="str">
        <x:f>"43119539848"</x:f>
        <x:v>43119539848</x:v>
      </x:c>
      <x:c r="X3844" s="23" t="str">
        <x:v>beatrizbalerosilva@gmail.com</x:v>
      </x:c>
      <x:c r="Y3844" s="22" t="str">
        <x:f>"67 9959-3287"</x:f>
        <x:v>67 9959-3287</x:v>
      </x:c>
      <x:c r="Z3844" s="30" t="n">
        <x:v>46434</x:v>
      </x:c>
    </x:row>
    <x:row r="3845" ht="18" customHeight="1">
      <x:c r="A3845" s="22" t="str">
        <x:f>"d994e0c9-2bf3-48ae-85a9-87051bd075e2"</x:f>
        <x:v>d994e0c9-2bf3-48ae-85a9-87051bd075e2</x:v>
      </x:c>
      <x:c r="B3845" s="23" t="str">
        <x:v>WELLINGTON ALVES LIBRALAO</x:v>
      </x:c>
      <x:c r="C3845" s="23" t="str">
        <x:v>wellington alves libralao</x:v>
      </x:c>
      <x:c r="D3845" s="22" t="str">
        <x:f>"57.446.514/0001-92"</x:f>
        <x:v>57.446.514/0001-92</x:v>
      </x:c>
      <x:c r="E3845" s="22" t="str">
        <x:f>"57446514000192"</x:f>
        <x:v>57446514000192</x:v>
      </x:c>
      <x:c r="F3845" s="22" t="str">
        <x:f>"001.473.981-00"</x:f>
        <x:v>001.473.981-00</x:v>
      </x:c>
      <x:c r="G3845" s="22" t="str">
        <x:f>"00147398100"</x:f>
        <x:v>00147398100</x:v>
      </x:c>
      <x:c r="H3845" s="23" t="str">
        <x:v>wellango@hotmail.com</x:v>
      </x:c>
      <x:c r="I3845" s="22" t="str">
        <x:f>"6599634846"</x:f>
        <x:v>6599634846</x:v>
      </x:c>
      <x:c r="J3845" s="23" t="str">
        <x:v>SPOT</x:v>
      </x:c>
      <x:c r="K3845" s="23" t="str">
        <x:v>favored_only</x:v>
      </x:c>
      <x:c r="L3845" s="24" t="b">
        <x:v>1</x:v>
      </x:c>
      <x:c r="M3845" s="23" t="n">
        <x:v>1</x:v>
      </x:c>
      <x:c r="N3845" s="28" t="n">
        <x:v>46205.60299</x:v>
      </x:c>
      <x:c r="O3845" s="28" t="n">
        <x:v>46219.812988715275</x:v>
      </x:c>
      <x:c r="P3845" s="23" t="str">
        <x:v>ARAPUTANGA</x:v>
      </x:c>
      <x:c r="Q3845" s="30" t="n">
        <x:v>30477</x:v>
      </x:c>
      <x:c r="R3845" s="22" t="str">
        <x:f>"14929880"</x:f>
        <x:v>14929880</x:v>
      </x:c>
      <x:c r="S3845" s="23" t="str">
        <x:v>masculino</x:v>
      </x:c>
      <x:c r="T3845" s="22" t="str">
        <x:f>"OBI0E04"</x:f>
        <x:v>OBI0E04</x:v>
      </x:c>
      <x:c r="U3845" s="23" t="str">
        <x:v>ADRIANO ALVES DE OLIVEIRA</x:v>
      </x:c>
      <x:c r="V3845" s="22" t="str">
        <x:f>"044.211.421-40"</x:f>
        <x:v>044.211.421-40</x:v>
      </x:c>
      <x:c r="W3845" s="22" t="str">
        <x:f>"04421142140"</x:f>
        <x:v>04421142140</x:v>
      </x:c>
      <x:c r="X3845" s="23" t="str">
        <x:v>ADRIANINHO_ARAP@HOTMAIL.COM</x:v>
      </x:c>
      <x:c r="Y3845" s="22" t="str">
        <x:f>"6599634846"</x:f>
        <x:v>6599634846</x:v>
      </x:c>
      <x:c r="Z3845" s="30" t="n">
        <x:v>46532</x:v>
      </x:c>
    </x:row>
    <x:row r="3846" ht="18" customHeight="1">
      <x:c r="A3846" s="22" t="str">
        <x:f>"f87eb8a5-a862-4742-ac58-7c23c6c74b76"</x:f>
        <x:v>f87eb8a5-a862-4742-ac58-7c23c6c74b76</x:v>
      </x:c>
      <x:c r="B3846" s="23" t="str">
        <x:v>WELLINGTON BRAGA DA SILVA</x:v>
      </x:c>
      <x:c r="C3846" s="23" t="str">
        <x:v>wellington braga da silva</x:v>
      </x:c>
      <x:c r="D3846" s="22" t="str">
        <x:f>"60.724.518/0001-08"</x:f>
        <x:v>60.724.518/0001-08</x:v>
      </x:c>
      <x:c r="E3846" s="22" t="str">
        <x:f>"60724518000108"</x:f>
        <x:v>60724518000108</x:v>
      </x:c>
      <x:c r="F3846" s="22" t="str">
        <x:f>"135.793.107-71"</x:f>
        <x:v>135.793.107-71</x:v>
      </x:c>
      <x:c r="G3846" s="22" t="str">
        <x:f>"13579310771"</x:f>
        <x:v>13579310771</x:v>
      </x:c>
      <x:c r="H3846" s="23" t="str">
        <x:v>Wellingtonbragadasilva65@gmail.com</x:v>
      </x:c>
      <x:c r="I3846" s="22" t="str">
        <x:f>"21971938558"</x:f>
        <x:v>21971938558</x:v>
      </x:c>
      <x:c r="J3846" s="23" t="str">
        <x:v>RENTAL</x:v>
      </x:c>
      <x:c r="K3846" s="23" t="str">
        <x:v>rental_company</x:v>
      </x:c>
      <x:c r="L3846" s="24" t="b">
        <x:v>1</x:v>
      </x:c>
      <x:c r="M3846" s="23" t="n">
        <x:v>1</x:v>
      </x:c>
      <x:c r="N3846" s="28" t="n">
        <x:v>46219.812988715275</x:v>
      </x:c>
      <x:c r="O3846" s="28" t="n">
        <x:v>46219.812988715275</x:v>
      </x:c>
      <x:c r="P3846" s="23" t="str">
        <x:v>QUEIMADOS</x:v>
      </x:c>
      <x:c r="Q3846" s="30" t="n">
        <x:v>33735</x:v>
      </x:c>
      <x:c r="R3846" s="22" t="str">
        <x:f>"221267610"</x:f>
        <x:v>221267610</x:v>
      </x:c>
      <x:c r="S3846" s="23" t="str">
        <x:v>masculino</x:v>
      </x:c>
      <x:c r="T3846" s="22" t="str"/>
      <x:c r="U3846" s="23" t="str">
        <x:v>WELLINGTON BRAGA DA SILVA</x:v>
      </x:c>
      <x:c r="V3846" s="22" t="str">
        <x:f>"135.793.107-71"</x:f>
        <x:v>135.793.107-71</x:v>
      </x:c>
      <x:c r="W3846" s="22" t="str">
        <x:f>"13579310771"</x:f>
        <x:v>13579310771</x:v>
      </x:c>
      <x:c r="X3846" s="23" t="str">
        <x:v>Wellingtonbragadasilva65@gmail.com</x:v>
      </x:c>
      <x:c r="Y3846" s="22" t="str">
        <x:f>"21971938558"</x:f>
        <x:v>21971938558</x:v>
      </x:c>
      <x:c r="Z3846" s="30" t="n">
        <x:v>46541</x:v>
      </x:c>
    </x:row>
    <x:row r="3847" ht="18" customHeight="1">
      <x:c r="A3847" s="22" t="str">
        <x:f>"8dc6855d-b5f8-4e25-ae5b-a35afba7778d"</x:f>
        <x:v>8dc6855d-b5f8-4e25-ae5b-a35afba7778d</x:v>
      </x:c>
      <x:c r="B3847" s="23" t="str">
        <x:v>WELLINGTON CONCEICAO DA SILVA</x:v>
      </x:c>
      <x:c r="C3847" s="23" t="str">
        <x:v>wellington conceicao da silva</x:v>
      </x:c>
      <x:c r="D3847" s="22" t="str">
        <x:f>"37.823.997/0001-90"</x:f>
        <x:v>37.823.997/0001-90</x:v>
      </x:c>
      <x:c r="E3847" s="22" t="str">
        <x:f>"37823997000190"</x:f>
        <x:v>37823997000190</x:v>
      </x:c>
      <x:c r="F3847" s="22" t="str">
        <x:f>"069.490.953-09"</x:f>
        <x:v>069.490.953-09</x:v>
      </x:c>
      <x:c r="G3847" s="22" t="str">
        <x:f>"06949095309"</x:f>
        <x:v>06949095309</x:v>
      </x:c>
      <x:c r="H3847" s="23" t="str">
        <x:v>wellingtonximenes75@gmail.com</x:v>
      </x:c>
      <x:c r="I3847" s="22" t="str">
        <x:f>"67998285118"</x:f>
        <x:v>67998285118</x:v>
      </x:c>
      <x:c r="J3847" s="23" t="str">
        <x:v>SPOT</x:v>
      </x:c>
      <x:c r="K3847" s="23" t="str">
        <x:v>favored_only</x:v>
      </x:c>
      <x:c r="L3847" s="24" t="b">
        <x:v>1</x:v>
      </x:c>
      <x:c r="M3847" s="23" t="n">
        <x:v>1</x:v>
      </x:c>
      <x:c r="N3847" s="28" t="n">
        <x:v>46205.60643454861</x:v>
      </x:c>
      <x:c r="O3847" s="28" t="n">
        <x:v>46219.812988715275</x:v>
      </x:c>
      <x:c r="P3847" s="23" t="str">
        <x:v>CHAPADÃO DO SUL</x:v>
      </x:c>
      <x:c r="Q3847" s="30" t="n">
        <x:v>35265</x:v>
      </x:c>
      <x:c r="R3847" s="22" t="str">
        <x:f>"2291710"</x:f>
        <x:v>2291710</x:v>
      </x:c>
      <x:c r="S3847" s="23" t="str">
        <x:v>masculino</x:v>
      </x:c>
      <x:c r="T3847" s="22" t="str">
        <x:f>"ONO3D96"</x:f>
        <x:v>ONO3D96</x:v>
      </x:c>
      <x:c r="U3847" s="23" t="str">
        <x:v>DANILLO BACIEL ALMEIDA</x:v>
      </x:c>
      <x:c r="V3847" s="22" t="str">
        <x:f>"038.768.901-01"</x:f>
        <x:v>038.768.901-01</x:v>
      </x:c>
      <x:c r="W3847" s="22" t="str">
        <x:f>"03876890101"</x:f>
        <x:v>03876890101</x:v>
      </x:c>
      <x:c r="X3847" s="23" t="str">
        <x:v>rtp.cargas@gmail.com</x:v>
      </x:c>
      <x:c r="Y3847" s="22" t="str">
        <x:f>"62991277279"</x:f>
        <x:v>62991277279</x:v>
      </x:c>
      <x:c r="Z3847" s="30" t="n">
        <x:v>46359</x:v>
      </x:c>
    </x:row>
    <x:row r="3848" ht="18" customHeight="1">
      <x:c r="A3848" s="22" t="str">
        <x:f>"e7cd2921-afa7-4782-9054-f7f6e4e34355"</x:f>
        <x:v>e7cd2921-afa7-4782-9054-f7f6e4e34355</x:v>
      </x:c>
      <x:c r="B3848" s="23" t="str">
        <x:v>WELLINGTON COSTA RIBEIRO</x:v>
      </x:c>
      <x:c r="C3848" s="23" t="str">
        <x:v>wellington costa ribeiro</x:v>
      </x:c>
      <x:c r="D3848" s="22" t="str">
        <x:f>"47.008.307/0001-00"</x:f>
        <x:v>47.008.307/0001-00</x:v>
      </x:c>
      <x:c r="E3848" s="22" t="str">
        <x:f>"47008307000100"</x:f>
        <x:v>47008307000100</x:v>
      </x:c>
      <x:c r="F3848" s="22" t="str">
        <x:f>"041.287.426-19"</x:f>
        <x:v>041.287.426-19</x:v>
      </x:c>
      <x:c r="G3848" s="22" t="str">
        <x:f>"04128742619"</x:f>
        <x:v>04128742619</x:v>
      </x:c>
      <x:c r="H3848" s="23" t="str">
        <x:v>lemao.lanches@hotmail.com</x:v>
      </x:c>
      <x:c r="I3848" s="22" t="str">
        <x:f>"31 8891-3183"</x:f>
        <x:v>31 8891-3183</x:v>
      </x:c>
      <x:c r="J3848" s="23" t="str">
        <x:v>SPOT</x:v>
      </x:c>
      <x:c r="K3848" s="23" t="str">
        <x:v>favored_only</x:v>
      </x:c>
      <x:c r="L3848" s="24" t="b">
        <x:v>1</x:v>
      </x:c>
      <x:c r="M3848" s="23" t="n">
        <x:v>1</x:v>
      </x:c>
      <x:c r="N3848" s="28" t="n">
        <x:v>46205.60728375</x:v>
      </x:c>
      <x:c r="O3848" s="28" t="n">
        <x:v>46219.812988715275</x:v>
      </x:c>
      <x:c r="P3848" s="23" t="str">
        <x:v>IPATINGA</x:v>
      </x:c>
      <x:c r="Q3848" s="30" t="n">
        <x:v>29649</x:v>
      </x:c>
      <x:c r="R3848" s="22" t="str">
        <x:f>"MG12362188"</x:f>
        <x:v>MG12362188</x:v>
      </x:c>
      <x:c r="S3848" s="23" t="str">
        <x:v>masculino</x:v>
      </x:c>
      <x:c r="T3848" s="22" t="str">
        <x:f>"GHB9C15"</x:f>
        <x:v>GHB9C15</x:v>
      </x:c>
      <x:c r="U3848" s="23" t="str">
        <x:v>MAURICIO RODRIGUES DOS SANTOS JUNIOR</x:v>
      </x:c>
      <x:c r="V3848" s="22" t="str">
        <x:f>"098.920.416-23"</x:f>
        <x:v>098.920.416-23</x:v>
      </x:c>
      <x:c r="W3848" s="22" t="str">
        <x:f>"09892041623"</x:f>
        <x:v>09892041623</x:v>
      </x:c>
      <x:c r="X3848" s="23" t="str">
        <x:v>mauricio.junior.alctransportes@gmail.com</x:v>
      </x:c>
      <x:c r="Y3848" s="22" t="str">
        <x:f>"31 988214929"</x:f>
        <x:v>31 988214929</x:v>
      </x:c>
      <x:c r="Z3848" s="30" t="n">
        <x:v>46166</x:v>
      </x:c>
    </x:row>
    <x:row r="3849" ht="18" customHeight="1">
      <x:c r="A3849" s="22" t="str">
        <x:f>"d7566d70-6eae-494e-9023-52912cc1df6e"</x:f>
        <x:v>d7566d70-6eae-494e-9023-52912cc1df6e</x:v>
      </x:c>
      <x:c r="B3849" s="23" t="str">
        <x:v>WELLINGTON CRISTIAN LOPES</x:v>
      </x:c>
      <x:c r="C3849" s="23" t="str">
        <x:v>wellington cristian lopes</x:v>
      </x:c>
      <x:c r="D3849" s="22" t="str">
        <x:f>"66.391.531/0001-60"</x:f>
        <x:v>66.391.531/0001-60</x:v>
      </x:c>
      <x:c r="E3849" s="22" t="str">
        <x:f>"66391531000160"</x:f>
        <x:v>66391531000160</x:v>
      </x:c>
      <x:c r="F3849" s="22" t="str">
        <x:f>"503.480.118-30"</x:f>
        <x:v>503.480.118-30</x:v>
      </x:c>
      <x:c r="G3849" s="22" t="str">
        <x:f>"50348011830"</x:f>
        <x:v>50348011830</x:v>
      </x:c>
      <x:c r="H3849" s="23" t="str">
        <x:v>cristianwellington436@gmail.com</x:v>
      </x:c>
      <x:c r="I3849" s="22" t="str">
        <x:f>"17 98119‑5257"</x:f>
        <x:v>17 98119‑5257</x:v>
      </x:c>
      <x:c r="J3849" s="23" t="str">
        <x:v>RENTAL</x:v>
      </x:c>
      <x:c r="K3849" s="23" t="str">
        <x:v>rental_company</x:v>
      </x:c>
      <x:c r="L3849" s="24" t="b">
        <x:v>1</x:v>
      </x:c>
      <x:c r="M3849" s="23" t="n">
        <x:v>1</x:v>
      </x:c>
      <x:c r="N3849" s="28" t="n">
        <x:v>46219.812988715275</x:v>
      </x:c>
      <x:c r="O3849" s="28" t="n">
        <x:v>46219.812988715275</x:v>
      </x:c>
      <x:c r="P3849" s="23" t="str">
        <x:v>BARRETOS</x:v>
      </x:c>
      <x:c r="Q3849" s="30" t="n">
        <x:v>37059</x:v>
      </x:c>
      <x:c r="R3849" s="22" t="str">
        <x:f>"570489908"</x:f>
        <x:v>570489908</x:v>
      </x:c>
      <x:c r="S3849" s="23" t="str">
        <x:v>masculino</x:v>
      </x:c>
      <x:c r="T3849" s="22" t="str"/>
      <x:c r="U3849" s="23" t="str">
        <x:v>WELLINGTON CRISTIAN LOPES</x:v>
      </x:c>
      <x:c r="V3849" s="22" t="str">
        <x:f>"503.480.118-30"</x:f>
        <x:v>503.480.118-30</x:v>
      </x:c>
      <x:c r="W3849" s="22" t="str">
        <x:f>"50348011830"</x:f>
        <x:v>50348011830</x:v>
      </x:c>
      <x:c r="X3849" s="23" t="str">
        <x:v>cristianwellington436@gmail.com</x:v>
      </x:c>
      <x:c r="Y3849" s="22" t="str">
        <x:f>"17 98119‑5257"</x:f>
        <x:v>17 98119‑5257</x:v>
      </x:c>
      <x:c r="Z3849" s="30" t="n">
        <x:v>46500</x:v>
      </x:c>
    </x:row>
    <x:row r="3850" ht="18" customHeight="1">
      <x:c r="A3850" s="22" t="str">
        <x:f>"57c79182-5192-40a4-ad15-3a2d3a090695"</x:f>
        <x:v>57c79182-5192-40a4-ad15-3a2d3a090695</x:v>
      </x:c>
      <x:c r="B3850" s="23" t="str">
        <x:v>WELLINGTON DA SILVA COSTA</x:v>
      </x:c>
      <x:c r="C3850" s="23" t="str">
        <x:v>wellington da silva costa</x:v>
      </x:c>
      <x:c r="D3850" s="22" t="str">
        <x:f>"64.966.315/0001-70"</x:f>
        <x:v>64.966.315/0001-70</x:v>
      </x:c>
      <x:c r="E3850" s="22" t="str">
        <x:f>"64966315000170"</x:f>
        <x:v>64966315000170</x:v>
      </x:c>
      <x:c r="F3850" s="22" t="str">
        <x:f>"139.678.237-09"</x:f>
        <x:v>139.678.237-09</x:v>
      </x:c>
      <x:c r="G3850" s="22" t="str">
        <x:f>"13967823709"</x:f>
        <x:v>13967823709</x:v>
      </x:c>
      <x:c r="H3850" s="23" t="str">
        <x:v>wellingtoncostasilva21@gmail.com</x:v>
      </x:c>
      <x:c r="I3850" s="22" t="str">
        <x:f>"21 96011-8031"</x:f>
        <x:v>21 96011-8031</x:v>
      </x:c>
      <x:c r="J3850" s="23" t="str">
        <x:v>SPOT</x:v>
      </x:c>
      <x:c r="K3850" s="23" t="str">
        <x:v>favored_only</x:v>
      </x:c>
      <x:c r="L3850" s="24" t="b">
        <x:v>1</x:v>
      </x:c>
      <x:c r="M3850" s="23" t="n">
        <x:v>1</x:v>
      </x:c>
      <x:c r="N3850" s="28" t="n">
        <x:v>46219.812988715275</x:v>
      </x:c>
      <x:c r="O3850" s="28" t="n">
        <x:v>46219.812988715275</x:v>
      </x:c>
      <x:c r="P3850" s="23" t="str">
        <x:v>QUEIMADOS</x:v>
      </x:c>
      <x:c r="Q3850" s="30" t="n">
        <x:v>35166</x:v>
      </x:c>
      <x:c r="R3850" s="22" t="str">
        <x:f>"256973595"</x:f>
        <x:v>256973595</x:v>
      </x:c>
      <x:c r="S3850" s="23" t="str">
        <x:v>masculino</x:v>
      </x:c>
      <x:c r="T3850" s="22" t="str">
        <x:f>"LVA7A71"</x:f>
        <x:v>LVA7A71</x:v>
      </x:c>
      <x:c r="U3850" s="23" t="str">
        <x:v>KELLY CRISTINA DE FIGUEIREDO PAULO SANTORO</x:v>
      </x:c>
      <x:c r="V3850" s="22" t="str">
        <x:f>"097.843.837-05"</x:f>
        <x:v>097.843.837-05</x:v>
      </x:c>
      <x:c r="W3850" s="22" t="str">
        <x:f>"09784383705"</x:f>
        <x:v>09784383705</x:v>
      </x:c>
      <x:c r="X3850" s="23" t="str">
        <x:v>wellingtoncostasilva21@gmail.com</x:v>
      </x:c>
      <x:c r="Y3850" s="22" t="str">
        <x:f>"21 96011-8031"</x:f>
        <x:v>21 96011-8031</x:v>
      </x:c>
      <x:c r="Z3850" s="30" t="n">
        <x:v>46476</x:v>
      </x:c>
    </x:row>
    <x:row r="3851" ht="18" customHeight="1">
      <x:c r="A3851" s="22" t="str">
        <x:f>"48c8aceb-b11c-4a01-a1e5-930496a145e2"</x:f>
        <x:v>48c8aceb-b11c-4a01-a1e5-930496a145e2</x:v>
      </x:c>
      <x:c r="B3851" s="23" t="str">
        <x:v>WELLINGTON DE ARAUJO PIMENTA</x:v>
      </x:c>
      <x:c r="C3851" s="23" t="str">
        <x:v>wellington de araujo pimenta</x:v>
      </x:c>
      <x:c r="D3851" s="22" t="str">
        <x:f>"61.520.745/0001-76"</x:f>
        <x:v>61.520.745/0001-76</x:v>
      </x:c>
      <x:c r="E3851" s="22" t="str">
        <x:f>"61520745000176"</x:f>
        <x:v>61520745000176</x:v>
      </x:c>
      <x:c r="F3851" s="22" t="str">
        <x:f>"475.020.518-48"</x:f>
        <x:v>475.020.518-48</x:v>
      </x:c>
      <x:c r="G3851" s="22" t="str">
        <x:f>"47502051848"</x:f>
        <x:v>47502051848</x:v>
      </x:c>
      <x:c r="H3851" s="23" t="str">
        <x:v>wellingtonsrv_araujo@hotmail.com</x:v>
      </x:c>
      <x:c r="I3851" s="22" t="str">
        <x:f>"16 981323431"</x:f>
        <x:v>16 981323431</x:v>
      </x:c>
      <x:c r="J3851" s="23" t="str">
        <x:v>SPOT</x:v>
      </x:c>
      <x:c r="K3851" s="23" t="str">
        <x:v>favored_only</x:v>
      </x:c>
      <x:c r="L3851" s="24" t="b">
        <x:v>1</x:v>
      </x:c>
      <x:c r="M3851" s="23" t="n">
        <x:v>1</x:v>
      </x:c>
      <x:c r="N3851" s="28" t="n">
        <x:v>46205.605656817126</x:v>
      </x:c>
      <x:c r="O3851" s="28" t="n">
        <x:v>46219.812988715275</x:v>
      </x:c>
      <x:c r="P3851" s="23" t="str">
        <x:v>RIBEIRAO PRETO</x:v>
      </x:c>
      <x:c r="Q3851" s="30" t="n">
        <x:v>35741</x:v>
      </x:c>
      <x:c r="R3851" s="22" t="str">
        <x:f>"54309480"</x:f>
        <x:v>54309480</x:v>
      </x:c>
      <x:c r="S3851" s="23" t="str">
        <x:v>masculino</x:v>
      </x:c>
      <x:c r="T3851" s="22" t="str">
        <x:f>"RTO1J89"</x:f>
        <x:v>RTO1J89</x:v>
      </x:c>
      <x:c r="U3851" s="23" t="str">
        <x:v>CARLOS ROBERTO RAMOS</x:v>
      </x:c>
      <x:c r="V3851" s="22" t="str">
        <x:f>"183.368.068-57"</x:f>
        <x:v>183.368.068-57</x:v>
      </x:c>
      <x:c r="W3851" s="22" t="str">
        <x:f>"18336806857"</x:f>
        <x:v>18336806857</x:v>
      </x:c>
      <x:c r="X3851" s="23" t="str">
        <x:v>wellingtonsrv_araujo@hotmail.com</x:v>
      </x:c>
      <x:c r="Y3851" s="22" t="str">
        <x:f>"16 99739-3907"</x:f>
        <x:v>16 99739-3907</x:v>
      </x:c>
      <x:c r="Z3851" s="30" t="n">
        <x:v>46330</x:v>
      </x:c>
    </x:row>
    <x:row r="3852" ht="18" customHeight="1">
      <x:c r="A3852" s="22" t="str">
        <x:f>"3e00b940-8205-4c8a-b335-386992fc48c3"</x:f>
        <x:v>3e00b940-8205-4c8a-b335-386992fc48c3</x:v>
      </x:c>
      <x:c r="B3852" s="23" t="str">
        <x:v>WELLINGTON DE JESUS SILVA</x:v>
      </x:c>
      <x:c r="C3852" s="23" t="str">
        <x:v>wellington de jesus silva</x:v>
      </x:c>
      <x:c r="D3852" s="22" t="str">
        <x:f>"65.816.403/0001-59"</x:f>
        <x:v>65.816.403/0001-59</x:v>
      </x:c>
      <x:c r="E3852" s="22" t="str">
        <x:f>"65816403000159"</x:f>
        <x:v>65816403000159</x:v>
      </x:c>
      <x:c r="F3852" s="22" t="str">
        <x:f>"408.156.578-38"</x:f>
        <x:v>408.156.578-38</x:v>
      </x:c>
      <x:c r="G3852" s="22" t="str">
        <x:f>"40815657838"</x:f>
        <x:v>40815657838</x:v>
      </x:c>
      <x:c r="H3852" s="23" t="str">
        <x:v>kotchako018@gmail.com</x:v>
      </x:c>
      <x:c r="I3852" s="22" t="str">
        <x:f>"18988273885"</x:f>
        <x:v>18988273885</x:v>
      </x:c>
      <x:c r="J3852" s="23" t="str">
        <x:v>RENTAL</x:v>
      </x:c>
      <x:c r="K3852" s="23" t="str">
        <x:v>rental_company</x:v>
      </x:c>
      <x:c r="L3852" s="24" t="b">
        <x:v>1</x:v>
      </x:c>
      <x:c r="M3852" s="23" t="n">
        <x:v>1</x:v>
      </x:c>
      <x:c r="N3852" s="28" t="n">
        <x:v>46219.812988715275</x:v>
      </x:c>
      <x:c r="O3852" s="28" t="n">
        <x:v>46219.812988715275</x:v>
      </x:c>
      <x:c r="P3852" s="23" t="str">
        <x:v>PRESIDENTE PRUDENTE</x:v>
      </x:c>
      <x:c r="Q3852" s="30" t="n">
        <x:v>32679</x:v>
      </x:c>
      <x:c r="R3852" s="22" t="str">
        <x:f>"43015593"</x:f>
        <x:v>43015593</x:v>
      </x:c>
      <x:c r="S3852" s="23" t="str">
        <x:v>masculino</x:v>
      </x:c>
      <x:c r="T3852" s="22" t="str"/>
      <x:c r="U3852" s="23" t="str">
        <x:v>WELLINGTON DE JESUS SILVA</x:v>
      </x:c>
      <x:c r="V3852" s="22" t="str">
        <x:f>"408.156.578-38"</x:f>
        <x:v>408.156.578-38</x:v>
      </x:c>
      <x:c r="W3852" s="22" t="str">
        <x:f>"40815657838"</x:f>
        <x:v>40815657838</x:v>
      </x:c>
      <x:c r="X3852" s="23" t="str">
        <x:v>kotchako018@gmail.com</x:v>
      </x:c>
      <x:c r="Y3852" s="22" t="str">
        <x:f>"18988273885"</x:f>
        <x:v>18988273885</x:v>
      </x:c>
      <x:c r="Z3852" s="30" t="n">
        <x:v>46469</x:v>
      </x:c>
    </x:row>
    <x:row r="3853" ht="18" customHeight="1">
      <x:c r="A3853" s="22" t="str">
        <x:f>"b9686ae3-cf4c-49bc-ad03-a7dc543a1139"</x:f>
        <x:v>b9686ae3-cf4c-49bc-ad03-a7dc543a1139</x:v>
      </x:c>
      <x:c r="B3853" s="23" t="str">
        <x:v>WELLINGTON DE JESUS XAVIER</x:v>
      </x:c>
      <x:c r="C3853" s="23" t="str">
        <x:v>wellington de jesus xavier</x:v>
      </x:c>
      <x:c r="D3853" s="22" t="str">
        <x:f>"36.412.556/0001-32"</x:f>
        <x:v>36.412.556/0001-32</x:v>
      </x:c>
      <x:c r="E3853" s="22" t="str">
        <x:f>"36412556000132"</x:f>
        <x:v>36412556000132</x:v>
      </x:c>
      <x:c r="F3853" s="22" t="str">
        <x:f>"431.541.528-65"</x:f>
        <x:v>431.541.528-65</x:v>
      </x:c>
      <x:c r="G3853" s="22" t="str">
        <x:f>"43154152865"</x:f>
        <x:v>43154152865</x:v>
      </x:c>
      <x:c r="H3853" s="23" t="str">
        <x:v>wellingtonx727@gmail.com</x:v>
      </x:c>
      <x:c r="I3853" s="22" t="str">
        <x:f>"14 99778-8788"</x:f>
        <x:v>14 99778-8788</x:v>
      </x:c>
      <x:c r="J3853" s="23" t="str">
        <x:v>SPOT</x:v>
      </x:c>
      <x:c r="K3853" s="23" t="str">
        <x:v>favored_only</x:v>
      </x:c>
      <x:c r="L3853" s="24" t="b">
        <x:v>1</x:v>
      </x:c>
      <x:c r="M3853" s="23" t="n">
        <x:v>1</x:v>
      </x:c>
      <x:c r="N3853" s="28" t="n">
        <x:v>46203.92189965278</x:v>
      </x:c>
      <x:c r="O3853" s="28" t="n">
        <x:v>46219.812988715275</x:v>
      </x:c>
      <x:c r="P3853" s="23" t="str">
        <x:v>BAURU</x:v>
      </x:c>
      <x:c r="Q3853" s="30" t="n">
        <x:v>34933</x:v>
      </x:c>
      <x:c r="R3853" s="22" t="str">
        <x:f>"41153446"</x:f>
        <x:v>41153446</x:v>
      </x:c>
      <x:c r="S3853" s="23" t="str">
        <x:v>masculino</x:v>
      </x:c>
      <x:c r="T3853" s="22" t="str"/>
      <x:c r="U3853" s="23" t="str">
        <x:v>WELLINGTON DE JESUS XAVIER</x:v>
      </x:c>
      <x:c r="V3853" s="22" t="str">
        <x:f>"431.541.528-65"</x:f>
        <x:v>431.541.528-65</x:v>
      </x:c>
      <x:c r="W3853" s="22" t="str">
        <x:f>"43154152865"</x:f>
        <x:v>43154152865</x:v>
      </x:c>
      <x:c r="X3853" s="23" t="str">
        <x:v>wellingtonx727@gmail.com</x:v>
      </x:c>
      <x:c r="Y3853" s="22" t="str">
        <x:f>"14 99778-8788"</x:f>
        <x:v>14 99778-8788</x:v>
      </x:c>
      <x:c r="Z3853" s="30" t="n">
        <x:v>46345</x:v>
      </x:c>
    </x:row>
    <x:row r="3854" ht="18" customHeight="1">
      <x:c r="A3854" s="22" t="str">
        <x:f>"48a8476a-b904-47d3-9a13-77823c9b3001"</x:f>
        <x:v>48a8476a-b904-47d3-9a13-77823c9b3001</x:v>
      </x:c>
      <x:c r="B3854" s="23" t="str">
        <x:v>WELLINGTON EUSTAQUIO NEPOMUCENO JUNIOR</x:v>
      </x:c>
      <x:c r="C3854" s="23" t="str">
        <x:v>wellington eustaquio nepomuceno junior</x:v>
      </x:c>
      <x:c r="D3854" s="22" t="str">
        <x:f>"53.398.332/0001-32"</x:f>
        <x:v>53.398.332/0001-32</x:v>
      </x:c>
      <x:c r="E3854" s="22" t="str">
        <x:f>"53398332000132"</x:f>
        <x:v>53398332000132</x:v>
      </x:c>
      <x:c r="F3854" s="22" t="str">
        <x:f>"148.731.266-06"</x:f>
        <x:v>148.731.266-06</x:v>
      </x:c>
      <x:c r="G3854" s="22" t="str">
        <x:f>"14873126606"</x:f>
        <x:v>14873126606</x:v>
      </x:c>
      <x:c r="H3854" s="23" t="str">
        <x:v>ninhozx02@gmail.com</x:v>
      </x:c>
      <x:c r="I3854" s="22" t="str">
        <x:f>"31975754753"</x:f>
        <x:v>31975754753</x:v>
      </x:c>
      <x:c r="J3854" s="23" t="str">
        <x:v>RENTAL</x:v>
      </x:c>
      <x:c r="K3854" s="23" t="str">
        <x:v>rental_company</x:v>
      </x:c>
      <x:c r="L3854" s="24" t="b">
        <x:v>1</x:v>
      </x:c>
      <x:c r="M3854" s="23" t="n">
        <x:v>1</x:v>
      </x:c>
      <x:c r="N3854" s="28" t="n">
        <x:v>46203.92186888889</x:v>
      </x:c>
      <x:c r="O3854" s="28" t="n">
        <x:v>46219.812988715275</x:v>
      </x:c>
      <x:c r="P3854" s="23" t="str">
        <x:v>CONTAGEM</x:v>
      </x:c>
      <x:c r="Q3854" s="30" t="n">
        <x:v>36287</x:v>
      </x:c>
      <x:c r="R3854" s="22" t="str">
        <x:f>"18430583"</x:f>
        <x:v>18430583</x:v>
      </x:c>
      <x:c r="S3854" s="23" t="str">
        <x:v>masculino</x:v>
      </x:c>
      <x:c r="T3854" s="22" t="str"/>
      <x:c r="U3854" s="23" t="str">
        <x:v>WELLINGTON EUSTAQUIO NEPOMUCENO JUNIOR</x:v>
      </x:c>
      <x:c r="V3854" s="22" t="str">
        <x:f>"148.731.266-06"</x:f>
        <x:v>148.731.266-06</x:v>
      </x:c>
      <x:c r="W3854" s="22" t="str">
        <x:f>"14873126606"</x:f>
        <x:v>14873126606</x:v>
      </x:c>
      <x:c r="X3854" s="23" t="str">
        <x:v>ninhozx02@gmail.com</x:v>
      </x:c>
      <x:c r="Y3854" s="22" t="str">
        <x:f>"31975754753"</x:f>
        <x:v>31975754753</x:v>
      </x:c>
      <x:c r="Z3854" s="30" t="n">
        <x:v>46296</x:v>
      </x:c>
    </x:row>
    <x:row r="3855" ht="18" customHeight="1">
      <x:c r="A3855" s="22" t="str">
        <x:f>"addea97f-8570-4145-802d-ec0ad2e71a65"</x:f>
        <x:v>addea97f-8570-4145-802d-ec0ad2e71a65</x:v>
      </x:c>
      <x:c r="B3855" s="23" t="str">
        <x:v>WELLINGTON FERREIRA DA SILVA</x:v>
      </x:c>
      <x:c r="C3855" s="23" t="str">
        <x:v>wellington ferreira da silva</x:v>
      </x:c>
      <x:c r="D3855" s="22" t="str">
        <x:f>"45.439.570/0001-10"</x:f>
        <x:v>45.439.570/0001-10</x:v>
      </x:c>
      <x:c r="E3855" s="22" t="str">
        <x:f>"45439570000110"</x:f>
        <x:v>45439570000110</x:v>
      </x:c>
      <x:c r="F3855" s="22" t="str">
        <x:f>"087.012.756-07"</x:f>
        <x:v>087.012.756-07</x:v>
      </x:c>
      <x:c r="G3855" s="22" t="str">
        <x:f>"08701275607"</x:f>
        <x:v>08701275607</x:v>
      </x:c>
      <x:c r="H3855" s="23" t="str">
        <x:v>wferreira8887@gmail.com</x:v>
      </x:c>
      <x:c r="I3855" s="22" t="str">
        <x:f>"(35)99750-9951"</x:f>
        <x:v>(35)99750-9951</x:v>
      </x:c>
      <x:c r="J3855" s="23" t="str">
        <x:v>RENTAL</x:v>
      </x:c>
      <x:c r="K3855" s="23" t="str">
        <x:v>rental_company</x:v>
      </x:c>
      <x:c r="L3855" s="24" t="b">
        <x:v>1</x:v>
      </x:c>
      <x:c r="M3855" s="23" t="n">
        <x:v>1</x:v>
      </x:c>
      <x:c r="N3855" s="28" t="n">
        <x:v>46203.9218771875</x:v>
      </x:c>
      <x:c r="O3855" s="28" t="n">
        <x:v>46219.812988715275</x:v>
      </x:c>
      <x:c r="P3855" s="23" t="str">
        <x:v>POUSO ALEGRE</x:v>
      </x:c>
      <x:c r="Q3855" s="30" t="n">
        <x:v>32463</x:v>
      </x:c>
      <x:c r="R3855" s="22" t="str">
        <x:f>"MG15130143"</x:f>
        <x:v>MG15130143</x:v>
      </x:c>
      <x:c r="S3855" s="23" t="str">
        <x:v>masculino</x:v>
      </x:c>
      <x:c r="T3855" s="22" t="str"/>
      <x:c r="U3855" s="23" t="str">
        <x:v>WELLINGTON FERREIRA DA SILVA</x:v>
      </x:c>
      <x:c r="V3855" s="22" t="str">
        <x:f>"087.012.756-07"</x:f>
        <x:v>087.012.756-07</x:v>
      </x:c>
      <x:c r="W3855" s="22" t="str">
        <x:f>"08701275607"</x:f>
        <x:v>08701275607</x:v>
      </x:c>
      <x:c r="X3855" s="23" t="str">
        <x:v>wferreira8887@gmail.com</x:v>
      </x:c>
      <x:c r="Y3855" s="22" t="str">
        <x:f>"(35)99750-9951"</x:f>
        <x:v>(35)99750-9951</x:v>
      </x:c>
      <x:c r="Z3855" s="30" t="n">
        <x:v>46309</x:v>
      </x:c>
    </x:row>
    <x:row r="3856" ht="18" customHeight="1">
      <x:c r="A3856" s="22" t="str">
        <x:f>"220c5464-81eb-488b-80f7-69a41a377a27"</x:f>
        <x:v>220c5464-81eb-488b-80f7-69a41a377a27</x:v>
      </x:c>
      <x:c r="B3856" s="23" t="str">
        <x:v>WELLINGTON FREIRE DAS NEVES</x:v>
      </x:c>
      <x:c r="C3856" s="23" t="str">
        <x:v>wellington freire das neves</x:v>
      </x:c>
      <x:c r="D3856" s="22" t="str">
        <x:f>"65.459.768/0001-73"</x:f>
        <x:v>65.459.768/0001-73</x:v>
      </x:c>
      <x:c r="E3856" s="22" t="str">
        <x:f>"65459768000173"</x:f>
        <x:v>65459768000173</x:v>
      </x:c>
      <x:c r="F3856" s="22" t="str">
        <x:f>"486.905.818-98"</x:f>
        <x:v>486.905.818-98</x:v>
      </x:c>
      <x:c r="G3856" s="22" t="str">
        <x:f>"48690581898"</x:f>
        <x:v>48690581898</x:v>
      </x:c>
      <x:c r="H3856" s="23" t="str">
        <x:v>wellsaveiro.ggbb@gmail.com</x:v>
      </x:c>
      <x:c r="I3856" s="22" t="str">
        <x:f>"14997011808"</x:f>
        <x:v>14997011808</x:v>
      </x:c>
      <x:c r="J3856" s="23" t="str">
        <x:v>RENTAL</x:v>
      </x:c>
      <x:c r="K3856" s="23" t="str">
        <x:v>rental_company</x:v>
      </x:c>
      <x:c r="L3856" s="24" t="b">
        <x:v>1</x:v>
      </x:c>
      <x:c r="M3856" s="23" t="n">
        <x:v>1</x:v>
      </x:c>
      <x:c r="N3856" s="28" t="n">
        <x:v>46219.812988715275</x:v>
      </x:c>
      <x:c r="O3856" s="28" t="n">
        <x:v>46219.812988715275</x:v>
      </x:c>
      <x:c r="P3856" s="23" t="str">
        <x:v>MARILIA</x:v>
      </x:c>
      <x:c r="Q3856" s="30" t="n">
        <x:v>36390</x:v>
      </x:c>
      <x:c r="R3856" s="22" t="str">
        <x:f>"541927395"</x:f>
        <x:v>541927395</x:v>
      </x:c>
      <x:c r="S3856" s="23" t="str">
        <x:v>masculino</x:v>
      </x:c>
      <x:c r="T3856" s="22" t="str"/>
      <x:c r="U3856" s="23" t="str">
        <x:v>WELLINGTON FREIRE DAS NEVES</x:v>
      </x:c>
      <x:c r="V3856" s="22" t="str">
        <x:f>"486.905.818-98"</x:f>
        <x:v>486.905.818-98</x:v>
      </x:c>
      <x:c r="W3856" s="22" t="str">
        <x:f>"48690581898"</x:f>
        <x:v>48690581898</x:v>
      </x:c>
      <x:c r="X3856" s="23" t="str">
        <x:v>wellsaveiro.ggbb@gmail.com</x:v>
      </x:c>
      <x:c r="Y3856" s="22" t="str">
        <x:f>"14997011808"</x:f>
        <x:v>14997011808</x:v>
      </x:c>
      <x:c r="Z3856" s="30" t="n">
        <x:v>46452</x:v>
      </x:c>
    </x:row>
    <x:row r="3857" ht="18" customHeight="1">
      <x:c r="A3857" s="22" t="str">
        <x:f>"b1ea09ae-9c93-4399-8026-dc9713169d5b"</x:f>
        <x:v>b1ea09ae-9c93-4399-8026-dc9713169d5b</x:v>
      </x:c>
      <x:c r="B3857" s="23" t="str">
        <x:v>WELLINGTON KENNEDY DOS SANTOS PEREIRA</x:v>
      </x:c>
      <x:c r="C3857" s="23" t="str">
        <x:v>wellington kennedy dos santos pereira</x:v>
      </x:c>
      <x:c r="D3857" s="22" t="str">
        <x:f>"64.338.640/0001-99"</x:f>
        <x:v>64.338.640/0001-99</x:v>
      </x:c>
      <x:c r="E3857" s="22" t="str">
        <x:f>"64338640000199"</x:f>
        <x:v>64338640000199</x:v>
      </x:c>
      <x:c r="F3857" s="22" t="str">
        <x:f>"518.372.788-06"</x:f>
        <x:v>518.372.788-06</x:v>
      </x:c>
      <x:c r="G3857" s="22" t="str">
        <x:f>"51837278806"</x:f>
        <x:v>51837278806</x:v>
      </x:c>
      <x:c r="H3857" s="23" t="str">
        <x:v>wellingtonkennedydossantospere@gmail.com</x:v>
      </x:c>
      <x:c r="I3857" s="22" t="str">
        <x:f>"18998053679"</x:f>
        <x:v>18998053679</x:v>
      </x:c>
      <x:c r="J3857" s="23" t="str">
        <x:v>RENTAL</x:v>
      </x:c>
      <x:c r="K3857" s="23" t="str">
        <x:v>rental_company</x:v>
      </x:c>
      <x:c r="L3857" s="24" t="b">
        <x:v>1</x:v>
      </x:c>
      <x:c r="M3857" s="23" t="n">
        <x:v>1</x:v>
      </x:c>
      <x:c r="N3857" s="28" t="n">
        <x:v>46203.9219084375</x:v>
      </x:c>
      <x:c r="O3857" s="28" t="n">
        <x:v>46219.812988715275</x:v>
      </x:c>
      <x:c r="P3857" s="23" t="str">
        <x:v>PRESIDENTE PRUDENTE</x:v>
      </x:c>
      <x:c r="Q3857" s="30" t="n">
        <x:v>37383</x:v>
      </x:c>
      <x:c r="R3857" s="22" t="str">
        <x:f>"568941202"</x:f>
        <x:v>568941202</x:v>
      </x:c>
      <x:c r="S3857" s="23" t="str">
        <x:v>masculino</x:v>
      </x:c>
      <x:c r="T3857" s="22" t="str"/>
      <x:c r="U3857" s="23" t="str">
        <x:v>WELLINGTON KENNEDY DOS SANTOS PEREIRA</x:v>
      </x:c>
      <x:c r="V3857" s="22" t="str">
        <x:f>"518.372.788-06"</x:f>
        <x:v>518.372.788-06</x:v>
      </x:c>
      <x:c r="W3857" s="22" t="str">
        <x:f>"51837278806"</x:f>
        <x:v>51837278806</x:v>
      </x:c>
      <x:c r="X3857" s="23" t="str">
        <x:v>wellingtonkennedydossantospere@gmail.com</x:v>
      </x:c>
      <x:c r="Y3857" s="22" t="str">
        <x:f>"18998053679"</x:f>
        <x:v>18998053679</x:v>
      </x:c>
      <x:c r="Z3857" s="30" t="n">
        <x:v>46396</x:v>
      </x:c>
    </x:row>
    <x:row r="3858" ht="18" customHeight="1">
      <x:c r="A3858" s="22" t="str">
        <x:f>"a348d226-c388-48ed-8dad-1bfad4c3b814"</x:f>
        <x:v>a348d226-c388-48ed-8dad-1bfad4c3b814</x:v>
      </x:c>
      <x:c r="B3858" s="23" t="str">
        <x:v>WELLINGTON LUIZ RODOVALHO</x:v>
      </x:c>
      <x:c r="C3858" s="23" t="str">
        <x:v>wellington luiz rodovalho</x:v>
      </x:c>
      <x:c r="D3858" s="22" t="str">
        <x:f>"58.741.376/0001-37"</x:f>
        <x:v>58.741.376/0001-37</x:v>
      </x:c>
      <x:c r="E3858" s="22" t="str">
        <x:f>"58741376000137"</x:f>
        <x:v>58741376000137</x:v>
      </x:c>
      <x:c r="F3858" s="22" t="str">
        <x:f>"863.145.646-20"</x:f>
        <x:v>863.145.646-20</x:v>
      </x:c>
      <x:c r="G3858" s="22" t="str">
        <x:f>"86314564620"</x:f>
        <x:v>86314564620</x:v>
      </x:c>
      <x:c r="H3858" s="23" t="str">
        <x:v>wellingtonluizrodovlalho@gmail.com</x:v>
      </x:c>
      <x:c r="I3858" s="22" t="str">
        <x:f>"(34) 99687-6203"</x:f>
        <x:v>(34) 99687-6203</x:v>
      </x:c>
      <x:c r="J3858" s="23" t="str">
        <x:v>RENTAL</x:v>
      </x:c>
      <x:c r="K3858" s="23" t="str">
        <x:v>rental_company</x:v>
      </x:c>
      <x:c r="L3858" s="24" t="b">
        <x:v>1</x:v>
      </x:c>
      <x:c r="M3858" s="23" t="n">
        <x:v>1</x:v>
      </x:c>
      <x:c r="N3858" s="28" t="n">
        <x:v>46203.921824756944</x:v>
      </x:c>
      <x:c r="O3858" s="28" t="n">
        <x:v>46219.812988715275</x:v>
      </x:c>
      <x:c r="P3858" s="23" t="str">
        <x:v>UBERABA</x:v>
      </x:c>
      <x:c r="Q3858" s="30" t="n">
        <x:v>26809</x:v>
      </x:c>
      <x:c r="R3858" s="22" t="str">
        <x:f>"6663506"</x:f>
        <x:v>6663506</x:v>
      </x:c>
      <x:c r="S3858" s="23" t="str">
        <x:v>masculino</x:v>
      </x:c>
      <x:c r="T3858" s="22" t="str"/>
      <x:c r="U3858" s="23" t="str">
        <x:v>WELLINGTON LUIZ RODOVALHO</x:v>
      </x:c>
      <x:c r="V3858" s="22" t="str">
        <x:f>"863.145.646-20"</x:f>
        <x:v>863.145.646-20</x:v>
      </x:c>
      <x:c r="W3858" s="22" t="str">
        <x:f>"86314564620"</x:f>
        <x:v>86314564620</x:v>
      </x:c>
      <x:c r="X3858" s="23" t="str">
        <x:v>wellingtonluizrodovlalho@gmail.com</x:v>
      </x:c>
      <x:c r="Y3858" s="22" t="str">
        <x:f>"(34) 99687-6203"</x:f>
        <x:v>(34) 99687-6203</x:v>
      </x:c>
      <x:c r="Z3858" s="30" t="n">
        <x:v>46332</x:v>
      </x:c>
    </x:row>
    <x:row r="3859" ht="18" customHeight="1">
      <x:c r="A3859" s="22" t="str">
        <x:f>"8f275a5e-a211-4f87-bd3f-be090c1d3893"</x:f>
        <x:v>8f275a5e-a211-4f87-bd3f-be090c1d3893</x:v>
      </x:c>
      <x:c r="B3859" s="23" t="str">
        <x:v>WELLINGTON RODRIGO ARMINHO DE MENEZES</x:v>
      </x:c>
      <x:c r="C3859" s="23" t="str">
        <x:v>wellington rodrigo arminho de menezes</x:v>
      </x:c>
      <x:c r="D3859" s="22" t="str">
        <x:f>"63.786.860/0001-12"</x:f>
        <x:v>63.786.860/0001-12</x:v>
      </x:c>
      <x:c r="E3859" s="22" t="str">
        <x:f>"63786860000112"</x:f>
        <x:v>63786860000112</x:v>
      </x:c>
      <x:c r="F3859" s="22" t="str">
        <x:f>"409.042.718-54"</x:f>
        <x:v>409.042.718-54</x:v>
      </x:c>
      <x:c r="G3859" s="22" t="str">
        <x:f>"40904271854"</x:f>
        <x:v>40904271854</x:v>
      </x:c>
      <x:c r="H3859" s="23" t="str">
        <x:v>well-arminho@hotmail.com</x:v>
      </x:c>
      <x:c r="I3859" s="22" t="str">
        <x:f>"18988170632"</x:f>
        <x:v>18988170632</x:v>
      </x:c>
      <x:c r="J3859" s="23" t="str">
        <x:v>RENTAL</x:v>
      </x:c>
      <x:c r="K3859" s="23" t="str">
        <x:v>rental_company</x:v>
      </x:c>
      <x:c r="L3859" s="24" t="b">
        <x:v>1</x:v>
      </x:c>
      <x:c r="M3859" s="23" t="n">
        <x:v>1</x:v>
      </x:c>
      <x:c r="N3859" s="28" t="n">
        <x:v>46219.812988715275</x:v>
      </x:c>
      <x:c r="O3859" s="28" t="n">
        <x:v>46219.812988715275</x:v>
      </x:c>
      <x:c r="P3859" s="23" t="str">
        <x:v>PRESIDENTE PRUDENTE</x:v>
      </x:c>
      <x:c r="Q3859" s="30" t="n">
        <x:v>34466</x:v>
      </x:c>
      <x:c r="R3859" s="22" t="str">
        <x:f>"410297562"</x:f>
        <x:v>410297562</x:v>
      </x:c>
      <x:c r="S3859" s="23" t="str">
        <x:v>masculino</x:v>
      </x:c>
      <x:c r="T3859" s="22" t="str"/>
      <x:c r="U3859" s="23" t="str">
        <x:v>WELLINGTON RODRIGO ARMINHO DE MENEZES</x:v>
      </x:c>
      <x:c r="V3859" s="22" t="str">
        <x:f>"409.042.718-54"</x:f>
        <x:v>409.042.718-54</x:v>
      </x:c>
      <x:c r="W3859" s="22" t="str">
        <x:f>"40904271854"</x:f>
        <x:v>40904271854</x:v>
      </x:c>
      <x:c r="X3859" s="23" t="str">
        <x:v>well-arminho@hotmail.com</x:v>
      </x:c>
      <x:c r="Y3859" s="22" t="str">
        <x:f>"18988170632"</x:f>
        <x:v>18988170632</x:v>
      </x:c>
      <x:c r="Z3859" s="30" t="n">
        <x:v>46497</x:v>
      </x:c>
    </x:row>
    <x:row r="3860" ht="18" customHeight="1">
      <x:c r="A3860" s="22" t="str">
        <x:f>"abf91477-167c-40fb-8454-e429bcfd0441"</x:f>
        <x:v>abf91477-167c-40fb-8454-e429bcfd0441</x:v>
      </x:c>
      <x:c r="B3860" s="23" t="str">
        <x:v>WELLINGTON SANTOS LIMA</x:v>
      </x:c>
      <x:c r="C3860" s="23" t="str">
        <x:v>wellington santos lima</x:v>
      </x:c>
      <x:c r="D3860" s="22" t="str">
        <x:f>"61.985.224/0001-94"</x:f>
        <x:v>61.985.224/0001-94</x:v>
      </x:c>
      <x:c r="E3860" s="22" t="str">
        <x:f>"61985224000194"</x:f>
        <x:v>61985224000194</x:v>
      </x:c>
      <x:c r="F3860" s="22" t="str">
        <x:f>"147.411.416-40"</x:f>
        <x:v>147.411.416-40</x:v>
      </x:c>
      <x:c r="G3860" s="22" t="str">
        <x:f>"14741141640"</x:f>
        <x:v>14741141640</x:v>
      </x:c>
      <x:c r="H3860" s="23" t="str">
        <x:v>wl4362766@gmail.com</x:v>
      </x:c>
      <x:c r="I3860" s="22" t="str">
        <x:f>"11953419924"</x:f>
        <x:v>11953419924</x:v>
      </x:c>
      <x:c r="J3860" s="23" t="str">
        <x:v>RENTAL</x:v>
      </x:c>
      <x:c r="K3860" s="23" t="str">
        <x:v>rental_company</x:v>
      </x:c>
      <x:c r="L3860" s="24" t="b">
        <x:v>1</x:v>
      </x:c>
      <x:c r="M3860" s="23" t="n">
        <x:v>1</x:v>
      </x:c>
      <x:c r="N3860" s="28" t="n">
        <x:v>46219.812988715275</x:v>
      </x:c>
      <x:c r="O3860" s="28" t="n">
        <x:v>46219.812988715275</x:v>
      </x:c>
      <x:c r="P3860" s="23" t="str">
        <x:v>POUSO ALEGRE</x:v>
      </x:c>
      <x:c r="Q3860" s="30" t="n">
        <x:v>36710</x:v>
      </x:c>
      <x:c r="R3860" s="22" t="str">
        <x:f>"21654322"</x:f>
        <x:v>21654322</x:v>
      </x:c>
      <x:c r="S3860" s="23" t="str">
        <x:v>masculino</x:v>
      </x:c>
      <x:c r="T3860" s="22" t="str"/>
      <x:c r="U3860" s="23" t="str">
        <x:v>WELLINGTON SANTOS LIMA</x:v>
      </x:c>
      <x:c r="V3860" s="22" t="str">
        <x:f>"147.411.416-40"</x:f>
        <x:v>147.411.416-40</x:v>
      </x:c>
      <x:c r="W3860" s="22" t="str">
        <x:f>"14741141640"</x:f>
        <x:v>14741141640</x:v>
      </x:c>
      <x:c r="X3860" s="23" t="str">
        <x:v>wl4362766@gmail.com</x:v>
      </x:c>
      <x:c r="Y3860" s="22" t="str">
        <x:f>"11953419924"</x:f>
        <x:v>11953419924</x:v>
      </x:c>
      <x:c r="Z3860" s="30" t="n">
        <x:v>46536</x:v>
      </x:c>
    </x:row>
    <x:row r="3861" ht="18" customHeight="1">
      <x:c r="A3861" s="22" t="str">
        <x:f>"56fb4cd5-6210-458a-8ced-6aa44eb1f9b6"</x:f>
        <x:v>56fb4cd5-6210-458a-8ced-6aa44eb1f9b6</x:v>
      </x:c>
      <x:c r="B3861" s="23" t="str">
        <x:v>WELLINGTON TADEU FRAGA</x:v>
      </x:c>
      <x:c r="C3861" s="23" t="str">
        <x:v>wellington tadeu fraga</x:v>
      </x:c>
      <x:c r="D3861" s="22" t="str">
        <x:f>"61.849.677/0001-93"</x:f>
        <x:v>61.849.677/0001-93</x:v>
      </x:c>
      <x:c r="E3861" s="22" t="str">
        <x:f>"61849677000193"</x:f>
        <x:v>61849677000193</x:v>
      </x:c>
      <x:c r="F3861" s="22" t="str">
        <x:f>"012.849.386-03"</x:f>
        <x:v>012.849.386-03</x:v>
      </x:c>
      <x:c r="G3861" s="22" t="str">
        <x:f>"01284938603"</x:f>
        <x:v>01284938603</x:v>
      </x:c>
      <x:c r="H3861" s="23" t="str">
        <x:v>tadeu.wellington@gmail.com</x:v>
      </x:c>
      <x:c r="I3861" s="22" t="str">
        <x:f>"31 98844-0513"</x:f>
        <x:v>31 98844-0513</x:v>
      </x:c>
      <x:c r="J3861" s="23" t="str">
        <x:v>SPOT</x:v>
      </x:c>
      <x:c r="K3861" s="23" t="str">
        <x:v>favored_only</x:v>
      </x:c>
      <x:c r="L3861" s="24" t="b">
        <x:v>1</x:v>
      </x:c>
      <x:c r="M3861" s="23" t="n">
        <x:v>1</x:v>
      </x:c>
      <x:c r="N3861" s="28" t="n">
        <x:v>46203.921852962965</x:v>
      </x:c>
      <x:c r="O3861" s="28" t="n">
        <x:v>46219.812988715275</x:v>
      </x:c>
      <x:c r="P3861" s="23" t="str">
        <x:v>CONTAGEM</x:v>
      </x:c>
      <x:c r="Q3861" s="30" t="n">
        <x:v>30041</x:v>
      </x:c>
      <x:c r="R3861" s="22" t="str">
        <x:f>"10870946"</x:f>
        <x:v>10870946</x:v>
      </x:c>
      <x:c r="S3861" s="23" t="str">
        <x:v>masculino</x:v>
      </x:c>
      <x:c r="T3861" s="22" t="str">
        <x:f>"HHS3912"</x:f>
        <x:v>HHS3912</x:v>
      </x:c>
      <x:c r="U3861" s="23" t="str">
        <x:v>WELLINGTON TADEU FRAGA</x:v>
      </x:c>
      <x:c r="V3861" s="22" t="str">
        <x:f>"012.849.386-03"</x:f>
        <x:v>012.849.386-03</x:v>
      </x:c>
      <x:c r="W3861" s="22" t="str">
        <x:f>"01284938603"</x:f>
        <x:v>01284938603</x:v>
      </x:c>
      <x:c r="X3861" s="23" t="str">
        <x:v>tadeu.wellington@gmail.com</x:v>
      </x:c>
      <x:c r="Y3861" s="22" t="str">
        <x:f>"31 98844-0513"</x:f>
        <x:v>31 98844-0513</x:v>
      </x:c>
      <x:c r="Z3861" s="30" t="n">
        <x:v>46245</x:v>
      </x:c>
    </x:row>
    <x:row r="3862" ht="18" customHeight="1">
      <x:c r="A3862" s="22" t="str">
        <x:f>"074fef33-ac13-431e-b7b7-7579a8a0ff36"</x:f>
        <x:v>074fef33-ac13-431e-b7b7-7579a8a0ff36</x:v>
      </x:c>
      <x:c r="B3862" s="23" t="str">
        <x:v>WELLINGTON VEIGA DE SOUZA</x:v>
      </x:c>
      <x:c r="C3862" s="23" t="str">
        <x:v>wellington veiga de souza</x:v>
      </x:c>
      <x:c r="D3862" s="22" t="str">
        <x:f>"46.311.964/0001-51"</x:f>
        <x:v>46.311.964/0001-51</x:v>
      </x:c>
      <x:c r="E3862" s="22" t="str">
        <x:f>"46311964000151"</x:f>
        <x:v>46311964000151</x:v>
      </x:c>
      <x:c r="F3862" s="22" t="str">
        <x:f>"088.106.266-99"</x:f>
        <x:v>088.106.266-99</x:v>
      </x:c>
      <x:c r="G3862" s="22" t="str">
        <x:f>"08810626699"</x:f>
        <x:v>08810626699</x:v>
      </x:c>
      <x:c r="H3862" s="23" t="str">
        <x:v>wellingtonveigasouza@outlook.com</x:v>
      </x:c>
      <x:c r="I3862" s="22" t="str">
        <x:f>"31994175364"</x:f>
        <x:v>31994175364</x:v>
      </x:c>
      <x:c r="J3862" s="23" t="str">
        <x:v>SPOT</x:v>
      </x:c>
      <x:c r="K3862" s="23" t="str">
        <x:v>favored_only</x:v>
      </x:c>
      <x:c r="L3862" s="24" t="b">
        <x:v>1</x:v>
      </x:c>
      <x:c r="M3862" s="23" t="n">
        <x:v>2</x:v>
      </x:c>
      <x:c r="N3862" s="28" t="n">
        <x:v>46219.812988715275</x:v>
      </x:c>
      <x:c r="O3862" s="28" t="n">
        <x:v>46219.812988715275</x:v>
      </x:c>
      <x:c r="P3862" s="23" t="str">
        <x:v>VESPASIANO</x:v>
      </x:c>
      <x:c r="Q3862" s="30" t="n">
        <x:v>32229</x:v>
      </x:c>
      <x:c r="R3862" s="22" t="str">
        <x:f>"MG14631067"</x:f>
        <x:v>MG14631067</x:v>
      </x:c>
      <x:c r="S3862" s="23" t="str">
        <x:v>masculino</x:v>
      </x:c>
      <x:c r="T3862" s="22" t="str">
        <x:f>"OPV8E08"</x:f>
        <x:v>OPV8E08</x:v>
      </x:c>
      <x:c r="U3862" s="23" t="str">
        <x:v>WELLINGTON VEIGA DE SOUZA</x:v>
      </x:c>
      <x:c r="V3862" s="22" t="str">
        <x:f>"088.106.266-99"</x:f>
        <x:v>088.106.266-99</x:v>
      </x:c>
      <x:c r="W3862" s="22" t="str">
        <x:f>"08810626699"</x:f>
        <x:v>08810626699</x:v>
      </x:c>
      <x:c r="X3862" s="23" t="str">
        <x:v>wellingtonveigasouza@outlook.com</x:v>
      </x:c>
      <x:c r="Y3862" s="22" t="str">
        <x:f>"31994175364"</x:f>
        <x:v>31994175364</x:v>
      </x:c>
      <x:c r="Z3862" s="30" t="n">
        <x:v>46361</x:v>
      </x:c>
    </x:row>
    <x:row r="3863" ht="18" customHeight="1">
      <x:c r="A3863" s="22" t="str">
        <x:f>"e9c17b5c-26be-4ef4-829d-fde0d26e4f1e"</x:f>
        <x:v>e9c17b5c-26be-4ef4-829d-fde0d26e4f1e</x:v>
      </x:c>
      <x:c r="B3863" s="23" t="str">
        <x:v>WELLINGTON VINHATTO DA SILVA</x:v>
      </x:c>
      <x:c r="C3863" s="23" t="str">
        <x:v>wellington vinhatto da silva</x:v>
      </x:c>
      <x:c r="D3863" s="22" t="str">
        <x:f>"58.575.298/0001-48"</x:f>
        <x:v>58.575.298/0001-48</x:v>
      </x:c>
      <x:c r="E3863" s="22" t="str">
        <x:f>"58575298000148"</x:f>
        <x:v>58575298000148</x:v>
      </x:c>
      <x:c r="F3863" s="22" t="str">
        <x:f>"394.059.468-70"</x:f>
        <x:v>394.059.468-70</x:v>
      </x:c>
      <x:c r="G3863" s="22" t="str">
        <x:f>"39405946870"</x:f>
        <x:v>39405946870</x:v>
      </x:c>
      <x:c r="H3863" s="23" t="str">
        <x:v>wellingtonvinhattodev@gmail.com</x:v>
      </x:c>
      <x:c r="I3863" s="22" t="str">
        <x:f>"(35) 98449-1252"</x:f>
        <x:v>(35) 98449-1252</x:v>
      </x:c>
      <x:c r="J3863" s="23" t="str">
        <x:v>RENTAL</x:v>
      </x:c>
      <x:c r="K3863" s="23" t="str">
        <x:v>rental_company</x:v>
      </x:c>
      <x:c r="L3863" s="24" t="b">
        <x:v>1</x:v>
      </x:c>
      <x:c r="M3863" s="23" t="n">
        <x:v>1</x:v>
      </x:c>
      <x:c r="N3863" s="28" t="n">
        <x:v>46203.92186462963</x:v>
      </x:c>
      <x:c r="O3863" s="28" t="n">
        <x:v>46219.812988715275</x:v>
      </x:c>
      <x:c r="P3863" s="23" t="str">
        <x:v>POUSO ALEGRE</x:v>
      </x:c>
      <x:c r="Q3863" s="30" t="n">
        <x:v>33553</x:v>
      </x:c>
      <x:c r="R3863" s="22" t="str">
        <x:f>"479936365 SSP SP"</x:f>
        <x:v>479936365 SSP SP</x:v>
      </x:c>
      <x:c r="S3863" s="23" t="str">
        <x:v>masculino</x:v>
      </x:c>
      <x:c r="T3863" s="22" t="str"/>
      <x:c r="U3863" s="23" t="str">
        <x:v>WELLINGTON VINHATTO DA SILVA</x:v>
      </x:c>
      <x:c r="V3863" s="22" t="str">
        <x:f>"394.059.468-70"</x:f>
        <x:v>394.059.468-70</x:v>
      </x:c>
      <x:c r="W3863" s="22" t="str">
        <x:f>"39405946870"</x:f>
        <x:v>39405946870</x:v>
      </x:c>
      <x:c r="X3863" s="23" t="str">
        <x:v>wellingtonvinhattodev@gmail.com</x:v>
      </x:c>
      <x:c r="Y3863" s="22" t="str">
        <x:f>"(35) 98449-1252"</x:f>
        <x:v>(35) 98449-1252</x:v>
      </x:c>
      <x:c r="Z3863" s="30" t="n">
        <x:v>46280</x:v>
      </x:c>
    </x:row>
    <x:row r="3864" ht="18" customHeight="1">
      <x:c r="A3864" s="22" t="str">
        <x:f>"a834ac9b-6099-4158-9fe0-c8e5abc3c7fb"</x:f>
        <x:v>a834ac9b-6099-4158-9fe0-c8e5abc3c7fb</x:v>
      </x:c>
      <x:c r="B3864" s="23" t="str">
        <x:v>WELLYNGTON DA SILVA</x:v>
      </x:c>
      <x:c r="C3864" s="23" t="str">
        <x:v>wellyngton da silva</x:v>
      </x:c>
      <x:c r="D3864" s="22" t="str">
        <x:f>"32.776.167/0001-35"</x:f>
        <x:v>32.776.167/0001-35</x:v>
      </x:c>
      <x:c r="E3864" s="22" t="str">
        <x:f>"32776167000135"</x:f>
        <x:v>32776167000135</x:v>
      </x:c>
      <x:c r="F3864" s="22" t="str">
        <x:f>"028.371.651-74"</x:f>
        <x:v>028.371.651-74</x:v>
      </x:c>
      <x:c r="G3864" s="22" t="str">
        <x:f>"02837165174"</x:f>
        <x:v>02837165174</x:v>
      </x:c>
      <x:c r="H3864" s="23" t="str">
        <x:v>wellyngtons.uber@gmail.com</x:v>
      </x:c>
      <x:c r="I3864" s="22" t="str">
        <x:f>"65 99249-4102"</x:f>
        <x:v>65 99249-4102</x:v>
      </x:c>
      <x:c r="J3864" s="23" t="str">
        <x:v>RENTAL</x:v>
      </x:c>
      <x:c r="K3864" s="23" t="str">
        <x:v>rental_company</x:v>
      </x:c>
      <x:c r="L3864" s="24" t="b">
        <x:v>1</x:v>
      </x:c>
      <x:c r="M3864" s="23" t="n">
        <x:v>1</x:v>
      </x:c>
      <x:c r="N3864" s="28" t="n">
        <x:v>46203.92188238426</x:v>
      </x:c>
      <x:c r="O3864" s="28" t="n">
        <x:v>46219.812988715275</x:v>
      </x:c>
      <x:c r="P3864" s="23" t="str">
        <x:v>CUIABA</x:v>
      </x:c>
      <x:c r="Q3864" s="30" t="n">
        <x:v>31982</x:v>
      </x:c>
      <x:c r="R3864" s="22" t="str">
        <x:f>"19759606"</x:f>
        <x:v>19759606</x:v>
      </x:c>
      <x:c r="S3864" s="23" t="str">
        <x:v>masculino</x:v>
      </x:c>
      <x:c r="T3864" s="22" t="str"/>
      <x:c r="U3864" s="23" t="str">
        <x:v>WELLYNGTON DA SILVA</x:v>
      </x:c>
      <x:c r="V3864" s="22" t="str">
        <x:f>"028.371.651-74"</x:f>
        <x:v>028.371.651-74</x:v>
      </x:c>
      <x:c r="W3864" s="22" t="str">
        <x:f>"02837165174"</x:f>
        <x:v>02837165174</x:v>
      </x:c>
      <x:c r="X3864" s="23" t="str">
        <x:v>wellyngtons.uber@gmail.com</x:v>
      </x:c>
      <x:c r="Y3864" s="22" t="str">
        <x:f>"65 99249-4102"</x:f>
        <x:v>65 99249-4102</x:v>
      </x:c>
      <x:c r="Z3864" s="30" t="n">
        <x:v>46322</x:v>
      </x:c>
    </x:row>
    <x:row r="3865" ht="18" customHeight="1">
      <x:c r="A3865" s="22" t="str">
        <x:f>"244a9326-995d-4cee-aa62-05f9063daa73"</x:f>
        <x:v>244a9326-995d-4cee-aa62-05f9063daa73</x:v>
      </x:c>
      <x:c r="B3865" s="23" t="str">
        <x:v>WELLYNTON MOUTA RIBEIRO DIAS</x:v>
      </x:c>
      <x:c r="C3865" s="23" t="str">
        <x:v>wellynton mouta ribeiro dias</x:v>
      </x:c>
      <x:c r="D3865" s="22" t="str">
        <x:f>"38.487.307/0001-31"</x:f>
        <x:v>38.487.307/0001-31</x:v>
      </x:c>
      <x:c r="E3865" s="22" t="str">
        <x:f>"38487307000131"</x:f>
        <x:v>38487307000131</x:v>
      </x:c>
      <x:c r="F3865" s="22" t="str">
        <x:f>"136.799.597-37"</x:f>
        <x:v>136.799.597-37</x:v>
      </x:c>
      <x:c r="G3865" s="22" t="str">
        <x:f>"13679959737"</x:f>
        <x:v>13679959737</x:v>
      </x:c>
      <x:c r="H3865" s="23" t="str">
        <x:v>clone.gp@gmail.com</x:v>
      </x:c>
      <x:c r="I3865" s="22" t="str">
        <x:f>"22 998158057"</x:f>
        <x:v>22 998158057</x:v>
      </x:c>
      <x:c r="J3865" s="23" t="str">
        <x:v>SPOT</x:v>
      </x:c>
      <x:c r="K3865" s="23" t="str">
        <x:v>favored_only</x:v>
      </x:c>
      <x:c r="L3865" s="24" t="b">
        <x:v>1</x:v>
      </x:c>
      <x:c r="M3865" s="23" t="n">
        <x:v>1</x:v>
      </x:c>
      <x:c r="N3865" s="28" t="n">
        <x:v>46203.92189349537</x:v>
      </x:c>
      <x:c r="O3865" s="28" t="n">
        <x:v>46219.812988715275</x:v>
      </x:c>
      <x:c r="P3865" s="23" t="str">
        <x:v>CAMPOS DOS GOYTACAZES</x:v>
      </x:c>
      <x:c r="Q3865" s="30" t="n">
        <x:v>34332</x:v>
      </x:c>
      <x:c r="R3865" s="22" t="str">
        <x:f>"213512536"</x:f>
        <x:v>213512536</x:v>
      </x:c>
      <x:c r="S3865" s="23" t="str">
        <x:v>masculino</x:v>
      </x:c>
      <x:c r="T3865" s="22" t="str">
        <x:f>"HGP8G64"</x:f>
        <x:v>HGP8G64</x:v>
      </x:c>
      <x:c r="U3865" s="23" t="str">
        <x:v>WELLYNTON MOUTA RIBEIRO DIAS</x:v>
      </x:c>
      <x:c r="V3865" s="22" t="str">
        <x:f>"136.799.597-37"</x:f>
        <x:v>136.799.597-37</x:v>
      </x:c>
      <x:c r="W3865" s="22" t="str">
        <x:f>"13679959737"</x:f>
        <x:v>13679959737</x:v>
      </x:c>
      <x:c r="X3865" s="23" t="str">
        <x:v>clone.gp@gmail.com</x:v>
      </x:c>
      <x:c r="Y3865" s="22" t="str">
        <x:f>"22 998158057"</x:f>
        <x:v>22 998158057</x:v>
      </x:c>
      <x:c r="Z3865" s="30" t="n">
        <x:v>46337</x:v>
      </x:c>
    </x:row>
    <x:row r="3866" ht="18" customHeight="1">
      <x:c r="A3866" s="22" t="str">
        <x:f>"4afba74b-8bd4-4dd6-aa15-ffec86fa6533"</x:f>
        <x:v>4afba74b-8bd4-4dd6-aa15-ffec86fa6533</x:v>
      </x:c>
      <x:c r="B3866" s="23" t="str">
        <x:v>WELSON NASCIMENTO DE SOUZA</x:v>
      </x:c>
      <x:c r="C3866" s="23" t="str">
        <x:v>welson nascimento de souza</x:v>
      </x:c>
      <x:c r="D3866" s="22" t="str">
        <x:f>"55.156.937/0001-42"</x:f>
        <x:v>55.156.937/0001-42</x:v>
      </x:c>
      <x:c r="E3866" s="22" t="str">
        <x:f>"55156937000142"</x:f>
        <x:v>55156937000142</x:v>
      </x:c>
      <x:c r="F3866" s="22" t="str">
        <x:f>"070.427.251-23"</x:f>
        <x:v>070.427.251-23</x:v>
      </x:c>
      <x:c r="G3866" s="22" t="str">
        <x:f>"07042725123"</x:f>
        <x:v>07042725123</x:v>
      </x:c>
      <x:c r="H3866" s="23" t="str">
        <x:v>welsonnascimento43@gmail.com</x:v>
      </x:c>
      <x:c r="I3866" s="22" t="str">
        <x:f>"6793618107"</x:f>
        <x:v>6793618107</x:v>
      </x:c>
      <x:c r="J3866" s="23" t="str">
        <x:v>SPOT</x:v>
      </x:c>
      <x:c r="K3866" s="23" t="str">
        <x:v>favored_only</x:v>
      </x:c>
      <x:c r="L3866" s="24" t="b">
        <x:v>1</x:v>
      </x:c>
      <x:c r="M3866" s="23" t="n">
        <x:v>1</x:v>
      </x:c>
      <x:c r="N3866" s="28" t="n">
        <x:v>46205.60710224537</x:v>
      </x:c>
      <x:c r="O3866" s="28" t="n">
        <x:v>46219.812988715275</x:v>
      </x:c>
      <x:c r="P3866" s="23" t="str">
        <x:v>CHAPADÃO DO SUL</x:v>
      </x:c>
      <x:c r="Q3866" s="30" t="n">
        <x:v>35351</x:v>
      </x:c>
      <x:c r="R3866" s="22" t="str">
        <x:f>"8394640"</x:f>
        <x:v>8394640</x:v>
      </x:c>
      <x:c r="S3866" s="23" t="str">
        <x:v>masculino</x:v>
      </x:c>
      <x:c r="T3866" s="22" t="str">
        <x:f>"OAY5125"</x:f>
        <x:v>OAY5125</x:v>
      </x:c>
      <x:c r="U3866" s="23" t="str">
        <x:v>GILVANI GUERREIRO DE ALBUQUERQUE</x:v>
      </x:c>
      <x:c r="V3866" s="22" t="str">
        <x:f>"041.960.671-82"</x:f>
        <x:v>041.960.671-82</x:v>
      </x:c>
      <x:c r="W3866" s="22" t="str">
        <x:f>"04196067182"</x:f>
        <x:v>04196067182</x:v>
      </x:c>
      <x:c r="X3866" s="23" t="str">
        <x:v>Geovanaguerreiro40@gmail.com</x:v>
      </x:c>
      <x:c r="Y3866" s="22" t="str">
        <x:f>"67981555904"</x:f>
        <x:v>67981555904</x:v>
      </x:c>
      <x:c r="Z3866" s="30" t="n">
        <x:v>46399</x:v>
      </x:c>
    </x:row>
    <x:row r="3867" ht="18" customHeight="1">
      <x:c r="A3867" s="22" t="str">
        <x:f>"b0484644-f495-48de-b9e1-05dc2f2544d3"</x:f>
        <x:v>b0484644-f495-48de-b9e1-05dc2f2544d3</x:v>
      </x:c>
      <x:c r="B3867" s="23" t="str">
        <x:v>WELTON GOMES DA SILVA MENDES</x:v>
      </x:c>
      <x:c r="C3867" s="23" t="str">
        <x:v>welton gomes da silva mendes</x:v>
      </x:c>
      <x:c r="D3867" s="22" t="str">
        <x:f>"56.210.211/0001-03"</x:f>
        <x:v>56.210.211/0001-03</x:v>
      </x:c>
      <x:c r="E3867" s="22" t="str">
        <x:f>"56210211000103"</x:f>
        <x:v>56210211000103</x:v>
      </x:c>
      <x:c r="F3867" s="22" t="str">
        <x:f>"026.799.611-02"</x:f>
        <x:v>026.799.611-02</x:v>
      </x:c>
      <x:c r="G3867" s="22" t="str">
        <x:f>"02679961102"</x:f>
        <x:v>02679961102</x:v>
      </x:c>
      <x:c r="H3867" s="23" t="str">
        <x:v>weltonwg@hotmail.com</x:v>
      </x:c>
      <x:c r="I3867" s="22" t="str">
        <x:f>"65992619101"</x:f>
        <x:v>65992619101</x:v>
      </x:c>
      <x:c r="J3867" s="23" t="str">
        <x:v>SPOT</x:v>
      </x:c>
      <x:c r="K3867" s="23" t="str">
        <x:v>favored_only</x:v>
      </x:c>
      <x:c r="L3867" s="24" t="b">
        <x:v>1</x:v>
      </x:c>
      <x:c r="M3867" s="23" t="n">
        <x:v>1</x:v>
      </x:c>
      <x:c r="N3867" s="28" t="n">
        <x:v>46219.812988715275</x:v>
      </x:c>
      <x:c r="O3867" s="28" t="n">
        <x:v>46219.812988715275</x:v>
      </x:c>
      <x:c r="P3867" s="23" t="str">
        <x:v>CUIABA</x:v>
      </x:c>
      <x:c r="Q3867" s="30" t="n">
        <x:v>33438</x:v>
      </x:c>
      <x:c r="R3867" s="22" t="str">
        <x:f>"20147007"</x:f>
        <x:v>20147007</x:v>
      </x:c>
      <x:c r="S3867" s="23" t="str">
        <x:v>masculino</x:v>
      </x:c>
      <x:c r="T3867" s="22" t="str">
        <x:f>"RVT7E66"</x:f>
        <x:v>RVT7E66</x:v>
      </x:c>
      <x:c r="U3867" s="23" t="str">
        <x:v>WELTON GOMES DA SILVA MENDES</x:v>
      </x:c>
      <x:c r="V3867" s="22" t="str">
        <x:f>"026.799.611-02"</x:f>
        <x:v>026.799.611-02</x:v>
      </x:c>
      <x:c r="W3867" s="22" t="str">
        <x:f>"02679961102"</x:f>
        <x:v>02679961102</x:v>
      </x:c>
      <x:c r="X3867" s="23" t="str">
        <x:v>weltonwg@hotmail.com</x:v>
      </x:c>
      <x:c r="Y3867" s="22" t="str">
        <x:f>"65992619101"</x:f>
        <x:v>65992619101</x:v>
      </x:c>
      <x:c r="Z3867" s="30" t="n">
        <x:v>46547</x:v>
      </x:c>
    </x:row>
    <x:row r="3868" ht="18" customHeight="1">
      <x:c r="A3868" s="22" t="str">
        <x:f>"c52cc87b-46d4-415e-b064-aeadf910700d"</x:f>
        <x:v>c52cc87b-46d4-415e-b064-aeadf910700d</x:v>
      </x:c>
      <x:c r="B3868" s="23" t="str">
        <x:v>WELTON GOMES DA SILVA MENDES</x:v>
      </x:c>
      <x:c r="C3868" s="23" t="str">
        <x:v>welton gomes da silva mendes</x:v>
      </x:c>
      <x:c r="D3868" s="22" t="str">
        <x:f>"67.740.491/0001-88"</x:f>
        <x:v>67.740.491/0001-88</x:v>
      </x:c>
      <x:c r="E3868" s="22" t="str">
        <x:f>"67740491000188"</x:f>
        <x:v>67740491000188</x:v>
      </x:c>
      <x:c r="F3868" s="22" t="str">
        <x:f>"026.799.611-02"</x:f>
        <x:v>026.799.611-02</x:v>
      </x:c>
      <x:c r="G3868" s="22" t="str">
        <x:f>"02679961102"</x:f>
        <x:v>02679961102</x:v>
      </x:c>
      <x:c r="H3868" s="23" t="str">
        <x:v>weltonwg@hotmail.com</x:v>
      </x:c>
      <x:c r="I3868" s="22" t="str">
        <x:f>"65992619101"</x:f>
        <x:v>65992619101</x:v>
      </x:c>
      <x:c r="J3868" s="23" t="str">
        <x:v>SPOT</x:v>
      </x:c>
      <x:c r="K3868" s="23" t="str">
        <x:v>favored_only</x:v>
      </x:c>
      <x:c r="L3868" s="24" t="b">
        <x:v>1</x:v>
      </x:c>
      <x:c r="M3868" s="23" t="n">
        <x:v>1</x:v>
      </x:c>
      <x:c r="N3868" s="28" t="n">
        <x:v>46219.812988715275</x:v>
      </x:c>
      <x:c r="O3868" s="28" t="n">
        <x:v>46219.812988715275</x:v>
      </x:c>
      <x:c r="P3868" s="23" t="str">
        <x:v>CUIABA</x:v>
      </x:c>
      <x:c r="Q3868" s="30" t="n">
        <x:v>33438</x:v>
      </x:c>
      <x:c r="R3868" s="22" t="str">
        <x:f>"20147007"</x:f>
        <x:v>20147007</x:v>
      </x:c>
      <x:c r="S3868" s="23" t="str">
        <x:v>masculino</x:v>
      </x:c>
      <x:c r="T3868" s="22" t="str">
        <x:f>"RVT7E66"</x:f>
        <x:v>RVT7E66</x:v>
      </x:c>
      <x:c r="U3868" s="23" t="str">
        <x:v>WELTON GOMES DA SILVA MENDES</x:v>
      </x:c>
      <x:c r="V3868" s="22" t="str">
        <x:f>"026.799.611-02"</x:f>
        <x:v>026.799.611-02</x:v>
      </x:c>
      <x:c r="W3868" s="22" t="str">
        <x:f>"02679961102"</x:f>
        <x:v>02679961102</x:v>
      </x:c>
      <x:c r="X3868" s="23" t="str">
        <x:v>weltonwg@hotmail.com</x:v>
      </x:c>
      <x:c r="Y3868" s="22" t="str">
        <x:f>"65992619101"</x:f>
        <x:v>65992619101</x:v>
      </x:c>
      <x:c r="Z3868" s="30" t="n">
        <x:v>46547</x:v>
      </x:c>
    </x:row>
    <x:row r="3869" ht="18" customHeight="1">
      <x:c r="A3869" s="22" t="str">
        <x:f>"ce28c252-3092-4ee3-b67a-b4d87373760f"</x:f>
        <x:v>ce28c252-3092-4ee3-b67a-b4d87373760f</x:v>
      </x:c>
      <x:c r="B3869" s="23" t="str">
        <x:v>WELTON SOARES DE ARRUDA</x:v>
      </x:c>
      <x:c r="C3869" s="23" t="str">
        <x:v>welton soares de arruda</x:v>
      </x:c>
      <x:c r="D3869" s="22" t="str">
        <x:f>"37.823.997/0001-90"</x:f>
        <x:v>37.823.997/0001-90</x:v>
      </x:c>
      <x:c r="E3869" s="22" t="str">
        <x:f>"37823997000190"</x:f>
        <x:v>37823997000190</x:v>
      </x:c>
      <x:c r="F3869" s="22" t="str">
        <x:f>"007.490.611-97"</x:f>
        <x:v>007.490.611-97</x:v>
      </x:c>
      <x:c r="G3869" s="22" t="str">
        <x:f>"00749061197"</x:f>
        <x:v>00749061197</x:v>
      </x:c>
      <x:c r="H3869" s="23" t="str">
        <x:v>soares150386@gmail.com</x:v>
      </x:c>
      <x:c r="I3869" s="22" t="str">
        <x:f>"65 999754858"</x:f>
        <x:v>65 999754858</x:v>
      </x:c>
      <x:c r="J3869" s="23" t="str">
        <x:v>SPOT</x:v>
      </x:c>
      <x:c r="K3869" s="23" t="str">
        <x:v>favored_only</x:v>
      </x:c>
      <x:c r="L3869" s="24" t="b">
        <x:v>1</x:v>
      </x:c>
      <x:c r="M3869" s="23" t="n">
        <x:v>1</x:v>
      </x:c>
      <x:c r="N3869" s="28" t="n">
        <x:v>46205.605029479164</x:v>
      </x:c>
      <x:c r="O3869" s="28" t="n">
        <x:v>46219.812988715275</x:v>
      </x:c>
      <x:c r="P3869" s="23" t="str">
        <x:v>CÁCERES</x:v>
      </x:c>
      <x:c r="Q3869" s="30" t="n">
        <x:v>31486</x:v>
      </x:c>
      <x:c r="R3869" s="22" t="str">
        <x:f>"14785323"</x:f>
        <x:v>14785323</x:v>
      </x:c>
      <x:c r="S3869" s="23" t="str">
        <x:v>masculino</x:v>
      </x:c>
      <x:c r="T3869" s="22" t="str">
        <x:f>"NUD9J95"</x:f>
        <x:v>NUD9J95</x:v>
      </x:c>
      <x:c r="U3869" s="23" t="str">
        <x:v>DANILLO BACIEL ALMEIDA</x:v>
      </x:c>
      <x:c r="V3869" s="22" t="str">
        <x:f>"038.768.901-01"</x:f>
        <x:v>038.768.901-01</x:v>
      </x:c>
      <x:c r="W3869" s="22" t="str">
        <x:f>"03876890101"</x:f>
        <x:v>03876890101</x:v>
      </x:c>
      <x:c r="X3869" s="23" t="str">
        <x:v>rtp.cargas@gmail.com</x:v>
      </x:c>
      <x:c r="Y3869" s="22" t="str">
        <x:f>"62991277279"</x:f>
        <x:v>62991277279</x:v>
      </x:c>
      <x:c r="Z3869" s="30" t="n">
        <x:v>46308</x:v>
      </x:c>
    </x:row>
    <x:row r="3870" ht="18" customHeight="1">
      <x:c r="A3870" s="22" t="str">
        <x:f>"3192e60d-5270-46d8-a957-a9cd983a34e6"</x:f>
        <x:v>3192e60d-5270-46d8-a957-a9cd983a34e6</x:v>
      </x:c>
      <x:c r="B3870" s="23" t="str">
        <x:v>WENDEL DA SILVA SANTOS</x:v>
      </x:c>
      <x:c r="C3870" s="23" t="str">
        <x:v>wendel da silva santos</x:v>
      </x:c>
      <x:c r="D3870" s="22" t="str">
        <x:f>"63798379000147"</x:f>
        <x:v>63798379000147</x:v>
      </x:c>
      <x:c r="E3870" s="22" t="str">
        <x:f>"63798379000147"</x:f>
        <x:v>63798379000147</x:v>
      </x:c>
      <x:c r="F3870" s="22" t="str">
        <x:f>"168.775.737-22"</x:f>
        <x:v>168.775.737-22</x:v>
      </x:c>
      <x:c r="G3870" s="22" t="str">
        <x:f>"16877573722"</x:f>
        <x:v>16877573722</x:v>
      </x:c>
      <x:c r="H3870" s="23" t="str">
        <x:v>marcostiburciosilva67@gmail.com</x:v>
      </x:c>
      <x:c r="I3870" s="22" t="str">
        <x:f>"21980794854"</x:f>
        <x:v>21980794854</x:v>
      </x:c>
      <x:c r="J3870" s="23" t="str">
        <x:v>SPOT</x:v>
      </x:c>
      <x:c r="K3870" s="23" t="str">
        <x:v>favored_only</x:v>
      </x:c>
      <x:c r="L3870" s="24" t="b">
        <x:v>1</x:v>
      </x:c>
      <x:c r="M3870" s="23" t="n">
        <x:v>1</x:v>
      </x:c>
      <x:c r="N3870" s="28" t="n">
        <x:v>46203.9219084375</x:v>
      </x:c>
      <x:c r="O3870" s="28" t="n">
        <x:v>46203.9219084375</x:v>
      </x:c>
      <x:c r="P3870" s="23" t="str"/>
      <x:c r="Q3870" s="30" t="str"/>
      <x:c r="R3870" s="22" t="str"/>
      <x:c r="S3870" s="23" t="str"/>
      <x:c r="T3870" s="22" t="str"/>
      <x:c r="U3870" s="23" t="str">
        <x:v>WENDEL DA SILVA SANTOS</x:v>
      </x:c>
      <x:c r="V3870" s="22" t="str">
        <x:f>"168.775.737-22"</x:f>
        <x:v>168.775.737-22</x:v>
      </x:c>
      <x:c r="W3870" s="22" t="str">
        <x:f>"16877573722"</x:f>
        <x:v>16877573722</x:v>
      </x:c>
      <x:c r="X3870" s="23" t="str">
        <x:v>marcostiburciosilva67@gmail.com</x:v>
      </x:c>
      <x:c r="Y3870" s="22" t="str">
        <x:f>"21980794854"</x:f>
        <x:v>21980794854</x:v>
      </x:c>
      <x:c r="Z3870" s="30" t="str"/>
    </x:row>
    <x:row r="3871" ht="18" customHeight="1">
      <x:c r="A3871" s="22" t="str">
        <x:f>"fc9aab07-a677-4b06-bf40-fa28574060ed"</x:f>
        <x:v>fc9aab07-a677-4b06-bf40-fa28574060ed</x:v>
      </x:c>
      <x:c r="B3871" s="23" t="str">
        <x:v>WENDEL HENRIQUE SOARES RIBEIRO</x:v>
      </x:c>
      <x:c r="C3871" s="23" t="str">
        <x:v>wendel henrique soares ribeiro</x:v>
      </x:c>
      <x:c r="D3871" s="22" t="str">
        <x:f>"62.299.194/0001-25"</x:f>
        <x:v>62.299.194/0001-25</x:v>
      </x:c>
      <x:c r="E3871" s="22" t="str">
        <x:f>"62299194000125"</x:f>
        <x:v>62299194000125</x:v>
      </x:c>
      <x:c r="F3871" s="22" t="str">
        <x:f>"109.601.196-47"</x:f>
        <x:v>109.601.196-47</x:v>
      </x:c>
      <x:c r="G3871" s="22" t="str">
        <x:f>"10960119647"</x:f>
        <x:v>10960119647</x:v>
      </x:c>
      <x:c r="H3871" s="23" t="str">
        <x:v>wendelhsr2015@gmail.com</x:v>
      </x:c>
      <x:c r="I3871" s="22" t="str">
        <x:f>"33999455926"</x:f>
        <x:v>33999455926</x:v>
      </x:c>
      <x:c r="J3871" s="23" t="str">
        <x:v>SPOT</x:v>
      </x:c>
      <x:c r="K3871" s="23" t="str">
        <x:v>favored_only</x:v>
      </x:c>
      <x:c r="L3871" s="24" t="b">
        <x:v>1</x:v>
      </x:c>
      <x:c r="M3871" s="23" t="n">
        <x:v>1</x:v>
      </x:c>
      <x:c r="N3871" s="28" t="n">
        <x:v>46219.812988715275</x:v>
      </x:c>
      <x:c r="O3871" s="28" t="n">
        <x:v>46219.812988715275</x:v>
      </x:c>
      <x:c r="P3871" s="23" t="str">
        <x:v>GUANHAES</x:v>
      </x:c>
      <x:c r="Q3871" s="30" t="n">
        <x:v>33618</x:v>
      </x:c>
      <x:c r="R3871" s="22" t="str">
        <x:f>"17979108"</x:f>
        <x:v>17979108</x:v>
      </x:c>
      <x:c r="S3871" s="23" t="str">
        <x:v>masculino</x:v>
      </x:c>
      <x:c r="T3871" s="22" t="str">
        <x:f>"HLQ0F31"</x:f>
        <x:v>HLQ0F31</x:v>
      </x:c>
      <x:c r="U3871" s="23" t="str">
        <x:v>WENDEL HENRIQUE SOARES RIBEIRO</x:v>
      </x:c>
      <x:c r="V3871" s="22" t="str">
        <x:f>"109.601.196-47"</x:f>
        <x:v>109.601.196-47</x:v>
      </x:c>
      <x:c r="W3871" s="22" t="str">
        <x:f>"10960119647"</x:f>
        <x:v>10960119647</x:v>
      </x:c>
      <x:c r="X3871" s="23" t="str">
        <x:v>wendelhsr2015@gmail.com</x:v>
      </x:c>
      <x:c r="Y3871" s="22" t="str">
        <x:f>"33999455926"</x:f>
        <x:v>33999455926</x:v>
      </x:c>
      <x:c r="Z3871" s="30" t="n">
        <x:v>46548</x:v>
      </x:c>
    </x:row>
    <x:row r="3872" ht="18" customHeight="1">
      <x:c r="A3872" s="22" t="str">
        <x:f>"8b3c60e1-2272-4c6d-ba34-305cb1ae949f"</x:f>
        <x:v>8b3c60e1-2272-4c6d-ba34-305cb1ae949f</x:v>
      </x:c>
      <x:c r="B3872" s="23" t="str">
        <x:v>WENDER DEIVIDE AMILTON CARVALHO SANTOS</x:v>
      </x:c>
      <x:c r="C3872" s="23" t="str">
        <x:v>wender deivide amilton carvalho santos</x:v>
      </x:c>
      <x:c r="D3872" s="22" t="str">
        <x:f>"47796401000163"</x:f>
        <x:v>47796401000163</x:v>
      </x:c>
      <x:c r="E3872" s="22" t="str">
        <x:f>"47796401000163"</x:f>
        <x:v>47796401000163</x:v>
      </x:c>
      <x:c r="F3872" s="22" t="str">
        <x:f>"07380543644"</x:f>
        <x:v>07380543644</x:v>
      </x:c>
      <x:c r="G3872" s="22" t="str">
        <x:f>"07380543644"</x:f>
        <x:v>07380543644</x:v>
      </x:c>
      <x:c r="H3872" s="23" t="str">
        <x:v>Deivid_santos22@hotmail.com</x:v>
      </x:c>
      <x:c r="I3872" s="22" t="str">
        <x:f>"31 985382301"</x:f>
        <x:v>31 985382301</x:v>
      </x:c>
      <x:c r="J3872" s="23" t="str">
        <x:v>SPOT</x:v>
      </x:c>
      <x:c r="K3872" s="23" t="str">
        <x:v>favored_only</x:v>
      </x:c>
      <x:c r="L3872" s="24" t="b">
        <x:v>1</x:v>
      </x:c>
      <x:c r="M3872" s="23" t="n">
        <x:v>1</x:v>
      </x:c>
      <x:c r="N3872" s="28" t="n">
        <x:v>46203.921858726855</x:v>
      </x:c>
      <x:c r="O3872" s="28" t="n">
        <x:v>46203.921858726855</x:v>
      </x:c>
      <x:c r="P3872" s="23" t="str"/>
      <x:c r="Q3872" s="30" t="str"/>
      <x:c r="R3872" s="22" t="str"/>
      <x:c r="S3872" s="23" t="str"/>
      <x:c r="T3872" s="22" t="str"/>
      <x:c r="U3872" s="23" t="str">
        <x:v>WENDER DEIVIDE AMILTON CARVALHO SANTOS</x:v>
      </x:c>
      <x:c r="V3872" s="22" t="str">
        <x:f>"07380543644"</x:f>
        <x:v>07380543644</x:v>
      </x:c>
      <x:c r="W3872" s="22" t="str">
        <x:f>"07380543644"</x:f>
        <x:v>07380543644</x:v>
      </x:c>
      <x:c r="X3872" s="23" t="str">
        <x:v>Deivid_santos22@hotmail.com</x:v>
      </x:c>
      <x:c r="Y3872" s="22" t="str">
        <x:f>"31 985382301"</x:f>
        <x:v>31 985382301</x:v>
      </x:c>
      <x:c r="Z3872" s="30" t="str"/>
    </x:row>
    <x:row r="3873" ht="18" customHeight="1">
      <x:c r="A3873" s="22" t="str">
        <x:f>"036731fd-3b84-465a-bc5b-a557146afc94"</x:f>
        <x:v>036731fd-3b84-465a-bc5b-a557146afc94</x:v>
      </x:c>
      <x:c r="B3873" s="23" t="str">
        <x:v>WENDER MAGALHAES DE OLIVEIRA</x:v>
      </x:c>
      <x:c r="C3873" s="23" t="str">
        <x:v>wender magalhaes de oliveira</x:v>
      </x:c>
      <x:c r="D3873" s="22" t="str">
        <x:f>"41.360.545/0001-96"</x:f>
        <x:v>41.360.545/0001-96</x:v>
      </x:c>
      <x:c r="E3873" s="22" t="str">
        <x:f>"41360545000196"</x:f>
        <x:v>41360545000196</x:v>
      </x:c>
      <x:c r="F3873" s="22" t="str">
        <x:f>"702.142.391-87"</x:f>
        <x:v>702.142.391-87</x:v>
      </x:c>
      <x:c r="G3873" s="22" t="str">
        <x:f>"70214239187"</x:f>
        <x:v>70214239187</x:v>
      </x:c>
      <x:c r="H3873" s="23" t="str">
        <x:v>wendermagalhaes7@gmail.com</x:v>
      </x:c>
      <x:c r="I3873" s="22" t="str">
        <x:f>"(65)999614415"</x:f>
        <x:v>(65)999614415</x:v>
      </x:c>
      <x:c r="J3873" s="23" t="str">
        <x:v>SPOT</x:v>
      </x:c>
      <x:c r="K3873" s="23" t="str">
        <x:v>favored_only</x:v>
      </x:c>
      <x:c r="L3873" s="24" t="b">
        <x:v>1</x:v>
      </x:c>
      <x:c r="M3873" s="23" t="n">
        <x:v>1</x:v>
      </x:c>
      <x:c r="N3873" s="28" t="n">
        <x:v>46219.812988715275</x:v>
      </x:c>
      <x:c r="O3873" s="28" t="n">
        <x:v>46219.812988715275</x:v>
      </x:c>
      <x:c r="P3873" s="23" t="str">
        <x:v>CÁCERES</x:v>
      </x:c>
      <x:c r="Q3873" s="30" t="n">
        <x:v>30066</x:v>
      </x:c>
      <x:c r="R3873" s="22" t="str">
        <x:f>"13387162"</x:f>
        <x:v>13387162</x:v>
      </x:c>
      <x:c r="S3873" s="23" t="str">
        <x:v>masculino</x:v>
      </x:c>
      <x:c r="T3873" s="22" t="str">
        <x:f>"ANS1A79"</x:f>
        <x:v>ANS1A79</x:v>
      </x:c>
      <x:c r="U3873" s="23" t="str">
        <x:v>WENDER MAGALHAES DE OLIVEIRA</x:v>
      </x:c>
      <x:c r="V3873" s="22" t="str">
        <x:f>"702.142.391-87"</x:f>
        <x:v>702.142.391-87</x:v>
      </x:c>
      <x:c r="W3873" s="22" t="str">
        <x:f>"70214239187"</x:f>
        <x:v>70214239187</x:v>
      </x:c>
      <x:c r="X3873" s="23" t="str">
        <x:v>wendermagalhaes7@gmail.com</x:v>
      </x:c>
      <x:c r="Y3873" s="22" t="str">
        <x:f>"(65)999614415"</x:f>
        <x:v>(65)999614415</x:v>
      </x:c>
      <x:c r="Z3873" s="30" t="n">
        <x:v>46541</x:v>
      </x:c>
    </x:row>
    <x:row r="3874" ht="18" customHeight="1">
      <x:c r="A3874" s="22" t="str">
        <x:f>"2065ad38-8c00-440c-b33a-d9b1631c8ff3"</x:f>
        <x:v>2065ad38-8c00-440c-b33a-d9b1631c8ff3</x:v>
      </x:c>
      <x:c r="B3874" s="23" t="str">
        <x:v>WENDERSON HENRIQUE FIRMINO</x:v>
      </x:c>
      <x:c r="C3874" s="23" t="str">
        <x:v>wenderson henrique firmino</x:v>
      </x:c>
      <x:c r="D3874" s="22" t="str">
        <x:f>"49.594.806/0001-44"</x:f>
        <x:v>49.594.806/0001-44</x:v>
      </x:c>
      <x:c r="E3874" s="22" t="str">
        <x:f>"49594806000144"</x:f>
        <x:v>49594806000144</x:v>
      </x:c>
      <x:c r="F3874" s="22" t="str">
        <x:f>"074.556.566-29"</x:f>
        <x:v>074.556.566-29</x:v>
      </x:c>
      <x:c r="G3874" s="22" t="str">
        <x:f>"07455656629"</x:f>
        <x:v>07455656629</x:v>
      </x:c>
      <x:c r="H3874" s="23" t="str">
        <x:v>wenderson.hf@hotmail.com</x:v>
      </x:c>
      <x:c r="I3874" s="22" t="str">
        <x:f>"31 992329026"</x:f>
        <x:v>31 992329026</x:v>
      </x:c>
      <x:c r="J3874" s="23" t="str">
        <x:v>SPOT</x:v>
      </x:c>
      <x:c r="K3874" s="23" t="str">
        <x:v>favored_only</x:v>
      </x:c>
      <x:c r="L3874" s="24" t="b">
        <x:v>1</x:v>
      </x:c>
      <x:c r="M3874" s="23" t="n">
        <x:v>1</x:v>
      </x:c>
      <x:c r="N3874" s="28" t="n">
        <x:v>46219.812988715275</x:v>
      </x:c>
      <x:c r="O3874" s="28" t="n">
        <x:v>46219.812988715275</x:v>
      </x:c>
      <x:c r="P3874" s="23" t="str">
        <x:v>IPATINGA</x:v>
      </x:c>
      <x:c r="Q3874" s="30" t="n">
        <x:v>31447</x:v>
      </x:c>
      <x:c r="R3874" s="22" t="str">
        <x:f>"MG 14658831 SSPMG"</x:f>
        <x:v>MG 14658831 SSPMG</x:v>
      </x:c>
      <x:c r="S3874" s="23" t="str">
        <x:v>masculino</x:v>
      </x:c>
      <x:c r="T3874" s="22" t="str">
        <x:f>"ERP8C91"</x:f>
        <x:v>ERP8C91</x:v>
      </x:c>
      <x:c r="U3874" s="23" t="str">
        <x:v>WENDERSON HENRIQUE FIRMINO</x:v>
      </x:c>
      <x:c r="V3874" s="22" t="str">
        <x:f>"074.556.566-29"</x:f>
        <x:v>074.556.566-29</x:v>
      </x:c>
      <x:c r="W3874" s="22" t="str">
        <x:f>"07455656629"</x:f>
        <x:v>07455656629</x:v>
      </x:c>
      <x:c r="X3874" s="23" t="str">
        <x:v>wenderson.hf@hotmail.com</x:v>
      </x:c>
      <x:c r="Y3874" s="22" t="str">
        <x:f>"31 992329026"</x:f>
        <x:v>31 992329026</x:v>
      </x:c>
      <x:c r="Z3874" s="30" t="n">
        <x:v>46445</x:v>
      </x:c>
    </x:row>
    <x:row r="3875" ht="18" customHeight="1">
      <x:c r="A3875" s="22" t="str">
        <x:f>"0be6059b-fedf-4043-9bc9-93f741e62948"</x:f>
        <x:v>0be6059b-fedf-4043-9bc9-93f741e62948</x:v>
      </x:c>
      <x:c r="B3875" s="23" t="str">
        <x:v>WENDER VIEIRA DOS SANTOS</x:v>
      </x:c>
      <x:c r="C3875" s="23" t="str">
        <x:v>wender vieira dos santos</x:v>
      </x:c>
      <x:c r="D3875" s="22" t="str">
        <x:f>"47.542.836/0001-81"</x:f>
        <x:v>47.542.836/0001-81</x:v>
      </x:c>
      <x:c r="E3875" s="22" t="str">
        <x:f>"47542836000181"</x:f>
        <x:v>47542836000181</x:v>
      </x:c>
      <x:c r="F3875" s="22" t="str">
        <x:f>"009.129.681-17"</x:f>
        <x:v>009.129.681-17</x:v>
      </x:c>
      <x:c r="G3875" s="22" t="str">
        <x:f>"00912968117"</x:f>
        <x:v>00912968117</x:v>
      </x:c>
      <x:c r="H3875" s="23" t="str">
        <x:v>wendertm90bb@gmail.com</x:v>
      </x:c>
      <x:c r="I3875" s="22" t="str">
        <x:f>"64 9220-7998"</x:f>
        <x:v>64 9220-7998</x:v>
      </x:c>
      <x:c r="J3875" s="23" t="str">
        <x:v>RENTAL</x:v>
      </x:c>
      <x:c r="K3875" s="23" t="str">
        <x:v>rental_company</x:v>
      </x:c>
      <x:c r="L3875" s="24" t="b">
        <x:v>1</x:v>
      </x:c>
      <x:c r="M3875" s="23" t="n">
        <x:v>1</x:v>
      </x:c>
      <x:c r="N3875" s="28" t="n">
        <x:v>46203.9218771875</x:v>
      </x:c>
      <x:c r="O3875" s="28" t="n">
        <x:v>46219.812988715275</x:v>
      </x:c>
      <x:c r="P3875" s="23" t="str">
        <x:v>RIO VERDE</x:v>
      </x:c>
      <x:c r="Q3875" s="30" t="n">
        <x:v>30932</x:v>
      </x:c>
      <x:c r="R3875" s="22" t="str">
        <x:f>"4726618"</x:f>
        <x:v>4726618</x:v>
      </x:c>
      <x:c r="S3875" s="23" t="str">
        <x:v>masculino</x:v>
      </x:c>
      <x:c r="T3875" s="22" t="str"/>
      <x:c r="U3875" s="23" t="str">
        <x:v>WENDER VIEIRA DOS SANTOS</x:v>
      </x:c>
      <x:c r="V3875" s="22" t="str">
        <x:f>"009.129.681-17"</x:f>
        <x:v>009.129.681-17</x:v>
      </x:c>
      <x:c r="W3875" s="22" t="str">
        <x:f>"00912968117"</x:f>
        <x:v>00912968117</x:v>
      </x:c>
      <x:c r="X3875" s="23" t="str">
        <x:v>wendertm90bb@gmail.com</x:v>
      </x:c>
      <x:c r="Y3875" s="22" t="str">
        <x:f>"64 9220-7998"</x:f>
        <x:v>64 9220-7998</x:v>
      </x:c>
      <x:c r="Z3875" s="30" t="n">
        <x:v>46304</x:v>
      </x:c>
    </x:row>
    <x:row r="3876" ht="18" customHeight="1">
      <x:c r="A3876" s="22" t="str">
        <x:f>"38d20454-2493-409f-bef6-4e075eac5482"</x:f>
        <x:v>38d20454-2493-409f-bef6-4e075eac5482</x:v>
      </x:c>
      <x:c r="B3876" s="23" t="str">
        <x:v>WESLEI ALMEIDA DE OLIVEIRA</x:v>
      </x:c>
      <x:c r="C3876" s="23" t="str">
        <x:v>weslei almeida de oliveira</x:v>
      </x:c>
      <x:c r="D3876" s="22" t="str">
        <x:f>"53.264.533/0001-47"</x:f>
        <x:v>53.264.533/0001-47</x:v>
      </x:c>
      <x:c r="E3876" s="22" t="str">
        <x:f>"53264533000147"</x:f>
        <x:v>53264533000147</x:v>
      </x:c>
      <x:c r="F3876" s="22" t="str">
        <x:f>"029.243.951-27"</x:f>
        <x:v>029.243.951-27</x:v>
      </x:c>
      <x:c r="G3876" s="22" t="str">
        <x:f>"02924395127"</x:f>
        <x:v>02924395127</x:v>
      </x:c>
      <x:c r="H3876" s="23" t="str">
        <x:v>almeidaweslei1@gmail.com</x:v>
      </x:c>
      <x:c r="I3876" s="22" t="str">
        <x:f>"65999420052"</x:f>
        <x:v>65999420052</x:v>
      </x:c>
      <x:c r="J3876" s="23" t="str">
        <x:v>SPOT</x:v>
      </x:c>
      <x:c r="K3876" s="23" t="str">
        <x:v>favored_only</x:v>
      </x:c>
      <x:c r="L3876" s="24" t="b">
        <x:v>1</x:v>
      </x:c>
      <x:c r="M3876" s="23" t="n">
        <x:v>1</x:v>
      </x:c>
      <x:c r="N3876" s="28" t="n">
        <x:v>46219.812988715275</x:v>
      </x:c>
      <x:c r="O3876" s="28" t="n">
        <x:v>46219.812988715275</x:v>
      </x:c>
      <x:c r="P3876" s="23" t="str">
        <x:v>PONTES E LACERDA</x:v>
      </x:c>
      <x:c r="Q3876" s="30" t="n">
        <x:v>31939</x:v>
      </x:c>
      <x:c r="R3876" s="22" t="str">
        <x:f>"18615309"</x:f>
        <x:v>18615309</x:v>
      </x:c>
      <x:c r="S3876" s="23" t="str">
        <x:v>masculino</x:v>
      </x:c>
      <x:c r="T3876" s="22" t="str">
        <x:f>"SPT1G21"</x:f>
        <x:v>SPT1G21</x:v>
      </x:c>
      <x:c r="U3876" s="23" t="str">
        <x:v>LEONIDAS DE PINHO SILVA</x:v>
      </x:c>
      <x:c r="V3876" s="22" t="str">
        <x:f>"692.451.851-68"</x:f>
        <x:v>692.451.851-68</x:v>
      </x:c>
      <x:c r="W3876" s="22" t="str">
        <x:f>"69245185168"</x:f>
        <x:v>69245185168</x:v>
      </x:c>
      <x:c r="X3876" s="23" t="str">
        <x:v>veloxlogisticamt@gmail.com</x:v>
      </x:c>
      <x:c r="Y3876" s="22" t="str">
        <x:f>"65 99679-0317"</x:f>
        <x:v>65 99679-0317</x:v>
      </x:c>
      <x:c r="Z3876" s="30" t="n">
        <x:v>46476</x:v>
      </x:c>
    </x:row>
    <x:row r="3877" ht="18" customHeight="1">
      <x:c r="A3877" s="22" t="str">
        <x:f>"a7447f6a-d267-4460-843d-87268d191bc3"</x:f>
        <x:v>a7447f6a-d267-4460-843d-87268d191bc3</x:v>
      </x:c>
      <x:c r="B3877" s="23" t="str">
        <x:v>WESLEI WELINGTON DOS SANTOS</x:v>
      </x:c>
      <x:c r="C3877" s="23" t="str">
        <x:v>weslei welington dos santos</x:v>
      </x:c>
      <x:c r="D3877" s="22" t="str">
        <x:f>"63.518.379/0001-46"</x:f>
        <x:v>63.518.379/0001-46</x:v>
      </x:c>
      <x:c r="E3877" s="22" t="str">
        <x:f>"63518379000146"</x:f>
        <x:v>63518379000146</x:v>
      </x:c>
      <x:c r="F3877" s="22" t="str">
        <x:f>"076.194.036-71"</x:f>
        <x:v>076.194.036-71</x:v>
      </x:c>
      <x:c r="G3877" s="22" t="str">
        <x:f>"07619403671"</x:f>
        <x:v>07619403671</x:v>
      </x:c>
      <x:c r="H3877" s="23" t="str">
        <x:v>wesleiws@hotmail.com</x:v>
      </x:c>
      <x:c r="I3877" s="22" t="str">
        <x:f>"27992527148"</x:f>
        <x:v>27992527148</x:v>
      </x:c>
      <x:c r="J3877" s="23" t="str">
        <x:v>RENTAL</x:v>
      </x:c>
      <x:c r="K3877" s="23" t="str">
        <x:v>favored_only</x:v>
      </x:c>
      <x:c r="L3877" s="24" t="b">
        <x:v>1</x:v>
      </x:c>
      <x:c r="M3877" s="23" t="n">
        <x:v>2</x:v>
      </x:c>
      <x:c r="N3877" s="28" t="n">
        <x:v>46203.9219084375</x:v>
      </x:c>
      <x:c r="O3877" s="28" t="n">
        <x:v>46219.812988715275</x:v>
      </x:c>
      <x:c r="P3877" s="23" t="str">
        <x:v>IPATINGA</x:v>
      </x:c>
      <x:c r="Q3877" s="30" t="n">
        <x:v>31804</x:v>
      </x:c>
      <x:c r="R3877" s="22" t="str">
        <x:f>"MG 12999235 SSPMG"</x:f>
        <x:v>MG 12999235 SSPMG</x:v>
      </x:c>
      <x:c r="S3877" s="23" t="str">
        <x:v>masculino</x:v>
      </x:c>
      <x:c r="T3877" s="22" t="str">
        <x:f>"QPD0H75"</x:f>
        <x:v>QPD0H75</x:v>
      </x:c>
      <x:c r="U3877" s="23" t="str">
        <x:v>WESLEI WELINGTON DOS SANTOS</x:v>
      </x:c>
      <x:c r="V3877" s="22" t="str">
        <x:f>"076.194.036-71"</x:f>
        <x:v>076.194.036-71</x:v>
      </x:c>
      <x:c r="W3877" s="22" t="str">
        <x:f>"07619403671"</x:f>
        <x:v>07619403671</x:v>
      </x:c>
      <x:c r="X3877" s="23" t="str">
        <x:v>wesleiws@hotmail.com</x:v>
      </x:c>
      <x:c r="Y3877" s="22" t="str">
        <x:f>"27992527148"</x:f>
        <x:v>27992527148</x:v>
      </x:c>
      <x:c r="Z3877" s="30" t="n">
        <x:v>46451</x:v>
      </x:c>
    </x:row>
    <x:row r="3878" ht="18" customHeight="1">
      <x:c r="A3878" s="22" t="str">
        <x:f>"83eaa222-f2a7-4637-bb85-2bc4c6ea8416"</x:f>
        <x:v>83eaa222-f2a7-4637-bb85-2bc4c6ea8416</x:v>
      </x:c>
      <x:c r="B3878" s="23" t="str">
        <x:v>WESLEN BALTAZAR BASILIO</x:v>
      </x:c>
      <x:c r="C3878" s="23" t="str">
        <x:v>weslen baltazar basilio</x:v>
      </x:c>
      <x:c r="D3878" s="22" t="str">
        <x:f>"39.858.982/0001-92"</x:f>
        <x:v>39.858.982/0001-92</x:v>
      </x:c>
      <x:c r="E3878" s="22" t="str">
        <x:f>"39858982000192"</x:f>
        <x:v>39858982000192</x:v>
      </x:c>
      <x:c r="F3878" s="22" t="str">
        <x:f>"431.306.218-14"</x:f>
        <x:v>431.306.218-14</x:v>
      </x:c>
      <x:c r="G3878" s="22" t="str">
        <x:f>"43130621814"</x:f>
        <x:v>43130621814</x:v>
      </x:c>
      <x:c r="H3878" s="23" t="str">
        <x:v>weslenbasilio9@gmail.com</x:v>
      </x:c>
      <x:c r="I3878" s="22" t="str">
        <x:f>"17981699238"</x:f>
        <x:v>17981699238</x:v>
      </x:c>
      <x:c r="J3878" s="23" t="str">
        <x:v>RENTAL</x:v>
      </x:c>
      <x:c r="K3878" s="23" t="str">
        <x:v>rental_company</x:v>
      </x:c>
      <x:c r="L3878" s="24" t="b">
        <x:v>1</x:v>
      </x:c>
      <x:c r="M3878" s="23" t="n">
        <x:v>1</x:v>
      </x:c>
      <x:c r="N3878" s="28" t="n">
        <x:v>46203.92186888889</x:v>
      </x:c>
      <x:c r="O3878" s="28" t="n">
        <x:v>46219.812988715275</x:v>
      </x:c>
      <x:c r="P3878" s="23" t="str">
        <x:v>SÃO JOSE DO RIO PRETO</x:v>
      </x:c>
      <x:c r="Q3878" s="30" t="n">
        <x:v>35255</x:v>
      </x:c>
      <x:c r="R3878" s="22" t="str">
        <x:f>"54306960"</x:f>
        <x:v>54306960</x:v>
      </x:c>
      <x:c r="S3878" s="23" t="str">
        <x:v>masculino</x:v>
      </x:c>
      <x:c r="T3878" s="22" t="str"/>
      <x:c r="U3878" s="23" t="str">
        <x:v>WESLEN BALTAZAR BASILIO</x:v>
      </x:c>
      <x:c r="V3878" s="22" t="str">
        <x:f>"431.306.218-14"</x:f>
        <x:v>431.306.218-14</x:v>
      </x:c>
      <x:c r="W3878" s="22" t="str">
        <x:f>"43130621814"</x:f>
        <x:v>43130621814</x:v>
      </x:c>
      <x:c r="X3878" s="23" t="str">
        <x:v>weslenbasilio9@gmail.com</x:v>
      </x:c>
      <x:c r="Y3878" s="22" t="str">
        <x:f>"17981699238"</x:f>
        <x:v>17981699238</x:v>
      </x:c>
      <x:c r="Z3878" s="30" t="n">
        <x:v>46298</x:v>
      </x:c>
    </x:row>
    <x:row r="3879" ht="18" customHeight="1">
      <x:c r="A3879" s="22" t="str">
        <x:f>"244bf2db-f758-43c1-9226-910120d66bf8"</x:f>
        <x:v>244bf2db-f758-43c1-9226-910120d66bf8</x:v>
      </x:c>
      <x:c r="B3879" s="23" t="str">
        <x:v>WESLEY AGUIAR VILELA</x:v>
      </x:c>
      <x:c r="C3879" s="23" t="str">
        <x:v>wesley aguiar vilela</x:v>
      </x:c>
      <x:c r="D3879" s="22" t="str">
        <x:f>"30.092.059/0001-18"</x:f>
        <x:v>30.092.059/0001-18</x:v>
      </x:c>
      <x:c r="E3879" s="22" t="str">
        <x:f>"30092059000118"</x:f>
        <x:v>30092059000118</x:v>
      </x:c>
      <x:c r="F3879" s="22" t="str">
        <x:f>"449.077.448-62"</x:f>
        <x:v>449.077.448-62</x:v>
      </x:c>
      <x:c r="G3879" s="22" t="str">
        <x:f>"44907744862"</x:f>
        <x:v>44907744862</x:v>
      </x:c>
      <x:c r="H3879" s="23" t="str">
        <x:v>wesleyaguiar468@gmail.com</x:v>
      </x:c>
      <x:c r="I3879" s="22" t="str">
        <x:f>"(14) 99176-3078"</x:f>
        <x:v>(14) 99176-3078</x:v>
      </x:c>
      <x:c r="J3879" s="23" t="str">
        <x:v>RENTAL</x:v>
      </x:c>
      <x:c r="K3879" s="23" t="str">
        <x:v>rental_company</x:v>
      </x:c>
      <x:c r="L3879" s="24" t="b">
        <x:v>1</x:v>
      </x:c>
      <x:c r="M3879" s="23" t="n">
        <x:v>2</x:v>
      </x:c>
      <x:c r="N3879" s="28" t="n">
        <x:v>46219.812988715275</x:v>
      </x:c>
      <x:c r="O3879" s="28" t="n">
        <x:v>46219.812988715275</x:v>
      </x:c>
      <x:c r="P3879" s="23" t="str">
        <x:v>BAURU</x:v>
      </x:c>
      <x:c r="Q3879" s="30" t="n">
        <x:v>34955</x:v>
      </x:c>
      <x:c r="R3879" s="22" t="str">
        <x:f>"42310915-7"</x:f>
        <x:v>42310915-7</x:v>
      </x:c>
      <x:c r="S3879" s="23" t="str">
        <x:v>masculino</x:v>
      </x:c>
      <x:c r="T3879" s="22" t="str">
        <x:f>"PNZ1A93"</x:f>
        <x:v>PNZ1A93</x:v>
      </x:c>
      <x:c r="U3879" s="23" t="str">
        <x:v>WESLEY AGUIAR VILELA</x:v>
      </x:c>
      <x:c r="V3879" s="22" t="str">
        <x:f>"449.077.448-62"</x:f>
        <x:v>449.077.448-62</x:v>
      </x:c>
      <x:c r="W3879" s="22" t="str">
        <x:f>"44907744862"</x:f>
        <x:v>44907744862</x:v>
      </x:c>
      <x:c r="X3879" s="23" t="str">
        <x:v>wesleyaguiar468@gmail.com</x:v>
      </x:c>
      <x:c r="Y3879" s="22" t="str">
        <x:f>"(14) 99176-3078"</x:f>
        <x:v>(14) 99176-3078</x:v>
      </x:c>
      <x:c r="Z3879" s="30" t="n">
        <x:v>46386</x:v>
      </x:c>
    </x:row>
    <x:row r="3880" ht="18" customHeight="1">
      <x:c r="A3880" s="22" t="str">
        <x:f>"dbb74e3f-7364-412e-8a94-e5e3b785d61a"</x:f>
        <x:v>dbb74e3f-7364-412e-8a94-e5e3b785d61a</x:v>
      </x:c>
      <x:c r="B3880" s="23" t="str">
        <x:v>Wesley Alkmim Almeida</x:v>
      </x:c>
      <x:c r="C3880" s="23" t="str">
        <x:v>wesley alkmim almeida</x:v>
      </x:c>
      <x:c r="D3880" s="22" t="str">
        <x:f>"58.168.940/0001-74"</x:f>
        <x:v>58.168.940/0001-74</x:v>
      </x:c>
      <x:c r="E3880" s="22" t="str">
        <x:f>"58168940000174"</x:f>
        <x:v>58168940000174</x:v>
      </x:c>
      <x:c r="F3880" s="22" t="str">
        <x:f>"077.015.526-00"</x:f>
        <x:v>077.015.526-00</x:v>
      </x:c>
      <x:c r="G3880" s="22" t="str">
        <x:f>"07701552600"</x:f>
        <x:v>07701552600</x:v>
      </x:c>
      <x:c r="H3880" s="23" t="str">
        <x:v>wesleyalkmin2051@gmail.com</x:v>
      </x:c>
      <x:c r="I3880" s="22" t="str">
        <x:f>"31998542445"</x:f>
        <x:v>31998542445</x:v>
      </x:c>
      <x:c r="J3880" s="23" t="str">
        <x:v>SPOT</x:v>
      </x:c>
      <x:c r="K3880" s="23" t="str">
        <x:v>favored_only</x:v>
      </x:c>
      <x:c r="L3880" s="24" t="b">
        <x:v>1</x:v>
      </x:c>
      <x:c r="M3880" s="23" t="n">
        <x:v>2</x:v>
      </x:c>
      <x:c r="N3880" s="28" t="n">
        <x:v>46203.92184908565</x:v>
      </x:c>
      <x:c r="O3880" s="28" t="n">
        <x:v>46205.6066146875</x:v>
      </x:c>
      <x:c r="P3880" s="23" t="str">
        <x:v>CONTAGEM</x:v>
      </x:c>
      <x:c r="Q3880" s="30" t="n">
        <x:v>31337</x:v>
      </x:c>
      <x:c r="R3880" s="22" t="str">
        <x:f>"14322198"</x:f>
        <x:v>14322198</x:v>
      </x:c>
      <x:c r="S3880" s="23" t="str">
        <x:v>Masculino</x:v>
      </x:c>
      <x:c r="T3880" s="22" t="str">
        <x:f>"QXC4H19"</x:f>
        <x:v>QXC4H19</x:v>
      </x:c>
      <x:c r="U3880" s="23" t="str">
        <x:v>Wesley Alkmim Almeida</x:v>
      </x:c>
      <x:c r="V3880" s="22" t="str">
        <x:f>"07701552600"</x:f>
        <x:v>07701552600</x:v>
      </x:c>
      <x:c r="W3880" s="22" t="str">
        <x:f>"07701552600"</x:f>
        <x:v>07701552600</x:v>
      </x:c>
      <x:c r="X3880" s="23" t="str">
        <x:v>wesleyalkmin2051@gmail.com</x:v>
      </x:c>
      <x:c r="Y3880" s="22" t="str">
        <x:f>"31998542445"</x:f>
        <x:v>31998542445</x:v>
      </x:c>
      <x:c r="Z3880" s="30" t="n">
        <x:v>46228</x:v>
      </x:c>
    </x:row>
    <x:row r="3881" ht="18" customHeight="1">
      <x:c r="A3881" s="22" t="str">
        <x:f>"36d2eab2-1d9d-4863-a9a2-2655945eaf65"</x:f>
        <x:v>36d2eab2-1d9d-4863-a9a2-2655945eaf65</x:v>
      </x:c>
      <x:c r="B3881" s="23" t="str">
        <x:v>WESLEY BARBOSA BATISTA</x:v>
      </x:c>
      <x:c r="C3881" s="23" t="str">
        <x:v>wesley barbosa batista</x:v>
      </x:c>
      <x:c r="D3881" s="22" t="str">
        <x:f>"66.796.734/0001-37"</x:f>
        <x:v>66.796.734/0001-37</x:v>
      </x:c>
      <x:c r="E3881" s="22" t="str">
        <x:f>"66796734000137"</x:f>
        <x:v>66796734000137</x:v>
      </x:c>
      <x:c r="F3881" s="22" t="str">
        <x:f>"142.079.636-42"</x:f>
        <x:v>142.079.636-42</x:v>
      </x:c>
      <x:c r="G3881" s="22" t="str">
        <x:f>"14207963642"</x:f>
        <x:v>14207963642</x:v>
      </x:c>
      <x:c r="H3881" s="23" t="str">
        <x:v>bwesleybatista20@gmail.com</x:v>
      </x:c>
      <x:c r="I3881" s="22" t="str">
        <x:f>"35 99942-7195"</x:f>
        <x:v>35 99942-7195</x:v>
      </x:c>
      <x:c r="J3881" s="23" t="str">
        <x:v>RENTAL</x:v>
      </x:c>
      <x:c r="K3881" s="23" t="str">
        <x:v>rental_company</x:v>
      </x:c>
      <x:c r="L3881" s="24" t="b">
        <x:v>1</x:v>
      </x:c>
      <x:c r="M3881" s="23" t="n">
        <x:v>1</x:v>
      </x:c>
      <x:c r="N3881" s="28" t="n">
        <x:v>46219.812988715275</x:v>
      </x:c>
      <x:c r="O3881" s="28" t="n">
        <x:v>46219.812988715275</x:v>
      </x:c>
      <x:c r="P3881" s="23" t="str">
        <x:v>POUSO ALEGRE</x:v>
      </x:c>
      <x:c r="Q3881" s="30" t="n">
        <x:v>35944</x:v>
      </x:c>
      <x:c r="R3881" s="22" t="str">
        <x:f>"20584158"</x:f>
        <x:v>20584158</x:v>
      </x:c>
      <x:c r="S3881" s="23" t="str">
        <x:v>masculino</x:v>
      </x:c>
      <x:c r="T3881" s="22" t="str"/>
      <x:c r="U3881" s="23" t="str">
        <x:v>WESLEY BARBOSA BATISTA</x:v>
      </x:c>
      <x:c r="V3881" s="22" t="str">
        <x:f>"142.079.636-42"</x:f>
        <x:v>142.079.636-42</x:v>
      </x:c>
      <x:c r="W3881" s="22" t="str">
        <x:f>"14207963642"</x:f>
        <x:v>14207963642</x:v>
      </x:c>
      <x:c r="X3881" s="23" t="str">
        <x:v>bwesleybatista20@gmail.com</x:v>
      </x:c>
      <x:c r="Y3881" s="22" t="str">
        <x:f>"35 99942-7195"</x:f>
        <x:v>35 99942-7195</x:v>
      </x:c>
      <x:c r="Z3881" s="30" t="n">
        <x:v>46535</x:v>
      </x:c>
    </x:row>
    <x:row r="3882" ht="18" customHeight="1">
      <x:c r="A3882" s="22" t="str">
        <x:f>"85173d22-a7c0-4b56-ac59-35535fc7f5b1"</x:f>
        <x:v>85173d22-a7c0-4b56-ac59-35535fc7f5b1</x:v>
      </x:c>
      <x:c r="B3882" s="23" t="str">
        <x:v>WESLEY BERNARDO PAZ DA SILVA</x:v>
      </x:c>
      <x:c r="C3882" s="23" t="str">
        <x:v>wesley bernardo paz da silva</x:v>
      </x:c>
      <x:c r="D3882" s="22" t="str">
        <x:f>"58.590.984/0001-98"</x:f>
        <x:v>58.590.984/0001-98</x:v>
      </x:c>
      <x:c r="E3882" s="22" t="str">
        <x:f>"58590984000198"</x:f>
        <x:v>58590984000198</x:v>
      </x:c>
      <x:c r="F3882" s="22" t="str">
        <x:f>"188.296.897-26"</x:f>
        <x:v>188.296.897-26</x:v>
      </x:c>
      <x:c r="G3882" s="22" t="str">
        <x:f>"18829689726"</x:f>
        <x:v>18829689726</x:v>
      </x:c>
      <x:c r="H3882" s="23" t="str">
        <x:v>uesley_ifh@hotmail.com</x:v>
      </x:c>
      <x:c r="I3882" s="22" t="str">
        <x:f>"21993654581"</x:f>
        <x:v>21993654581</x:v>
      </x:c>
      <x:c r="J3882" s="23" t="str">
        <x:v>SPOT</x:v>
      </x:c>
      <x:c r="K3882" s="23" t="str">
        <x:v>favored_only</x:v>
      </x:c>
      <x:c r="L3882" s="24" t="b">
        <x:v>1</x:v>
      </x:c>
      <x:c r="M3882" s="23" t="n">
        <x:v>1</x:v>
      </x:c>
      <x:c r="N3882" s="28" t="n">
        <x:v>46203.92191240741</x:v>
      </x:c>
      <x:c r="O3882" s="28" t="n">
        <x:v>46219.812988715275</x:v>
      </x:c>
      <x:c r="P3882" s="23" t="str">
        <x:v>QUEIMADOS</x:v>
      </x:c>
      <x:c r="Q3882" s="30" t="n">
        <x:v>36824</x:v>
      </x:c>
      <x:c r="R3882" s="22" t="str">
        <x:f>"320181035"</x:f>
        <x:v>320181035</x:v>
      </x:c>
      <x:c r="S3882" s="23" t="str">
        <x:v>masculino</x:v>
      </x:c>
      <x:c r="T3882" s="22" t="str">
        <x:f>"KRF4J77"</x:f>
        <x:v>KRF4J77</x:v>
      </x:c>
      <x:c r="U3882" s="23" t="str">
        <x:v>WESLEY BERNARDO PAZ DA SILVA</x:v>
      </x:c>
      <x:c r="V3882" s="22" t="str">
        <x:f>"188.296.897-26"</x:f>
        <x:v>188.296.897-26</x:v>
      </x:c>
      <x:c r="W3882" s="22" t="str">
        <x:f>"18829689726"</x:f>
        <x:v>18829689726</x:v>
      </x:c>
      <x:c r="X3882" s="23" t="str">
        <x:v>uesley_ifh@hotmail.com</x:v>
      </x:c>
      <x:c r="Y3882" s="22" t="str">
        <x:f>"21993654581"</x:f>
        <x:v>21993654581</x:v>
      </x:c>
      <x:c r="Z3882" s="30" t="n">
        <x:v>46584</x:v>
      </x:c>
    </x:row>
    <x:row r="3883" ht="18" customHeight="1">
      <x:c r="A3883" s="22" t="str">
        <x:f>"d23814b6-18d9-455c-9286-cbdfc5ea44ac"</x:f>
        <x:v>d23814b6-18d9-455c-9286-cbdfc5ea44ac</x:v>
      </x:c>
      <x:c r="B3883" s="23" t="str">
        <x:v>WESLEY BRAGA DE LIMA</x:v>
      </x:c>
      <x:c r="C3883" s="23" t="str">
        <x:v>wesley braga de lima</x:v>
      </x:c>
      <x:c r="D3883" s="22" t="str">
        <x:f>"66.434.243/0001-46"</x:f>
        <x:v>66.434.243/0001-46</x:v>
      </x:c>
      <x:c r="E3883" s="22" t="str">
        <x:f>"66434243000146"</x:f>
        <x:v>66434243000146</x:v>
      </x:c>
      <x:c r="F3883" s="22" t="str">
        <x:f>"664.021.742-20"</x:f>
        <x:v>664.021.742-20</x:v>
      </x:c>
      <x:c r="G3883" s="22" t="str">
        <x:f>"66402174220"</x:f>
        <x:v>66402174220</x:v>
      </x:c>
      <x:c r="H3883" s="23" t="str">
        <x:v>wesleytiabilo@gmail.com</x:v>
      </x:c>
      <x:c r="I3883" s="22" t="str">
        <x:f>"34996695219"</x:f>
        <x:v>34996695219</x:v>
      </x:c>
      <x:c r="J3883" s="23" t="str">
        <x:v>SPOT</x:v>
      </x:c>
      <x:c r="K3883" s="23" t="str">
        <x:v>favored_only</x:v>
      </x:c>
      <x:c r="L3883" s="24" t="b">
        <x:v>1</x:v>
      </x:c>
      <x:c r="M3883" s="23" t="n">
        <x:v>1</x:v>
      </x:c>
      <x:c r="N3883" s="28" t="n">
        <x:v>46219.812988715275</x:v>
      </x:c>
      <x:c r="O3883" s="28" t="n">
        <x:v>46219.812988715275</x:v>
      </x:c>
      <x:c r="P3883" s="23" t="str">
        <x:v>PATOS DE MINAS</x:v>
      </x:c>
      <x:c r="Q3883" s="30" t="n">
        <x:v>28573</x:v>
      </x:c>
      <x:c r="R3883" s="22" t="str">
        <x:f>"M6528399"</x:f>
        <x:v>M6528399</x:v>
      </x:c>
      <x:c r="S3883" s="23" t="str">
        <x:v>masculino</x:v>
      </x:c>
      <x:c r="T3883" s="22" t="str">
        <x:f>"RTL5H43"</x:f>
        <x:v>RTL5H43</x:v>
      </x:c>
      <x:c r="U3883" s="23" t="str">
        <x:v>WESLEY BRAGA DE LIMA</x:v>
      </x:c>
      <x:c r="V3883" s="22" t="str">
        <x:f>"664.021.742-20"</x:f>
        <x:v>664.021.742-20</x:v>
      </x:c>
      <x:c r="W3883" s="22" t="str">
        <x:f>"66402174220"</x:f>
        <x:v>66402174220</x:v>
      </x:c>
      <x:c r="X3883" s="23" t="str">
        <x:v>wesleytiabilo@gmail.com</x:v>
      </x:c>
      <x:c r="Y3883" s="22" t="str">
        <x:f>"34996695219"</x:f>
        <x:v>34996695219</x:v>
      </x:c>
      <x:c r="Z3883" s="30" t="n">
        <x:v>46505</x:v>
      </x:c>
    </x:row>
    <x:row r="3884" ht="18" customHeight="1">
      <x:c r="A3884" s="22" t="str">
        <x:f>"44c223cf-1b29-4398-b4f6-e17b5367676b"</x:f>
        <x:v>44c223cf-1b29-4398-b4f6-e17b5367676b</x:v>
      </x:c>
      <x:c r="B3884" s="23" t="str">
        <x:v>WESLEY CAMPOS DE OLIVEIRA</x:v>
      </x:c>
      <x:c r="C3884" s="23" t="str">
        <x:v>wesley campos de oliveira</x:v>
      </x:c>
      <x:c r="D3884" s="22" t="str">
        <x:f>"67.284.541/0001-60"</x:f>
        <x:v>67.284.541/0001-60</x:v>
      </x:c>
      <x:c r="E3884" s="22" t="str">
        <x:f>"67284541000160"</x:f>
        <x:v>67284541000160</x:v>
      </x:c>
      <x:c r="F3884" s="22" t="str">
        <x:f>"322.311.198-03"</x:f>
        <x:v>322.311.198-03</x:v>
      </x:c>
      <x:c r="G3884" s="22" t="str">
        <x:f>"32231119803"</x:f>
        <x:v>32231119803</x:v>
      </x:c>
      <x:c r="H3884" s="23" t="str">
        <x:v>wesleycampos3838@gmail.com</x:v>
      </x:c>
      <x:c r="I3884" s="22" t="str">
        <x:f>"18991993388"</x:f>
        <x:v>18991993388</x:v>
      </x:c>
      <x:c r="J3884" s="23" t="str">
        <x:v>RENTAL</x:v>
      </x:c>
      <x:c r="K3884" s="23" t="str">
        <x:v>rental_company</x:v>
      </x:c>
      <x:c r="L3884" s="24" t="b">
        <x:v>1</x:v>
      </x:c>
      <x:c r="M3884" s="23" t="n">
        <x:v>1</x:v>
      </x:c>
      <x:c r="N3884" s="28" t="n">
        <x:v>46219.812988715275</x:v>
      </x:c>
      <x:c r="O3884" s="28" t="n">
        <x:v>46219.812988715275</x:v>
      </x:c>
      <x:c r="P3884" s="23" t="str">
        <x:v>ARAÇATUBA</x:v>
      </x:c>
      <x:c r="Q3884" s="30" t="n">
        <x:v>31211</x:v>
      </x:c>
      <x:c r="R3884" s="22" t="str">
        <x:f>"40.565.576.9"</x:f>
        <x:v>40.565.576.9</x:v>
      </x:c>
      <x:c r="S3884" s="23" t="str">
        <x:v>masculino</x:v>
      </x:c>
      <x:c r="T3884" s="22" t="str"/>
      <x:c r="U3884" s="23" t="str">
        <x:v>WESLEY CAMPOS DE OLIVEIRA</x:v>
      </x:c>
      <x:c r="V3884" s="22" t="str">
        <x:f>"322.311.198-03"</x:f>
        <x:v>322.311.198-03</x:v>
      </x:c>
      <x:c r="W3884" s="22" t="str">
        <x:f>"32231119803"</x:f>
        <x:v>32231119803</x:v>
      </x:c>
      <x:c r="X3884" s="23" t="str">
        <x:v>wesleycampos3838@gmail.com</x:v>
      </x:c>
      <x:c r="Y3884" s="22" t="str">
        <x:f>"18991993388"</x:f>
        <x:v>18991993388</x:v>
      </x:c>
      <x:c r="Z3884" s="30" t="n">
        <x:v>46555</x:v>
      </x:c>
    </x:row>
    <x:row r="3885" ht="18" customHeight="1">
      <x:c r="A3885" s="22" t="str">
        <x:f>"0c9b8769-ff43-433a-8348-bb8f3e97b0fb"</x:f>
        <x:v>0c9b8769-ff43-433a-8348-bb8f3e97b0fb</x:v>
      </x:c>
      <x:c r="B3885" s="23" t="str">
        <x:v>WESLEY COSTA DA CRUZ DOS ANJOS</x:v>
      </x:c>
      <x:c r="C3885" s="23" t="str">
        <x:v>wesley costa da cruz dos anjos</x:v>
      </x:c>
      <x:c r="D3885" s="22" t="str">
        <x:f>"63.402.996/0001-81"</x:f>
        <x:v>63.402.996/0001-81</x:v>
      </x:c>
      <x:c r="E3885" s="22" t="str">
        <x:f>"63402996000181"</x:f>
        <x:v>63402996000181</x:v>
      </x:c>
      <x:c r="F3885" s="22" t="str">
        <x:f>"167.700.447-90"</x:f>
        <x:v>167.700.447-90</x:v>
      </x:c>
      <x:c r="G3885" s="22" t="str">
        <x:f>"16770044790"</x:f>
        <x:v>16770044790</x:v>
      </x:c>
      <x:c r="H3885" s="23" t="str">
        <x:v>wesleyanjos796@gmail.com</x:v>
      </x:c>
      <x:c r="I3885" s="22" t="str">
        <x:f>"21990120762"</x:f>
        <x:v>21990120762</x:v>
      </x:c>
      <x:c r="J3885" s="23" t="str">
        <x:v>SPOT</x:v>
      </x:c>
      <x:c r="K3885" s="23" t="str">
        <x:v>favored_only</x:v>
      </x:c>
      <x:c r="L3885" s="24" t="b">
        <x:v>1</x:v>
      </x:c>
      <x:c r="M3885" s="23" t="n">
        <x:v>3</x:v>
      </x:c>
      <x:c r="N3885" s="28" t="n">
        <x:v>46205.60715729167</x:v>
      </x:c>
      <x:c r="O3885" s="28" t="n">
        <x:v>46219.812988715275</x:v>
      </x:c>
      <x:c r="P3885" s="23" t="str">
        <x:v>QUEIMADOS</x:v>
      </x:c>
      <x:c r="Q3885" s="30" t="n">
        <x:v>36812</x:v>
      </x:c>
      <x:c r="R3885" s="22" t="str">
        <x:f>"302063763"</x:f>
        <x:v>302063763</x:v>
      </x:c>
      <x:c r="S3885" s="23" t="str">
        <x:v>masculino</x:v>
      </x:c>
      <x:c r="T3885" s="22" t="str">
        <x:f>"RKO4A24"</x:f>
        <x:v>RKO4A24</x:v>
      </x:c>
      <x:c r="U3885" s="23" t="str">
        <x:v>LUIZA FILGUEIRAS FREITAS DOS ANJOS</x:v>
      </x:c>
      <x:c r="V3885" s="22" t="str">
        <x:f>"183.167.297-92"</x:f>
        <x:v>183.167.297-92</x:v>
      </x:c>
      <x:c r="W3885" s="22" t="str">
        <x:f>"18316729792"</x:f>
        <x:v>18316729792</x:v>
      </x:c>
      <x:c r="X3885" s="23" t="str">
        <x:v>luizafilgueirasfreitas16@gmail.com</x:v>
      </x:c>
      <x:c r="Y3885" s="22" t="str">
        <x:f>"21979072264"</x:f>
        <x:v>21979072264</x:v>
      </x:c>
      <x:c r="Z3885" s="30" t="n">
        <x:v>46427</x:v>
      </x:c>
    </x:row>
    <x:row r="3886" ht="18" customHeight="1">
      <x:c r="A3886" s="22" t="str">
        <x:f>"e437702a-458b-406f-a25e-2c67d908aa31"</x:f>
        <x:v>e437702a-458b-406f-a25e-2c67d908aa31</x:v>
      </x:c>
      <x:c r="B3886" s="23" t="str">
        <x:v>WESLEY COSTA DA CRUZ DOS ANJOS</x:v>
      </x:c>
      <x:c r="C3886" s="23" t="str">
        <x:v>wesley costa da cruz dos anjos</x:v>
      </x:c>
      <x:c r="D3886" s="22" t="str">
        <x:f>"51.171.459/0001-99"</x:f>
        <x:v>51.171.459/0001-99</x:v>
      </x:c>
      <x:c r="E3886" s="22" t="str">
        <x:f>"51171459000199"</x:f>
        <x:v>51171459000199</x:v>
      </x:c>
      <x:c r="F3886" s="22" t="str">
        <x:f>"167.700.447-90"</x:f>
        <x:v>167.700.447-90</x:v>
      </x:c>
      <x:c r="G3886" s="22" t="str">
        <x:f>"16770044790"</x:f>
        <x:v>16770044790</x:v>
      </x:c>
      <x:c r="H3886" s="23" t="str">
        <x:v>Wesleyanjos796@gmail.com</x:v>
      </x:c>
      <x:c r="I3886" s="22" t="str">
        <x:f>"2190120762"</x:f>
        <x:v>2190120762</x:v>
      </x:c>
      <x:c r="J3886" s="23" t="str">
        <x:v>SPOT</x:v>
      </x:c>
      <x:c r="K3886" s="23" t="str">
        <x:v>favored_only</x:v>
      </x:c>
      <x:c r="L3886" s="24" t="b">
        <x:v>1</x:v>
      </x:c>
      <x:c r="M3886" s="23" t="n">
        <x:v>1</x:v>
      </x:c>
      <x:c r="N3886" s="28" t="n">
        <x:v>46203.9218771875</x:v>
      </x:c>
      <x:c r="O3886" s="28" t="n">
        <x:v>46219.812988715275</x:v>
      </x:c>
      <x:c r="P3886" s="23" t="str">
        <x:v>QUEIMADOS</x:v>
      </x:c>
      <x:c r="Q3886" s="30" t="n">
        <x:v>36812</x:v>
      </x:c>
      <x:c r="R3886" s="22" t="str">
        <x:f>"302063763"</x:f>
        <x:v>302063763</x:v>
      </x:c>
      <x:c r="S3886" s="23" t="str">
        <x:v>masculino</x:v>
      </x:c>
      <x:c r="T3886" s="22" t="str">
        <x:f>"LSC2D44"</x:f>
        <x:v>LSC2D44</x:v>
      </x:c>
      <x:c r="U3886" s="23" t="str">
        <x:v>WESLEY COSTA DA CRUZ DOS ANJOS</x:v>
      </x:c>
      <x:c r="V3886" s="22" t="str">
        <x:f>"167.700.447-90"</x:f>
        <x:v>167.700.447-90</x:v>
      </x:c>
      <x:c r="W3886" s="22" t="str">
        <x:f>"16770044790"</x:f>
        <x:v>16770044790</x:v>
      </x:c>
      <x:c r="X3886" s="23" t="str">
        <x:v>Wesleyanjos796@gmail.com</x:v>
      </x:c>
      <x:c r="Y3886" s="22" t="str">
        <x:f>"2190120762"</x:f>
        <x:v>2190120762</x:v>
      </x:c>
      <x:c r="Z3886" s="30" t="n">
        <x:v>46315</x:v>
      </x:c>
    </x:row>
    <x:row r="3887" ht="18" customHeight="1">
      <x:c r="A3887" s="22" t="str">
        <x:f>"eecce40b-2291-4218-8a69-c5d2f407df03"</x:f>
        <x:v>eecce40b-2291-4218-8a69-c5d2f407df03</x:v>
      </x:c>
      <x:c r="B3887" s="23" t="str">
        <x:v>WESLEY DA SILVA GONCALVES</x:v>
      </x:c>
      <x:c r="C3887" s="23" t="str">
        <x:v>wesley da silva goncalves</x:v>
      </x:c>
      <x:c r="D3887" s="22" t="str">
        <x:f>"62.264.058/0001-08"</x:f>
        <x:v>62.264.058/0001-08</x:v>
      </x:c>
      <x:c r="E3887" s="22" t="str">
        <x:f>"62264058000108"</x:f>
        <x:v>62264058000108</x:v>
      </x:c>
      <x:c r="F3887" s="22" t="str">
        <x:f>"115.751.646-71"</x:f>
        <x:v>115.751.646-71</x:v>
      </x:c>
      <x:c r="G3887" s="22" t="str">
        <x:f>"11575164671"</x:f>
        <x:v>11575164671</x:v>
      </x:c>
      <x:c r="H3887" s="23" t="str">
        <x:v>wesley.saoroberto@gmail.com</x:v>
      </x:c>
      <x:c r="I3887" s="22" t="str">
        <x:f>"031995125076"</x:f>
        <x:v>031995125076</x:v>
      </x:c>
      <x:c r="J3887" s="23" t="str">
        <x:v>SPOT</x:v>
      </x:c>
      <x:c r="K3887" s="23" t="str">
        <x:v>favored_only</x:v>
      </x:c>
      <x:c r="L3887" s="24" t="b">
        <x:v>1</x:v>
      </x:c>
      <x:c r="M3887" s="23" t="n">
        <x:v>1</x:v>
      </x:c>
      <x:c r="N3887" s="28" t="n">
        <x:v>46203.921852962965</x:v>
      </x:c>
      <x:c r="O3887" s="28" t="n">
        <x:v>46219.812988715275</x:v>
      </x:c>
      <x:c r="P3887" s="23" t="str">
        <x:v>CONTAGEM</x:v>
      </x:c>
      <x:c r="Q3887" s="30" t="n">
        <x:v>34209</x:v>
      </x:c>
      <x:c r="R3887" s="22" t="str">
        <x:f>"12443485"</x:f>
        <x:v>12443485</x:v>
      </x:c>
      <x:c r="S3887" s="23" t="str">
        <x:v>masculino</x:v>
      </x:c>
      <x:c r="T3887" s="22" t="str">
        <x:f>"HHS2H07"</x:f>
        <x:v>HHS2H07</x:v>
      </x:c>
      <x:c r="U3887" s="23" t="str">
        <x:v>WESLEY DA SILVA GONCALVES</x:v>
      </x:c>
      <x:c r="V3887" s="22" t="str">
        <x:f>"115.751.646-71"</x:f>
        <x:v>115.751.646-71</x:v>
      </x:c>
      <x:c r="W3887" s="22" t="str">
        <x:f>"11575164671"</x:f>
        <x:v>11575164671</x:v>
      </x:c>
      <x:c r="X3887" s="23" t="str">
        <x:v>wesley.saoroberto@gmail.com</x:v>
      </x:c>
      <x:c r="Y3887" s="22" t="str">
        <x:f>"031995125076"</x:f>
        <x:v>031995125076</x:v>
      </x:c>
      <x:c r="Z3887" s="30" t="n">
        <x:v>46252</x:v>
      </x:c>
    </x:row>
    <x:row r="3888" ht="18" customHeight="1">
      <x:c r="A3888" s="22" t="str">
        <x:f>"c98c2698-819f-47b0-8722-3123d9a125af"</x:f>
        <x:v>c98c2698-819f-47b0-8722-3123d9a125af</x:v>
      </x:c>
      <x:c r="B3888" s="23" t="str">
        <x:v>WESLEY DE OLIVEIRA</x:v>
      </x:c>
      <x:c r="C3888" s="23" t="str">
        <x:v>wesley de oliveira</x:v>
      </x:c>
      <x:c r="D3888" s="22" t="str">
        <x:f>"63.949.959/0001-98"</x:f>
        <x:v>63.949.959/0001-98</x:v>
      </x:c>
      <x:c r="E3888" s="22" t="str">
        <x:f>"63949959000198"</x:f>
        <x:v>63949959000198</x:v>
      </x:c>
      <x:c r="F3888" s="22" t="str">
        <x:f>"116.418.526-82"</x:f>
        <x:v>116.418.526-82</x:v>
      </x:c>
      <x:c r="G3888" s="22" t="str">
        <x:f>"11641852682"</x:f>
        <x:v>11641852682</x:v>
      </x:c>
      <x:c r="H3888" s="23" t="str">
        <x:v>Wesley_pf@outlook.com</x:v>
      </x:c>
      <x:c r="I3888" s="22" t="str">
        <x:f>"(82) 991655758"</x:f>
        <x:v>(82) 991655758</x:v>
      </x:c>
      <x:c r="J3888" s="23" t="str">
        <x:v>RENTAL</x:v>
      </x:c>
      <x:c r="K3888" s="23" t="str">
        <x:v>rental_company</x:v>
      </x:c>
      <x:c r="L3888" s="24" t="b">
        <x:v>1</x:v>
      </x:c>
      <x:c r="M3888" s="23" t="n">
        <x:v>1</x:v>
      </x:c>
      <x:c r="N3888" s="28" t="n">
        <x:v>46203.921904421295</x:v>
      </x:c>
      <x:c r="O3888" s="28" t="n">
        <x:v>46219.812988715275</x:v>
      </x:c>
      <x:c r="P3888" s="23" t="str">
        <x:v>POUSO ALEGRE</x:v>
      </x:c>
      <x:c r="Q3888" s="30" t="n">
        <x:v>34735</x:v>
      </x:c>
      <x:c r="R3888" s="22" t="str">
        <x:f>"18061696"</x:f>
        <x:v>18061696</x:v>
      </x:c>
      <x:c r="S3888" s="23" t="str">
        <x:v>masculino</x:v>
      </x:c>
      <x:c r="T3888" s="22" t="str"/>
      <x:c r="U3888" s="23" t="str">
        <x:v>WESLEY DE OLIVEIRA</x:v>
      </x:c>
      <x:c r="V3888" s="22" t="str">
        <x:f>"116.418.526-82"</x:f>
        <x:v>116.418.526-82</x:v>
      </x:c>
      <x:c r="W3888" s="22" t="str">
        <x:f>"11641852682"</x:f>
        <x:v>11641852682</x:v>
      </x:c>
      <x:c r="X3888" s="23" t="str">
        <x:v>Wesley_pf@outlook.com</x:v>
      </x:c>
      <x:c r="Y3888" s="22" t="str">
        <x:f>"(82) 991655758"</x:f>
        <x:v>(82) 991655758</x:v>
      </x:c>
      <x:c r="Z3888" s="30" t="n">
        <x:v>46361</x:v>
      </x:c>
    </x:row>
    <x:row r="3889" ht="18" customHeight="1">
      <x:c r="A3889" s="22" t="str">
        <x:f>"b0909d62-8bca-4d6c-8592-b7c7052644ea"</x:f>
        <x:v>b0909d62-8bca-4d6c-8592-b7c7052644ea</x:v>
      </x:c>
      <x:c r="B3889" s="23" t="str">
        <x:v>WESLEY DE SOUSA FREITAS PACHECO</x:v>
      </x:c>
      <x:c r="C3889" s="23" t="str">
        <x:v>wesley de sousa freitas pacheco</x:v>
      </x:c>
      <x:c r="D3889" s="22" t="str">
        <x:f>"65.338.185/0001-94"</x:f>
        <x:v>65.338.185/0001-94</x:v>
      </x:c>
      <x:c r="E3889" s="22" t="str">
        <x:f>"65338185000194"</x:f>
        <x:v>65338185000194</x:v>
      </x:c>
      <x:c r="F3889" s="22" t="str">
        <x:f>"977.450.221-34"</x:f>
        <x:v>977.450.221-34</x:v>
      </x:c>
      <x:c r="G3889" s="22" t="str">
        <x:f>"97745022134"</x:f>
        <x:v>97745022134</x:v>
      </x:c>
      <x:c r="H3889" s="23" t="str">
        <x:v>Wesleypacheco081@gmail.com</x:v>
      </x:c>
      <x:c r="I3889" s="22" t="str">
        <x:f>"64993140050"</x:f>
        <x:v>64993140050</x:v>
      </x:c>
      <x:c r="J3889" s="23" t="str">
        <x:v>RENTAL</x:v>
      </x:c>
      <x:c r="K3889" s="23" t="str">
        <x:v>rental_company</x:v>
      </x:c>
      <x:c r="L3889" s="24" t="b">
        <x:v>1</x:v>
      </x:c>
      <x:c r="M3889" s="23" t="n">
        <x:v>1</x:v>
      </x:c>
      <x:c r="N3889" s="28" t="n">
        <x:v>46219.812988715275</x:v>
      </x:c>
      <x:c r="O3889" s="28" t="n">
        <x:v>46219.812988715275</x:v>
      </x:c>
      <x:c r="P3889" s="23" t="str">
        <x:v>RIO VERDE</x:v>
      </x:c>
      <x:c r="Q3889" s="30" t="n">
        <x:v>29692</x:v>
      </x:c>
      <x:c r="R3889" s="22" t="str">
        <x:f>"4076577"</x:f>
        <x:v>4076577</x:v>
      </x:c>
      <x:c r="S3889" s="23" t="str">
        <x:v>masculino</x:v>
      </x:c>
      <x:c r="T3889" s="22" t="str"/>
      <x:c r="U3889" s="23" t="str">
        <x:v>WESLEY DE SOUSA FREITAS PACHECO</x:v>
      </x:c>
      <x:c r="V3889" s="22" t="str">
        <x:f>"977.450.221-34"</x:f>
        <x:v>977.450.221-34</x:v>
      </x:c>
      <x:c r="W3889" s="22" t="str">
        <x:f>"97745022134"</x:f>
        <x:v>97745022134</x:v>
      </x:c>
      <x:c r="X3889" s="23" t="str">
        <x:v>Wesleypacheco081@gmail.com</x:v>
      </x:c>
      <x:c r="Y3889" s="22" t="str">
        <x:f>"64993140050"</x:f>
        <x:v>64993140050</x:v>
      </x:c>
      <x:c r="Z3889" s="30" t="n">
        <x:v>46444</x:v>
      </x:c>
    </x:row>
    <x:row r="3890" ht="18" customHeight="1">
      <x:c r="A3890" s="22" t="str">
        <x:f>"a68b923b-5c7d-4270-b77f-a988eaa17ab4"</x:f>
        <x:v>a68b923b-5c7d-4270-b77f-a988eaa17ab4</x:v>
      </x:c>
      <x:c r="B3890" s="23" t="str">
        <x:v>WESLEY GUSTAVO FERREIRA SANTANA</x:v>
      </x:c>
      <x:c r="C3890" s="23" t="str">
        <x:v>wesley gustavo ferreira santana</x:v>
      </x:c>
      <x:c r="D3890" s="22" t="str">
        <x:f>"55.898.125/0001-72"</x:f>
        <x:v>55.898.125/0001-72</x:v>
      </x:c>
      <x:c r="E3890" s="22" t="str">
        <x:f>"55898125000172"</x:f>
        <x:v>55898125000172</x:v>
      </x:c>
      <x:c r="F3890" s="22" t="str">
        <x:f>"148.784.587-12"</x:f>
        <x:v>148.784.587-12</x:v>
      </x:c>
      <x:c r="G3890" s="22" t="str">
        <x:f>"14878458712"</x:f>
        <x:v>14878458712</x:v>
      </x:c>
      <x:c r="H3890" s="23" t="str">
        <x:v>gwvda541@gmail.com</x:v>
      </x:c>
      <x:c r="I3890" s="22" t="str">
        <x:f>"31997379806"</x:f>
        <x:v>31997379806</x:v>
      </x:c>
      <x:c r="J3890" s="23" t="str">
        <x:v>SPOT</x:v>
      </x:c>
      <x:c r="K3890" s="23" t="str">
        <x:v>favored_only</x:v>
      </x:c>
      <x:c r="L3890" s="24" t="b">
        <x:v>1</x:v>
      </x:c>
      <x:c r="M3890" s="23" t="n">
        <x:v>1</x:v>
      </x:c>
      <x:c r="N3890" s="28" t="n">
        <x:v>46219.812988715275</x:v>
      </x:c>
      <x:c r="O3890" s="28" t="n">
        <x:v>46219.812988715275</x:v>
      </x:c>
      <x:c r="P3890" s="23" t="str">
        <x:v>IPATINGA</x:v>
      </x:c>
      <x:c r="Q3890" s="30" t="n">
        <x:v>38136</x:v>
      </x:c>
      <x:c r="R3890" s="22" t="str">
        <x:f>"MG 22001221 SSPMG"</x:f>
        <x:v>MG 22001221 SSPMG</x:v>
      </x:c>
      <x:c r="S3890" s="23" t="str">
        <x:v>masculino</x:v>
      </x:c>
      <x:c r="T3890" s="22" t="str">
        <x:f>"PWZ0175"</x:f>
        <x:v>PWZ0175</x:v>
      </x:c>
      <x:c r="U3890" s="23" t="str">
        <x:v>VANILDO MARQUES</x:v>
      </x:c>
      <x:c r="V3890" s="22" t="str">
        <x:f>"961.576.666-68"</x:f>
        <x:v>961.576.666-68</x:v>
      </x:c>
      <x:c r="W3890" s="22" t="str">
        <x:f>"96157666668"</x:f>
        <x:v>96157666668</x:v>
      </x:c>
      <x:c r="X3890" s="23" t="str">
        <x:v>mairavanildo@gmail.com</x:v>
      </x:c>
      <x:c r="Y3890" s="22" t="str">
        <x:f>"31972416556"</x:f>
        <x:v>31972416556</x:v>
      </x:c>
      <x:c r="Z3890" s="30" t="n">
        <x:v>46463</x:v>
      </x:c>
    </x:row>
    <x:row r="3891" ht="18" customHeight="1">
      <x:c r="A3891" s="22" t="str">
        <x:f>"028288c6-7346-4a44-b909-f2266caa8e68"</x:f>
        <x:v>028288c6-7346-4a44-b909-f2266caa8e68</x:v>
      </x:c>
      <x:c r="B3891" s="23" t="str">
        <x:v>WESLEY LEMOS DE CAMARGOS</x:v>
      </x:c>
      <x:c r="C3891" s="23" t="str">
        <x:v>wesley lemos de camargos</x:v>
      </x:c>
      <x:c r="D3891" s="22" t="str">
        <x:f>"67.646.931/0001-32"</x:f>
        <x:v>67.646.931/0001-32</x:v>
      </x:c>
      <x:c r="E3891" s="22" t="str">
        <x:f>"67646931000132"</x:f>
        <x:v>67646931000132</x:v>
      </x:c>
      <x:c r="F3891" s="22" t="str">
        <x:f>"102.279.096-07"</x:f>
        <x:v>102.279.096-07</x:v>
      </x:c>
      <x:c r="G3891" s="22" t="str">
        <x:f>"10227909607"</x:f>
        <x:v>10227909607</x:v>
      </x:c>
      <x:c r="H3891" s="23" t="str">
        <x:v>wvmercadolivre@gmail.com</x:v>
      </x:c>
      <x:c r="I3891" s="22" t="str">
        <x:f>"34 8407-4285"</x:f>
        <x:v>34 8407-4285</x:v>
      </x:c>
      <x:c r="J3891" s="23" t="str">
        <x:v>SPOT</x:v>
      </x:c>
      <x:c r="K3891" s="23" t="str">
        <x:v>favored_only</x:v>
      </x:c>
      <x:c r="L3891" s="24" t="b">
        <x:v>1</x:v>
      </x:c>
      <x:c r="M3891" s="23" t="n">
        <x:v>1</x:v>
      </x:c>
      <x:c r="N3891" s="28" t="n">
        <x:v>46219.812988715275</x:v>
      </x:c>
      <x:c r="O3891" s="28" t="n">
        <x:v>46219.812988715275</x:v>
      </x:c>
      <x:c r="P3891" s="23" t="str">
        <x:v>ARAXÁ</x:v>
      </x:c>
      <x:c r="Q3891" s="30" t="n">
        <x:v>31996</x:v>
      </x:c>
      <x:c r="R3891" s="22" t="str">
        <x:f>"MG13808607"</x:f>
        <x:v>MG13808607</x:v>
      </x:c>
      <x:c r="S3891" s="23" t="str">
        <x:v>masculino</x:v>
      </x:c>
      <x:c r="T3891" s="22" t="str">
        <x:f>"EYV9A28"</x:f>
        <x:v>EYV9A28</x:v>
      </x:c>
      <x:c r="U3891" s="23" t="str">
        <x:v>WESLEY LEMOS DE CAMARGOS</x:v>
      </x:c>
      <x:c r="V3891" s="22" t="str">
        <x:f>"102.279.096-07"</x:f>
        <x:v>102.279.096-07</x:v>
      </x:c>
      <x:c r="W3891" s="22" t="str">
        <x:f>"10227909607"</x:f>
        <x:v>10227909607</x:v>
      </x:c>
      <x:c r="X3891" s="23" t="str">
        <x:v>wvmercadolivre@gmail.com</x:v>
      </x:c>
      <x:c r="Y3891" s="22" t="str">
        <x:f>"34 8407-4285"</x:f>
        <x:v>34 8407-4285</x:v>
      </x:c>
      <x:c r="Z3891" s="30" t="n">
        <x:v>46565</x:v>
      </x:c>
    </x:row>
    <x:row r="3892" ht="18" customHeight="1">
      <x:c r="A3892" s="22" t="str">
        <x:f>"30b3afd3-1ce6-45fe-977c-273a967be0a4"</x:f>
        <x:v>30b3afd3-1ce6-45fe-977c-273a967be0a4</x:v>
      </x:c>
      <x:c r="B3892" s="23" t="str">
        <x:v>WESLEY LEMOS DE CAMARGOS</x:v>
      </x:c>
      <x:c r="C3892" s="23" t="str">
        <x:v>wesley lemos de camargos</x:v>
      </x:c>
      <x:c r="D3892" s="22" t="str">
        <x:f>"45.006.998/0001-70"</x:f>
        <x:v>45.006.998/0001-70</x:v>
      </x:c>
      <x:c r="E3892" s="22" t="str">
        <x:f>"45006998000170"</x:f>
        <x:v>45006998000170</x:v>
      </x:c>
      <x:c r="F3892" s="22" t="str">
        <x:f>"102.279.096-07"</x:f>
        <x:v>102.279.096-07</x:v>
      </x:c>
      <x:c r="G3892" s="22" t="str">
        <x:f>"10227909607"</x:f>
        <x:v>10227909607</x:v>
      </x:c>
      <x:c r="H3892" s="23" t="str">
        <x:v>wvmercadolivre@gmail.com</x:v>
      </x:c>
      <x:c r="I3892" s="22" t="str">
        <x:f>"(34)988750567"</x:f>
        <x:v>(34)988750567</x:v>
      </x:c>
      <x:c r="J3892" s="23" t="str">
        <x:v>SPOT</x:v>
      </x:c>
      <x:c r="K3892" s="23" t="str">
        <x:v>favored_only</x:v>
      </x:c>
      <x:c r="L3892" s="24" t="b">
        <x:v>1</x:v>
      </x:c>
      <x:c r="M3892" s="23" t="n">
        <x:v>1</x:v>
      </x:c>
      <x:c r="N3892" s="28" t="n">
        <x:v>46203.921824756944</x:v>
      </x:c>
      <x:c r="O3892" s="28" t="n">
        <x:v>46219.812988715275</x:v>
      </x:c>
      <x:c r="P3892" s="23" t="str">
        <x:v>ARAXÁ</x:v>
      </x:c>
      <x:c r="Q3892" s="30" t="n">
        <x:v>31996</x:v>
      </x:c>
      <x:c r="R3892" s="22" t="str">
        <x:f>"13808607"</x:f>
        <x:v>13808607</x:v>
      </x:c>
      <x:c r="S3892" s="23" t="str">
        <x:v>masculino</x:v>
      </x:c>
      <x:c r="T3892" s="22" t="str">
        <x:f>"HBZ6B89"</x:f>
        <x:v>HBZ6B89</x:v>
      </x:c>
      <x:c r="U3892" s="23" t="str">
        <x:v>WESLEY LEMOS DE CAMARGOS</x:v>
      </x:c>
      <x:c r="V3892" s="22" t="str">
        <x:f>"102.279.096-07"</x:f>
        <x:v>102.279.096-07</x:v>
      </x:c>
      <x:c r="W3892" s="22" t="str">
        <x:f>"10227909607"</x:f>
        <x:v>10227909607</x:v>
      </x:c>
      <x:c r="X3892" s="23" t="str">
        <x:v>wvmercadolivre@gmail.com</x:v>
      </x:c>
      <x:c r="Y3892" s="22" t="str">
        <x:f>"(34)988750567"</x:f>
        <x:v>(34)988750567</x:v>
      </x:c>
      <x:c r="Z3892" s="30" t="n">
        <x:v>46518</x:v>
      </x:c>
    </x:row>
    <x:row r="3893" ht="18" customHeight="1">
      <x:c r="A3893" s="22" t="str">
        <x:f>"e5e9ecf0-636b-475d-8e48-5c88d7eed92c"</x:f>
        <x:v>e5e9ecf0-636b-475d-8e48-5c88d7eed92c</x:v>
      </x:c>
      <x:c r="B3893" s="23" t="str">
        <x:v>WESLEY LOPES DA ROCHA</x:v>
      </x:c>
      <x:c r="C3893" s="23" t="str">
        <x:v>wesley lopes da rocha</x:v>
      </x:c>
      <x:c r="D3893" s="22" t="str">
        <x:f>"59.922.123/0001-22"</x:f>
        <x:v>59.922.123/0001-22</x:v>
      </x:c>
      <x:c r="E3893" s="22" t="str">
        <x:f>"59922123000122"</x:f>
        <x:v>59922123000122</x:v>
      </x:c>
      <x:c r="F3893" s="22" t="str">
        <x:f>"471.785.798-46"</x:f>
        <x:v>471.785.798-46</x:v>
      </x:c>
      <x:c r="G3893" s="22" t="str">
        <x:f>"47178579846"</x:f>
        <x:v>47178579846</x:v>
      </x:c>
      <x:c r="H3893" s="23" t="str">
        <x:v>wellopes2@gmail.com</x:v>
      </x:c>
      <x:c r="I3893" s="22" t="str">
        <x:f>"14988250732"</x:f>
        <x:v>14988250732</x:v>
      </x:c>
      <x:c r="J3893" s="23" t="str">
        <x:v>RENTAL</x:v>
      </x:c>
      <x:c r="K3893" s="23" t="str">
        <x:v>rental_company</x:v>
      </x:c>
      <x:c r="L3893" s="24" t="b">
        <x:v>1</x:v>
      </x:c>
      <x:c r="M3893" s="23" t="n">
        <x:v>1</x:v>
      </x:c>
      <x:c r="N3893" s="28" t="n">
        <x:v>46203.92183017361</x:v>
      </x:c>
      <x:c r="O3893" s="28" t="n">
        <x:v>46219.812988715275</x:v>
      </x:c>
      <x:c r="P3893" s="23" t="str">
        <x:v>MARILIA</x:v>
      </x:c>
      <x:c r="Q3893" s="30" t="n">
        <x:v>35782</x:v>
      </x:c>
      <x:c r="R3893" s="22" t="str">
        <x:f>"443767476"</x:f>
        <x:v>443767476</x:v>
      </x:c>
      <x:c r="S3893" s="23" t="str">
        <x:v>masculino</x:v>
      </x:c>
      <x:c r="T3893" s="22" t="str"/>
      <x:c r="U3893" s="23" t="str">
        <x:v>WESLEY LOPES DA ROCHA</x:v>
      </x:c>
      <x:c r="V3893" s="22" t="str">
        <x:f>"471.785.798-46"</x:f>
        <x:v>471.785.798-46</x:v>
      </x:c>
      <x:c r="W3893" s="22" t="str">
        <x:f>"47178579846"</x:f>
        <x:v>47178579846</x:v>
      </x:c>
      <x:c r="X3893" s="23" t="str">
        <x:v>wellopes2@gmail.com</x:v>
      </x:c>
      <x:c r="Y3893" s="22" t="str">
        <x:f>"14988250732"</x:f>
        <x:v>14988250732</x:v>
      </x:c>
      <x:c r="Z3893" s="30" t="n">
        <x:v>46521</x:v>
      </x:c>
    </x:row>
    <x:row r="3894" ht="18" customHeight="1">
      <x:c r="A3894" s="22" t="str">
        <x:f>"53777d78-08bf-4ba5-9f21-b1034ef24baa"</x:f>
        <x:v>53777d78-08bf-4ba5-9f21-b1034ef24baa</x:v>
      </x:c>
      <x:c r="B3894" s="23" t="str">
        <x:v>WESLEY MENDES DA SILVA</x:v>
      </x:c>
      <x:c r="C3894" s="23" t="str">
        <x:v>wesley mendes da silva</x:v>
      </x:c>
      <x:c r="D3894" s="22" t="str">
        <x:f>"63.707.395/0001-87"</x:f>
        <x:v>63.707.395/0001-87</x:v>
      </x:c>
      <x:c r="E3894" s="22" t="str">
        <x:f>"63707395000187"</x:f>
        <x:v>63707395000187</x:v>
      </x:c>
      <x:c r="F3894" s="22" t="str">
        <x:f>"491.328.288-37"</x:f>
        <x:v>491.328.288-37</x:v>
      </x:c>
      <x:c r="G3894" s="22" t="str">
        <x:f>"49132828837"</x:f>
        <x:v>49132828837</x:v>
      </x:c>
      <x:c r="H3894" s="23" t="str">
        <x:v>nickalmeida161@gmail.com</x:v>
      </x:c>
      <x:c r="I3894" s="22" t="str">
        <x:f>"(44)99175-0663"</x:f>
        <x:v>(44)99175-0663</x:v>
      </x:c>
      <x:c r="J3894" s="23" t="str">
        <x:v>RENTAL</x:v>
      </x:c>
      <x:c r="K3894" s="23" t="str">
        <x:v>rental_company</x:v>
      </x:c>
      <x:c r="L3894" s="24" t="b">
        <x:v>1</x:v>
      </x:c>
      <x:c r="M3894" s="23" t="n">
        <x:v>1</x:v>
      </x:c>
      <x:c r="N3894" s="28" t="n">
        <x:v>46203.92189965278</x:v>
      </x:c>
      <x:c r="O3894" s="28" t="n">
        <x:v>46219.812988715275</x:v>
      </x:c>
      <x:c r="P3894" s="23" t="str">
        <x:v>SÃO CARLOS</x:v>
      </x:c>
      <x:c r="Q3894" s="30" t="n">
        <x:v>36486</x:v>
      </x:c>
      <x:c r="R3894" s="22" t="str">
        <x:f>"544064707"</x:f>
        <x:v>544064707</x:v>
      </x:c>
      <x:c r="S3894" s="23" t="str">
        <x:v>masculino</x:v>
      </x:c>
      <x:c r="T3894" s="22" t="str"/>
      <x:c r="U3894" s="23" t="str">
        <x:v>WESLEY MENDES DA SILVA</x:v>
      </x:c>
      <x:c r="V3894" s="22" t="str">
        <x:f>"491.328.288-37"</x:f>
        <x:v>491.328.288-37</x:v>
      </x:c>
      <x:c r="W3894" s="22" t="str">
        <x:f>"49132828837"</x:f>
        <x:v>49132828837</x:v>
      </x:c>
      <x:c r="X3894" s="23" t="str">
        <x:v>nickalmeida161@gmail.com</x:v>
      </x:c>
      <x:c r="Y3894" s="22" t="str">
        <x:f>"(44)99175-0663"</x:f>
        <x:v>(44)99175-0663</x:v>
      </x:c>
      <x:c r="Z3894" s="30" t="n">
        <x:v>46357</x:v>
      </x:c>
    </x:row>
    <x:row r="3895" ht="18" customHeight="1">
      <x:c r="A3895" s="22" t="str">
        <x:f>"d63cfe29-1a07-4b2a-b35c-b2a0e4d8ed6f"</x:f>
        <x:v>d63cfe29-1a07-4b2a-b35c-b2a0e4d8ed6f</x:v>
      </x:c>
      <x:c r="B3895" s="23" t="str">
        <x:v>WESLEY PEREIRA SANTOS</x:v>
      </x:c>
      <x:c r="C3895" s="23" t="str">
        <x:v>wesley pereira santos</x:v>
      </x:c>
      <x:c r="D3895" s="22" t="str">
        <x:f>"61.310.435/0001-27"</x:f>
        <x:v>61.310.435/0001-27</x:v>
      </x:c>
      <x:c r="E3895" s="22" t="str">
        <x:f>"61310435000127"</x:f>
        <x:v>61310435000127</x:v>
      </x:c>
      <x:c r="F3895" s="22" t="str">
        <x:f>"122.883.256-07"</x:f>
        <x:v>122.883.256-07</x:v>
      </x:c>
      <x:c r="G3895" s="22" t="str">
        <x:f>"12288325607"</x:f>
        <x:v>12288325607</x:v>
      </x:c>
      <x:c r="H3895" s="23" t="str">
        <x:v>pereiw14@gmail.com</x:v>
      </x:c>
      <x:c r="I3895" s="22" t="str">
        <x:f>"35 9228-7506"</x:f>
        <x:v>35 9228-7506</x:v>
      </x:c>
      <x:c r="J3895" s="23" t="str">
        <x:v>SPOT</x:v>
      </x:c>
      <x:c r="K3895" s="23" t="str">
        <x:v>favored_only</x:v>
      </x:c>
      <x:c r="L3895" s="24" t="b">
        <x:v>1</x:v>
      </x:c>
      <x:c r="M3895" s="23" t="n">
        <x:v>1</x:v>
      </x:c>
      <x:c r="N3895" s="28" t="n">
        <x:v>46203.92186888889</x:v>
      </x:c>
      <x:c r="O3895" s="28" t="n">
        <x:v>46219.812988715275</x:v>
      </x:c>
      <x:c r="P3895" s="23" t="str">
        <x:v>POCOS DE CALDAS</x:v>
      </x:c>
      <x:c r="Q3895" s="30" t="n">
        <x:v>36096</x:v>
      </x:c>
      <x:c r="R3895" s="22" t="str">
        <x:f>"20139335"</x:f>
        <x:v>20139335</x:v>
      </x:c>
      <x:c r="S3895" s="23" t="str">
        <x:v>masculino</x:v>
      </x:c>
      <x:c r="T3895" s="22" t="str">
        <x:f>"FYM4B56"</x:f>
        <x:v>FYM4B56</x:v>
      </x:c>
      <x:c r="U3895" s="23" t="str">
        <x:v>WESLEY PEREIRA SANTOS</x:v>
      </x:c>
      <x:c r="V3895" s="22" t="str">
        <x:f>"122.883.256-07"</x:f>
        <x:v>122.883.256-07</x:v>
      </x:c>
      <x:c r="W3895" s="22" t="str">
        <x:f>"12288325607"</x:f>
        <x:v>12288325607</x:v>
      </x:c>
      <x:c r="X3895" s="23" t="str">
        <x:v>pereiw14@gmail.com</x:v>
      </x:c>
      <x:c r="Y3895" s="22" t="str">
        <x:f>"35 9228-7506"</x:f>
        <x:v>35 9228-7506</x:v>
      </x:c>
      <x:c r="Z3895" s="30" t="n">
        <x:v>46290</x:v>
      </x:c>
    </x:row>
    <x:row r="3896" ht="18" customHeight="1">
      <x:c r="A3896" s="22" t="str">
        <x:f>"ae3d9489-d1da-47c0-b779-3f4423712304"</x:f>
        <x:v>ae3d9489-d1da-47c0-b779-3f4423712304</x:v>
      </x:c>
      <x:c r="B3896" s="23" t="str">
        <x:v>WESLEY RONI POLICARPO</x:v>
      </x:c>
      <x:c r="C3896" s="23" t="str">
        <x:v>wesley roni policarpo</x:v>
      </x:c>
      <x:c r="D3896" s="22" t="str">
        <x:f>"56.014.457/0001-00"</x:f>
        <x:v>56.014.457/0001-00</x:v>
      </x:c>
      <x:c r="E3896" s="22" t="str">
        <x:f>"56014457000100"</x:f>
        <x:v>56014457000100</x:v>
      </x:c>
      <x:c r="F3896" s="22" t="str">
        <x:f>"067.524.236-36"</x:f>
        <x:v>067.524.236-36</x:v>
      </x:c>
      <x:c r="G3896" s="22" t="str">
        <x:f>"06752423636"</x:f>
        <x:v>06752423636</x:v>
      </x:c>
      <x:c r="H3896" s="23" t="str">
        <x:v>wesleypolicarpo87@gmail.com</x:v>
      </x:c>
      <x:c r="I3896" s="22" t="str">
        <x:f>"31989073762"</x:f>
        <x:v>31989073762</x:v>
      </x:c>
      <x:c r="J3896" s="23" t="str">
        <x:v>SPOT</x:v>
      </x:c>
      <x:c r="K3896" s="23" t="str">
        <x:v>favored_only</x:v>
      </x:c>
      <x:c r="L3896" s="24" t="b">
        <x:v>1</x:v>
      </x:c>
      <x:c r="M3896" s="23" t="n">
        <x:v>1</x:v>
      </x:c>
      <x:c r="N3896" s="28" t="n">
        <x:v>46203.9219084375</x:v>
      </x:c>
      <x:c r="O3896" s="28" t="n">
        <x:v>46219.812988715275</x:v>
      </x:c>
      <x:c r="P3896" s="23" t="str">
        <x:v>CONTAGEM</x:v>
      </x:c>
      <x:c r="Q3896" s="30" t="n">
        <x:v>31351</x:v>
      </x:c>
      <x:c r="R3896" s="22" t="str">
        <x:f>"MG12587517"</x:f>
        <x:v>MG12587517</x:v>
      </x:c>
      <x:c r="S3896" s="23" t="str">
        <x:v>masculino</x:v>
      </x:c>
      <x:c r="T3896" s="22" t="str">
        <x:f>"QOZ0G85"</x:f>
        <x:v>QOZ0G85</x:v>
      </x:c>
      <x:c r="U3896" s="23" t="str">
        <x:v>WESLEY RONI POLICARPO</x:v>
      </x:c>
      <x:c r="V3896" s="22" t="str">
        <x:f>"067.524.236-36"</x:f>
        <x:v>067.524.236-36</x:v>
      </x:c>
      <x:c r="W3896" s="22" t="str">
        <x:f>"06752423636"</x:f>
        <x:v>06752423636</x:v>
      </x:c>
      <x:c r="X3896" s="23" t="str">
        <x:v>wesleypolicarpo87@gmail.com</x:v>
      </x:c>
      <x:c r="Y3896" s="22" t="str">
        <x:f>"31989073762"</x:f>
        <x:v>31989073762</x:v>
      </x:c>
      <x:c r="Z3896" s="30" t="n">
        <x:v>46379</x:v>
      </x:c>
    </x:row>
    <x:row r="3897" ht="18" customHeight="1">
      <x:c r="A3897" s="22" t="str">
        <x:f>"d184e7e1-cf48-4f3d-a34a-1f3b704af890"</x:f>
        <x:v>d184e7e1-cf48-4f3d-a34a-1f3b704af890</x:v>
      </x:c>
      <x:c r="B3897" s="23" t="str">
        <x:v>Wesley Santos Abreu</x:v>
      </x:c>
      <x:c r="C3897" s="23" t="str">
        <x:v>wesley santos abreu</x:v>
      </x:c>
      <x:c r="D3897" s="22" t="str">
        <x:f>"47.352.784/0001-80"</x:f>
        <x:v>47.352.784/0001-80</x:v>
      </x:c>
      <x:c r="E3897" s="22" t="str">
        <x:f>"47352784000180"</x:f>
        <x:v>47352784000180</x:v>
      </x:c>
      <x:c r="F3897" s="22" t="str">
        <x:f>"06263149175"</x:f>
        <x:v>06263149175</x:v>
      </x:c>
      <x:c r="G3897" s="22" t="str">
        <x:f>"06263149175"</x:f>
        <x:v>06263149175</x:v>
      </x:c>
      <x:c r="H3897" s="23" t="str">
        <x:v>wesleysantosabreu13@gmail.com</x:v>
      </x:c>
      <x:c r="I3897" s="22" t="str">
        <x:f>"(65)993081162"</x:f>
        <x:v>(65)993081162</x:v>
      </x:c>
      <x:c r="J3897" s="23" t="str">
        <x:v>SPOT</x:v>
      </x:c>
      <x:c r="K3897" s="23" t="str">
        <x:v>favored_only</x:v>
      </x:c>
      <x:c r="L3897" s="24" t="b">
        <x:v>1</x:v>
      </x:c>
      <x:c r="M3897" s="23" t="n">
        <x:v>11</x:v>
      </x:c>
      <x:c r="N3897" s="28" t="n">
        <x:v>46203.92183332176</x:v>
      </x:c>
      <x:c r="O3897" s="28" t="n">
        <x:v>46203.92183332176</x:v>
      </x:c>
      <x:c r="P3897" s="23" t="str"/>
      <x:c r="Q3897" s="30" t="str"/>
      <x:c r="R3897" s="22" t="str"/>
      <x:c r="S3897" s="23" t="str"/>
      <x:c r="T3897" s="22" t="str"/>
      <x:c r="U3897" s="23" t="str">
        <x:v>Wesley Santos Abreu</x:v>
      </x:c>
      <x:c r="V3897" s="22" t="str">
        <x:f>"06263149175"</x:f>
        <x:v>06263149175</x:v>
      </x:c>
      <x:c r="W3897" s="22" t="str">
        <x:f>"06263149175"</x:f>
        <x:v>06263149175</x:v>
      </x:c>
      <x:c r="X3897" s="23" t="str">
        <x:v>wesleysantosabreu13@gmail.com</x:v>
      </x:c>
      <x:c r="Y3897" s="22" t="str">
        <x:f>"65993081162"</x:f>
        <x:v>65993081162</x:v>
      </x:c>
      <x:c r="Z3897" s="30" t="str"/>
    </x:row>
    <x:row r="3898" ht="18" customHeight="1">
      <x:c r="A3898" s="22" t="str">
        <x:f>"6d96ff26-ff1c-4937-8eb7-522454143000"</x:f>
        <x:v>6d96ff26-ff1c-4937-8eb7-522454143000</x:v>
      </x:c>
      <x:c r="B3898" s="23" t="str">
        <x:v>WESLEY SOARES DE BRITO</x:v>
      </x:c>
      <x:c r="C3898" s="23" t="str">
        <x:v>wesley soares de brito</x:v>
      </x:c>
      <x:c r="D3898" s="22" t="str">
        <x:f>"67.154.596/0001-55"</x:f>
        <x:v>67.154.596/0001-55</x:v>
      </x:c>
      <x:c r="E3898" s="22" t="str">
        <x:f>"67154596000155"</x:f>
        <x:v>67154596000155</x:v>
      </x:c>
      <x:c r="F3898" s="22" t="str">
        <x:f>"110.761.506-24"</x:f>
        <x:v>110.761.506-24</x:v>
      </x:c>
      <x:c r="G3898" s="22" t="str">
        <x:f>"11076150624"</x:f>
        <x:v>11076150624</x:v>
      </x:c>
      <x:c r="H3898" s="23" t="str">
        <x:v>wesleysoares33@gmail.com</x:v>
      </x:c>
      <x:c r="I3898" s="22" t="str">
        <x:f>"(31) 98250-2003"</x:f>
        <x:v>(31) 98250-2003</x:v>
      </x:c>
      <x:c r="J3898" s="23" t="str">
        <x:v>RENTAL</x:v>
      </x:c>
      <x:c r="K3898" s="23" t="str">
        <x:v>rental_company</x:v>
      </x:c>
      <x:c r="L3898" s="24" t="b">
        <x:v>1</x:v>
      </x:c>
      <x:c r="M3898" s="23" t="n">
        <x:v>1</x:v>
      </x:c>
      <x:c r="N3898" s="28" t="n">
        <x:v>46219.812988715275</x:v>
      </x:c>
      <x:c r="O3898" s="28" t="n">
        <x:v>46219.812988715275</x:v>
      </x:c>
      <x:c r="P3898" s="23" t="str">
        <x:v>CONTAGEM</x:v>
      </x:c>
      <x:c r="Q3898" s="30" t="n">
        <x:v>35181</x:v>
      </x:c>
      <x:c r="R3898" s="22" t="str">
        <x:f>"17847488"</x:f>
        <x:v>17847488</x:v>
      </x:c>
      <x:c r="S3898" s="23" t="str">
        <x:v>masculino</x:v>
      </x:c>
      <x:c r="T3898" s="22" t="str"/>
      <x:c r="U3898" s="23" t="str">
        <x:v>WESLEY SOARES DE BRITO</x:v>
      </x:c>
      <x:c r="V3898" s="22" t="str">
        <x:f>"110.761.506-24"</x:f>
        <x:v>110.761.506-24</x:v>
      </x:c>
      <x:c r="W3898" s="22" t="str">
        <x:f>"11076150624"</x:f>
        <x:v>11076150624</x:v>
      </x:c>
      <x:c r="X3898" s="23" t="str">
        <x:v>wesleysoares33@gmail.com</x:v>
      </x:c>
      <x:c r="Y3898" s="22" t="str">
        <x:f>"(31) 98250-2003"</x:f>
        <x:v>(31) 98250-2003</x:v>
      </x:c>
      <x:c r="Z3898" s="30" t="n">
        <x:v>46547</x:v>
      </x:c>
    </x:row>
    <x:row r="3899" ht="18" customHeight="1">
      <x:c r="A3899" s="22" t="str">
        <x:f>"5dd9240c-aa85-4079-9428-dfaf54e0f156"</x:f>
        <x:v>5dd9240c-aa85-4079-9428-dfaf54e0f156</x:v>
      </x:c>
      <x:c r="B3899" s="23" t="str">
        <x:v>WESLEY SOARES PEREIRA</x:v>
      </x:c>
      <x:c r="C3899" s="23" t="str">
        <x:v>wesley soares pereira</x:v>
      </x:c>
      <x:c r="D3899" s="22" t="str">
        <x:f>"47.113.310/0001-86"</x:f>
        <x:v>47.113.310/0001-86</x:v>
      </x:c>
      <x:c r="E3899" s="22" t="str">
        <x:f>"47113310000186"</x:f>
        <x:v>47113310000186</x:v>
      </x:c>
      <x:c r="F3899" s="22" t="str">
        <x:f>"003.168.021-66"</x:f>
        <x:v>003.168.021-66</x:v>
      </x:c>
      <x:c r="G3899" s="22" t="str">
        <x:f>"00316802166"</x:f>
        <x:v>00316802166</x:v>
      </x:c>
      <x:c r="H3899" s="23" t="str">
        <x:v>wesleysp11.ws@gmail.com</x:v>
      </x:c>
      <x:c r="I3899" s="22" t="str">
        <x:f>"67999088387"</x:f>
        <x:v>67999088387</x:v>
      </x:c>
      <x:c r="J3899" s="23" t="str">
        <x:v>SPOT</x:v>
      </x:c>
      <x:c r="K3899" s="23" t="str">
        <x:v>favored_only</x:v>
      </x:c>
      <x:c r="L3899" s="24" t="b">
        <x:v>1</x:v>
      </x:c>
      <x:c r="M3899" s="23" t="n">
        <x:v>1</x:v>
      </x:c>
      <x:c r="N3899" s="28" t="n">
        <x:v>46203.921887453704</x:v>
      </x:c>
      <x:c r="O3899" s="28" t="n">
        <x:v>46219.812988715275</x:v>
      </x:c>
      <x:c r="P3899" s="23" t="str">
        <x:v>CHAPADÃO DO SUL</x:v>
      </x:c>
      <x:c r="Q3899" s="30" t="n">
        <x:v>31669</x:v>
      </x:c>
      <x:c r="R3899" s="22" t="str">
        <x:f>"1263442"</x:f>
        <x:v>1263442</x:v>
      </x:c>
      <x:c r="S3899" s="23" t="str">
        <x:v>masculino</x:v>
      </x:c>
      <x:c r="T3899" s="22" t="str">
        <x:f>"ASE0G55"</x:f>
        <x:v>ASE0G55</x:v>
      </x:c>
      <x:c r="U3899" s="23" t="str">
        <x:v>WESLEY SOARES PEREIRA</x:v>
      </x:c>
      <x:c r="V3899" s="22" t="str">
        <x:f>"003.168.021-66"</x:f>
        <x:v>003.168.021-66</x:v>
      </x:c>
      <x:c r="W3899" s="22" t="str">
        <x:f>"00316802166"</x:f>
        <x:v>00316802166</x:v>
      </x:c>
      <x:c r="X3899" s="23" t="str">
        <x:v>wesleysp11.ws@gmail.com</x:v>
      </x:c>
      <x:c r="Y3899" s="22" t="str">
        <x:f>"67999088387"</x:f>
        <x:v>67999088387</x:v>
      </x:c>
      <x:c r="Z3899" s="30" t="n">
        <x:v>46333</x:v>
      </x:c>
    </x:row>
    <x:row r="3900" ht="18" customHeight="1">
      <x:c r="A3900" s="22" t="str">
        <x:f>"3f6fed3c-9bce-4ebc-a54e-0b07dcc401d5"</x:f>
        <x:v>3f6fed3c-9bce-4ebc-a54e-0b07dcc401d5</x:v>
      </x:c>
      <x:c r="B3900" s="23" t="str">
        <x:v>WESLEY SOUZA ARAUJO</x:v>
      </x:c>
      <x:c r="C3900" s="23" t="str">
        <x:v>wesley souza araujo</x:v>
      </x:c>
      <x:c r="D3900" s="22" t="str">
        <x:f>"63.121.589/0001-04"</x:f>
        <x:v>63.121.589/0001-04</x:v>
      </x:c>
      <x:c r="E3900" s="22" t="str">
        <x:f>"63121589000104"</x:f>
        <x:v>63121589000104</x:v>
      </x:c>
      <x:c r="F3900" s="22" t="str">
        <x:f>"023.994.221-39"</x:f>
        <x:v>023.994.221-39</x:v>
      </x:c>
      <x:c r="G3900" s="22" t="str">
        <x:f>"02399422139"</x:f>
        <x:v>02399422139</x:v>
      </x:c>
      <x:c r="H3900" s="23" t="str">
        <x:v>wesleysouza0206@gmail.com</x:v>
      </x:c>
      <x:c r="I3900" s="22" t="str">
        <x:f>"74 9997-3046"</x:f>
        <x:v>74 9997-3046</x:v>
      </x:c>
      <x:c r="J3900" s="23" t="str">
        <x:v>SPOT</x:v>
      </x:c>
      <x:c r="K3900" s="23" t="str">
        <x:v>favored_only</x:v>
      </x:c>
      <x:c r="L3900" s="24" t="b">
        <x:v>1</x:v>
      </x:c>
      <x:c r="M3900" s="23" t="n">
        <x:v>1</x:v>
      </x:c>
      <x:c r="N3900" s="28" t="n">
        <x:v>46205.60500202546</x:v>
      </x:c>
      <x:c r="O3900" s="28" t="n">
        <x:v>46219.812988715275</x:v>
      </x:c>
      <x:c r="P3900" s="23" t="str">
        <x:v>RIO VERDE</x:v>
      </x:c>
      <x:c r="Q3900" s="30" t="n">
        <x:v>32661</x:v>
      </x:c>
      <x:c r="R3900" s="22" t="str">
        <x:f>"10241836"</x:f>
        <x:v>10241836</x:v>
      </x:c>
      <x:c r="S3900" s="23" t="str">
        <x:v>masculino</x:v>
      </x:c>
      <x:c r="T3900" s="22" t="str">
        <x:f>"DXS9E70"</x:f>
        <x:v>DXS9E70</x:v>
      </x:c>
      <x:c r="U3900" s="23" t="str">
        <x:v>RAFAELA DOS SANTOS COSTA</x:v>
      </x:c>
      <x:c r="V3900" s="22" t="str">
        <x:f>"066.459.045-41"</x:f>
        <x:v>066.459.045-41</x:v>
      </x:c>
      <x:c r="W3900" s="22" t="str">
        <x:f>"06645904541"</x:f>
        <x:v>06645904541</x:v>
      </x:c>
      <x:c r="X3900" s="23" t="str">
        <x:v>wesleysouza0206@gmail.com</x:v>
      </x:c>
      <x:c r="Y3900" s="22" t="str">
        <x:f>"74 9997-3046"</x:f>
        <x:v>74 9997-3046</x:v>
      </x:c>
      <x:c r="Z3900" s="30" t="n">
        <x:v>46331</x:v>
      </x:c>
    </x:row>
    <x:row r="3901" ht="18" customHeight="1">
      <x:c r="A3901" s="22" t="str">
        <x:f>"f1556ff0-531d-4cb1-b8db-bc1680febe7b"</x:f>
        <x:v>f1556ff0-531d-4cb1-b8db-bc1680febe7b</x:v>
      </x:c>
      <x:c r="B3901" s="23" t="str">
        <x:v>WESLLEY FERNANDES BARBOSA</x:v>
      </x:c>
      <x:c r="C3901" s="23" t="str">
        <x:v>weslley fernandes barbosa</x:v>
      </x:c>
      <x:c r="D3901" s="22" t="str">
        <x:f>"46.977.610/0001-40"</x:f>
        <x:v>46.977.610/0001-40</x:v>
      </x:c>
      <x:c r="E3901" s="22" t="str">
        <x:f>"46977610000140"</x:f>
        <x:v>46977610000140</x:v>
      </x:c>
      <x:c r="F3901" s="22" t="str">
        <x:f>"009.823.861-25"</x:f>
        <x:v>009.823.861-25</x:v>
      </x:c>
      <x:c r="G3901" s="22" t="str">
        <x:f>"00982386125"</x:f>
        <x:v>00982386125</x:v>
      </x:c>
      <x:c r="H3901" s="23" t="str">
        <x:v>fernandob120297@gmail.com</x:v>
      </x:c>
      <x:c r="I3901" s="22" t="str">
        <x:f>"62 9 8236-4564"</x:f>
        <x:v>62 9 8236-4564</x:v>
      </x:c>
      <x:c r="J3901" s="23" t="str">
        <x:v>SPOT</x:v>
      </x:c>
      <x:c r="K3901" s="23" t="str">
        <x:v>favored_only</x:v>
      </x:c>
      <x:c r="L3901" s="24" t="b">
        <x:v>1</x:v>
      </x:c>
      <x:c r="M3901" s="23" t="n">
        <x:v>1</x:v>
      </x:c>
      <x:c r="N3901" s="28" t="n">
        <x:v>46203.92183332176</x:v>
      </x:c>
      <x:c r="O3901" s="28" t="n">
        <x:v>46219.812988715275</x:v>
      </x:c>
      <x:c r="P3901" s="23" t="str">
        <x:v>MOZARLANDIA</x:v>
      </x:c>
      <x:c r="Q3901" s="30" t="n">
        <x:v>30907</x:v>
      </x:c>
      <x:c r="R3901" s="22" t="str">
        <x:f>"4781198"</x:f>
        <x:v>4781198</x:v>
      </x:c>
      <x:c r="S3901" s="23" t="str">
        <x:v>masculino</x:v>
      </x:c>
      <x:c r="T3901" s="22" t="str">
        <x:f>"TGD0J02"</x:f>
        <x:v>TGD0J02</x:v>
      </x:c>
      <x:c r="U3901" s="23" t="str">
        <x:v>WESLLEY FERNANDES BARBOSA</x:v>
      </x:c>
      <x:c r="V3901" s="22" t="str">
        <x:f>"009.823.861-25"</x:f>
        <x:v>009.823.861-25</x:v>
      </x:c>
      <x:c r="W3901" s="22" t="str">
        <x:f>"00982386125"</x:f>
        <x:v>00982386125</x:v>
      </x:c>
      <x:c r="X3901" s="23" t="str">
        <x:v>fernandob120297@gmail.com</x:v>
      </x:c>
      <x:c r="Y3901" s="22" t="str">
        <x:f>"62 9 8236-4564"</x:f>
        <x:v>62 9 8236-4564</x:v>
      </x:c>
      <x:c r="Z3901" s="30" t="n">
        <x:v>46318</x:v>
      </x:c>
    </x:row>
    <x:row r="3902" ht="18" customHeight="1">
      <x:c r="A3902" s="22" t="str">
        <x:f>"e0b9a660-ec87-409d-be18-b6e5a35f2ac0"</x:f>
        <x:v>e0b9a660-ec87-409d-be18-b6e5a35f2ac0</x:v>
      </x:c>
      <x:c r="B3902" s="23" t="str">
        <x:v>WESLLEY GUILHERME DA SILVA</x:v>
      </x:c>
      <x:c r="C3902" s="23" t="str">
        <x:v>weslley guilherme da silva</x:v>
      </x:c>
      <x:c r="D3902" s="22" t="str">
        <x:f>"50.524.980/0001-08"</x:f>
        <x:v>50.524.980/0001-08</x:v>
      </x:c>
      <x:c r="E3902" s="22" t="str">
        <x:f>"50524980000108"</x:f>
        <x:v>50524980000108</x:v>
      </x:c>
      <x:c r="F3902" s="22" t="str">
        <x:f>"489.758.358-63"</x:f>
        <x:v>489.758.358-63</x:v>
      </x:c>
      <x:c r="G3902" s="22" t="str">
        <x:f>"48975835863"</x:f>
        <x:v>48975835863</x:v>
      </x:c>
      <x:c r="H3902" s="23" t="str">
        <x:v>wguilherme315@gmail.com</x:v>
      </x:c>
      <x:c r="I3902" s="22" t="str">
        <x:f>"16997481412"</x:f>
        <x:v>16997481412</x:v>
      </x:c>
      <x:c r="J3902" s="23" t="str">
        <x:v>RENTAL</x:v>
      </x:c>
      <x:c r="K3902" s="23" t="str">
        <x:v>rental_company</x:v>
      </x:c>
      <x:c r="L3902" s="24" t="b">
        <x:v>1</x:v>
      </x:c>
      <x:c r="M3902" s="23" t="n">
        <x:v>1</x:v>
      </x:c>
      <x:c r="N3902" s="28" t="n">
        <x:v>46219.812988715275</x:v>
      </x:c>
      <x:c r="O3902" s="28" t="n">
        <x:v>46219.812988715275</x:v>
      </x:c>
      <x:c r="P3902" s="23" t="str">
        <x:v>SÃO CARLOS</x:v>
      </x:c>
      <x:c r="Q3902" s="30" t="n">
        <x:v>37733</x:v>
      </x:c>
      <x:c r="R3902" s="22" t="str">
        <x:f>"56536351"</x:f>
        <x:v>56536351</x:v>
      </x:c>
      <x:c r="S3902" s="23" t="str">
        <x:v>masculino</x:v>
      </x:c>
      <x:c r="T3902" s="22" t="str"/>
      <x:c r="U3902" s="23" t="str">
        <x:v>WESLLEY GUILHERME DA SILVA</x:v>
      </x:c>
      <x:c r="V3902" s="22" t="str">
        <x:f>"489.758.358-63"</x:f>
        <x:v>489.758.358-63</x:v>
      </x:c>
      <x:c r="W3902" s="22" t="str">
        <x:f>"48975835863"</x:f>
        <x:v>48975835863</x:v>
      </x:c>
      <x:c r="X3902" s="23" t="str">
        <x:v>wguilherme315@gmail.com</x:v>
      </x:c>
      <x:c r="Y3902" s="22" t="str">
        <x:f>"16997481412"</x:f>
        <x:v>16997481412</x:v>
      </x:c>
      <x:c r="Z3902" s="30" t="n">
        <x:v>46520</x:v>
      </x:c>
    </x:row>
    <x:row r="3903" ht="18" customHeight="1">
      <x:c r="A3903" s="22" t="str">
        <x:f>"f4cf535f-1735-4650-992c-d8ffc2734f23"</x:f>
        <x:v>f4cf535f-1735-4650-992c-d8ffc2734f23</x:v>
      </x:c>
      <x:c r="B3903" s="23" t="str">
        <x:v>WEVERLEY MATEUS PEREIRA DO CARMO</x:v>
      </x:c>
      <x:c r="C3903" s="23" t="str">
        <x:v>weverley mateus pereira do carmo</x:v>
      </x:c>
      <x:c r="D3903" s="22" t="str">
        <x:f>"58.092.666/0001-05"</x:f>
        <x:v>58.092.666/0001-05</x:v>
      </x:c>
      <x:c r="E3903" s="22" t="str">
        <x:f>"58092666000105"</x:f>
        <x:v>58092666000105</x:v>
      </x:c>
      <x:c r="F3903" s="22" t="str">
        <x:f>"14880535613"</x:f>
        <x:v>14880535613</x:v>
      </x:c>
      <x:c r="G3903" s="22" t="str">
        <x:f>"14880535613"</x:f>
        <x:v>14880535613</x:v>
      </x:c>
      <x:c r="H3903" s="23" t="str">
        <x:v>Mateusg120@gmail.com</x:v>
      </x:c>
      <x:c r="I3903" s="22" t="str">
        <x:f>"+55 34 9339-6761"</x:f>
        <x:v>+55 34 9339-6761</x:v>
      </x:c>
      <x:c r="J3903" s="23" t="str">
        <x:v>SPOT</x:v>
      </x:c>
      <x:c r="K3903" s="23" t="str">
        <x:v>favored_only</x:v>
      </x:c>
      <x:c r="L3903" s="24" t="b">
        <x:v>1</x:v>
      </x:c>
      <x:c r="M3903" s="23" t="n">
        <x:v>1</x:v>
      </x:c>
      <x:c r="N3903" s="28" t="n">
        <x:v>46203.92191240741</x:v>
      </x:c>
      <x:c r="O3903" s="28" t="n">
        <x:v>46220.504010462966</x:v>
      </x:c>
      <x:c r="P3903" s="23" t="str">
        <x:v>SANTO ANTONIO DA PLATINA</x:v>
      </x:c>
      <x:c r="Q3903" s="30" t="str"/>
      <x:c r="R3903" s="22" t="str"/>
      <x:c r="S3903" s="23" t="str"/>
      <x:c r="T3903" s="22" t="str"/>
      <x:c r="U3903" s="23" t="str">
        <x:v>WEVERLEY MATEUS PEREIRA DO CARMO</x:v>
      </x:c>
      <x:c r="V3903" s="22" t="str">
        <x:f>"14880535613"</x:f>
        <x:v>14880535613</x:v>
      </x:c>
      <x:c r="W3903" s="22" t="str">
        <x:f>"14880535613"</x:f>
        <x:v>14880535613</x:v>
      </x:c>
      <x:c r="X3903" s="23" t="str">
        <x:v>Mateusg120@gmail.com</x:v>
      </x:c>
      <x:c r="Y3903" s="22" t="str">
        <x:f>"+55 34 9339-6761"</x:f>
        <x:v>+55 34 9339-6761</x:v>
      </x:c>
      <x:c r="Z3903" s="30" t="str"/>
    </x:row>
    <x:row r="3904" ht="18" customHeight="1">
      <x:c r="A3904" s="22" t="str">
        <x:f>"4e9c3b51-f037-4b86-b3e7-ed3218c1c324"</x:f>
        <x:v>4e9c3b51-f037-4b86-b3e7-ed3218c1c324</x:v>
      </x:c>
      <x:c r="B3904" s="23" t="str">
        <x:v>WEVERTON BRUNO LIMA EMERY</x:v>
      </x:c>
      <x:c r="C3904" s="23" t="str">
        <x:v>weverton bruno lima emery</x:v>
      </x:c>
      <x:c r="D3904" s="22" t="str">
        <x:f>"65.378.550/0001-94"</x:f>
        <x:v>65.378.550/0001-94</x:v>
      </x:c>
      <x:c r="E3904" s="22" t="str">
        <x:f>"65378550000194"</x:f>
        <x:v>65378550000194</x:v>
      </x:c>
      <x:c r="F3904" s="22" t="str">
        <x:f>"066.776.356-27"</x:f>
        <x:v>066.776.356-27</x:v>
      </x:c>
      <x:c r="G3904" s="22" t="str">
        <x:f>"06677635627"</x:f>
        <x:v>06677635627</x:v>
      </x:c>
      <x:c r="H3904" s="23" t="str">
        <x:v>wbrunoo_28@hotmail.com</x:v>
      </x:c>
      <x:c r="I3904" s="22" t="str">
        <x:f>"3199105-2276"</x:f>
        <x:v>3199105-2276</x:v>
      </x:c>
      <x:c r="J3904" s="23" t="str">
        <x:v>SPOT</x:v>
      </x:c>
      <x:c r="K3904" s="23" t="str">
        <x:v>favored_only</x:v>
      </x:c>
      <x:c r="L3904" s="24" t="b">
        <x:v>1</x:v>
      </x:c>
      <x:c r="M3904" s="23" t="n">
        <x:v>1</x:v>
      </x:c>
      <x:c r="N3904" s="28" t="n">
        <x:v>46219.812988715275</x:v>
      </x:c>
      <x:c r="O3904" s="28" t="n">
        <x:v>46219.812988715275</x:v>
      </x:c>
      <x:c r="P3904" s="23" t="str">
        <x:v>NOVA LIMA</x:v>
      </x:c>
      <x:c r="Q3904" s="30" t="n">
        <x:v>30697</x:v>
      </x:c>
      <x:c r="R3904" s="22" t="str">
        <x:f>"12414653"</x:f>
        <x:v>12414653</x:v>
      </x:c>
      <x:c r="S3904" s="23" t="str">
        <x:v>masculino</x:v>
      </x:c>
      <x:c r="T3904" s="22" t="str">
        <x:f>"PVR1H25"</x:f>
        <x:v>PVR1H25</x:v>
      </x:c>
      <x:c r="U3904" s="23" t="str">
        <x:v>WEVERTON BRUNO LIMA EMERY</x:v>
      </x:c>
      <x:c r="V3904" s="22" t="str">
        <x:f>"066.776.356-27"</x:f>
        <x:v>066.776.356-27</x:v>
      </x:c>
      <x:c r="W3904" s="22" t="str">
        <x:f>"06677635627"</x:f>
        <x:v>06677635627</x:v>
      </x:c>
      <x:c r="X3904" s="23" t="str">
        <x:v>wbrunoo_28@hotmail.com</x:v>
      </x:c>
      <x:c r="Y3904" s="22" t="str">
        <x:f>"3199105-2276"</x:f>
        <x:v>3199105-2276</x:v>
      </x:c>
      <x:c r="Z3904" s="30" t="n">
        <x:v>46451</x:v>
      </x:c>
    </x:row>
    <x:row r="3905" ht="18" customHeight="1">
      <x:c r="A3905" s="22" t="str">
        <x:f>"88f59005-3331-47cc-84f7-5ddb58dcc2ac"</x:f>
        <x:v>88f59005-3331-47cc-84f7-5ddb58dcc2ac</x:v>
      </x:c>
      <x:c r="B3905" s="23" t="str">
        <x:v>WEVERTON DOS SANTOS SILVA</x:v>
      </x:c>
      <x:c r="C3905" s="23" t="str">
        <x:v>weverton dos santos silva</x:v>
      </x:c>
      <x:c r="D3905" s="22" t="str">
        <x:f>"64.890.564/0001-20"</x:f>
        <x:v>64.890.564/0001-20</x:v>
      </x:c>
      <x:c r="E3905" s="22" t="str">
        <x:f>"64890564000120"</x:f>
        <x:v>64890564000120</x:v>
      </x:c>
      <x:c r="F3905" s="22" t="str">
        <x:f>"097.679.776-35"</x:f>
        <x:v>097.679.776-35</x:v>
      </x:c>
      <x:c r="G3905" s="22" t="str">
        <x:f>"09767977635"</x:f>
        <x:v>09767977635</x:v>
      </x:c>
      <x:c r="H3905" s="23" t="str">
        <x:v>wevertonsantossilva134@gmail.com</x:v>
      </x:c>
      <x:c r="I3905" s="22" t="str">
        <x:f>"31993427048"</x:f>
        <x:v>31993427048</x:v>
      </x:c>
      <x:c r="J3905" s="23" t="str">
        <x:v>SPOT</x:v>
      </x:c>
      <x:c r="K3905" s="23" t="str">
        <x:v>favored_only</x:v>
      </x:c>
      <x:c r="L3905" s="24" t="b">
        <x:v>1</x:v>
      </x:c>
      <x:c r="M3905" s="23" t="n">
        <x:v>1</x:v>
      </x:c>
      <x:c r="N3905" s="28" t="n">
        <x:v>46219.812988715275</x:v>
      </x:c>
      <x:c r="O3905" s="28" t="n">
        <x:v>46219.812988715275</x:v>
      </x:c>
      <x:c r="P3905" s="23" t="str">
        <x:v>CONCEIÇÃO DO MATO DENTRO</x:v>
      </x:c>
      <x:c r="Q3905" s="30" t="n">
        <x:v>32478</x:v>
      </x:c>
      <x:c r="R3905" s="22" t="str">
        <x:f>"16488910"</x:f>
        <x:v>16488910</x:v>
      </x:c>
      <x:c r="S3905" s="23" t="str">
        <x:v>masculino</x:v>
      </x:c>
      <x:c r="T3905" s="22" t="str">
        <x:f>"HDM3D88"</x:f>
        <x:v>HDM3D88</x:v>
      </x:c>
      <x:c r="U3905" s="23" t="str">
        <x:v>WEVERTON DOS SANTOS SILVA</x:v>
      </x:c>
      <x:c r="V3905" s="22" t="str">
        <x:f>"097.679.776-35"</x:f>
        <x:v>097.679.776-35</x:v>
      </x:c>
      <x:c r="W3905" s="22" t="str">
        <x:f>"09767977635"</x:f>
        <x:v>09767977635</x:v>
      </x:c>
      <x:c r="X3905" s="23" t="str">
        <x:v>wevertonsantossilva134@gmail.com</x:v>
      </x:c>
      <x:c r="Y3905" s="22" t="str">
        <x:f>"31993427048"</x:f>
        <x:v>31993427048</x:v>
      </x:c>
      <x:c r="Z3905" s="30" t="n">
        <x:v>46430</x:v>
      </x:c>
    </x:row>
    <x:row r="3906" ht="18" customHeight="1">
      <x:c r="A3906" s="22" t="str">
        <x:f>"df4bf031-3912-4a0a-b62c-48f4a103a19d"</x:f>
        <x:v>df4bf031-3912-4a0a-b62c-48f4a103a19d</x:v>
      </x:c>
      <x:c r="B3906" s="23" t="str">
        <x:v>WEVERTON FERREIRA SOUZA QUADRA</x:v>
      </x:c>
      <x:c r="C3906" s="23" t="str">
        <x:v>weverton ferreira souza quadra</x:v>
      </x:c>
      <x:c r="D3906" s="22" t="str">
        <x:f>"64.934.588/0001-33"</x:f>
        <x:v>64.934.588/0001-33</x:v>
      </x:c>
      <x:c r="E3906" s="22" t="str">
        <x:f>"64934588000133"</x:f>
        <x:v>64934588000133</x:v>
      </x:c>
      <x:c r="F3906" s="22" t="str">
        <x:f>"017.656.186-22"</x:f>
        <x:v>017.656.186-22</x:v>
      </x:c>
      <x:c r="G3906" s="22" t="str">
        <x:f>"01765618622"</x:f>
        <x:v>01765618622</x:v>
      </x:c>
      <x:c r="H3906" s="23" t="str">
        <x:v>Wevertonferreirasouza45@gmail.com</x:v>
      </x:c>
      <x:c r="I3906" s="22" t="str">
        <x:f>"3171223792"</x:f>
        <x:v>3171223792</x:v>
      </x:c>
      <x:c r="J3906" s="23" t="str">
        <x:v>RENTAL</x:v>
      </x:c>
      <x:c r="K3906" s="23" t="str">
        <x:v>rental_company</x:v>
      </x:c>
      <x:c r="L3906" s="24" t="b">
        <x:v>1</x:v>
      </x:c>
      <x:c r="M3906" s="23" t="n">
        <x:v>1</x:v>
      </x:c>
      <x:c r="N3906" s="28" t="n">
        <x:v>46219.812988715275</x:v>
      </x:c>
      <x:c r="O3906" s="28" t="n">
        <x:v>46219.812988715275</x:v>
      </x:c>
      <x:c r="P3906" s="23" t="str">
        <x:v>GUANHAES</x:v>
      </x:c>
      <x:c r="Q3906" s="30" t="n">
        <x:v>33894</x:v>
      </x:c>
      <x:c r="R3906" s="22" t="str">
        <x:f>"MG17557011"</x:f>
        <x:v>MG17557011</x:v>
      </x:c>
      <x:c r="S3906" s="23" t="str">
        <x:v>masculino</x:v>
      </x:c>
      <x:c r="T3906" s="22" t="str"/>
      <x:c r="U3906" s="23" t="str">
        <x:v>WEVERTON FERREIRA SOUZA QUADRA</x:v>
      </x:c>
      <x:c r="V3906" s="22" t="str">
        <x:f>"017.656.186-22"</x:f>
        <x:v>017.656.186-22</x:v>
      </x:c>
      <x:c r="W3906" s="22" t="str">
        <x:f>"01765618622"</x:f>
        <x:v>01765618622</x:v>
      </x:c>
      <x:c r="X3906" s="23" t="str">
        <x:v>Wevertonferreirasouza45@gmail.com</x:v>
      </x:c>
      <x:c r="Y3906" s="22" t="str">
        <x:f>"3171223792"</x:f>
        <x:v>3171223792</x:v>
      </x:c>
      <x:c r="Z3906" s="30" t="n">
        <x:v>46427</x:v>
      </x:c>
    </x:row>
    <x:row r="3907" ht="18" customHeight="1">
      <x:c r="A3907" s="22" t="str">
        <x:f>"ce66c249-8016-4a97-8e92-5c2f75d28c2e"</x:f>
        <x:v>ce66c249-8016-4a97-8e92-5c2f75d28c2e</x:v>
      </x:c>
      <x:c r="B3907" s="23" t="str">
        <x:v>WEVERTON JOSE DA SILVA</x:v>
      </x:c>
      <x:c r="C3907" s="23" t="str">
        <x:v>weverton jose da silva</x:v>
      </x:c>
      <x:c r="D3907" s="22" t="str">
        <x:f>"26.532.518/0001-60"</x:f>
        <x:v>26.532.518/0001-60</x:v>
      </x:c>
      <x:c r="E3907" s="22" t="str">
        <x:f>"26532518000160"</x:f>
        <x:v>26532518000160</x:v>
      </x:c>
      <x:c r="F3907" s="22" t="str">
        <x:f>"087.467.726-26"</x:f>
        <x:v>087.467.726-26</x:v>
      </x:c>
      <x:c r="G3907" s="22" t="str">
        <x:f>"08746772626"</x:f>
        <x:v>08746772626</x:v>
      </x:c>
      <x:c r="H3907" s="23" t="str">
        <x:v>weverton.rafacarol@hotmail.com</x:v>
      </x:c>
      <x:c r="I3907" s="22" t="str">
        <x:f>"(31) 99601-4275"</x:f>
        <x:v>(31) 99601-4275</x:v>
      </x:c>
      <x:c r="J3907" s="23" t="str">
        <x:v>SPOT</x:v>
      </x:c>
      <x:c r="K3907" s="23" t="str">
        <x:v>favored_only</x:v>
      </x:c>
      <x:c r="L3907" s="24" t="b">
        <x:v>1</x:v>
      </x:c>
      <x:c r="M3907" s="23" t="n">
        <x:v>1</x:v>
      </x:c>
      <x:c r="N3907" s="28" t="n">
        <x:v>46203.92184908565</x:v>
      </x:c>
      <x:c r="O3907" s="28" t="n">
        <x:v>46219.812988715275</x:v>
      </x:c>
      <x:c r="P3907" s="23" t="str">
        <x:v>CONTAGEM</x:v>
      </x:c>
      <x:c r="Q3907" s="30" t="n">
        <x:v>32776</x:v>
      </x:c>
      <x:c r="R3907" s="22" t="str">
        <x:f>"12242456"</x:f>
        <x:v>12242456</x:v>
      </x:c>
      <x:c r="S3907" s="23" t="str">
        <x:v>masculino</x:v>
      </x:c>
      <x:c r="T3907" s="22" t="str">
        <x:f>"LMP7F57"</x:f>
        <x:v>LMP7F57</x:v>
      </x:c>
      <x:c r="U3907" s="23" t="str">
        <x:v>WEVERTON JOSE DA SILVA</x:v>
      </x:c>
      <x:c r="V3907" s="22" t="str">
        <x:f>"087.467.726-26"</x:f>
        <x:v>087.467.726-26</x:v>
      </x:c>
      <x:c r="W3907" s="22" t="str">
        <x:f>"08746772626"</x:f>
        <x:v>08746772626</x:v>
      </x:c>
      <x:c r="X3907" s="23" t="str">
        <x:v>weverton.rafacarol@hotmail.com</x:v>
      </x:c>
      <x:c r="Y3907" s="22" t="str">
        <x:f>"(31) 99601-4275"</x:f>
        <x:v>(31) 99601-4275</x:v>
      </x:c>
      <x:c r="Z3907" s="30" t="n">
        <x:v>46248</x:v>
      </x:c>
    </x:row>
    <x:row r="3908" ht="18" customHeight="1">
      <x:c r="A3908" s="22" t="str">
        <x:f>"a47a4801-58ec-45a5-bf5f-0862151f3181"</x:f>
        <x:v>a47a4801-58ec-45a5-bf5f-0862151f3181</x:v>
      </x:c>
      <x:c r="B3908" s="23" t="str">
        <x:v>WEVERTON RUAN DA SILVA</x:v>
      </x:c>
      <x:c r="C3908" s="23" t="str">
        <x:v>weverton ruan da silva</x:v>
      </x:c>
      <x:c r="D3908" s="22" t="str">
        <x:f>"63.908.772/0001-46"</x:f>
        <x:v>63.908.772/0001-46</x:v>
      </x:c>
      <x:c r="E3908" s="22" t="str">
        <x:f>"63908772000146"</x:f>
        <x:v>63908772000146</x:v>
      </x:c>
      <x:c r="F3908" s="22" t="str">
        <x:f>"134.999.316-64"</x:f>
        <x:v>134.999.316-64</x:v>
      </x:c>
      <x:c r="G3908" s="22" t="str">
        <x:f>"13499931664"</x:f>
        <x:v>13499931664</x:v>
      </x:c>
      <x:c r="H3908" s="23" t="str">
        <x:v>wevertonruan19@icloud.com</x:v>
      </x:c>
      <x:c r="I3908" s="22" t="str">
        <x:f>"34998339558"</x:f>
        <x:v>34998339558</x:v>
      </x:c>
      <x:c r="J3908" s="23" t="str">
        <x:v>SPOT</x:v>
      </x:c>
      <x:c r="K3908" s="23" t="str">
        <x:v>favored_only</x:v>
      </x:c>
      <x:c r="L3908" s="24" t="b">
        <x:v>1</x:v>
      </x:c>
      <x:c r="M3908" s="23" t="n">
        <x:v>1</x:v>
      </x:c>
      <x:c r="N3908" s="28" t="n">
        <x:v>46203.9219084375</x:v>
      </x:c>
      <x:c r="O3908" s="28" t="n">
        <x:v>46219.812988715275</x:v>
      </x:c>
      <x:c r="P3908" s="23" t="str">
        <x:v>ARAXÁ</x:v>
      </x:c>
      <x:c r="Q3908" s="30" t="n">
        <x:v>36031</x:v>
      </x:c>
      <x:c r="R3908" s="22" t="str">
        <x:f>"20529145"</x:f>
        <x:v>20529145</x:v>
      </x:c>
      <x:c r="S3908" s="23" t="str">
        <x:v>masculino</x:v>
      </x:c>
      <x:c r="T3908" s="22" t="str">
        <x:f>"OWM1B72"</x:f>
        <x:v>OWM1B72</x:v>
      </x:c>
      <x:c r="U3908" s="23" t="str">
        <x:v>WEVERTON RUAN DA SILVA</x:v>
      </x:c>
      <x:c r="V3908" s="22" t="str">
        <x:f>"134.999.316-64"</x:f>
        <x:v>134.999.316-64</x:v>
      </x:c>
      <x:c r="W3908" s="22" t="str">
        <x:f>"13499931664"</x:f>
        <x:v>13499931664</x:v>
      </x:c>
      <x:c r="X3908" s="23" t="str">
        <x:v>wevertonruan19@icloud.com</x:v>
      </x:c>
      <x:c r="Y3908" s="22" t="str">
        <x:f>"34998339558"</x:f>
        <x:v>34998339558</x:v>
      </x:c>
      <x:c r="Z3908" s="30" t="n">
        <x:v>46385</x:v>
      </x:c>
    </x:row>
    <x:row r="3909" ht="18" customHeight="1">
      <x:c r="A3909" s="22" t="str">
        <x:f>"70a71896-e98d-4bb3-929c-6338b28ebb6c"</x:f>
        <x:v>70a71896-e98d-4bb3-929c-6338b28ebb6c</x:v>
      </x:c>
      <x:c r="B3909" s="23" t="str">
        <x:v>WHERYCA CRISTINA PEREIRA MARTINS</x:v>
      </x:c>
      <x:c r="C3909" s="23" t="str">
        <x:v>wheryca cristina pereira martins</x:v>
      </x:c>
      <x:c r="D3909" s="22" t="str">
        <x:f>"55.642.559/0001-07"</x:f>
        <x:v>55.642.559/0001-07</x:v>
      </x:c>
      <x:c r="E3909" s="22" t="str">
        <x:f>"55642559000107"</x:f>
        <x:v>55642559000107</x:v>
      </x:c>
      <x:c r="F3909" s="22" t="str">
        <x:f>"073.156.121-06"</x:f>
        <x:v>073.156.121-06</x:v>
      </x:c>
      <x:c r="G3909" s="22" t="str">
        <x:f>"07315612106"</x:f>
        <x:v>07315612106</x:v>
      </x:c>
      <x:c r="H3909" s="23" t="str">
        <x:v>wheryca2020@gmail.com</x:v>
      </x:c>
      <x:c r="I3909" s="22" t="str">
        <x:f>"(62) 98570-4104"</x:f>
        <x:v>(62) 98570-4104</x:v>
      </x:c>
      <x:c r="J3909" s="23" t="str">
        <x:v>SPOT</x:v>
      </x:c>
      <x:c r="K3909" s="23" t="str">
        <x:v>favored_only</x:v>
      </x:c>
      <x:c r="L3909" s="24" t="b">
        <x:v>1</x:v>
      </x:c>
      <x:c r="M3909" s="23" t="n">
        <x:v>1</x:v>
      </x:c>
      <x:c r="N3909" s="28" t="n">
        <x:v>46203.92183017361</x:v>
      </x:c>
      <x:c r="O3909" s="28" t="n">
        <x:v>46219.812988715275</x:v>
      </x:c>
      <x:c r="P3909" s="23" t="str">
        <x:v>MINAÇU</x:v>
      </x:c>
      <x:c r="Q3909" s="30" t="n">
        <x:v>36537</x:v>
      </x:c>
      <x:c r="R3909" s="22" t="str">
        <x:f>"6823995"</x:f>
        <x:v>6823995</x:v>
      </x:c>
      <x:c r="S3909" s="23" t="str">
        <x:v>feminino</x:v>
      </x:c>
      <x:c r="T3909" s="22" t="str">
        <x:f>"ONM2B10"</x:f>
        <x:v>ONM2B10</x:v>
      </x:c>
      <x:c r="U3909" s="23" t="str">
        <x:v>WHERYCA CRISTINA PEREIRA MARTINS</x:v>
      </x:c>
      <x:c r="V3909" s="22" t="str">
        <x:f>"073.156.121-06"</x:f>
        <x:v>073.156.121-06</x:v>
      </x:c>
      <x:c r="W3909" s="22" t="str">
        <x:f>"07315612106"</x:f>
        <x:v>07315612106</x:v>
      </x:c>
      <x:c r="X3909" s="23" t="str">
        <x:v>wheryca2020@gmail.com</x:v>
      </x:c>
      <x:c r="Y3909" s="22" t="str">
        <x:f>"(62) 98570-4104"</x:f>
        <x:v>(62) 98570-4104</x:v>
      </x:c>
      <x:c r="Z3909" s="30" t="n">
        <x:v>46532</x:v>
      </x:c>
    </x:row>
    <x:row r="3910" ht="18" customHeight="1">
      <x:c r="A3910" s="22" t="str">
        <x:f>"4d4900bd-985b-4777-92a0-0d0b2d5574d7"</x:f>
        <x:v>4d4900bd-985b-4777-92a0-0d0b2d5574d7</x:v>
      </x:c>
      <x:c r="B3910" s="23" t="str">
        <x:v>WILHANSMAR GONCALVES DOS REIS</x:v>
      </x:c>
      <x:c r="C3910" s="23" t="str">
        <x:v>wilhansmar goncalves dos reis</x:v>
      </x:c>
      <x:c r="D3910" s="22" t="str">
        <x:f>"67.181.403/0001-55"</x:f>
        <x:v>67.181.403/0001-55</x:v>
      </x:c>
      <x:c r="E3910" s="22" t="str">
        <x:f>"67181403000155"</x:f>
        <x:v>67181403000155</x:v>
      </x:c>
      <x:c r="F3910" s="22" t="str">
        <x:f>"076.346.376-02"</x:f>
        <x:v>076.346.376-02</x:v>
      </x:c>
      <x:c r="G3910" s="22" t="str">
        <x:f>"07634637602"</x:f>
        <x:v>07634637602</x:v>
      </x:c>
      <x:c r="H3910" s="23" t="str">
        <x:v>wilhansmargoncalves@gmail.com</x:v>
      </x:c>
      <x:c r="I3910" s="22" t="str">
        <x:f>"(31)98561-8600"</x:f>
        <x:v>(31)98561-8600</x:v>
      </x:c>
      <x:c r="J3910" s="23" t="str">
        <x:v>SPOT</x:v>
      </x:c>
      <x:c r="K3910" s="23" t="str">
        <x:v>favored_only</x:v>
      </x:c>
      <x:c r="L3910" s="24" t="b">
        <x:v>1</x:v>
      </x:c>
      <x:c r="M3910" s="23" t="n">
        <x:v>1</x:v>
      </x:c>
      <x:c r="N3910" s="28" t="n">
        <x:v>46219.812988715275</x:v>
      </x:c>
      <x:c r="O3910" s="28" t="n">
        <x:v>46219.812988715275</x:v>
      </x:c>
      <x:c r="P3910" s="23" t="str">
        <x:v>IPATINGA</x:v>
      </x:c>
      <x:c r="Q3910" s="30" t="n">
        <x:v>31801</x:v>
      </x:c>
      <x:c r="R3910" s="22" t="str">
        <x:f>"MG 14582803 SSP MG"</x:f>
        <x:v>MG 14582803 SSP MG</x:v>
      </x:c>
      <x:c r="S3910" s="23" t="str">
        <x:v>masculino</x:v>
      </x:c>
      <x:c r="T3910" s="22" t="str">
        <x:f>"RNC4A37"</x:f>
        <x:v>RNC4A37</x:v>
      </x:c>
      <x:c r="U3910" s="23" t="str">
        <x:v>WILHANSMAR GONCALVES DOS REIS</x:v>
      </x:c>
      <x:c r="V3910" s="22" t="str">
        <x:f>"076.346.376-02"</x:f>
        <x:v>076.346.376-02</x:v>
      </x:c>
      <x:c r="W3910" s="22" t="str">
        <x:f>"07634637602"</x:f>
        <x:v>07634637602</x:v>
      </x:c>
      <x:c r="X3910" s="23" t="str">
        <x:v>wilhansmargoncalves@gmail.com</x:v>
      </x:c>
      <x:c r="Y3910" s="22" t="str">
        <x:f>"(31)98561-8600"</x:f>
        <x:v>(31)98561-8600</x:v>
      </x:c>
      <x:c r="Z3910" s="30" t="n">
        <x:v>46550</x:v>
      </x:c>
    </x:row>
    <x:row r="3911" ht="18" customHeight="1">
      <x:c r="A3911" s="22" t="str">
        <x:f>"8fdfa8fa-235a-432d-bcaa-0b284de14f39"</x:f>
        <x:v>8fdfa8fa-235a-432d-bcaa-0b284de14f39</x:v>
      </x:c>
      <x:c r="B3911" s="23" t="str">
        <x:v>WILIS FLORENCIO DE MENDONCA</x:v>
      </x:c>
      <x:c r="C3911" s="23" t="str">
        <x:v>wilis florencio de mendonca</x:v>
      </x:c>
      <x:c r="D3911" s="22" t="str">
        <x:f>"37.823.997/0001-90"</x:f>
        <x:v>37.823.997/0001-90</x:v>
      </x:c>
      <x:c r="E3911" s="22" t="str">
        <x:f>"37823997000190"</x:f>
        <x:v>37823997000190</x:v>
      </x:c>
      <x:c r="F3911" s="22" t="str">
        <x:f>"875.540.891-53"</x:f>
        <x:v>875.540.891-53</x:v>
      </x:c>
      <x:c r="G3911" s="22" t="str">
        <x:f>"87554089153"</x:f>
        <x:v>87554089153</x:v>
      </x:c>
      <x:c r="H3911" s="23" t="str">
        <x:v>florenciodemendoncawilis@gmail.com</x:v>
      </x:c>
      <x:c r="I3911" s="22" t="str">
        <x:f>"6293275466"</x:f>
        <x:v>6293275466</x:v>
      </x:c>
      <x:c r="J3911" s="23" t="str">
        <x:v>SPOT</x:v>
      </x:c>
      <x:c r="K3911" s="23" t="str">
        <x:v>favored_only</x:v>
      </x:c>
      <x:c r="L3911" s="24" t="b">
        <x:v>1</x:v>
      </x:c>
      <x:c r="M3911" s="23" t="n">
        <x:v>1</x:v>
      </x:c>
      <x:c r="N3911" s="28" t="n">
        <x:v>46219.812988715275</x:v>
      </x:c>
      <x:c r="O3911" s="28" t="n">
        <x:v>46219.812988715275</x:v>
      </x:c>
      <x:c r="P3911" s="23" t="str">
        <x:v>MOZARLANDIA</x:v>
      </x:c>
      <x:c r="Q3911" s="30" t="n">
        <x:v>28048</x:v>
      </x:c>
      <x:c r="R3911" s="22" t="str">
        <x:f>"3167331"</x:f>
        <x:v>3167331</x:v>
      </x:c>
      <x:c r="S3911" s="23" t="str">
        <x:v>masculino</x:v>
      </x:c>
      <x:c r="T3911" s="22" t="str">
        <x:f>"NLM1G50"</x:f>
        <x:v>NLM1G50</x:v>
      </x:c>
      <x:c r="U3911" s="23" t="str">
        <x:v>RODOPRIME TRANSPORTES E CARGAS LTDA</x:v>
      </x:c>
      <x:c r="V3911" s="22" t="str">
        <x:f>"038.768.901-01"</x:f>
        <x:v>038.768.901-01</x:v>
      </x:c>
      <x:c r="W3911" s="22" t="str">
        <x:f>"03876890101"</x:f>
        <x:v>03876890101</x:v>
      </x:c>
      <x:c r="X3911" s="23" t="str">
        <x:v>rtp.cargas@gmail.com</x:v>
      </x:c>
      <x:c r="Y3911" s="22" t="str">
        <x:f>"62991277279"</x:f>
        <x:v>62991277279</x:v>
      </x:c>
      <x:c r="Z3911" s="30" t="n">
        <x:v>46534</x:v>
      </x:c>
    </x:row>
    <x:row r="3912" ht="18" customHeight="1">
      <x:c r="A3912" s="22" t="str">
        <x:f>"1bd8b823-f865-42e0-bbc6-7f35065a80d0"</x:f>
        <x:v>1bd8b823-f865-42e0-bbc6-7f35065a80d0</x:v>
      </x:c>
      <x:c r="B3912" s="23" t="str">
        <x:v>WILLIAM ALVES DOS SANTOS JUNIOR</x:v>
      </x:c>
      <x:c r="C3912" s="23" t="str">
        <x:v>william alves dos santos junior</x:v>
      </x:c>
      <x:c r="D3912" s="22" t="str">
        <x:f>"60.466.121/0001-55"</x:f>
        <x:v>60.466.121/0001-55</x:v>
      </x:c>
      <x:c r="E3912" s="22" t="str">
        <x:f>"60466121000155"</x:f>
        <x:v>60466121000155</x:v>
      </x:c>
      <x:c r="F3912" s="22" t="str">
        <x:f>"052.605.857-98"</x:f>
        <x:v>052.605.857-98</x:v>
      </x:c>
      <x:c r="G3912" s="22" t="str">
        <x:f>"05260585798"</x:f>
        <x:v>05260585798</x:v>
      </x:c>
      <x:c r="H3912" s="23" t="str">
        <x:v>williamalvesjunior@gmail.com</x:v>
      </x:c>
      <x:c r="I3912" s="22" t="str">
        <x:f>"(21) 920170797"</x:f>
        <x:v>(21) 920170797</x:v>
      </x:c>
      <x:c r="J3912" s="23" t="str">
        <x:v>SPOT</x:v>
      </x:c>
      <x:c r="K3912" s="23" t="str">
        <x:v>favored_only</x:v>
      </x:c>
      <x:c r="L3912" s="24" t="b">
        <x:v>1</x:v>
      </x:c>
      <x:c r="M3912" s="23" t="n">
        <x:v>1</x:v>
      </x:c>
      <x:c r="N3912" s="28" t="n">
        <x:v>46219.812988715275</x:v>
      </x:c>
      <x:c r="O3912" s="28" t="n">
        <x:v>46219.812988715275</x:v>
      </x:c>
      <x:c r="P3912" s="23" t="str">
        <x:v>SÃO JOAO DE MERITI</x:v>
      </x:c>
      <x:c r="Q3912" s="30" t="n">
        <x:v>29632</x:v>
      </x:c>
      <x:c r="R3912" s="22" t="str">
        <x:f>"116211228"</x:f>
        <x:v>116211228</x:v>
      </x:c>
      <x:c r="S3912" s="23" t="str">
        <x:v>masculino</x:v>
      </x:c>
      <x:c r="T3912" s="22" t="str">
        <x:f>"QOZ2J33"</x:f>
        <x:v>QOZ2J33</x:v>
      </x:c>
      <x:c r="U3912" s="23" t="str">
        <x:v>WILLIAM ALVES DOS SANTOS JUNIOR</x:v>
      </x:c>
      <x:c r="V3912" s="22" t="str">
        <x:f>"052.605.857-98"</x:f>
        <x:v>052.605.857-98</x:v>
      </x:c>
      <x:c r="W3912" s="22" t="str">
        <x:f>"05260585798"</x:f>
        <x:v>05260585798</x:v>
      </x:c>
      <x:c r="X3912" s="23" t="str">
        <x:v>williamalvesjunior@gmail.com</x:v>
      </x:c>
      <x:c r="Y3912" s="22" t="str">
        <x:f>"(21) 920170797"</x:f>
        <x:v>(21) 920170797</x:v>
      </x:c>
      <x:c r="Z3912" s="30" t="n">
        <x:v>46550</x:v>
      </x:c>
    </x:row>
    <x:row r="3913" ht="18" customHeight="1">
      <x:c r="A3913" s="22" t="str">
        <x:f>"3791d7af-fe35-4406-b58b-3456bda85166"</x:f>
        <x:v>3791d7af-fe35-4406-b58b-3456bda85166</x:v>
      </x:c>
      <x:c r="B3913" s="23" t="str">
        <x:v>WILLIAM BARROS POLICARPO</x:v>
      </x:c>
      <x:c r="C3913" s="23" t="str">
        <x:v>william barros policarpo</x:v>
      </x:c>
      <x:c r="D3913" s="22" t="str">
        <x:f>"19.914.946/0001-91"</x:f>
        <x:v>19.914.946/0001-91</x:v>
      </x:c>
      <x:c r="E3913" s="22" t="str">
        <x:f>"19914946000191"</x:f>
        <x:v>19914946000191</x:v>
      </x:c>
      <x:c r="F3913" s="22" t="str">
        <x:f>"051.668.546-59"</x:f>
        <x:v>051.668.546-59</x:v>
      </x:c>
      <x:c r="G3913" s="22" t="str">
        <x:f>"05166854659"</x:f>
        <x:v>05166854659</x:v>
      </x:c>
      <x:c r="H3913" s="23" t="str">
        <x:v>wbarros12@yahoo.com.br</x:v>
      </x:c>
      <x:c r="I3913" s="22" t="str">
        <x:f>"31988981482"</x:f>
        <x:v>31988981482</x:v>
      </x:c>
      <x:c r="J3913" s="23" t="str">
        <x:v>SPOT</x:v>
      </x:c>
      <x:c r="K3913" s="23" t="str">
        <x:v>favored_only</x:v>
      </x:c>
      <x:c r="L3913" s="24" t="b">
        <x:v>1</x:v>
      </x:c>
      <x:c r="M3913" s="23" t="n">
        <x:v>1</x:v>
      </x:c>
      <x:c r="N3913" s="28" t="n">
        <x:v>46219.812988715275</x:v>
      </x:c>
      <x:c r="O3913" s="28" t="n">
        <x:v>46219.812988715275</x:v>
      </x:c>
      <x:c r="P3913" s="23" t="str">
        <x:v>CONTAGEM</x:v>
      </x:c>
      <x:c r="Q3913" s="30" t="n">
        <x:v>29904</x:v>
      </x:c>
      <x:c r="R3913" s="22" t="str">
        <x:f>"MG8757930"</x:f>
        <x:v>MG8757930</x:v>
      </x:c>
      <x:c r="S3913" s="23" t="str">
        <x:v>masculino</x:v>
      </x:c>
      <x:c r="T3913" s="22" t="str">
        <x:f>"RMM2B44"</x:f>
        <x:v>RMM2B44</x:v>
      </x:c>
      <x:c r="U3913" s="23" t="str">
        <x:v>WILLIAM BARROS POLICARPO</x:v>
      </x:c>
      <x:c r="V3913" s="22" t="str">
        <x:f>"051.668.546-59"</x:f>
        <x:v>051.668.546-59</x:v>
      </x:c>
      <x:c r="W3913" s="22" t="str">
        <x:f>"05166854659"</x:f>
        <x:v>05166854659</x:v>
      </x:c>
      <x:c r="X3913" s="23" t="str">
        <x:v>wbarros12@yahoo.com.br</x:v>
      </x:c>
      <x:c r="Y3913" s="22" t="str">
        <x:f>"31988981482"</x:f>
        <x:v>31988981482</x:v>
      </x:c>
      <x:c r="Z3913" s="30" t="n">
        <x:v>46410</x:v>
      </x:c>
    </x:row>
    <x:row r="3914" ht="18" customHeight="1">
      <x:c r="A3914" s="22" t="str">
        <x:f>"a7eee946-3de8-420d-b71d-1395a12f272e"</x:f>
        <x:v>a7eee946-3de8-420d-b71d-1395a12f272e</x:v>
      </x:c>
      <x:c r="B3914" s="23" t="str">
        <x:v>WILLIAM BRITTO MODEDENES</x:v>
      </x:c>
      <x:c r="C3914" s="23" t="str">
        <x:v>william britto modedenes</x:v>
      </x:c>
      <x:c r="D3914" s="22" t="str">
        <x:f>"45.806.141/0001-34"</x:f>
        <x:v>45.806.141/0001-34</x:v>
      </x:c>
      <x:c r="E3914" s="22" t="str">
        <x:f>"45806141000134"</x:f>
        <x:v>45806141000134</x:v>
      </x:c>
      <x:c r="F3914" s="22" t="str">
        <x:f>"367.931.968-12"</x:f>
        <x:v>367.931.968-12</x:v>
      </x:c>
      <x:c r="G3914" s="22" t="str">
        <x:f>"36793196812"</x:f>
        <x:v>36793196812</x:v>
      </x:c>
      <x:c r="H3914" s="23" t="str">
        <x:v>Ktrak.2311@gmail.com</x:v>
      </x:c>
      <x:c r="I3914" s="22" t="str">
        <x:f>"17 98219-1302"</x:f>
        <x:v>17 98219-1302</x:v>
      </x:c>
      <x:c r="J3914" s="23" t="str">
        <x:v>RENTAL</x:v>
      </x:c>
      <x:c r="K3914" s="23" t="str">
        <x:v>rental_company</x:v>
      </x:c>
      <x:c r="L3914" s="24" t="b">
        <x:v>1</x:v>
      </x:c>
      <x:c r="M3914" s="23" t="n">
        <x:v>1</x:v>
      </x:c>
      <x:c r="N3914" s="28" t="n">
        <x:v>46219.812988715275</x:v>
      </x:c>
      <x:c r="O3914" s="28" t="n">
        <x:v>46219.812988715275</x:v>
      </x:c>
      <x:c r="P3914" s="23" t="str">
        <x:v>SÃO JOSE DO RIO PRETO</x:v>
      </x:c>
      <x:c r="Q3914" s="30" t="n">
        <x:v>32105</x:v>
      </x:c>
      <x:c r="R3914" s="22" t="str">
        <x:f>"43800849"</x:f>
        <x:v>43800849</x:v>
      </x:c>
      <x:c r="S3914" s="23" t="str">
        <x:v>masculino</x:v>
      </x:c>
      <x:c r="T3914" s="22" t="str"/>
      <x:c r="U3914" s="23" t="str">
        <x:v>WILLIAM BRITTO MODEDENES</x:v>
      </x:c>
      <x:c r="V3914" s="22" t="str">
        <x:f>"367.931.968-12"</x:f>
        <x:v>367.931.968-12</x:v>
      </x:c>
      <x:c r="W3914" s="22" t="str">
        <x:f>"36793196812"</x:f>
        <x:v>36793196812</x:v>
      </x:c>
      <x:c r="X3914" s="23" t="str">
        <x:v>Ktrak.2311@gmail.com</x:v>
      </x:c>
      <x:c r="Y3914" s="22" t="str">
        <x:f>"17 98219-1302"</x:f>
        <x:v>17 98219-1302</x:v>
      </x:c>
      <x:c r="Z3914" s="30" t="n">
        <x:v>46571</x:v>
      </x:c>
    </x:row>
    <x:row r="3915" ht="18" customHeight="1">
      <x:c r="A3915" s="22" t="str">
        <x:f>"8d19d113-dc9e-41ac-9857-8d19b1d3798f"</x:f>
        <x:v>8d19d113-dc9e-41ac-9857-8d19b1d3798f</x:v>
      </x:c>
      <x:c r="B3915" s="23" t="str">
        <x:v>WILLIAM CARLOS DE SOUZA</x:v>
      </x:c>
      <x:c r="C3915" s="23" t="str">
        <x:v>william carlos de souza</x:v>
      </x:c>
      <x:c r="D3915" s="22" t="str">
        <x:f>"52.289.965/0001-40"</x:f>
        <x:v>52.289.965/0001-40</x:v>
      </x:c>
      <x:c r="E3915" s="22" t="str">
        <x:f>"52289965000140"</x:f>
        <x:v>52289965000140</x:v>
      </x:c>
      <x:c r="F3915" s="22" t="str">
        <x:f>"214.237.348-82"</x:f>
        <x:v>214.237.348-82</x:v>
      </x:c>
      <x:c r="G3915" s="22" t="str">
        <x:f>"21423734882"</x:f>
        <x:v>21423734882</x:v>
      </x:c>
      <x:c r="H3915" s="23" t="str">
        <x:v>willbonni2009@gmail.com</x:v>
      </x:c>
      <x:c r="I3915" s="22" t="str">
        <x:f>"18 98184-9901"</x:f>
        <x:v>18 98184-9901</x:v>
      </x:c>
      <x:c r="J3915" s="23" t="str">
        <x:v>RENTAL</x:v>
      </x:c>
      <x:c r="K3915" s="23" t="str">
        <x:v>rental_company</x:v>
      </x:c>
      <x:c r="L3915" s="24" t="b">
        <x:v>1</x:v>
      </x:c>
      <x:c r="M3915" s="23" t="n">
        <x:v>1</x:v>
      </x:c>
      <x:c r="N3915" s="28" t="n">
        <x:v>46219.812988715275</x:v>
      </x:c>
      <x:c r="O3915" s="28" t="n">
        <x:v>46219.812988715275</x:v>
      </x:c>
      <x:c r="P3915" s="23" t="str">
        <x:v>ARAÇATUBA</x:v>
      </x:c>
      <x:c r="Q3915" s="30" t="n">
        <x:v>29722</x:v>
      </x:c>
      <x:c r="R3915" s="22" t="str">
        <x:f>"32009624"</x:f>
        <x:v>32009624</x:v>
      </x:c>
      <x:c r="S3915" s="23" t="str">
        <x:v>masculino</x:v>
      </x:c>
      <x:c r="T3915" s="22" t="str"/>
      <x:c r="U3915" s="23" t="str">
        <x:v>WILLIAM CARLOS DE SOUZA</x:v>
      </x:c>
      <x:c r="V3915" s="22" t="str">
        <x:f>"214.267.348-82"</x:f>
        <x:v>214.267.348-82</x:v>
      </x:c>
      <x:c r="W3915" s="22" t="str">
        <x:f>"21426734882"</x:f>
        <x:v>21426734882</x:v>
      </x:c>
      <x:c r="X3915" s="23" t="str">
        <x:v>willbonni2009@gmail.com</x:v>
      </x:c>
      <x:c r="Y3915" s="22" t="str">
        <x:f>"18 98184-9901"</x:f>
        <x:v>18 98184-9901</x:v>
      </x:c>
      <x:c r="Z3915" s="30" t="n">
        <x:v>46583</x:v>
      </x:c>
    </x:row>
    <x:row r="3916" ht="18" customHeight="1">
      <x:c r="A3916" s="22" t="str">
        <x:f>"14ab152d-b08f-4311-8678-6dc0dc33211b"</x:f>
        <x:v>14ab152d-b08f-4311-8678-6dc0dc33211b</x:v>
      </x:c>
      <x:c r="B3916" s="23" t="str">
        <x:v>WILLIAM CORONA DE OLIVEIRA</x:v>
      </x:c>
      <x:c r="C3916" s="23" t="str">
        <x:v>william corona de oliveira</x:v>
      </x:c>
      <x:c r="D3916" s="22" t="str">
        <x:f>"28.371.142/0001-84"</x:f>
        <x:v>28.371.142/0001-84</x:v>
      </x:c>
      <x:c r="E3916" s="22" t="str">
        <x:f>"28371142000184"</x:f>
        <x:v>28371142000184</x:v>
      </x:c>
      <x:c r="F3916" s="22" t="str">
        <x:f>"108.918.198-19"</x:f>
        <x:v>108.918.198-19</x:v>
      </x:c>
      <x:c r="G3916" s="22" t="str">
        <x:f>"10891819819"</x:f>
        <x:v>10891819819</x:v>
      </x:c>
      <x:c r="H3916" s="23" t="str">
        <x:v>will.corona@hotmail.com</x:v>
      </x:c>
      <x:c r="I3916" s="22" t="str">
        <x:f>"17 99721-3553"</x:f>
        <x:v>17 99721-3553</x:v>
      </x:c>
      <x:c r="J3916" s="23" t="str">
        <x:v>SPOT</x:v>
      </x:c>
      <x:c r="K3916" s="23" t="str">
        <x:v>favored_only</x:v>
      </x:c>
      <x:c r="L3916" s="24" t="b">
        <x:v>1</x:v>
      </x:c>
      <x:c r="M3916" s="23" t="n">
        <x:v>1</x:v>
      </x:c>
      <x:c r="N3916" s="28" t="n">
        <x:v>46203.92189349537</x:v>
      </x:c>
      <x:c r="O3916" s="28" t="n">
        <x:v>46203.92189349537</x:v>
      </x:c>
      <x:c r="P3916" s="23" t="str"/>
      <x:c r="Q3916" s="30" t="str"/>
      <x:c r="R3916" s="22" t="str"/>
      <x:c r="S3916" s="23" t="str"/>
      <x:c r="T3916" s="22" t="str"/>
      <x:c r="U3916" s="23" t="str">
        <x:v>WILLIAM CORONA DE OLIVEIRA</x:v>
      </x:c>
      <x:c r="V3916" s="22" t="str">
        <x:f>"108.918.198-19"</x:f>
        <x:v>108.918.198-19</x:v>
      </x:c>
      <x:c r="W3916" s="22" t="str">
        <x:f>"10891819819"</x:f>
        <x:v>10891819819</x:v>
      </x:c>
      <x:c r="X3916" s="23" t="str">
        <x:v>will.corona@hotmail.com</x:v>
      </x:c>
      <x:c r="Y3916" s="22" t="str">
        <x:f>"17 99721-3553"</x:f>
        <x:v>17 99721-3553</x:v>
      </x:c>
      <x:c r="Z3916" s="30" t="str"/>
    </x:row>
    <x:row r="3917" ht="18" customHeight="1">
      <x:c r="A3917" s="22" t="str">
        <x:f>"02243d88-037e-4d58-af15-6dc842c5933e"</x:f>
        <x:v>02243d88-037e-4d58-af15-6dc842c5933e</x:v>
      </x:c>
      <x:c r="B3917" s="23" t="str">
        <x:v>WILLIAM DIAS DA SILVA</x:v>
      </x:c>
      <x:c r="C3917" s="23" t="str">
        <x:v>william dias da silva</x:v>
      </x:c>
      <x:c r="D3917" s="22" t="str">
        <x:f>"62.193.516/0001-57"</x:f>
        <x:v>62.193.516/0001-57</x:v>
      </x:c>
      <x:c r="E3917" s="22" t="str">
        <x:f>"62193516000157"</x:f>
        <x:v>62193516000157</x:v>
      </x:c>
      <x:c r="F3917" s="22" t="str">
        <x:f>"022.548.766-78"</x:f>
        <x:v>022.548.766-78</x:v>
      </x:c>
      <x:c r="G3917" s="22" t="str">
        <x:f>"02254876678"</x:f>
        <x:v>02254876678</x:v>
      </x:c>
      <x:c r="H3917" s="23" t="str">
        <x:v>williamdddias@gmail.com</x:v>
      </x:c>
      <x:c r="I3917" s="22" t="str">
        <x:f>"(35)98885-8285"</x:f>
        <x:v>(35)98885-8285</x:v>
      </x:c>
      <x:c r="J3917" s="23" t="str">
        <x:v>RENTAL</x:v>
      </x:c>
      <x:c r="K3917" s="23" t="str">
        <x:v>rental_company</x:v>
      </x:c>
      <x:c r="L3917" s="24" t="b">
        <x:v>1</x:v>
      </x:c>
      <x:c r="M3917" s="23" t="n">
        <x:v>1</x:v>
      </x:c>
      <x:c r="N3917" s="28" t="n">
        <x:v>46203.92186462963</x:v>
      </x:c>
      <x:c r="O3917" s="28" t="n">
        <x:v>46219.812988715275</x:v>
      </x:c>
      <x:c r="P3917" s="23" t="str">
        <x:v>POUSO ALEGRE</x:v>
      </x:c>
      <x:c r="Q3917" s="30" t="n">
        <x:v>36522</x:v>
      </x:c>
      <x:c r="R3917" s="22" t="str">
        <x:f>"MG20674045 SSP MG"</x:f>
        <x:v>MG20674045 SSP MG</x:v>
      </x:c>
      <x:c r="S3917" s="23" t="str">
        <x:v>masculino</x:v>
      </x:c>
      <x:c r="T3917" s="22" t="str"/>
      <x:c r="U3917" s="23" t="str">
        <x:v>WILLIAM DIAS DA SILVA</x:v>
      </x:c>
      <x:c r="V3917" s="22" t="str">
        <x:f>"022.548.766-78"</x:f>
        <x:v>022.548.766-78</x:v>
      </x:c>
      <x:c r="W3917" s="22" t="str">
        <x:f>"02254876678"</x:f>
        <x:v>02254876678</x:v>
      </x:c>
      <x:c r="X3917" s="23" t="str">
        <x:v>williamdddias@gmail.com</x:v>
      </x:c>
      <x:c r="Y3917" s="22" t="str">
        <x:f>"(35)98885-8285"</x:f>
        <x:v>(35)98885-8285</x:v>
      </x:c>
      <x:c r="Z3917" s="30" t="n">
        <x:v>46275</x:v>
      </x:c>
    </x:row>
    <x:row r="3918" ht="18" customHeight="1">
      <x:c r="A3918" s="22" t="str">
        <x:f>"cf1c2127-d015-46ae-828d-842f3e819aa6"</x:f>
        <x:v>cf1c2127-d015-46ae-828d-842f3e819aa6</x:v>
      </x:c>
      <x:c r="B3918" s="23" t="str">
        <x:v>WILLIAM FERNANDES DA SILVA</x:v>
      </x:c>
      <x:c r="C3918" s="23" t="str">
        <x:v>william fernandes da silva</x:v>
      </x:c>
      <x:c r="D3918" s="22" t="str">
        <x:f>"62.638.953/0001-37"</x:f>
        <x:v>62.638.953/0001-37</x:v>
      </x:c>
      <x:c r="E3918" s="22" t="str">
        <x:f>"62638953000137"</x:f>
        <x:v>62638953000137</x:v>
      </x:c>
      <x:c r="F3918" s="22" t="str">
        <x:f>"458.785.768-80"</x:f>
        <x:v>458.785.768-80</x:v>
      </x:c>
      <x:c r="G3918" s="22" t="str">
        <x:f>"45878576880"</x:f>
        <x:v>45878576880</x:v>
      </x:c>
      <x:c r="H3918" s="23" t="str">
        <x:v>williamfsilva05@gmail.com</x:v>
      </x:c>
      <x:c r="I3918" s="22" t="str">
        <x:f>"11950794895"</x:f>
        <x:v>11950794895</x:v>
      </x:c>
      <x:c r="J3918" s="23" t="str">
        <x:v>SPOT</x:v>
      </x:c>
      <x:c r="K3918" s="23" t="str">
        <x:v>favored_only</x:v>
      </x:c>
      <x:c r="L3918" s="24" t="b">
        <x:v>1</x:v>
      </x:c>
      <x:c r="M3918" s="23" t="n">
        <x:v>2</x:v>
      </x:c>
      <x:c r="N3918" s="28" t="n">
        <x:v>46203.92186462963</x:v>
      </x:c>
      <x:c r="O3918" s="28" t="n">
        <x:v>46219.812988715275</x:v>
      </x:c>
      <x:c r="P3918" s="23" t="str">
        <x:v>BARUERI</x:v>
      </x:c>
      <x:c r="Q3918" s="30" t="n">
        <x:v>35570</x:v>
      </x:c>
      <x:c r="R3918" s="22" t="str">
        <x:f>"393188620"</x:f>
        <x:v>393188620</x:v>
      </x:c>
      <x:c r="S3918" s="23" t="str">
        <x:v>masculino</x:v>
      </x:c>
      <x:c r="T3918" s="22" t="str">
        <x:f>"FUK6D95"</x:f>
        <x:v>FUK6D95</x:v>
      </x:c>
      <x:c r="U3918" s="23" t="str">
        <x:v>WILLIAM FERNANDES DA SILVA</x:v>
      </x:c>
      <x:c r="V3918" s="22" t="str">
        <x:f>"458.785.768-80"</x:f>
        <x:v>458.785.768-80</x:v>
      </x:c>
      <x:c r="W3918" s="22" t="str">
        <x:f>"45878576880"</x:f>
        <x:v>45878576880</x:v>
      </x:c>
      <x:c r="X3918" s="23" t="str">
        <x:v>williamfsilva05@gmail.com</x:v>
      </x:c>
      <x:c r="Y3918" s="22" t="str">
        <x:f>"11950794895"</x:f>
        <x:v>11950794895</x:v>
      </x:c>
      <x:c r="Z3918" s="30" t="n">
        <x:v>46561</x:v>
      </x:c>
    </x:row>
    <x:row r="3919" ht="18" customHeight="1">
      <x:c r="A3919" s="22" t="str">
        <x:f>"290488da-f273-443e-97a4-43fd822ec7dd"</x:f>
        <x:v>290488da-f273-443e-97a4-43fd822ec7dd</x:v>
      </x:c>
      <x:c r="B3919" s="23" t="str">
        <x:v>WILLIAM GARCIA RUDGE CARLINI</x:v>
      </x:c>
      <x:c r="C3919" s="23" t="str">
        <x:v>william garcia rudge carlini</x:v>
      </x:c>
      <x:c r="D3919" s="22" t="str">
        <x:f>"56.005.449/0001-05"</x:f>
        <x:v>56.005.449/0001-05</x:v>
      </x:c>
      <x:c r="E3919" s="22" t="str">
        <x:f>"56005449000105"</x:f>
        <x:v>56005449000105</x:v>
      </x:c>
      <x:c r="F3919" s="22" t="str">
        <x:f>"128.180.298-05"</x:f>
        <x:v>128.180.298-05</x:v>
      </x:c>
      <x:c r="G3919" s="22" t="str">
        <x:f>"12818029805"</x:f>
        <x:v>12818029805</x:v>
      </x:c>
      <x:c r="H3919" s="23" t="str">
        <x:v>willrudgecarlini45@gmail.com</x:v>
      </x:c>
      <x:c r="I3919" s="22" t="str">
        <x:f>"(35)99845-7104"</x:f>
        <x:v>(35)99845-7104</x:v>
      </x:c>
      <x:c r="J3919" s="23" t="str">
        <x:v>RENTAL</x:v>
      </x:c>
      <x:c r="K3919" s="23" t="str">
        <x:v>rental_company</x:v>
      </x:c>
      <x:c r="L3919" s="24" t="b">
        <x:v>1</x:v>
      </x:c>
      <x:c r="M3919" s="23" t="n">
        <x:v>1</x:v>
      </x:c>
      <x:c r="N3919" s="28" t="n">
        <x:v>46203.92189965278</x:v>
      </x:c>
      <x:c r="O3919" s="28" t="n">
        <x:v>46219.812988715275</x:v>
      </x:c>
      <x:c r="P3919" s="23" t="str">
        <x:v>POUSO ALEGRE</x:v>
      </x:c>
      <x:c r="Q3919" s="30" t="n">
        <x:v>27221</x:v>
      </x:c>
      <x:c r="R3919" s="22" t="str">
        <x:f>"MG20651104 SSP MG"</x:f>
        <x:v>MG20651104 SSP MG</x:v>
      </x:c>
      <x:c r="S3919" s="23" t="str">
        <x:v>masculino</x:v>
      </x:c>
      <x:c r="T3919" s="22" t="str"/>
      <x:c r="U3919" s="23" t="str">
        <x:v>WILLIAM GARCIA RUDGE CARLINI</x:v>
      </x:c>
      <x:c r="V3919" s="22" t="str">
        <x:f>"128.180.298-05"</x:f>
        <x:v>128.180.298-05</x:v>
      </x:c>
      <x:c r="W3919" s="22" t="str">
        <x:f>"12818029805"</x:f>
        <x:v>12818029805</x:v>
      </x:c>
      <x:c r="X3919" s="23" t="str">
        <x:v>willrudgecarlini45@gmail.com</x:v>
      </x:c>
      <x:c r="Y3919" s="22" t="str">
        <x:f>"(35)99845-7104"</x:f>
        <x:v>(35)99845-7104</x:v>
      </x:c>
      <x:c r="Z3919" s="30" t="n">
        <x:v>46354</x:v>
      </x:c>
    </x:row>
    <x:row r="3920" ht="18" customHeight="1">
      <x:c r="A3920" s="22" t="str">
        <x:f>"4fa7dc5e-588e-4c70-a5d6-66e92538ee0d"</x:f>
        <x:v>4fa7dc5e-588e-4c70-a5d6-66e92538ee0d</x:v>
      </x:c>
      <x:c r="B3920" s="23" t="str">
        <x:v>WILLIAM JUNIO ALVES DA SILVA</x:v>
      </x:c>
      <x:c r="C3920" s="23" t="str">
        <x:v>william junio alves da silva</x:v>
      </x:c>
      <x:c r="D3920" s="22" t="str">
        <x:f>"44.234.999/0001-09"</x:f>
        <x:v>44.234.999/0001-09</x:v>
      </x:c>
      <x:c r="E3920" s="22" t="str">
        <x:f>"44234999000109"</x:f>
        <x:v>44234999000109</x:v>
      </x:c>
      <x:c r="F3920" s="22" t="str">
        <x:f>"134.958.296-44"</x:f>
        <x:v>134.958.296-44</x:v>
      </x:c>
      <x:c r="G3920" s="22" t="str">
        <x:f>"13495829644"</x:f>
        <x:v>13495829644</x:v>
      </x:c>
      <x:c r="H3920" s="23" t="str">
        <x:v>juniowilliam701@gmail.com</x:v>
      </x:c>
      <x:c r="I3920" s="22" t="str">
        <x:f>"31988245380"</x:f>
        <x:v>31988245380</x:v>
      </x:c>
      <x:c r="J3920" s="23" t="str">
        <x:v>RENTAL</x:v>
      </x:c>
      <x:c r="K3920" s="23" t="str">
        <x:v>rental_company</x:v>
      </x:c>
      <x:c r="L3920" s="24" t="b">
        <x:v>1</x:v>
      </x:c>
      <x:c r="M3920" s="23" t="n">
        <x:v>1</x:v>
      </x:c>
      <x:c r="N3920" s="28" t="n">
        <x:v>46203.921858726855</x:v>
      </x:c>
      <x:c r="O3920" s="28" t="n">
        <x:v>46219.812988715275</x:v>
      </x:c>
      <x:c r="P3920" s="23" t="str">
        <x:v>CONTAGEM</x:v>
      </x:c>
      <x:c r="Q3920" s="30" t="n">
        <x:v>36537</x:v>
      </x:c>
      <x:c r="R3920" s="22" t="str">
        <x:f>"15283699"</x:f>
        <x:v>15283699</x:v>
      </x:c>
      <x:c r="S3920" s="23" t="str">
        <x:v>masculino</x:v>
      </x:c>
      <x:c r="T3920" s="22" t="str"/>
      <x:c r="U3920" s="23" t="str">
        <x:v>WILLIAM JUNIO ALVES DA SILVA</x:v>
      </x:c>
      <x:c r="V3920" s="22" t="str">
        <x:f>"134.958.296-44"</x:f>
        <x:v>134.958.296-44</x:v>
      </x:c>
      <x:c r="W3920" s="22" t="str">
        <x:f>"13495829644"</x:f>
        <x:v>13495829644</x:v>
      </x:c>
      <x:c r="X3920" s="23" t="str">
        <x:v>juniowilliam701@gmail.com</x:v>
      </x:c>
      <x:c r="Y3920" s="22" t="str">
        <x:f>"31988245380"</x:f>
        <x:v>31988245380</x:v>
      </x:c>
      <x:c r="Z3920" s="30" t="n">
        <x:v>46263</x:v>
      </x:c>
    </x:row>
    <x:row r="3921" ht="18" customHeight="1">
      <x:c r="A3921" s="22" t="str">
        <x:f>"f4e34453-a101-4a44-b640-d92ffa673c98"</x:f>
        <x:v>f4e34453-a101-4a44-b640-d92ffa673c98</x:v>
      </x:c>
      <x:c r="B3921" s="23" t="str">
        <x:v>WILLIAM JUNIO VIEIRA ALMEIDA</x:v>
      </x:c>
      <x:c r="C3921" s="23" t="str">
        <x:v>william junio vieira almeida</x:v>
      </x:c>
      <x:c r="D3921" s="22" t="str">
        <x:f>"64.950.614/0001-17"</x:f>
        <x:v>64.950.614/0001-17</x:v>
      </x:c>
      <x:c r="E3921" s="22" t="str">
        <x:f>"64950614000117"</x:f>
        <x:v>64950614000117</x:v>
      </x:c>
      <x:c r="F3921" s="22" t="str">
        <x:f>"077.941.326-14"</x:f>
        <x:v>077.941.326-14</x:v>
      </x:c>
      <x:c r="G3921" s="22" t="str">
        <x:f>"07794132614"</x:f>
        <x:v>07794132614</x:v>
      </x:c>
      <x:c r="H3921" s="23" t="str">
        <x:v>dollywjva@gmail.com</x:v>
      </x:c>
      <x:c r="I3921" s="22" t="str">
        <x:f>"31-998190655"</x:f>
        <x:v>31-998190655</x:v>
      </x:c>
      <x:c r="J3921" s="23" t="str">
        <x:v>SPOT</x:v>
      </x:c>
      <x:c r="K3921" s="23" t="str">
        <x:v>favored_only</x:v>
      </x:c>
      <x:c r="L3921" s="24" t="b">
        <x:v>1</x:v>
      </x:c>
      <x:c r="M3921" s="23" t="n">
        <x:v>2</x:v>
      </x:c>
      <x:c r="N3921" s="28" t="n">
        <x:v>46219.812988715275</x:v>
      </x:c>
      <x:c r="O3921" s="28" t="n">
        <x:v>46219.812988715275</x:v>
      </x:c>
      <x:c r="P3921" s="23" t="str">
        <x:v>VESPASIANO</x:v>
      </x:c>
      <x:c r="Q3921" s="30" t="n">
        <x:v>49358</x:v>
      </x:c>
      <x:c r="R3921" s="22" t="str">
        <x:f>"MG-17.366.742"</x:f>
        <x:v>MG-17.366.742</x:v>
      </x:c>
      <x:c r="S3921" s="23" t="str">
        <x:v>masculino</x:v>
      </x:c>
      <x:c r="T3921" s="22" t="str">
        <x:f>"TYM2J69"</x:f>
        <x:v>TYM2J69</x:v>
      </x:c>
      <x:c r="U3921" s="23" t="str">
        <x:v>WILLIAM JUNIO VIEIRA ALMEIDA</x:v>
      </x:c>
      <x:c r="V3921" s="22" t="str">
        <x:f>"077.941.326-14"</x:f>
        <x:v>077.941.326-14</x:v>
      </x:c>
      <x:c r="W3921" s="22" t="str">
        <x:f>"07794132614"</x:f>
        <x:v>07794132614</x:v>
      </x:c>
      <x:c r="X3921" s="23" t="str">
        <x:v>dollywjva@gmail.com</x:v>
      </x:c>
      <x:c r="Y3921" s="22" t="str">
        <x:f>"31-998190655"</x:f>
        <x:v>31-998190655</x:v>
      </x:c>
      <x:c r="Z3921" s="30" t="n">
        <x:v>46486</x:v>
      </x:c>
    </x:row>
    <x:row r="3922" ht="18" customHeight="1">
      <x:c r="A3922" s="22" t="str">
        <x:f>"0d5a46c7-a74f-42da-ad77-d0839a24fb29"</x:f>
        <x:v>0d5a46c7-a74f-42da-ad77-d0839a24fb29</x:v>
      </x:c>
      <x:c r="B3922" s="23" t="str">
        <x:v>WILLIAM LEMOS</x:v>
      </x:c>
      <x:c r="C3922" s="23" t="str">
        <x:v>william lemos</x:v>
      </x:c>
      <x:c r="D3922" s="22" t="str">
        <x:f>"45.886.746/0001-82"</x:f>
        <x:v>45.886.746/0001-82</x:v>
      </x:c>
      <x:c r="E3922" s="22" t="str">
        <x:f>"45886746000182"</x:f>
        <x:v>45886746000182</x:v>
      </x:c>
      <x:c r="F3922" s="22" t="str">
        <x:f>"395.974.178-20"</x:f>
        <x:v>395.974.178-20</x:v>
      </x:c>
      <x:c r="G3922" s="22" t="str">
        <x:f>"39597417820"</x:f>
        <x:v>39597417820</x:v>
      </x:c>
      <x:c r="H3922" s="23" t="str">
        <x:v>williamlemos1993@gmail.com</x:v>
      </x:c>
      <x:c r="I3922" s="22" t="str">
        <x:f>"14-99749-4903"</x:f>
        <x:v>14-99749-4903</x:v>
      </x:c>
      <x:c r="J3922" s="23" t="str">
        <x:v>RENTAL</x:v>
      </x:c>
      <x:c r="K3922" s="23" t="str">
        <x:v>rental_company</x:v>
      </x:c>
      <x:c r="L3922" s="24" t="b">
        <x:v>1</x:v>
      </x:c>
      <x:c r="M3922" s="23" t="n">
        <x:v>1</x:v>
      </x:c>
      <x:c r="N3922" s="28" t="n">
        <x:v>46203.92188238426</x:v>
      </x:c>
      <x:c r="O3922" s="28" t="n">
        <x:v>46219.812988715275</x:v>
      </x:c>
      <x:c r="P3922" s="23" t="str">
        <x:v>BAURU</x:v>
      </x:c>
      <x:c r="Q3922" s="30" t="n">
        <x:v>34122</x:v>
      </x:c>
      <x:c r="R3922" s="22" t="str">
        <x:f>"36.470.009-9"</x:f>
        <x:v>36.470.009-9</x:v>
      </x:c>
      <x:c r="S3922" s="23" t="str">
        <x:v>masculino</x:v>
      </x:c>
      <x:c r="T3922" s="22" t="str"/>
      <x:c r="U3922" s="23" t="str">
        <x:v>WILLIAM LEMOS</x:v>
      </x:c>
      <x:c r="V3922" s="22" t="str">
        <x:f>"395.974.178-20"</x:f>
        <x:v>395.974.178-20</x:v>
      </x:c>
      <x:c r="W3922" s="22" t="str">
        <x:f>"39597417820"</x:f>
        <x:v>39597417820</x:v>
      </x:c>
      <x:c r="X3922" s="23" t="str">
        <x:v>williamlemos1993@gmail.com</x:v>
      </x:c>
      <x:c r="Y3922" s="22" t="str">
        <x:f>"14-99749-4903"</x:f>
        <x:v>14-99749-4903</x:v>
      </x:c>
      <x:c r="Z3922" s="30" t="n">
        <x:v>46319</x:v>
      </x:c>
    </x:row>
    <x:row r="3923" ht="18" customHeight="1">
      <x:c r="A3923" s="22" t="str">
        <x:f>"fc49b3d0-9d47-4959-9480-35994f7b5a43"</x:f>
        <x:v>fc49b3d0-9d47-4959-9480-35994f7b5a43</x:v>
      </x:c>
      <x:c r="B3923" s="23" t="str">
        <x:v>WILLIAMS SEVERINO DA SILVA</x:v>
      </x:c>
      <x:c r="C3923" s="23" t="str">
        <x:v>williams severino da silva</x:v>
      </x:c>
      <x:c r="D3923" s="22" t="str">
        <x:f>"46.485.288/0001-32"</x:f>
        <x:v>46.485.288/0001-32</x:v>
      </x:c>
      <x:c r="E3923" s="22" t="str">
        <x:f>"46485288000132"</x:f>
        <x:v>46485288000132</x:v>
      </x:c>
      <x:c r="F3923" s="22" t="str">
        <x:f>"088.577.814-61"</x:f>
        <x:v>088.577.814-61</x:v>
      </x:c>
      <x:c r="G3923" s="22" t="str">
        <x:f>"08857781461"</x:f>
        <x:v>08857781461</x:v>
      </x:c>
      <x:c r="H3923" s="23" t="str">
        <x:v>severinowilliams@gmail.com</x:v>
      </x:c>
      <x:c r="I3923" s="22" t="str">
        <x:f>"21 96503-9703"</x:f>
        <x:v>21 96503-9703</x:v>
      </x:c>
      <x:c r="J3923" s="23" t="str">
        <x:v>SPOT</x:v>
      </x:c>
      <x:c r="K3923" s="23" t="str">
        <x:v>favored_only</x:v>
      </x:c>
      <x:c r="L3923" s="24" t="b">
        <x:v>1</x:v>
      </x:c>
      <x:c r="M3923" s="23" t="n">
        <x:v>1</x:v>
      </x:c>
      <x:c r="N3923" s="28" t="n">
        <x:v>46219.812988715275</x:v>
      </x:c>
      <x:c r="O3923" s="28" t="n">
        <x:v>46219.812988715275</x:v>
      </x:c>
      <x:c r="P3923" s="23" t="str">
        <x:v>ITABORAI</x:v>
      </x:c>
      <x:c r="Q3923" s="30" t="n">
        <x:v>30820</x:v>
      </x:c>
      <x:c r="R3923" s="22" t="str">
        <x:f>"305157901"</x:f>
        <x:v>305157901</x:v>
      </x:c>
      <x:c r="S3923" s="23" t="str">
        <x:v>masculino</x:v>
      </x:c>
      <x:c r="T3923" s="22" t="str">
        <x:f>"TZB2I16"</x:f>
        <x:v>TZB2I16</x:v>
      </x:c>
      <x:c r="U3923" s="23" t="str">
        <x:v>WILLIAMS SEVERINO DA SILVA</x:v>
      </x:c>
      <x:c r="V3923" s="22" t="str">
        <x:f>"088.577.814-61"</x:f>
        <x:v>088.577.814-61</x:v>
      </x:c>
      <x:c r="W3923" s="22" t="str">
        <x:f>"08857781461"</x:f>
        <x:v>08857781461</x:v>
      </x:c>
      <x:c r="X3923" s="23" t="str">
        <x:v>severinowilliams@gmail.com</x:v>
      </x:c>
      <x:c r="Y3923" s="22" t="str">
        <x:f>"21 96503-9703"</x:f>
        <x:v>21 96503-9703</x:v>
      </x:c>
      <x:c r="Z3923" s="30" t="n">
        <x:v>46500</x:v>
      </x:c>
    </x:row>
    <x:row r="3924" ht="18" customHeight="1">
      <x:c r="A3924" s="22" t="str">
        <x:f>"923f14c9-eaaf-4848-bb92-aa3ecbed4a53"</x:f>
        <x:v>923f14c9-eaaf-4848-bb92-aa3ecbed4a53</x:v>
      </x:c>
      <x:c r="B3924" s="23" t="str">
        <x:v>WILLIAN ANTONIO FERNANDES</x:v>
      </x:c>
      <x:c r="C3924" s="23" t="str">
        <x:v>willian antonio fernandes</x:v>
      </x:c>
      <x:c r="D3924" s="22" t="str">
        <x:f>"47.702.073/0001-99"</x:f>
        <x:v>47.702.073/0001-99</x:v>
      </x:c>
      <x:c r="E3924" s="22" t="str">
        <x:f>"47702073000199"</x:f>
        <x:v>47702073000199</x:v>
      </x:c>
      <x:c r="F3924" s="22" t="str">
        <x:f>"076.907.146-50"</x:f>
        <x:v>076.907.146-50</x:v>
      </x:c>
      <x:c r="G3924" s="22" t="str">
        <x:f>"07690714650"</x:f>
        <x:v>07690714650</x:v>
      </x:c>
      <x:c r="H3924" s="23" t="str">
        <x:v>Willian.aaf@hotmail.com</x:v>
      </x:c>
      <x:c r="I3924" s="22" t="str">
        <x:f>"35 9184-0200"</x:f>
        <x:v>35 9184-0200</x:v>
      </x:c>
      <x:c r="J3924" s="23" t="str">
        <x:v>SPOT</x:v>
      </x:c>
      <x:c r="K3924" s="23" t="str">
        <x:v>favored_only</x:v>
      </x:c>
      <x:c r="L3924" s="24" t="b">
        <x:v>1</x:v>
      </x:c>
      <x:c r="M3924" s="23" t="n">
        <x:v>1</x:v>
      </x:c>
      <x:c r="N3924" s="28" t="n">
        <x:v>46219.812988715275</x:v>
      </x:c>
      <x:c r="O3924" s="28" t="n">
        <x:v>46219.812988715275</x:v>
      </x:c>
      <x:c r="P3924" s="23" t="str">
        <x:v>GUAXUPE</x:v>
      </x:c>
      <x:c r="Q3924" s="30" t="n">
        <x:v>31104</x:v>
      </x:c>
      <x:c r="R3924" s="22" t="str">
        <x:f>"14328239"</x:f>
        <x:v>14328239</x:v>
      </x:c>
      <x:c r="S3924" s="23" t="str">
        <x:v>masculino</x:v>
      </x:c>
      <x:c r="T3924" s="22" t="str">
        <x:f>"DKH2I41"</x:f>
        <x:v>DKH2I41</x:v>
      </x:c>
      <x:c r="U3924" s="23" t="str">
        <x:v>LEANDRO CLAITON ARAUJO</x:v>
      </x:c>
      <x:c r="V3924" s="22" t="str">
        <x:f>"040.718.386-80"</x:f>
        <x:v>040.718.386-80</x:v>
      </x:c>
      <x:c r="W3924" s="22" t="str">
        <x:f>"04071838680"</x:f>
        <x:v>04071838680</x:v>
      </x:c>
      <x:c r="X3924" s="23" t="str">
        <x:v>LEANDRO.TIMBRASIL@OUTLOOK.COM</x:v>
      </x:c>
      <x:c r="Y3924" s="22" t="str">
        <x:f>"35 9184-0200"</x:f>
        <x:v>35 9184-0200</x:v>
      </x:c>
      <x:c r="Z3924" s="30" t="n">
        <x:v>46542</x:v>
      </x:c>
    </x:row>
    <x:row r="3925" ht="18" customHeight="1">
      <x:c r="A3925" s="22" t="str">
        <x:f>"5f923044-1ea8-4736-a327-b57f79780c1a"</x:f>
        <x:v>5f923044-1ea8-4736-a327-b57f79780c1a</x:v>
      </x:c>
      <x:c r="B3925" s="23" t="str">
        <x:v>WILLIAN BORGES DE SOUZA</x:v>
      </x:c>
      <x:c r="C3925" s="23" t="str">
        <x:v>willian borges de souza</x:v>
      </x:c>
      <x:c r="D3925" s="22" t="str">
        <x:f>"62.554.306/0001-47"</x:f>
        <x:v>62.554.306/0001-47</x:v>
      </x:c>
      <x:c r="E3925" s="22" t="str">
        <x:f>"62554306000147"</x:f>
        <x:v>62554306000147</x:v>
      </x:c>
      <x:c r="F3925" s="22" t="str">
        <x:f>"157.816.378-18"</x:f>
        <x:v>157.816.378-18</x:v>
      </x:c>
      <x:c r="G3925" s="22" t="str">
        <x:f>"15781637818"</x:f>
        <x:v>15781637818</x:v>
      </x:c>
      <x:c r="H3925" s="23" t="str">
        <x:v>Wibola6@gmail.com</x:v>
      </x:c>
      <x:c r="I3925" s="22" t="str">
        <x:f>"018996310286"</x:f>
        <x:v>018996310286</x:v>
      </x:c>
      <x:c r="J3925" s="23" t="str">
        <x:v>RENTAL</x:v>
      </x:c>
      <x:c r="K3925" s="23" t="str">
        <x:v>rental_company</x:v>
      </x:c>
      <x:c r="L3925" s="24" t="b">
        <x:v>1</x:v>
      </x:c>
      <x:c r="M3925" s="23" t="n">
        <x:v>1</x:v>
      </x:c>
      <x:c r="N3925" s="28" t="n">
        <x:v>46219.812988715275</x:v>
      </x:c>
      <x:c r="O3925" s="28" t="n">
        <x:v>46219.812988715275</x:v>
      </x:c>
      <x:c r="P3925" s="23" t="str">
        <x:v>PRESIDENTE PRUDENTE</x:v>
      </x:c>
      <x:c r="Q3925" s="30" t="n">
        <x:v>26949</x:v>
      </x:c>
      <x:c r="R3925" s="22" t="str">
        <x:f>"235533658"</x:f>
        <x:v>235533658</x:v>
      </x:c>
      <x:c r="S3925" s="23" t="str">
        <x:v>masculino</x:v>
      </x:c>
      <x:c r="T3925" s="22" t="str"/>
      <x:c r="U3925" s="23" t="str">
        <x:v>WILLIAN BORGES DE SOUZA</x:v>
      </x:c>
      <x:c r="V3925" s="22" t="str">
        <x:f>"157.816.378-18"</x:f>
        <x:v>157.816.378-18</x:v>
      </x:c>
      <x:c r="W3925" s="22" t="str">
        <x:f>"15781637818"</x:f>
        <x:v>15781637818</x:v>
      </x:c>
      <x:c r="X3925" s="23" t="str">
        <x:v>Wibola6@gmail.com</x:v>
      </x:c>
      <x:c r="Y3925" s="22" t="str">
        <x:f>"018996310286"</x:f>
        <x:v>018996310286</x:v>
      </x:c>
      <x:c r="Z3925" s="30" t="n">
        <x:v>46452</x:v>
      </x:c>
    </x:row>
    <x:row r="3926" ht="18" customHeight="1">
      <x:c r="A3926" s="22" t="str">
        <x:f>"eee140e4-c4a6-46c1-beda-475a91a23487"</x:f>
        <x:v>eee140e4-c4a6-46c1-beda-475a91a23487</x:v>
      </x:c>
      <x:c r="B3926" s="23" t="str">
        <x:v>WILLIAN DA SILVA ROSALINO</x:v>
      </x:c>
      <x:c r="C3926" s="23" t="str">
        <x:v>willian da silva rosalino</x:v>
      </x:c>
      <x:c r="D3926" s="22" t="str">
        <x:f>"63.380.754/0001-34"</x:f>
        <x:v>63.380.754/0001-34</x:v>
      </x:c>
      <x:c r="E3926" s="22" t="str">
        <x:f>"63380754000134"</x:f>
        <x:v>63380754000134</x:v>
      </x:c>
      <x:c r="F3926" s="22" t="str">
        <x:f>"449.660.668-24"</x:f>
        <x:v>449.660.668-24</x:v>
      </x:c>
      <x:c r="G3926" s="22" t="str">
        <x:f>"44966066824"</x:f>
        <x:v>44966066824</x:v>
      </x:c>
      <x:c r="H3926" s="23" t="str">
        <x:v>Williank990@hotmail.com</x:v>
      </x:c>
      <x:c r="I3926" s="22" t="str">
        <x:f>"17992622221"</x:f>
        <x:v>17992622221</x:v>
      </x:c>
      <x:c r="J3926" s="23" t="str">
        <x:v>RENTAL</x:v>
      </x:c>
      <x:c r="K3926" s="23" t="str">
        <x:v>rental_company</x:v>
      </x:c>
      <x:c r="L3926" s="24" t="b">
        <x:v>1</x:v>
      </x:c>
      <x:c r="M3926" s="23" t="n">
        <x:v>1</x:v>
      </x:c>
      <x:c r="N3926" s="28" t="n">
        <x:v>46203.92188238426</x:v>
      </x:c>
      <x:c r="O3926" s="28" t="n">
        <x:v>46219.812988715275</x:v>
      </x:c>
      <x:c r="P3926" s="23" t="str">
        <x:v>BARRETOS</x:v>
      </x:c>
      <x:c r="Q3926" s="30" t="n">
        <x:v>35777</x:v>
      </x:c>
      <x:c r="R3926" s="22" t="str">
        <x:f>"454477843"</x:f>
        <x:v>454477843</x:v>
      </x:c>
      <x:c r="S3926" s="23" t="str">
        <x:v>masculino</x:v>
      </x:c>
      <x:c r="T3926" s="22" t="str"/>
      <x:c r="U3926" s="23" t="str">
        <x:v>WILLIAN DA SILVA ROSALINO</x:v>
      </x:c>
      <x:c r="V3926" s="22" t="str">
        <x:f>"449.660.668-24"</x:f>
        <x:v>449.660.668-24</x:v>
      </x:c>
      <x:c r="W3926" s="22" t="str">
        <x:f>"44966066824"</x:f>
        <x:v>44966066824</x:v>
      </x:c>
      <x:c r="X3926" s="23" t="str">
        <x:v>Williank990@hotmail.com</x:v>
      </x:c>
      <x:c r="Y3926" s="22" t="str">
        <x:f>"17992622221"</x:f>
        <x:v>17992622221</x:v>
      </x:c>
      <x:c r="Z3926" s="30" t="n">
        <x:v>46322</x:v>
      </x:c>
    </x:row>
    <x:row r="3927" ht="18" customHeight="1">
      <x:c r="A3927" s="22" t="str">
        <x:f>"f4e40302-0cdd-4f12-9ee4-dc332545ee62"</x:f>
        <x:v>f4e40302-0cdd-4f12-9ee4-dc332545ee62</x:v>
      </x:c>
      <x:c r="B3927" s="23" t="str">
        <x:v>Willian da Silva Sant Ana</x:v>
      </x:c>
      <x:c r="C3927" s="23" t="str">
        <x:v>willian da silva sant ana</x:v>
      </x:c>
      <x:c r="D3927" s="22" t="str">
        <x:f>"29.779.487/0001-34"</x:f>
        <x:v>29.779.487/0001-34</x:v>
      </x:c>
      <x:c r="E3927" s="22" t="str">
        <x:f>"29779487000134"</x:f>
        <x:v>29779487000134</x:v>
      </x:c>
      <x:c r="F3927" s="22" t="str">
        <x:f>"378.505.278-28"</x:f>
        <x:v>378.505.278-28</x:v>
      </x:c>
      <x:c r="G3927" s="22" t="str">
        <x:f>"37850527828"</x:f>
        <x:v>37850527828</x:v>
      </x:c>
      <x:c r="H3927" s="23" t="str">
        <x:v>wln_santana@yahoo.com.br</x:v>
      </x:c>
      <x:c r="I3927" s="22" t="str">
        <x:f>"1195020-4775"</x:f>
        <x:v>1195020-4775</x:v>
      </x:c>
      <x:c r="J3927" s="23" t="str">
        <x:v>SPOT</x:v>
      </x:c>
      <x:c r="K3927" s="23" t="str">
        <x:v>favored_only</x:v>
      </x:c>
      <x:c r="L3927" s="24" t="b">
        <x:v>1</x:v>
      </x:c>
      <x:c r="M3927" s="23" t="n">
        <x:v>1</x:v>
      </x:c>
      <x:c r="N3927" s="28" t="n">
        <x:v>46203.921840393516</x:v>
      </x:c>
      <x:c r="O3927" s="28" t="n">
        <x:v>46205.60492880787</x:v>
      </x:c>
      <x:c r="P3927" s="23" t="str">
        <x:v>BARUERI</x:v>
      </x:c>
      <x:c r="Q3927" s="30" t="n">
        <x:v>32642</x:v>
      </x:c>
      <x:c r="R3927" s="22" t="str">
        <x:f>"307569056"</x:f>
        <x:v>307569056</x:v>
      </x:c>
      <x:c r="S3927" s="23" t="str">
        <x:v>Masculino</x:v>
      </x:c>
      <x:c r="T3927" s="22" t="str">
        <x:f>"JEL4C13"</x:f>
        <x:v>JEL4C13</x:v>
      </x:c>
      <x:c r="U3927" s="23" t="str">
        <x:v>Willian da Silva Sant Ana</x:v>
      </x:c>
      <x:c r="V3927" s="22" t="str">
        <x:f>"378.505.278-28"</x:f>
        <x:v>378.505.278-28</x:v>
      </x:c>
      <x:c r="W3927" s="22" t="str">
        <x:f>"37850527828"</x:f>
        <x:v>37850527828</x:v>
      </x:c>
      <x:c r="X3927" s="23" t="str">
        <x:v>wln_santana@yahoo.com.br</x:v>
      </x:c>
      <x:c r="Y3927" s="22" t="str">
        <x:f>"1195020-4775"</x:f>
        <x:v>1195020-4775</x:v>
      </x:c>
      <x:c r="Z3927" s="30" t="n">
        <x:v>46218</x:v>
      </x:c>
    </x:row>
    <x:row r="3928" ht="18" customHeight="1">
      <x:c r="A3928" s="22" t="str">
        <x:f>"d82fec6d-ac4c-4cf5-8251-54deecb6db97"</x:f>
        <x:v>d82fec6d-ac4c-4cf5-8251-54deecb6db97</x:v>
      </x:c>
      <x:c r="B3928" s="23" t="str">
        <x:v>WILLIAN DE OLIVEIRA SILVA</x:v>
      </x:c>
      <x:c r="C3928" s="23" t="str">
        <x:v>willian de oliveira silva</x:v>
      </x:c>
      <x:c r="D3928" s="22" t="str">
        <x:f>"50.073.217/0001-08"</x:f>
        <x:v>50.073.217/0001-08</x:v>
      </x:c>
      <x:c r="E3928" s="22" t="str">
        <x:f>"50073217000108"</x:f>
        <x:v>50073217000108</x:v>
      </x:c>
      <x:c r="F3928" s="22" t="str">
        <x:f>"009.402.851-69"</x:f>
        <x:v>009.402.851-69</x:v>
      </x:c>
      <x:c r="G3928" s="22" t="str">
        <x:f>"00940285169"</x:f>
        <x:v>00940285169</x:v>
      </x:c>
      <x:c r="H3928" s="23" t="str">
        <x:v>Oliveirawillian16@gmail.com</x:v>
      </x:c>
      <x:c r="I3928" s="22" t="str">
        <x:f>"65999705515"</x:f>
        <x:v>65999705515</x:v>
      </x:c>
      <x:c r="J3928" s="23" t="str">
        <x:v>SPOT</x:v>
      </x:c>
      <x:c r="K3928" s="23" t="str">
        <x:v>favored_only</x:v>
      </x:c>
      <x:c r="L3928" s="24" t="b">
        <x:v>1</x:v>
      </x:c>
      <x:c r="M3928" s="23" t="n">
        <x:v>1</x:v>
      </x:c>
      <x:c r="N3928" s="28" t="n">
        <x:v>46205.606349421294</x:v>
      </x:c>
      <x:c r="O3928" s="28" t="n">
        <x:v>46219.812988715275</x:v>
      </x:c>
      <x:c r="P3928" s="23" t="str">
        <x:v>CÁCERES</x:v>
      </x:c>
      <x:c r="Q3928" s="30" t="n">
        <x:v>31646</x:v>
      </x:c>
      <x:c r="R3928" s="22" t="str">
        <x:f>"97977"</x:f>
        <x:v>97977</x:v>
      </x:c>
      <x:c r="S3928" s="23" t="str">
        <x:v>masculino</x:v>
      </x:c>
      <x:c r="T3928" s="22" t="str">
        <x:f>"AXR7H38"</x:f>
        <x:v>AXR7H38</x:v>
      </x:c>
      <x:c r="U3928" s="23" t="str">
        <x:v>EVANDRO DE OLIVEIRA LOURENCO</x:v>
      </x:c>
      <x:c r="V3928" s="22" t="str">
        <x:f>"012.957.851-70"</x:f>
        <x:v>012.957.851-70</x:v>
      </x:c>
      <x:c r="W3928" s="22" t="str">
        <x:f>"01295785170"</x:f>
        <x:v>01295785170</x:v>
      </x:c>
      <x:c r="X3928" s="23" t="str">
        <x:v>evandromsoliveira@gmail.com</x:v>
      </x:c>
      <x:c r="Y3928" s="22" t="str">
        <x:f>"65992188094"</x:f>
        <x:v>65992188094</x:v>
      </x:c>
      <x:c r="Z3928" s="30" t="n">
        <x:v>46354</x:v>
      </x:c>
    </x:row>
    <x:row r="3929" ht="18" customHeight="1">
      <x:c r="A3929" s="22" t="str">
        <x:f>"ed9a878c-e752-49d0-b66a-d7f92aa21306"</x:f>
        <x:v>ed9a878c-e752-49d0-b66a-d7f92aa21306</x:v>
      </x:c>
      <x:c r="B3929" s="23" t="str">
        <x:v>WILLIAN DOUGLAS FREITAS AMARAL</x:v>
      </x:c>
      <x:c r="C3929" s="23" t="str">
        <x:v>willian douglas freitas amaral</x:v>
      </x:c>
      <x:c r="D3929" s="22" t="str">
        <x:f>"61.783.632/0001-63"</x:f>
        <x:v>61.783.632/0001-63</x:v>
      </x:c>
      <x:c r="E3929" s="22" t="str">
        <x:f>"61783632000163"</x:f>
        <x:v>61783632000163</x:v>
      </x:c>
      <x:c r="F3929" s="22" t="str">
        <x:f>"129.082.517-36"</x:f>
        <x:v>129.082.517-36</x:v>
      </x:c>
      <x:c r="G3929" s="22" t="str">
        <x:f>"12908251736"</x:f>
        <x:v>12908251736</x:v>
      </x:c>
      <x:c r="H3929" s="23" t="str">
        <x:v>willian.dfa@hotmail.com</x:v>
      </x:c>
      <x:c r="I3929" s="22" t="str">
        <x:f>"21 99977-1877"</x:f>
        <x:v>21 99977-1877</x:v>
      </x:c>
      <x:c r="J3929" s="23" t="str">
        <x:v>SPOT</x:v>
      </x:c>
      <x:c r="K3929" s="23" t="str">
        <x:v>favored_only</x:v>
      </x:c>
      <x:c r="L3929" s="24" t="b">
        <x:v>1</x:v>
      </x:c>
      <x:c r="M3929" s="23" t="n">
        <x:v>1</x:v>
      </x:c>
      <x:c r="N3929" s="28" t="n">
        <x:v>46203.92189965278</x:v>
      </x:c>
      <x:c r="O3929" s="28" t="n">
        <x:v>46219.812988715275</x:v>
      </x:c>
      <x:c r="P3929" s="23" t="str">
        <x:v>CORDOVIL</x:v>
      </x:c>
      <x:c r="Q3929" s="30" t="n">
        <x:v>33071</x:v>
      </x:c>
      <x:c r="R3929" s="22" t="str">
        <x:f>"246472005"</x:f>
        <x:v>246472005</x:v>
      </x:c>
      <x:c r="S3929" s="23" t="str">
        <x:v>masculino</x:v>
      </x:c>
      <x:c r="T3929" s="22" t="str">
        <x:f>"SIC7B31"</x:f>
        <x:v>SIC7B31</x:v>
      </x:c>
      <x:c r="U3929" s="23" t="str">
        <x:v>WILLIAN DOUGLAS FREITAS AMARAL</x:v>
      </x:c>
      <x:c r="V3929" s="22" t="str">
        <x:f>"129.082.517-36"</x:f>
        <x:v>129.082.517-36</x:v>
      </x:c>
      <x:c r="W3929" s="22" t="str">
        <x:f>"12908251736"</x:f>
        <x:v>12908251736</x:v>
      </x:c>
      <x:c r="X3929" s="23" t="str">
        <x:v>willian.dfa@hotmail.com</x:v>
      </x:c>
      <x:c r="Y3929" s="22" t="str">
        <x:f>"21 99977-1877"</x:f>
        <x:v>21 99977-1877</x:v>
      </x:c>
      <x:c r="Z3929" s="30" t="n">
        <x:v>46351</x:v>
      </x:c>
    </x:row>
    <x:row r="3930" ht="18" customHeight="1">
      <x:c r="A3930" s="22" t="str">
        <x:f>"b220008c-761f-4070-bbda-0e6371ed9d3c"</x:f>
        <x:v>b220008c-761f-4070-bbda-0e6371ed9d3c</x:v>
      </x:c>
      <x:c r="B3930" s="23" t="str">
        <x:v>WILLIAN HENRIQUE DE OLIVEIRA</x:v>
      </x:c>
      <x:c r="C3930" s="23" t="str">
        <x:v>willian henrique de oliveira</x:v>
      </x:c>
      <x:c r="D3930" s="22" t="str">
        <x:f>"61.077.753/0001-90"</x:f>
        <x:v>61.077.753/0001-90</x:v>
      </x:c>
      <x:c r="E3930" s="22" t="str">
        <x:f>"61077753000190"</x:f>
        <x:v>61077753000190</x:v>
      </x:c>
      <x:c r="F3930" s="22" t="str">
        <x:f>"125.872.196-12"</x:f>
        <x:v>125.872.196-12</x:v>
      </x:c>
      <x:c r="G3930" s="22" t="str">
        <x:f>"12587219612"</x:f>
        <x:v>12587219612</x:v>
      </x:c>
      <x:c r="H3930" s="23" t="str">
        <x:v>hwillian839@gmail.com</x:v>
      </x:c>
      <x:c r="I3930" s="22" t="str">
        <x:f>"31992863632"</x:f>
        <x:v>31992863632</x:v>
      </x:c>
      <x:c r="J3930" s="23" t="str">
        <x:v>SPOT</x:v>
      </x:c>
      <x:c r="K3930" s="23" t="str">
        <x:v>favored_only</x:v>
      </x:c>
      <x:c r="L3930" s="24" t="b">
        <x:v>1</x:v>
      </x:c>
      <x:c r="M3930" s="23" t="n">
        <x:v>2</x:v>
      </x:c>
      <x:c r="N3930" s="28" t="n">
        <x:v>46203.9219084375</x:v>
      </x:c>
      <x:c r="O3930" s="28" t="n">
        <x:v>46219.812988715275</x:v>
      </x:c>
      <x:c r="P3930" s="23" t="str">
        <x:v>CONTAGEM</x:v>
      </x:c>
      <x:c r="Q3930" s="30" t="n">
        <x:v>34812</x:v>
      </x:c>
      <x:c r="R3930" s="22" t="str">
        <x:f>"18915303"</x:f>
        <x:v>18915303</x:v>
      </x:c>
      <x:c r="S3930" s="23" t="str">
        <x:v>masculino</x:v>
      </x:c>
      <x:c r="T3930" s="22" t="str">
        <x:f>"RFD0A85"</x:f>
        <x:v>RFD0A85</x:v>
      </x:c>
      <x:c r="U3930" s="23" t="str">
        <x:v>WILLIAN HENRIQUE DE OLIVEIRA</x:v>
      </x:c>
      <x:c r="V3930" s="22" t="str">
        <x:f>"125.872.196-12"</x:f>
        <x:v>125.872.196-12</x:v>
      </x:c>
      <x:c r="W3930" s="22" t="str">
        <x:f>"12587219612"</x:f>
        <x:v>12587219612</x:v>
      </x:c>
      <x:c r="X3930" s="23" t="str">
        <x:v>hwillian839@gmail.com</x:v>
      </x:c>
      <x:c r="Y3930" s="22" t="str">
        <x:f>"31992863632"</x:f>
        <x:v>31992863632</x:v>
      </x:c>
      <x:c r="Z3930" s="30" t="n">
        <x:v>46386</x:v>
      </x:c>
    </x:row>
    <x:row r="3931" ht="18" customHeight="1">
      <x:c r="A3931" s="22" t="str">
        <x:f>"97d7c279-fea4-4a91-a3ea-4d07fa93de1e"</x:f>
        <x:v>97d7c279-fea4-4a91-a3ea-4d07fa93de1e</x:v>
      </x:c>
      <x:c r="B3931" s="23" t="str">
        <x:v>WILLIAN MARTINS RAMALHO JUNIOR</x:v>
      </x:c>
      <x:c r="C3931" s="23" t="str">
        <x:v>willian martins ramalho junior</x:v>
      </x:c>
      <x:c r="D3931" s="22" t="str">
        <x:f>"65.515.490/0001-04"</x:f>
        <x:v>65.515.490/0001-04</x:v>
      </x:c>
      <x:c r="E3931" s="22" t="str">
        <x:f>"65515490000104"</x:f>
        <x:v>65515490000104</x:v>
      </x:c>
      <x:c r="F3931" s="22" t="str">
        <x:f>"132.995.847-07"</x:f>
        <x:v>132.995.847-07</x:v>
      </x:c>
      <x:c r="G3931" s="22" t="str">
        <x:f>"13299584707"</x:f>
        <x:v>13299584707</x:v>
      </x:c>
      <x:c r="H3931" s="23" t="str">
        <x:v>martins.william0012@gmail.com</x:v>
      </x:c>
      <x:c r="I3931" s="22" t="str">
        <x:f>"21983815128"</x:f>
        <x:v>21983815128</x:v>
      </x:c>
      <x:c r="J3931" s="23" t="str">
        <x:v>SPOT</x:v>
      </x:c>
      <x:c r="K3931" s="23" t="str">
        <x:v>favored_only</x:v>
      </x:c>
      <x:c r="L3931" s="24" t="b">
        <x:v>1</x:v>
      </x:c>
      <x:c r="M3931" s="23" t="n">
        <x:v>1</x:v>
      </x:c>
      <x:c r="N3931" s="28" t="n">
        <x:v>46219.812988715275</x:v>
      </x:c>
      <x:c r="O3931" s="28" t="n">
        <x:v>46219.812988715275</x:v>
      </x:c>
      <x:c r="P3931" s="23" t="str">
        <x:v>QUEIMADOS</x:v>
      </x:c>
      <x:c r="Q3931" s="30" t="n">
        <x:v>36629</x:v>
      </x:c>
      <x:c r="R3931" s="22" t="str">
        <x:f>"265759324"</x:f>
        <x:v>265759324</x:v>
      </x:c>
      <x:c r="S3931" s="23" t="str">
        <x:v>masculino</x:v>
      </x:c>
      <x:c r="T3931" s="22" t="str">
        <x:f>"FDS2I37"</x:f>
        <x:v>FDS2I37</x:v>
      </x:c>
      <x:c r="U3931" s="23" t="str">
        <x:v>FERNANDA DE CARVALHO OLIVEIRA</x:v>
      </x:c>
      <x:c r="V3931" s="22" t="str">
        <x:f>"163.638.217-70"</x:f>
        <x:v>163.638.217-70</x:v>
      </x:c>
      <x:c r="W3931" s="22" t="str">
        <x:f>"16363821770"</x:f>
        <x:v>16363821770</x:v>
      </x:c>
      <x:c r="X3931" s="23" t="str">
        <x:v>feeh.oliiveira@yahoo.com</x:v>
      </x:c>
      <x:c r="Y3931" s="22" t="str">
        <x:f>"21990126739"</x:f>
        <x:v>21990126739</x:v>
      </x:c>
      <x:c r="Z3931" s="30" t="n">
        <x:v>46473</x:v>
      </x:c>
    </x:row>
    <x:row r="3932" ht="18" customHeight="1">
      <x:c r="A3932" s="22" t="str">
        <x:f>"468129e6-0829-454e-b669-bf171c377894"</x:f>
        <x:v>468129e6-0829-454e-b669-bf171c377894</x:v>
      </x:c>
      <x:c r="B3932" s="23" t="str">
        <x:v>WILLIAN MENDES DE OLIVEIRA</x:v>
      </x:c>
      <x:c r="C3932" s="23" t="str">
        <x:v>willian mendes de oliveira</x:v>
      </x:c>
      <x:c r="D3932" s="22" t="str">
        <x:f>"57.334.960/0001-05"</x:f>
        <x:v>57.334.960/0001-05</x:v>
      </x:c>
      <x:c r="E3932" s="22" t="str">
        <x:f>"57334960000105"</x:f>
        <x:v>57334960000105</x:v>
      </x:c>
      <x:c r="F3932" s="22" t="str">
        <x:f>"374.796.478-83"</x:f>
        <x:v>374.796.478-83</x:v>
      </x:c>
      <x:c r="G3932" s="22" t="str">
        <x:f>"37479647883"</x:f>
        <x:v>37479647883</x:v>
      </x:c>
      <x:c r="H3932" s="23" t="str">
        <x:v>will.mendes1202@gmail.com</x:v>
      </x:c>
      <x:c r="I3932" s="22" t="str">
        <x:f>"(16) 992487784"</x:f>
        <x:v>(16) 992487784</x:v>
      </x:c>
      <x:c r="J3932" s="23" t="str">
        <x:v>RENTAL</x:v>
      </x:c>
      <x:c r="K3932" s="23" t="str">
        <x:v>rental_company</x:v>
      </x:c>
      <x:c r="L3932" s="24" t="b">
        <x:v>1</x:v>
      </x:c>
      <x:c r="M3932" s="23" t="n">
        <x:v>1</x:v>
      </x:c>
      <x:c r="N3932" s="28" t="n">
        <x:v>46219.812988715275</x:v>
      </x:c>
      <x:c r="O3932" s="28" t="n">
        <x:v>46219.812988715275</x:v>
      </x:c>
      <x:c r="P3932" s="23" t="str">
        <x:v>RIBEIRAO PRETO</x:v>
      </x:c>
      <x:c r="Q3932" s="30" t="n">
        <x:v>32551</x:v>
      </x:c>
      <x:c r="R3932" s="22" t="str">
        <x:f>"45.275.464-1"</x:f>
        <x:v>45.275.464-1</x:v>
      </x:c>
      <x:c r="S3932" s="23" t="str">
        <x:v>masculino</x:v>
      </x:c>
      <x:c r="T3932" s="22" t="str"/>
      <x:c r="U3932" s="23" t="str">
        <x:v>WILLIAN MENDES DE OLIVEIRA</x:v>
      </x:c>
      <x:c r="V3932" s="22" t="str">
        <x:f>"374.796.478-83"</x:f>
        <x:v>374.796.478-83</x:v>
      </x:c>
      <x:c r="W3932" s="22" t="str">
        <x:f>"37479647883"</x:f>
        <x:v>37479647883</x:v>
      </x:c>
      <x:c r="X3932" s="23" t="str">
        <x:v>will.mendes1202@gmail.com</x:v>
      </x:c>
      <x:c r="Y3932" s="22" t="str">
        <x:f>"(16) 992487784"</x:f>
        <x:v>(16) 992487784</x:v>
      </x:c>
      <x:c r="Z3932" s="30" t="n">
        <x:v>46551</x:v>
      </x:c>
    </x:row>
    <x:row r="3933" ht="18" customHeight="1">
      <x:c r="A3933" s="22" t="str">
        <x:f>"c968f508-24b0-47c0-812d-4aa62e295cad"</x:f>
        <x:v>c968f508-24b0-47c0-812d-4aa62e295cad</x:v>
      </x:c>
      <x:c r="B3933" s="23" t="str">
        <x:v>WILLIAN OLIVEIRA SILVA</x:v>
      </x:c>
      <x:c r="C3933" s="23" t="str">
        <x:v>willian oliveira silva</x:v>
      </x:c>
      <x:c r="D3933" s="22" t="str">
        <x:f>"65.835.287/0001-15"</x:f>
        <x:v>65.835.287/0001-15</x:v>
      </x:c>
      <x:c r="E3933" s="22" t="str">
        <x:f>"65835287000115"</x:f>
        <x:v>65835287000115</x:v>
      </x:c>
      <x:c r="F3933" s="22" t="str">
        <x:f>"158.658.096-52"</x:f>
        <x:v>158.658.096-52</x:v>
      </x:c>
      <x:c r="G3933" s="22" t="str">
        <x:f>"15865809652"</x:f>
        <x:v>15865809652</x:v>
      </x:c>
      <x:c r="H3933" s="23" t="str">
        <x:v>Willianoliver6120@gmail.com</x:v>
      </x:c>
      <x:c r="I3933" s="22" t="str">
        <x:f>"33999061755"</x:f>
        <x:v>33999061755</x:v>
      </x:c>
      <x:c r="J3933" s="23" t="str">
        <x:v>SPOT</x:v>
      </x:c>
      <x:c r="K3933" s="23" t="str">
        <x:v>favored_only</x:v>
      </x:c>
      <x:c r="L3933" s="24" t="b">
        <x:v>1</x:v>
      </x:c>
      <x:c r="M3933" s="23" t="n">
        <x:v>1</x:v>
      </x:c>
      <x:c r="N3933" s="28" t="n">
        <x:v>46219.812988715275</x:v>
      </x:c>
      <x:c r="O3933" s="28" t="n">
        <x:v>46219.812988715275</x:v>
      </x:c>
      <x:c r="P3933" s="23" t="str">
        <x:v>GUANHAES</x:v>
      </x:c>
      <x:c r="Q3933" s="30" t="n">
        <x:v>36878</x:v>
      </x:c>
      <x:c r="R3933" s="22" t="str">
        <x:f>"94371400050"</x:f>
        <x:v>94371400050</x:v>
      </x:c>
      <x:c r="S3933" s="23" t="str">
        <x:v>masculino</x:v>
      </x:c>
      <x:c r="T3933" s="22" t="str">
        <x:f>"PWJ0F33"</x:f>
        <x:v>PWJ0F33</x:v>
      </x:c>
      <x:c r="U3933" s="23" t="str">
        <x:v>WILLIAN OLIVEIRA SILVA</x:v>
      </x:c>
      <x:c r="V3933" s="22" t="str">
        <x:f>"158.658.096-52"</x:f>
        <x:v>158.658.096-52</x:v>
      </x:c>
      <x:c r="W3933" s="22" t="str">
        <x:f>"15865809652"</x:f>
        <x:v>15865809652</x:v>
      </x:c>
      <x:c r="X3933" s="23" t="str">
        <x:v>Willianoliver6120@gmail.com</x:v>
      </x:c>
      <x:c r="Y3933" s="22" t="str">
        <x:f>"33999061755"</x:f>
        <x:v>33999061755</x:v>
      </x:c>
      <x:c r="Z3933" s="30" t="n">
        <x:v>46469</x:v>
      </x:c>
    </x:row>
    <x:row r="3934" ht="18" customHeight="1">
      <x:c r="A3934" s="22" t="str">
        <x:f>"9d275a71-5b04-48ce-8417-356abbd6cc81"</x:f>
        <x:v>9d275a71-5b04-48ce-8417-356abbd6cc81</x:v>
      </x:c>
      <x:c r="B3934" s="23" t="str">
        <x:v>WILLIANS DE ARAUJO MALAQUIAS</x:v>
      </x:c>
      <x:c r="C3934" s="23" t="str">
        <x:v>willians de araujo malaquias</x:v>
      </x:c>
      <x:c r="D3934" s="22" t="str">
        <x:f>"19.609.472/0001-74"</x:f>
        <x:v>19.609.472/0001-74</x:v>
      </x:c>
      <x:c r="E3934" s="22" t="str">
        <x:f>"19609472000174"</x:f>
        <x:v>19609472000174</x:v>
      </x:c>
      <x:c r="F3934" s="22" t="str">
        <x:f>"227.440.578-60"</x:f>
        <x:v>227.440.578-60</x:v>
      </x:c>
      <x:c r="G3934" s="22" t="str">
        <x:f>"22744057860"</x:f>
        <x:v>22744057860</x:v>
      </x:c>
      <x:c r="H3934" s="23" t="str">
        <x:v>WILLMALAKAA@GMAIL.COM</x:v>
      </x:c>
      <x:c r="I3934" s="22" t="str">
        <x:f>"‪‬018-997734565"</x:f>
        <x:v>‪‬018-997734565</x:v>
      </x:c>
      <x:c r="J3934" s="23" t="str">
        <x:v>RENTAL</x:v>
      </x:c>
      <x:c r="K3934" s="23" t="str">
        <x:v>rental_company</x:v>
      </x:c>
      <x:c r="L3934" s="24" t="b">
        <x:v>1</x:v>
      </x:c>
      <x:c r="M3934" s="23" t="n">
        <x:v>1</x:v>
      </x:c>
      <x:c r="N3934" s="28" t="n">
        <x:v>46203.92183017361</x:v>
      </x:c>
      <x:c r="O3934" s="28" t="n">
        <x:v>46219.812988715275</x:v>
      </x:c>
      <x:c r="P3934" s="23" t="str">
        <x:v>ARAÇATUBA</x:v>
      </x:c>
      <x:c r="Q3934" s="30" t="n">
        <x:v>30259</x:v>
      </x:c>
      <x:c r="R3934" s="22" t="str">
        <x:f>"33343260"</x:f>
        <x:v>33343260</x:v>
      </x:c>
      <x:c r="S3934" s="23" t="str">
        <x:v>masculino</x:v>
      </x:c>
      <x:c r="T3934" s="22" t="str"/>
      <x:c r="U3934" s="23" t="str">
        <x:v>WILLIANS DE ARAUJO MALAQUIAS</x:v>
      </x:c>
      <x:c r="V3934" s="22" t="str">
        <x:f>"227.440.578-60"</x:f>
        <x:v>227.440.578-60</x:v>
      </x:c>
      <x:c r="W3934" s="22" t="str">
        <x:f>"22744057860"</x:f>
        <x:v>22744057860</x:v>
      </x:c>
      <x:c r="X3934" s="23" t="str">
        <x:v>WILLMALAKAA@GMAIL.COM</x:v>
      </x:c>
      <x:c r="Y3934" s="22" t="str">
        <x:f>"‪‬018-997734565"</x:f>
        <x:v>‪‬018-997734565</x:v>
      </x:c>
      <x:c r="Z3934" s="30" t="n">
        <x:v>46525</x:v>
      </x:c>
    </x:row>
    <x:row r="3935" ht="18" customHeight="1">
      <x:c r="A3935" s="22" t="str">
        <x:f>"b12fc72b-cd9d-4c01-bda7-07e99b8056c7"</x:f>
        <x:v>b12fc72b-cd9d-4c01-bda7-07e99b8056c7</x:v>
      </x:c>
      <x:c r="B3935" s="23" t="str">
        <x:v>WILLIAN SILVA BORGES</x:v>
      </x:c>
      <x:c r="C3935" s="23" t="str">
        <x:v>willian silva borges</x:v>
      </x:c>
      <x:c r="D3935" s="22" t="str">
        <x:f>"56.175.404/0001-70"</x:f>
        <x:v>56.175.404/0001-70</x:v>
      </x:c>
      <x:c r="E3935" s="22" t="str">
        <x:f>"56175404000170"</x:f>
        <x:v>56175404000170</x:v>
      </x:c>
      <x:c r="F3935" s="22" t="str">
        <x:f>"129.227.767-00"</x:f>
        <x:v>129.227.767-00</x:v>
      </x:c>
      <x:c r="G3935" s="22" t="str">
        <x:f>"12922776700"</x:f>
        <x:v>12922776700</x:v>
      </x:c>
      <x:c r="H3935" s="23" t="str">
        <x:v>willsilvaborges@gmail.com</x:v>
      </x:c>
      <x:c r="I3935" s="22" t="str">
        <x:f>"21 980800159"</x:f>
        <x:v>21 980800159</x:v>
      </x:c>
      <x:c r="J3935" s="23" t="str">
        <x:v>SPOT</x:v>
      </x:c>
      <x:c r="K3935" s="23" t="str">
        <x:v>favored_only</x:v>
      </x:c>
      <x:c r="L3935" s="24" t="b">
        <x:v>1</x:v>
      </x:c>
      <x:c r="M3935" s="23" t="n">
        <x:v>1</x:v>
      </x:c>
      <x:c r="N3935" s="28" t="n">
        <x:v>46219.812988715275</x:v>
      </x:c>
      <x:c r="O3935" s="28" t="n">
        <x:v>46219.812988715275</x:v>
      </x:c>
      <x:c r="P3935" s="23" t="str">
        <x:v>QUEIMADOS</x:v>
      </x:c>
      <x:c r="Q3935" s="30" t="n">
        <x:v>33485</x:v>
      </x:c>
      <x:c r="R3935" s="22" t="str">
        <x:f>"247284276"</x:f>
        <x:v>247284276</x:v>
      </x:c>
      <x:c r="S3935" s="23" t="str">
        <x:v>masculino</x:v>
      </x:c>
      <x:c r="T3935" s="22" t="str">
        <x:f>"PZN3E79"</x:f>
        <x:v>PZN3E79</x:v>
      </x:c>
      <x:c r="U3935" s="23" t="str">
        <x:v>WILLIAN SILVA BORGES</x:v>
      </x:c>
      <x:c r="V3935" s="22" t="str">
        <x:f>"129.277.767-00"</x:f>
        <x:v>129.277.767-00</x:v>
      </x:c>
      <x:c r="W3935" s="22" t="str">
        <x:f>"12927776700"</x:f>
        <x:v>12927776700</x:v>
      </x:c>
      <x:c r="X3935" s="23" t="str">
        <x:v>willsilvaborges@gmail.com</x:v>
      </x:c>
      <x:c r="Y3935" s="22" t="str">
        <x:f>"21 980800159"</x:f>
        <x:v>21 980800159</x:v>
      </x:c>
      <x:c r="Z3935" s="30" t="n">
        <x:v>46425</x:v>
      </x:c>
    </x:row>
    <x:row r="3936" ht="18" customHeight="1">
      <x:c r="A3936" s="22" t="str">
        <x:f>"fdf6ee23-8178-4b36-82fb-444808def0c6"</x:f>
        <x:v>fdf6ee23-8178-4b36-82fb-444808def0c6</x:v>
      </x:c>
      <x:c r="B3936" s="23" t="str">
        <x:v>WILLIANS MIGUEL DA SILVA JUNIOR</x:v>
      </x:c>
      <x:c r="C3936" s="23" t="str">
        <x:v>willians miguel da silva junior</x:v>
      </x:c>
      <x:c r="D3936" s="22" t="str">
        <x:f>"60.200.968/0001-93"</x:f>
        <x:v>60.200.968/0001-93</x:v>
      </x:c>
      <x:c r="E3936" s="22" t="str">
        <x:f>"60200968000193"</x:f>
        <x:v>60200968000193</x:v>
      </x:c>
      <x:c r="F3936" s="22" t="str">
        <x:f>"200.281.287-02"</x:f>
        <x:v>200.281.287-02</x:v>
      </x:c>
      <x:c r="G3936" s="22" t="str">
        <x:f>"20028128702"</x:f>
        <x:v>20028128702</x:v>
      </x:c>
      <x:c r="H3936" s="23" t="str">
        <x:v>ninho.miguelzinho@gmail.com</x:v>
      </x:c>
      <x:c r="I3936" s="22" t="str">
        <x:f>"21973116499"</x:f>
        <x:v>21973116499</x:v>
      </x:c>
      <x:c r="J3936" s="23" t="str">
        <x:v>RENTAL</x:v>
      </x:c>
      <x:c r="K3936" s="23" t="str">
        <x:v>rental_company</x:v>
      </x:c>
      <x:c r="L3936" s="24" t="b">
        <x:v>1</x:v>
      </x:c>
      <x:c r="M3936" s="23" t="n">
        <x:v>1</x:v>
      </x:c>
      <x:c r="N3936" s="28" t="n">
        <x:v>46219.812988715275</x:v>
      </x:c>
      <x:c r="O3936" s="28" t="n">
        <x:v>46219.812988715275</x:v>
      </x:c>
      <x:c r="P3936" s="23" t="str">
        <x:v>QUEIMADOS</x:v>
      </x:c>
      <x:c r="Q3936" s="30" t="n">
        <x:v>37030</x:v>
      </x:c>
      <x:c r="R3936" s="22" t="str">
        <x:f>"323633883"</x:f>
        <x:v>323633883</x:v>
      </x:c>
      <x:c r="S3936" s="23" t="str">
        <x:v>masculino</x:v>
      </x:c>
      <x:c r="T3936" s="22" t="str"/>
      <x:c r="U3936" s="23" t="str">
        <x:v>WILLIANS MIGUEL DA SILVA JUNIOR</x:v>
      </x:c>
      <x:c r="V3936" s="22" t="str">
        <x:f>"200.281.287-02"</x:f>
        <x:v>200.281.287-02</x:v>
      </x:c>
      <x:c r="W3936" s="22" t="str">
        <x:f>"20028128702"</x:f>
        <x:v>20028128702</x:v>
      </x:c>
      <x:c r="X3936" s="23" t="str">
        <x:v>ninho.miguelzinho@gmail.com</x:v>
      </x:c>
      <x:c r="Y3936" s="22" t="str">
        <x:f>"21973116499"</x:f>
        <x:v>21973116499</x:v>
      </x:c>
      <x:c r="Z3936" s="30" t="n">
        <x:v>46546</x:v>
      </x:c>
    </x:row>
    <x:row r="3937" ht="18" customHeight="1">
      <x:c r="A3937" s="22" t="str">
        <x:f>"86c50e34-5026-48d2-936d-13d3ff90ac05"</x:f>
        <x:v>86c50e34-5026-48d2-936d-13d3ff90ac05</x:v>
      </x:c>
      <x:c r="B3937" s="23" t="str">
        <x:v>WILLIAN THIAGO DE SOUZA OLIVEIRA</x:v>
      </x:c>
      <x:c r="C3937" s="23" t="str">
        <x:v>willian thiago de souza oliveira</x:v>
      </x:c>
      <x:c r="D3937" s="22" t="str">
        <x:f>"66.393.542/0001-80"</x:f>
        <x:v>66.393.542/0001-80</x:v>
      </x:c>
      <x:c r="E3937" s="22" t="str">
        <x:f>"66393542000180"</x:f>
        <x:v>66393542000180</x:v>
      </x:c>
      <x:c r="F3937" s="22" t="str">
        <x:f>"038.404.051-90"</x:f>
        <x:v>038.404.051-90</x:v>
      </x:c>
      <x:c r="G3937" s="22" t="str">
        <x:f>"03840405190"</x:f>
        <x:v>03840405190</x:v>
      </x:c>
      <x:c r="H3937" s="23" t="str">
        <x:v>thiagosouza321k@gmail.com</x:v>
      </x:c>
      <x:c r="I3937" s="22" t="str">
        <x:f>"65999734685"</x:f>
        <x:v>65999734685</x:v>
      </x:c>
      <x:c r="J3937" s="23" t="str">
        <x:v>SPOT</x:v>
      </x:c>
      <x:c r="K3937" s="23" t="str">
        <x:v>favored_only</x:v>
      </x:c>
      <x:c r="L3937" s="24" t="b">
        <x:v>1</x:v>
      </x:c>
      <x:c r="M3937" s="23" t="n">
        <x:v>1</x:v>
      </x:c>
      <x:c r="N3937" s="28" t="n">
        <x:v>46219.812988715275</x:v>
      </x:c>
      <x:c r="O3937" s="28" t="n">
        <x:v>46219.812988715275</x:v>
      </x:c>
      <x:c r="P3937" s="23" t="str">
        <x:v>CÁCERES</x:v>
      </x:c>
      <x:c r="Q3937" s="30" t="n">
        <x:v>34424</x:v>
      </x:c>
      <x:c r="R3937" s="22" t="str">
        <x:f>"22297987"</x:f>
        <x:v>22297987</x:v>
      </x:c>
      <x:c r="S3937" s="23" t="str">
        <x:v>masculino</x:v>
      </x:c>
      <x:c r="T3937" s="22" t="str">
        <x:f>"bbs9h85"</x:f>
        <x:v>bbs9h85</x:v>
      </x:c>
      <x:c r="U3937" s="23" t="str">
        <x:v>VIVIANE SCHULTZ MARTINS RIBEIRO MATOS</x:v>
      </x:c>
      <x:c r="V3937" s="22" t="str">
        <x:f>"974.822.181-49"</x:f>
        <x:v>974.822.181-49</x:v>
      </x:c>
      <x:c r="W3937" s="22" t="str">
        <x:f>"97482218149"</x:f>
        <x:v>97482218149</x:v>
      </x:c>
      <x:c r="X3937" s="23" t="str">
        <x:v>vivianeschultz2014@gmail.com</x:v>
      </x:c>
      <x:c r="Y3937" s="22" t="str">
        <x:f>"67999671113"</x:f>
        <x:v>67999671113</x:v>
      </x:c>
      <x:c r="Z3937" s="30" t="n">
        <x:v>46565</x:v>
      </x:c>
    </x:row>
    <x:row r="3938" ht="18" customHeight="1">
      <x:c r="A3938" s="22" t="str">
        <x:f>"8fd7fd43-5416-4de9-bc59-60eaba12aba8"</x:f>
        <x:v>8fd7fd43-5416-4de9-bc59-60eaba12aba8</x:v>
      </x:c>
      <x:c r="B3938" s="23" t="str">
        <x:v>WILSON DE FRANCA CASTRO</x:v>
      </x:c>
      <x:c r="C3938" s="23" t="str">
        <x:v>wilson de franca castro</x:v>
      </x:c>
      <x:c r="D3938" s="22" t="str">
        <x:f>"59.159.051/0001-03"</x:f>
        <x:v>59.159.051/0001-03</x:v>
      </x:c>
      <x:c r="E3938" s="22" t="str">
        <x:f>"59159051000103"</x:f>
        <x:v>59159051000103</x:v>
      </x:c>
      <x:c r="F3938" s="22" t="str">
        <x:f>"058.814.678-17"</x:f>
        <x:v>058.814.678-17</x:v>
      </x:c>
      <x:c r="G3938" s="22" t="str">
        <x:f>"05881467817"</x:f>
        <x:v>05881467817</x:v>
      </x:c>
      <x:c r="H3938" s="23" t="str">
        <x:v>Wilson.rjmed@hotmail.com</x:v>
      </x:c>
      <x:c r="I3938" s="22" t="str">
        <x:f>"18997010316"</x:f>
        <x:v>18997010316</x:v>
      </x:c>
      <x:c r="J3938" s="23" t="str">
        <x:v>SPOT</x:v>
      </x:c>
      <x:c r="K3938" s="23" t="str">
        <x:v>favored_only</x:v>
      </x:c>
      <x:c r="L3938" s="24" t="b">
        <x:v>1</x:v>
      </x:c>
      <x:c r="M3938" s="23" t="n">
        <x:v>1</x:v>
      </x:c>
      <x:c r="N3938" s="28" t="n">
        <x:v>46203.921858726855</x:v>
      </x:c>
      <x:c r="O3938" s="28" t="n">
        <x:v>46219.812988715275</x:v>
      </x:c>
      <x:c r="P3938" s="23" t="str">
        <x:v>PRESIDENTE PRUDENTE</x:v>
      </x:c>
      <x:c r="Q3938" s="30" t="n">
        <x:v>24274</x:v>
      </x:c>
      <x:c r="R3938" s="22" t="str">
        <x:f>"232519535"</x:f>
        <x:v>232519535</x:v>
      </x:c>
      <x:c r="S3938" s="23" t="str">
        <x:v>masculino</x:v>
      </x:c>
      <x:c r="T3938" s="22" t="str">
        <x:f>"DVJ3305"</x:f>
        <x:v>DVJ3305</x:v>
      </x:c>
      <x:c r="U3938" s="23" t="str">
        <x:v>WILSON DE FRANCA CASTRO</x:v>
      </x:c>
      <x:c r="V3938" s="22" t="str">
        <x:f>"058.814.678-17"</x:f>
        <x:v>058.814.678-17</x:v>
      </x:c>
      <x:c r="W3938" s="22" t="str">
        <x:f>"05881467817"</x:f>
        <x:v>05881467817</x:v>
      </x:c>
      <x:c r="X3938" s="23" t="str">
        <x:v>Wilson.rjmed@hotmail.com</x:v>
      </x:c>
      <x:c r="Y3938" s="22" t="str">
        <x:f>"18997010316"</x:f>
        <x:v>18997010316</x:v>
      </x:c>
      <x:c r="Z3938" s="30" t="n">
        <x:v>46259</x:v>
      </x:c>
    </x:row>
    <x:row r="3939" ht="18" customHeight="1">
      <x:c r="A3939" s="22" t="str">
        <x:f>"2629126d-8147-4e90-9b2c-7f47e4370abf"</x:f>
        <x:v>2629126d-8147-4e90-9b2c-7f47e4370abf</x:v>
      </x:c>
      <x:c r="B3939" s="23" t="str">
        <x:v>WILSON ELIAS DE ARRUDA JUNIOR</x:v>
      </x:c>
      <x:c r="C3939" s="23" t="str">
        <x:v>wilson elias de arruda junior</x:v>
      </x:c>
      <x:c r="D3939" s="22" t="str">
        <x:f>"59.604.921/0001-06"</x:f>
        <x:v>59.604.921/0001-06</x:v>
      </x:c>
      <x:c r="E3939" s="22" t="str">
        <x:f>"59604921000106"</x:f>
        <x:v>59604921000106</x:v>
      </x:c>
      <x:c r="F3939" s="22" t="str">
        <x:f>"410.909.438-06"</x:f>
        <x:v>410.909.438-06</x:v>
      </x:c>
      <x:c r="G3939" s="22" t="str">
        <x:f>"41090943806"</x:f>
        <x:v>41090943806</x:v>
      </x:c>
      <x:c r="H3939" s="23" t="str">
        <x:v>juniorrodrigues_77@hotmail.com</x:v>
      </x:c>
      <x:c r="I3939" s="22" t="str">
        <x:f>"11961703940"</x:f>
        <x:v>11961703940</x:v>
      </x:c>
      <x:c r="J3939" s="23" t="str">
        <x:v>RENTAL</x:v>
      </x:c>
      <x:c r="K3939" s="23" t="str">
        <x:v>rental_company</x:v>
      </x:c>
      <x:c r="L3939" s="24" t="b">
        <x:v>1</x:v>
      </x:c>
      <x:c r="M3939" s="23" t="n">
        <x:v>1</x:v>
      </x:c>
      <x:c r="N3939" s="28" t="n">
        <x:v>46219.812988715275</x:v>
      </x:c>
      <x:c r="O3939" s="28" t="n">
        <x:v>46219.812988715275</x:v>
      </x:c>
      <x:c r="P3939" s="23" t="str">
        <x:v>BARUERI</x:v>
      </x:c>
      <x:c r="Q3939" s="30" t="n">
        <x:v>34062</x:v>
      </x:c>
      <x:c r="R3939" s="22" t="str">
        <x:f>"535183495"</x:f>
        <x:v>535183495</x:v>
      </x:c>
      <x:c r="S3939" s="23" t="str">
        <x:v>masculino</x:v>
      </x:c>
      <x:c r="T3939" s="22" t="str"/>
      <x:c r="U3939" s="23" t="str">
        <x:v>WILSON ELIAS DE ARRUDA JUNIOR</x:v>
      </x:c>
      <x:c r="V3939" s="22" t="str">
        <x:f>"410.909.438-06"</x:f>
        <x:v>410.909.438-06</x:v>
      </x:c>
      <x:c r="W3939" s="22" t="str">
        <x:f>"41090943806"</x:f>
        <x:v>41090943806</x:v>
      </x:c>
      <x:c r="X3939" s="23" t="str">
        <x:v>juniorrodrigues_77@hotmail.com</x:v>
      </x:c>
      <x:c r="Y3939" s="22" t="str">
        <x:f>"11961703940"</x:f>
        <x:v>11961703940</x:v>
      </x:c>
      <x:c r="Z3939" s="30" t="n">
        <x:v>46466</x:v>
      </x:c>
    </x:row>
    <x:row r="3940" ht="18" customHeight="1">
      <x:c r="A3940" s="22" t="str">
        <x:f>"41f1cbf4-eb4a-4611-99a2-19576038efe1"</x:f>
        <x:v>41f1cbf4-eb4a-4611-99a2-19576038efe1</x:v>
      </x:c>
      <x:c r="B3940" s="23" t="str">
        <x:v>WILSON JOSE CORREA</x:v>
      </x:c>
      <x:c r="C3940" s="23" t="str">
        <x:v>wilson jose correa</x:v>
      </x:c>
      <x:c r="D3940" s="22" t="str">
        <x:f>"66.535.421/0001-25"</x:f>
        <x:v>66.535.421/0001-25</x:v>
      </x:c>
      <x:c r="E3940" s="22" t="str">
        <x:f>"66535421000125"</x:f>
        <x:v>66535421000125</x:v>
      </x:c>
      <x:c r="F3940" s="22" t="str">
        <x:f>"906.897.636-20"</x:f>
        <x:v>906.897.636-20</x:v>
      </x:c>
      <x:c r="G3940" s="22" t="str">
        <x:f>"90689763620"</x:f>
        <x:v>90689763620</x:v>
      </x:c>
      <x:c r="H3940" s="23" t="str">
        <x:v>wilsonmeli26@gmail.com</x:v>
      </x:c>
      <x:c r="I3940" s="22" t="str">
        <x:f>"17 99179-7694"</x:f>
        <x:v>17 99179-7694</x:v>
      </x:c>
      <x:c r="J3940" s="23" t="str">
        <x:v>spot</x:v>
      </x:c>
      <x:c r="K3940" s="23" t="str">
        <x:v>favored_only</x:v>
      </x:c>
      <x:c r="L3940" s="24" t="b">
        <x:v>1</x:v>
      </x:c>
      <x:c r="M3940" s="23" t="n">
        <x:v>1</x:v>
      </x:c>
      <x:c r="N3940" s="28" t="n">
        <x:v>46219.812988715275</x:v>
      </x:c>
      <x:c r="O3940" s="28" t="n">
        <x:v>46219.812988715275</x:v>
      </x:c>
      <x:c r="P3940" s="23" t="str">
        <x:v>SÃO JOSE DO RIO PRETO</x:v>
      </x:c>
      <x:c r="Q3940" s="30" t="n">
        <x:v>27561</x:v>
      </x:c>
      <x:c r="R3940" s="22" t="str">
        <x:f>"32581133"</x:f>
        <x:v>32581133</x:v>
      </x:c>
      <x:c r="S3940" s="23" t="str">
        <x:v>masculino</x:v>
      </x:c>
      <x:c r="T3940" s="22" t="str">
        <x:f>"RUN7D56"</x:f>
        <x:v>RUN7D56</x:v>
      </x:c>
      <x:c r="U3940" s="23" t="str">
        <x:v>WILSON JOSE CORREA</x:v>
      </x:c>
      <x:c r="V3940" s="22" t="str">
        <x:f>"906.897.636-20"</x:f>
        <x:v>906.897.636-20</x:v>
      </x:c>
      <x:c r="W3940" s="22" t="str">
        <x:f>"90689763620"</x:f>
        <x:v>90689763620</x:v>
      </x:c>
      <x:c r="X3940" s="23" t="str">
        <x:v>wilsonmeli26@gmail.com</x:v>
      </x:c>
      <x:c r="Y3940" s="22" t="str">
        <x:f>"17 99179-7694"</x:f>
        <x:v>17 99179-7694</x:v>
      </x:c>
      <x:c r="Z3940" s="30" t="n">
        <x:v>46553</x:v>
      </x:c>
    </x:row>
    <x:row r="3941" ht="18" customHeight="1">
      <x:c r="A3941" s="22" t="str">
        <x:f>"e82c6da7-5444-4b58-9d15-36dc667a3feb"</x:f>
        <x:v>e82c6da7-5444-4b58-9d15-36dc667a3feb</x:v>
      </x:c>
      <x:c r="B3941" s="23" t="str">
        <x:v>WILTON ALVES PEREIRA</x:v>
      </x:c>
      <x:c r="C3941" s="23" t="str">
        <x:v>wilton alves pereira</x:v>
      </x:c>
      <x:c r="D3941" s="22" t="str">
        <x:f>"65.354.302/0001-03"</x:f>
        <x:v>65.354.302/0001-03</x:v>
      </x:c>
      <x:c r="E3941" s="22" t="str">
        <x:f>"65354302000103"</x:f>
        <x:v>65354302000103</x:v>
      </x:c>
      <x:c r="F3941" s="22" t="str">
        <x:f>"437.058.488-44"</x:f>
        <x:v>437.058.488-44</x:v>
      </x:c>
      <x:c r="G3941" s="22" t="str">
        <x:f>"43705848844"</x:f>
        <x:v>43705848844</x:v>
      </x:c>
      <x:c r="H3941" s="23" t="str">
        <x:v>wiltonalves194@gmail.com</x:v>
      </x:c>
      <x:c r="I3941" s="22" t="str">
        <x:f>"11 984468539"</x:f>
        <x:v>11 984468539</x:v>
      </x:c>
      <x:c r="J3941" s="23" t="str">
        <x:v>RENTAL</x:v>
      </x:c>
      <x:c r="K3941" s="23" t="str">
        <x:v>rental_company</x:v>
      </x:c>
      <x:c r="L3941" s="24" t="b">
        <x:v>1</x:v>
      </x:c>
      <x:c r="M3941" s="23" t="n">
        <x:v>1</x:v>
      </x:c>
      <x:c r="N3941" s="28" t="n">
        <x:v>46219.812988715275</x:v>
      </x:c>
      <x:c r="O3941" s="28" t="n">
        <x:v>46219.812988715275</x:v>
      </x:c>
      <x:c r="P3941" s="23" t="str">
        <x:v>BARUERI</x:v>
      </x:c>
      <x:c r="Q3941" s="30" t="n">
        <x:v>35744</x:v>
      </x:c>
      <x:c r="R3941" s="22" t="str">
        <x:f>"397295819"</x:f>
        <x:v>397295819</x:v>
      </x:c>
      <x:c r="S3941" s="23" t="str">
        <x:v>masculino</x:v>
      </x:c>
      <x:c r="T3941" s="22" t="str"/>
      <x:c r="U3941" s="23" t="str">
        <x:v>WILTON ALVES PEREIRA</x:v>
      </x:c>
      <x:c r="V3941" s="22" t="str">
        <x:f>"437.058.488-44"</x:f>
        <x:v>437.058.488-44</x:v>
      </x:c>
      <x:c r="W3941" s="22" t="str">
        <x:f>"43705848844"</x:f>
        <x:v>43705848844</x:v>
      </x:c>
      <x:c r="X3941" s="23" t="str">
        <x:v>wiltonalves194@gmail.com</x:v>
      </x:c>
      <x:c r="Y3941" s="22" t="str">
        <x:f>"11 984468539"</x:f>
        <x:v>11 984468539</x:v>
      </x:c>
      <x:c r="Z3941" s="30" t="n">
        <x:v>46444</x:v>
      </x:c>
    </x:row>
    <x:row r="3942" ht="18" customHeight="1">
      <x:c r="A3942" s="22" t="str">
        <x:f>"b800c6fd-2d7f-481e-b07d-eed6edeb1d13"</x:f>
        <x:v>b800c6fd-2d7f-481e-b07d-eed6edeb1d13</x:v>
      </x:c>
      <x:c r="B3942" s="23" t="str">
        <x:v>WILTON DA COSTA ALVES</x:v>
      </x:c>
      <x:c r="C3942" s="23" t="str">
        <x:v>wilton da costa alves</x:v>
      </x:c>
      <x:c r="D3942" s="22" t="str">
        <x:f>"37.823.997/0001-90"</x:f>
        <x:v>37.823.997/0001-90</x:v>
      </x:c>
      <x:c r="E3942" s="22" t="str">
        <x:f>"37823997000190"</x:f>
        <x:v>37823997000190</x:v>
      </x:c>
      <x:c r="F3942" s="22" t="str">
        <x:f>"029.395.961-74"</x:f>
        <x:v>029.395.961-74</x:v>
      </x:c>
      <x:c r="G3942" s="22" t="str">
        <x:f>"02939596174"</x:f>
        <x:v>02939596174</x:v>
      </x:c>
      <x:c r="H3942" s="23" t="str">
        <x:v>wiltoncosta241@gmail.com</x:v>
      </x:c>
      <x:c r="I3942" s="22" t="str">
        <x:f>"61 9157-8670"</x:f>
        <x:v>61 9157-8670</x:v>
      </x:c>
      <x:c r="J3942" s="23" t="str">
        <x:v>SPOT</x:v>
      </x:c>
      <x:c r="K3942" s="23" t="str">
        <x:v>favored_only</x:v>
      </x:c>
      <x:c r="L3942" s="24" t="b">
        <x:v>1</x:v>
      </x:c>
      <x:c r="M3942" s="23" t="n">
        <x:v>1</x:v>
      </x:c>
      <x:c r="N3942" s="28" t="n">
        <x:v>46219.812988715275</x:v>
      </x:c>
      <x:c r="O3942" s="28" t="n">
        <x:v>46219.812988715275</x:v>
      </x:c>
      <x:c r="P3942" s="23" t="str">
        <x:v>MINAÇU</x:v>
      </x:c>
      <x:c r="Q3942" s="30" t="n">
        <x:v>31930</x:v>
      </x:c>
      <x:c r="R3942" s="22" t="str">
        <x:f>"5486373"</x:f>
        <x:v>5486373</x:v>
      </x:c>
      <x:c r="S3942" s="23" t="str">
        <x:v>masculino</x:v>
      </x:c>
      <x:c r="T3942" s="22" t="str">
        <x:f>"AXN4D89"</x:f>
        <x:v>AXN4D89</x:v>
      </x:c>
      <x:c r="U3942" s="23" t="str">
        <x:v>RODOPRIME TRANSPORTES E CARGAS LTDA</x:v>
      </x:c>
      <x:c r="V3942" s="22" t="str">
        <x:f>"038.768.901-01"</x:f>
        <x:v>038.768.901-01</x:v>
      </x:c>
      <x:c r="W3942" s="22" t="str">
        <x:f>"03876890101"</x:f>
        <x:v>03876890101</x:v>
      </x:c>
      <x:c r="X3942" s="23" t="str">
        <x:v>rtp.cargas@gmail.com</x:v>
      </x:c>
      <x:c r="Y3942" s="22" t="str">
        <x:f>"62991277279"</x:f>
        <x:v>62991277279</x:v>
      </x:c>
      <x:c r="Z3942" s="30" t="n">
        <x:v>46486</x:v>
      </x:c>
    </x:row>
    <x:row r="3943" ht="18" customHeight="1">
      <x:c r="A3943" s="22" t="str">
        <x:f>"f8d21082-00f6-44cb-b75b-49376addaa9a"</x:f>
        <x:v>f8d21082-00f6-44cb-b75b-49376addaa9a</x:v>
      </x:c>
      <x:c r="B3943" s="23" t="str">
        <x:v>WIRLEI FREITAS MAURICIO</x:v>
      </x:c>
      <x:c r="C3943" s="23" t="str">
        <x:v>wirlei freitas mauricio</x:v>
      </x:c>
      <x:c r="D3943" s="22" t="str">
        <x:f>"62.152.187/0001-04"</x:f>
        <x:v>62.152.187/0001-04</x:v>
      </x:c>
      <x:c r="E3943" s="22" t="str">
        <x:f>"62152187000104"</x:f>
        <x:v>62152187000104</x:v>
      </x:c>
      <x:c r="F3943" s="22" t="str">
        <x:f>"173.776.947-69"</x:f>
        <x:v>173.776.947-69</x:v>
      </x:c>
      <x:c r="G3943" s="22" t="str">
        <x:f>"17377694769"</x:f>
        <x:v>17377694769</x:v>
      </x:c>
      <x:c r="H3943" s="23" t="str">
        <x:v>puva131@gmail.com</x:v>
      </x:c>
      <x:c r="I3943" s="22" t="str">
        <x:f>"62986116513"</x:f>
        <x:v>62986116513</x:v>
      </x:c>
      <x:c r="J3943" s="23" t="str">
        <x:v>SPOT</x:v>
      </x:c>
      <x:c r="K3943" s="23" t="str">
        <x:v>favored_only</x:v>
      </x:c>
      <x:c r="L3943" s="24" t="b">
        <x:v>1</x:v>
      </x:c>
      <x:c r="M3943" s="23" t="n">
        <x:v>1</x:v>
      </x:c>
      <x:c r="N3943" s="28" t="n">
        <x:v>46203.921858726855</x:v>
      </x:c>
      <x:c r="O3943" s="28" t="n">
        <x:v>46219.812988715275</x:v>
      </x:c>
      <x:c r="P3943" s="23" t="str">
        <x:v>CAMPOS DOS GOYTACAZES</x:v>
      </x:c>
      <x:c r="Q3943" s="30" t="n">
        <x:v>35388</x:v>
      </x:c>
      <x:c r="R3943" s="22" t="str">
        <x:f>"236822086"</x:f>
        <x:v>236822086</x:v>
      </x:c>
      <x:c r="S3943" s="23" t="str">
        <x:v>masculino</x:v>
      </x:c>
      <x:c r="T3943" s="22" t="str">
        <x:f>"LQL7A92"</x:f>
        <x:v>LQL7A92</x:v>
      </x:c>
      <x:c r="U3943" s="23" t="str">
        <x:v>WIRLEI FREITAS MAURICIO</x:v>
      </x:c>
      <x:c r="V3943" s="22" t="str">
        <x:f>"173.776.947-69"</x:f>
        <x:v>173.776.947-69</x:v>
      </x:c>
      <x:c r="W3943" s="22" t="str">
        <x:f>"17377694769"</x:f>
        <x:v>17377694769</x:v>
      </x:c>
      <x:c r="X3943" s="23" t="str">
        <x:v>puva131@gmail.com</x:v>
      </x:c>
      <x:c r="Y3943" s="22" t="str">
        <x:f>"62986116513"</x:f>
        <x:v>62986116513</x:v>
      </x:c>
      <x:c r="Z3943" s="30" t="n">
        <x:v>46259</x:v>
      </x:c>
    </x:row>
    <x:row r="3944" ht="18" customHeight="1">
      <x:c r="A3944" s="22" t="str">
        <x:f>"fc38ca0d-a612-4023-966f-8ce475f29c87"</x:f>
        <x:v>fc38ca0d-a612-4023-966f-8ce475f29c87</x:v>
      </x:c>
      <x:c r="B3944" s="23" t="str">
        <x:v>WITOR GOMES BICALHO</x:v>
      </x:c>
      <x:c r="C3944" s="23" t="str">
        <x:v>witor gomes bicalho</x:v>
      </x:c>
      <x:c r="D3944" s="22" t="str">
        <x:f>"61.477.052/0001-48"</x:f>
        <x:v>61.477.052/0001-48</x:v>
      </x:c>
      <x:c r="E3944" s="22" t="str">
        <x:f>"61477052000148"</x:f>
        <x:v>61477052000148</x:v>
      </x:c>
      <x:c r="F3944" s="22" t="str">
        <x:f>"146.199.766-60"</x:f>
        <x:v>146.199.766-60</x:v>
      </x:c>
      <x:c r="G3944" s="22" t="str">
        <x:f>"14619976660"</x:f>
        <x:v>14619976660</x:v>
      </x:c>
      <x:c r="H3944" s="23" t="str">
        <x:v>witorbicalho@hotmail.com</x:v>
      </x:c>
      <x:c r="I3944" s="22" t="str">
        <x:f>"31-994510487"</x:f>
        <x:v>31-994510487</x:v>
      </x:c>
      <x:c r="J3944" s="23" t="str">
        <x:v>RENTAL</x:v>
      </x:c>
      <x:c r="K3944" s="23" t="str">
        <x:v>rental_company</x:v>
      </x:c>
      <x:c r="L3944" s="24" t="b">
        <x:v>1</x:v>
      </x:c>
      <x:c r="M3944" s="23" t="n">
        <x:v>1</x:v>
      </x:c>
      <x:c r="N3944" s="28" t="n">
        <x:v>46203.92183332176</x:v>
      </x:c>
      <x:c r="O3944" s="28" t="n">
        <x:v>46219.812988715275</x:v>
      </x:c>
      <x:c r="P3944" s="23" t="str">
        <x:v>VESPASIANO</x:v>
      </x:c>
      <x:c r="Q3944" s="30" t="n">
        <x:v>36458</x:v>
      </x:c>
      <x:c r="R3944" s="22" t="str">
        <x:f>"21029488"</x:f>
        <x:v>21029488</x:v>
      </x:c>
      <x:c r="S3944" s="23" t="str">
        <x:v>masculino</x:v>
      </x:c>
      <x:c r="T3944" s="22" t="str"/>
      <x:c r="U3944" s="23" t="str">
        <x:v>WITOR GOMES BICALHO</x:v>
      </x:c>
      <x:c r="V3944" s="22" t="str">
        <x:f>"146.199.766-60"</x:f>
        <x:v>146.199.766-60</x:v>
      </x:c>
      <x:c r="W3944" s="22" t="str">
        <x:f>"14619976660"</x:f>
        <x:v>14619976660</x:v>
      </x:c>
      <x:c r="X3944" s="23" t="str">
        <x:v>witorbicalho@hotmail.com</x:v>
      </x:c>
      <x:c r="Y3944" s="22" t="str">
        <x:f>"31-994510487"</x:f>
        <x:v>31-994510487</x:v>
      </x:c>
      <x:c r="Z3944" s="30" t="n">
        <x:v>46519</x:v>
      </x:c>
    </x:row>
    <x:row r="3945" ht="18" customHeight="1">
      <x:c r="A3945" s="22" t="str">
        <x:f>"020d5eff-d143-44bb-818a-f1c0d6f84197"</x:f>
        <x:v>020d5eff-d143-44bb-818a-f1c0d6f84197</x:v>
      </x:c>
      <x:c r="B3945" s="23" t="str">
        <x:v>YAGO LOUBACK VAREJAO</x:v>
      </x:c>
      <x:c r="C3945" s="23" t="str">
        <x:v>yago louback varejao</x:v>
      </x:c>
      <x:c r="D3945" s="22" t="str">
        <x:f>"63.657.125/0001-09"</x:f>
        <x:v>63.657.125/0001-09</x:v>
      </x:c>
      <x:c r="E3945" s="22" t="str">
        <x:f>"63657125000109"</x:f>
        <x:v>63657125000109</x:v>
      </x:c>
      <x:c r="F3945" s="22" t="str">
        <x:f>"018.632.426-00"</x:f>
        <x:v>018.632.426-00</x:v>
      </x:c>
      <x:c r="G3945" s="22" t="str">
        <x:f>"01863242600"</x:f>
        <x:v>01863242600</x:v>
      </x:c>
      <x:c r="H3945" s="23" t="str">
        <x:v>yagocp0@gmail.com</x:v>
      </x:c>
      <x:c r="I3945" s="22" t="str">
        <x:f>"31989295149"</x:f>
        <x:v>31989295149</x:v>
      </x:c>
      <x:c r="J3945" s="23" t="str">
        <x:v>RENTAL</x:v>
      </x:c>
      <x:c r="K3945" s="23" t="str">
        <x:v>rental_company</x:v>
      </x:c>
      <x:c r="L3945" s="24" t="b">
        <x:v>1</x:v>
      </x:c>
      <x:c r="M3945" s="23" t="n">
        <x:v>1</x:v>
      </x:c>
      <x:c r="N3945" s="28" t="n">
        <x:v>46219.812988715275</x:v>
      </x:c>
      <x:c r="O3945" s="28" t="n">
        <x:v>46219.812988715275</x:v>
      </x:c>
      <x:c r="P3945" s="23" t="str">
        <x:v>VESPASIANO</x:v>
      </x:c>
      <x:c r="Q3945" s="30" t="n">
        <x:v>35293</x:v>
      </x:c>
      <x:c r="R3945" s="22" t="str">
        <x:f>"19399111"</x:f>
        <x:v>19399111</x:v>
      </x:c>
      <x:c r="S3945" s="23" t="str">
        <x:v>masculino</x:v>
      </x:c>
      <x:c r="T3945" s="22" t="str"/>
      <x:c r="U3945" s="23" t="str">
        <x:v>YAGO LOUBACK VAREJAO</x:v>
      </x:c>
      <x:c r="V3945" s="22" t="str">
        <x:f>"018.632.426-00"</x:f>
        <x:v>018.632.426-00</x:v>
      </x:c>
      <x:c r="W3945" s="22" t="str">
        <x:f>"01863242600"</x:f>
        <x:v>01863242600</x:v>
      </x:c>
      <x:c r="X3945" s="23" t="str">
        <x:v>yagocp0@gmail.com</x:v>
      </x:c>
      <x:c r="Y3945" s="22" t="str">
        <x:f>"31989295149"</x:f>
        <x:v>31989295149</x:v>
      </x:c>
      <x:c r="Z3945" s="30" t="n">
        <x:v>46463</x:v>
      </x:c>
    </x:row>
    <x:row r="3946" ht="18" customHeight="1">
      <x:c r="A3946" s="22" t="str">
        <x:f>"2dd6a3db-8435-420e-9c62-d1e471849fd0"</x:f>
        <x:v>2dd6a3db-8435-420e-9c62-d1e471849fd0</x:v>
      </x:c>
      <x:c r="B3946" s="23" t="str">
        <x:v>YAGO LUCAS DELLA NOCCE CINTRA</x:v>
      </x:c>
      <x:c r="C3946" s="23" t="str">
        <x:v>yago lucas della nocce cintra</x:v>
      </x:c>
      <x:c r="D3946" s="22" t="str">
        <x:f>"67.233.519/0001-90"</x:f>
        <x:v>67.233.519/0001-90</x:v>
      </x:c>
      <x:c r="E3946" s="22" t="str">
        <x:f>"67233519000190"</x:f>
        <x:v>67233519000190</x:v>
      </x:c>
      <x:c r="F3946" s="22" t="str">
        <x:f>"154.399.946-88"</x:f>
        <x:v>154.399.946-88</x:v>
      </x:c>
      <x:c r="G3946" s="22" t="str">
        <x:f>"15439994688"</x:f>
        <x:v>15439994688</x:v>
      </x:c>
      <x:c r="H3946" s="23" t="str">
        <x:v>yagodcintra@gmail.com</x:v>
      </x:c>
      <x:c r="I3946" s="22" t="str">
        <x:f>"34998166583"</x:f>
        <x:v>34998166583</x:v>
      </x:c>
      <x:c r="J3946" s="23" t="str">
        <x:v>RENTAL</x:v>
      </x:c>
      <x:c r="K3946" s="23" t="str">
        <x:v>rental_company</x:v>
      </x:c>
      <x:c r="L3946" s="24" t="b">
        <x:v>1</x:v>
      </x:c>
      <x:c r="M3946" s="23" t="n">
        <x:v>1</x:v>
      </x:c>
      <x:c r="N3946" s="28" t="n">
        <x:v>46219.812988715275</x:v>
      </x:c>
      <x:c r="O3946" s="28" t="n">
        <x:v>46219.812988715275</x:v>
      </x:c>
      <x:c r="P3946" s="23" t="str">
        <x:v>UBERABA</x:v>
      </x:c>
      <x:c r="Q3946" s="30" t="n">
        <x:v>36566</x:v>
      </x:c>
      <x:c r="R3946" s="22" t="str">
        <x:f>"21668263"</x:f>
        <x:v>21668263</x:v>
      </x:c>
      <x:c r="S3946" s="23" t="str">
        <x:v>masculino</x:v>
      </x:c>
      <x:c r="T3946" s="22" t="str"/>
      <x:c r="U3946" s="23" t="str">
        <x:v>YAGO LUCAS DELLA NOCCE CINTRA</x:v>
      </x:c>
      <x:c r="V3946" s="22" t="str">
        <x:f>"154.399.946-88"</x:f>
        <x:v>154.399.946-88</x:v>
      </x:c>
      <x:c r="W3946" s="22" t="str">
        <x:f>"15439994688"</x:f>
        <x:v>15439994688</x:v>
      </x:c>
      <x:c r="X3946" s="23" t="str">
        <x:v>yagodcintra@gmail.com</x:v>
      </x:c>
      <x:c r="Y3946" s="22" t="str">
        <x:f>"34998166583"</x:f>
        <x:v>34998166583</x:v>
      </x:c>
      <x:c r="Z3946" s="30" t="n">
        <x:v>46549</x:v>
      </x:c>
    </x:row>
    <x:row r="3947" ht="18" customHeight="1">
      <x:c r="A3947" s="22" t="str">
        <x:f>"9ff96cb9-25b4-42c7-a0d9-32576692473c"</x:f>
        <x:v>9ff96cb9-25b4-42c7-a0d9-32576692473c</x:v>
      </x:c>
      <x:c r="B3947" s="23" t="str">
        <x:v>YAGO SANT’ANNA DE MORAES TEIXEIRA</x:v>
      </x:c>
      <x:c r="C3947" s="23" t="str">
        <x:v>yago sant anna de moraes teixeira</x:v>
      </x:c>
      <x:c r="D3947" s="22" t="str">
        <x:f>"66.961.092/0001-84"</x:f>
        <x:v>66.961.092/0001-84</x:v>
      </x:c>
      <x:c r="E3947" s="22" t="str">
        <x:f>"66961092000184"</x:f>
        <x:v>66961092000184</x:v>
      </x:c>
      <x:c r="F3947" s="22" t="str">
        <x:f>"131.129.087-75"</x:f>
        <x:v>131.129.087-75</x:v>
      </x:c>
      <x:c r="G3947" s="22" t="str">
        <x:f>"13112908775"</x:f>
        <x:v>13112908775</x:v>
      </x:c>
      <x:c r="H3947" s="23" t="str">
        <x:v>yagosantanna27@gmail.com</x:v>
      </x:c>
      <x:c r="I3947" s="22" t="str">
        <x:f>"2197441-1172"</x:f>
        <x:v>2197441-1172</x:v>
      </x:c>
      <x:c r="J3947" s="23" t="str">
        <x:v>SPOT</x:v>
      </x:c>
      <x:c r="K3947" s="23" t="str">
        <x:v>favored_only</x:v>
      </x:c>
      <x:c r="L3947" s="24" t="b">
        <x:v>1</x:v>
      </x:c>
      <x:c r="M3947" s="23" t="n">
        <x:v>1</x:v>
      </x:c>
      <x:c r="N3947" s="28" t="n">
        <x:v>46219.812988715275</x:v>
      </x:c>
      <x:c r="O3947" s="28" t="n">
        <x:v>46219.812988715275</x:v>
      </x:c>
      <x:c r="P3947" s="23" t="str">
        <x:v>QUEIMADOS</x:v>
      </x:c>
      <x:c r="Q3947" s="30" t="n">
        <x:v>34907</x:v>
      </x:c>
      <x:c r="R3947" s="22" t="str">
        <x:f>"27840021"</x:f>
        <x:v>27840021</x:v>
      </x:c>
      <x:c r="S3947" s="23" t="str">
        <x:v>masculino</x:v>
      </x:c>
      <x:c r="T3947" s="22" t="str">
        <x:f>"KXI4092"</x:f>
        <x:v>KXI4092</x:v>
      </x:c>
      <x:c r="U3947" s="23" t="str">
        <x:v>YAGO SANT ANNA DE MORAES TEIXEIRA</x:v>
      </x:c>
      <x:c r="V3947" s="22" t="str">
        <x:f>"131.129.087-75"</x:f>
        <x:v>131.129.087-75</x:v>
      </x:c>
      <x:c r="W3947" s="22" t="str">
        <x:f>"13112908775"</x:f>
        <x:v>13112908775</x:v>
      </x:c>
      <x:c r="X3947" s="23" t="str">
        <x:v>yagosantanna27@gmail.com</x:v>
      </x:c>
      <x:c r="Y3947" s="22" t="str">
        <x:f>"2197441-1172"</x:f>
        <x:v>2197441-1172</x:v>
      </x:c>
      <x:c r="Z3947" s="30" t="n">
        <x:v>46553</x:v>
      </x:c>
    </x:row>
    <x:row r="3948" ht="18" customHeight="1">
      <x:c r="A3948" s="22" t="str">
        <x:f>"c9fb423e-1f04-4c52-a993-2927d3c96c66"</x:f>
        <x:v>c9fb423e-1f04-4c52-a993-2927d3c96c66</x:v>
      </x:c>
      <x:c r="B3948" s="23" t="str">
        <x:v>YAGO SANT’ANNA DE MORAES TEIXEIRA</x:v>
      </x:c>
      <x:c r="C3948" s="23" t="str">
        <x:v>yago sant anna de moraes teixeira</x:v>
      </x:c>
      <x:c r="D3948" s="22" t="str">
        <x:f>"61.740.121/0001-64"</x:f>
        <x:v>61.740.121/0001-64</x:v>
      </x:c>
      <x:c r="E3948" s="22" t="str">
        <x:f>"61740121000164"</x:f>
        <x:v>61740121000164</x:v>
      </x:c>
      <x:c r="F3948" s="22" t="str">
        <x:f>"131.129.087-75"</x:f>
        <x:v>131.129.087-75</x:v>
      </x:c>
      <x:c r="G3948" s="22" t="str">
        <x:f>"13112908775"</x:f>
        <x:v>13112908775</x:v>
      </x:c>
      <x:c r="H3948" s="23" t="str">
        <x:v>yagosantanna27@gmail.com</x:v>
      </x:c>
      <x:c r="I3948" s="22" t="str">
        <x:f>"2197441-1172"</x:f>
        <x:v>2197441-1172</x:v>
      </x:c>
      <x:c r="J3948" s="23" t="str">
        <x:v>SPOT</x:v>
      </x:c>
      <x:c r="K3948" s="23" t="str">
        <x:v>favored_only</x:v>
      </x:c>
      <x:c r="L3948" s="24" t="b">
        <x:v>1</x:v>
      </x:c>
      <x:c r="M3948" s="23" t="n">
        <x:v>1</x:v>
      </x:c>
      <x:c r="N3948" s="28" t="n">
        <x:v>46219.812988715275</x:v>
      </x:c>
      <x:c r="O3948" s="28" t="n">
        <x:v>46219.812988715275</x:v>
      </x:c>
      <x:c r="P3948" s="23" t="str">
        <x:v>QUEIMADOS</x:v>
      </x:c>
      <x:c r="Q3948" s="30" t="n">
        <x:v>34907</x:v>
      </x:c>
      <x:c r="R3948" s="22" t="str">
        <x:f>"27840021"</x:f>
        <x:v>27840021</x:v>
      </x:c>
      <x:c r="S3948" s="23" t="str">
        <x:v>masculino</x:v>
      </x:c>
      <x:c r="T3948" s="22" t="str">
        <x:f>"KXI4092"</x:f>
        <x:v>KXI4092</x:v>
      </x:c>
      <x:c r="U3948" s="23" t="str">
        <x:v>SERGIO VINICIUS ALVES MENDES</x:v>
      </x:c>
      <x:c r="V3948" s="22" t="str">
        <x:f>"368.714.998-65"</x:f>
        <x:v>368.714.998-65</x:v>
      </x:c>
      <x:c r="W3948" s="22" t="str">
        <x:f>"36871499865"</x:f>
        <x:v>36871499865</x:v>
      </x:c>
      <x:c r="X3948" s="23" t="str">
        <x:v>yagosantanna27@gmail.com</x:v>
      </x:c>
      <x:c r="Y3948" s="22" t="str">
        <x:f>"2197441-1172"</x:f>
        <x:v>2197441-1172</x:v>
      </x:c>
      <x:c r="Z3948" s="30" t="n">
        <x:v>46452</x:v>
      </x:c>
    </x:row>
    <x:row r="3949" ht="18" customHeight="1">
      <x:c r="A3949" s="22" t="str">
        <x:f>"196630fc-230f-4695-94aa-cddb8b5a8177"</x:f>
        <x:v>196630fc-230f-4695-94aa-cddb8b5a8177</x:v>
      </x:c>
      <x:c r="B3949" s="23" t="str">
        <x:v>YAGO VINICIUS SILVA CARDOSO</x:v>
      </x:c>
      <x:c r="C3949" s="23" t="str">
        <x:v>yago vinicius silva cardoso</x:v>
      </x:c>
      <x:c r="D3949" s="22" t="str">
        <x:f>"37.150.370/0001-15"</x:f>
        <x:v>37.150.370/0001-15</x:v>
      </x:c>
      <x:c r="E3949" s="22" t="str">
        <x:f>"37150370000115"</x:f>
        <x:v>37150370000115</x:v>
      </x:c>
      <x:c r="F3949" s="22" t="str">
        <x:f>"046.653.461-27"</x:f>
        <x:v>046.653.461-27</x:v>
      </x:c>
      <x:c r="G3949" s="22" t="str">
        <x:f>"04665346127"</x:f>
        <x:v>04665346127</x:v>
      </x:c>
      <x:c r="H3949" s="23" t="str">
        <x:v>yagoviniciuscardoso@gmail.com</x:v>
      </x:c>
      <x:c r="I3949" s="22" t="str">
        <x:f>"65999056961"</x:f>
        <x:v>65999056961</x:v>
      </x:c>
      <x:c r="J3949" s="23" t="str">
        <x:v>SPOT</x:v>
      </x:c>
      <x:c r="K3949" s="23" t="str">
        <x:v>favored_only</x:v>
      </x:c>
      <x:c r="L3949" s="24" t="b">
        <x:v>1</x:v>
      </x:c>
      <x:c r="M3949" s="23" t="n">
        <x:v>1</x:v>
      </x:c>
      <x:c r="N3949" s="28" t="n">
        <x:v>46205.60721261574</x:v>
      </x:c>
      <x:c r="O3949" s="28" t="n">
        <x:v>46219.812988715275</x:v>
      </x:c>
      <x:c r="P3949" s="23" t="str">
        <x:v>CÁCERES</x:v>
      </x:c>
      <x:c r="Q3949" s="30" t="n">
        <x:v>33725</x:v>
      </x:c>
      <x:c r="R3949" s="22" t="str">
        <x:f>"4046022"</x:f>
        <x:v>4046022</x:v>
      </x:c>
      <x:c r="S3949" s="23" t="str">
        <x:v>masculino</x:v>
      </x:c>
      <x:c r="T3949" s="22" t="str">
        <x:f>"AXR7H38"</x:f>
        <x:v>AXR7H38</x:v>
      </x:c>
      <x:c r="U3949" s="23" t="str">
        <x:v>DIEGO MARTINS DA SILVA</x:v>
      </x:c>
      <x:c r="V3949" s="22" t="str">
        <x:f>"012.105.621-03"</x:f>
        <x:v>012.105.621-03</x:v>
      </x:c>
      <x:c r="W3949" s="22" t="str">
        <x:f>"01210562103"</x:f>
        <x:v>01210562103</x:v>
      </x:c>
      <x:c r="X3949" s="23" t="str">
        <x:v>coorddiegomartins@gmail.com</x:v>
      </x:c>
      <x:c r="Y3949" s="22" t="str">
        <x:f>"65999021326"</x:f>
        <x:v>65999021326</x:v>
      </x:c>
      <x:c r="Z3949" s="30" t="n">
        <x:v>46275</x:v>
      </x:c>
    </x:row>
    <x:row r="3950" ht="18" customHeight="1">
      <x:c r="A3950" s="22" t="str">
        <x:f>"34d5535d-1281-42d2-acec-eaffd5155936"</x:f>
        <x:v>34d5535d-1281-42d2-acec-eaffd5155936</x:v>
      </x:c>
      <x:c r="B3950" s="23" t="str">
        <x:v>YAN DE SOUZA SANTOS</x:v>
      </x:c>
      <x:c r="C3950" s="23" t="str">
        <x:v>yan de souza santos</x:v>
      </x:c>
      <x:c r="D3950" s="22" t="str">
        <x:f>"63.774.792/0001-71"</x:f>
        <x:v>63.774.792/0001-71</x:v>
      </x:c>
      <x:c r="E3950" s="22" t="str">
        <x:f>"63774792000171"</x:f>
        <x:v>63774792000171</x:v>
      </x:c>
      <x:c r="F3950" s="22" t="str">
        <x:f>"162.870.067-06"</x:f>
        <x:v>162.870.067-06</x:v>
      </x:c>
      <x:c r="G3950" s="22" t="str">
        <x:f>"16287006706"</x:f>
        <x:v>16287006706</x:v>
      </x:c>
      <x:c r="H3950" s="23" t="str">
        <x:v>yysouza94@yahoo.com.br</x:v>
      </x:c>
      <x:c r="I3950" s="22" t="str">
        <x:f>"21970219296"</x:f>
        <x:v>21970219296</x:v>
      </x:c>
      <x:c r="J3950" s="23" t="str">
        <x:v>SPOT</x:v>
      </x:c>
      <x:c r="K3950" s="23" t="str">
        <x:v>favored_only</x:v>
      </x:c>
      <x:c r="L3950" s="24" t="b">
        <x:v>1</x:v>
      </x:c>
      <x:c r="M3950" s="23" t="n">
        <x:v>3</x:v>
      </x:c>
      <x:c r="N3950" s="28" t="n">
        <x:v>46203.92189965278</x:v>
      </x:c>
      <x:c r="O3950" s="28" t="n">
        <x:v>46219.812988715275</x:v>
      </x:c>
      <x:c r="P3950" s="23" t="str">
        <x:v>CAMPO GRANDE</x:v>
      </x:c>
      <x:c r="Q3950" s="30" t="n">
        <x:v>34451</x:v>
      </x:c>
      <x:c r="R3950" s="22" t="str">
        <x:f>"272162934"</x:f>
        <x:v>272162934</x:v>
      </x:c>
      <x:c r="S3950" s="23" t="str">
        <x:v>masculino</x:v>
      </x:c>
      <x:c r="T3950" s="22" t="str">
        <x:f>"TXS7I45"</x:f>
        <x:v>TXS7I45</x:v>
      </x:c>
      <x:c r="U3950" s="23" t="str">
        <x:v>YAN DE SOUZA SANTOS</x:v>
      </x:c>
      <x:c r="V3950" s="22" t="str">
        <x:f>"162.870.067-06"</x:f>
        <x:v>162.870.067-06</x:v>
      </x:c>
      <x:c r="W3950" s="22" t="str">
        <x:f>"16287006706"</x:f>
        <x:v>16287006706</x:v>
      </x:c>
      <x:c r="X3950" s="23" t="str">
        <x:v>yysouza94@yahoo.com.br</x:v>
      </x:c>
      <x:c r="Y3950" s="22" t="str">
        <x:f>"21970219296"</x:f>
        <x:v>21970219296</x:v>
      </x:c>
      <x:c r="Z3950" s="30" t="n">
        <x:v>46416</x:v>
      </x:c>
    </x:row>
    <x:row r="3951" ht="18" customHeight="1">
      <x:c r="A3951" s="22" t="str">
        <x:f>"3802d512-52f0-4b96-b064-f4953eb9df99"</x:f>
        <x:v>3802d512-52f0-4b96-b064-f4953eb9df99</x:v>
      </x:c>
      <x:c r="B3951" s="23" t="str">
        <x:v>YCARO MARCIO AGOSTINHO DE CARVALHO</x:v>
      </x:c>
      <x:c r="C3951" s="23" t="str">
        <x:v>ycaro marcio agostinho de carvalho</x:v>
      </x:c>
      <x:c r="D3951" s="22" t="str">
        <x:f>"59.601.985/0001-53"</x:f>
        <x:v>59.601.985/0001-53</x:v>
      </x:c>
      <x:c r="E3951" s="22" t="str">
        <x:f>"59601985000153"</x:f>
        <x:v>59601985000153</x:v>
      </x:c>
      <x:c r="F3951" s="22" t="str">
        <x:f>"432.074.908-16"</x:f>
        <x:v>432.074.908-16</x:v>
      </x:c>
      <x:c r="G3951" s="22" t="str">
        <x:f>"43207490816"</x:f>
        <x:v>43207490816</x:v>
      </x:c>
      <x:c r="H3951" s="23" t="str">
        <x:v>ycarocv17@gmail.com</x:v>
      </x:c>
      <x:c r="I3951" s="22" t="str">
        <x:f>"17 99752-7864"</x:f>
        <x:v>17 99752-7864</x:v>
      </x:c>
      <x:c r="J3951" s="23" t="str">
        <x:v>RENTAL</x:v>
      </x:c>
      <x:c r="K3951" s="23" t="str">
        <x:v>rental_company</x:v>
      </x:c>
      <x:c r="L3951" s="24" t="b">
        <x:v>1</x:v>
      </x:c>
      <x:c r="M3951" s="23" t="n">
        <x:v>1</x:v>
      </x:c>
      <x:c r="N3951" s="28" t="n">
        <x:v>46203.92191240741</x:v>
      </x:c>
      <x:c r="O3951" s="28" t="n">
        <x:v>46219.812988715275</x:v>
      </x:c>
      <x:c r="P3951" s="23" t="str">
        <x:v>BARRETOS</x:v>
      </x:c>
      <x:c r="Q3951" s="30" t="n">
        <x:v>35806</x:v>
      </x:c>
      <x:c r="R3951" s="22" t="str">
        <x:f>"39.652.895-8"</x:f>
        <x:v>39.652.895-8</x:v>
      </x:c>
      <x:c r="S3951" s="23" t="str">
        <x:v>masculino</x:v>
      </x:c>
      <x:c r="T3951" s="22" t="str"/>
      <x:c r="U3951" s="23" t="str">
        <x:v>YCARO MARCIO AGOSTINHO DE CARVALHO</x:v>
      </x:c>
      <x:c r="V3951" s="22" t="str">
        <x:f>"432.074.908-16"</x:f>
        <x:v>432.074.908-16</x:v>
      </x:c>
      <x:c r="W3951" s="22" t="str">
        <x:f>"43207490816"</x:f>
        <x:v>43207490816</x:v>
      </x:c>
      <x:c r="X3951" s="23" t="str">
        <x:v>ycarocv17@gmail.com</x:v>
      </x:c>
      <x:c r="Y3951" s="22" t="str">
        <x:f>"17 99752-7864"</x:f>
        <x:v>17 99752-7864</x:v>
      </x:c>
      <x:c r="Z3951" s="30" t="n">
        <x:v>46523</x:v>
      </x:c>
    </x:row>
    <x:row r="3952" ht="18" customHeight="1">
      <x:c r="A3952" s="22" t="str">
        <x:f>"1121d8b8-f4f9-47db-9f0f-a002c901e68e"</x:f>
        <x:v>1121d8b8-f4f9-47db-9f0f-a002c901e68e</x:v>
      </x:c>
      <x:c r="B3952" s="23" t="str">
        <x:v>YGOR VINICIUS DELLA NOCCE CINTRA</x:v>
      </x:c>
      <x:c r="C3952" s="23" t="str">
        <x:v>ygor vinicius della nocce cintra</x:v>
      </x:c>
      <x:c r="D3952" s="22" t="str">
        <x:f>"59.860.641/0001-69"</x:f>
        <x:v>59.860.641/0001-69</x:v>
      </x:c>
      <x:c r="E3952" s="22" t="str">
        <x:f>"59860641000169"</x:f>
        <x:v>59860641000169</x:v>
      </x:c>
      <x:c r="F3952" s="22" t="str">
        <x:f>"116.280.886-13"</x:f>
        <x:v>116.280.886-13</x:v>
      </x:c>
      <x:c r="G3952" s="22" t="str">
        <x:f>"11628088613"</x:f>
        <x:v>11628088613</x:v>
      </x:c>
      <x:c r="H3952" s="23" t="str">
        <x:v>y_cintra@hotmail.com</x:v>
      </x:c>
      <x:c r="I3952" s="22" t="str">
        <x:f>"(34) 9 9136 1612"</x:f>
        <x:v>(34) 9 9136 1612</x:v>
      </x:c>
      <x:c r="J3952" s="23" t="str">
        <x:v>RENTAL</x:v>
      </x:c>
      <x:c r="K3952" s="23" t="str">
        <x:v>rental_company</x:v>
      </x:c>
      <x:c r="L3952" s="24" t="b">
        <x:v>1</x:v>
      </x:c>
      <x:c r="M3952" s="23" t="n">
        <x:v>1</x:v>
      </x:c>
      <x:c r="N3952" s="28" t="n">
        <x:v>46203.921824756944</x:v>
      </x:c>
      <x:c r="O3952" s="28" t="n">
        <x:v>46219.812988715275</x:v>
      </x:c>
      <x:c r="P3952" s="23" t="str">
        <x:v>UBERABA</x:v>
      </x:c>
      <x:c r="Q3952" s="30" t="n">
        <x:v>34309</x:v>
      </x:c>
      <x:c r="R3952" s="22" t="str">
        <x:f>"13630992"</x:f>
        <x:v>13630992</x:v>
      </x:c>
      <x:c r="S3952" s="23" t="str">
        <x:v>masculino</x:v>
      </x:c>
      <x:c r="T3952" s="22" t="str"/>
      <x:c r="U3952" s="23" t="str">
        <x:v>YGOR VINICIUS DELLA NOCCE CINTRA</x:v>
      </x:c>
      <x:c r="V3952" s="22" t="str">
        <x:f>"116.280.886-13"</x:f>
        <x:v>116.280.886-13</x:v>
      </x:c>
      <x:c r="W3952" s="22" t="str">
        <x:f>"11628088613"</x:f>
        <x:v>11628088613</x:v>
      </x:c>
      <x:c r="X3952" s="23" t="str">
        <x:v>y_cintra@hotmail.com</x:v>
      </x:c>
      <x:c r="Y3952" s="22" t="str">
        <x:f>"(34) 9 9136 1612"</x:f>
        <x:v>(34) 9 9136 1612</x:v>
      </x:c>
      <x:c r="Z3952" s="30" t="n">
        <x:v>46274</x:v>
      </x:c>
    </x:row>
    <x:row r="3953" ht="18" customHeight="1">
      <x:c r="A3953" s="22" t="str">
        <x:f>"95682919-5405-4dd1-b35a-56298f3ef16c"</x:f>
        <x:v>95682919-5405-4dd1-b35a-56298f3ef16c</x:v>
      </x:c>
      <x:c r="B3953" s="23" t="str">
        <x:v>YNGRID ALMEIDA NUNES</x:v>
      </x:c>
      <x:c r="C3953" s="23" t="str">
        <x:v>yngrid almeida nunes</x:v>
      </x:c>
      <x:c r="D3953" s="22" t="str">
        <x:f>"62.578.328/0001-47"</x:f>
        <x:v>62.578.328/0001-47</x:v>
      </x:c>
      <x:c r="E3953" s="22" t="str">
        <x:f>"62578328000147"</x:f>
        <x:v>62578328000147</x:v>
      </x:c>
      <x:c r="F3953" s="22" t="str">
        <x:f>"485.760.548-17"</x:f>
        <x:v>485.760.548-17</x:v>
      </x:c>
      <x:c r="G3953" s="22" t="str">
        <x:f>"48576054817"</x:f>
        <x:v>48576054817</x:v>
      </x:c>
      <x:c r="H3953" s="23" t="str">
        <x:v>YNGRID.ALM.NUNES@GMAIL.COM</x:v>
      </x:c>
      <x:c r="I3953" s="22" t="str">
        <x:f>"17997056898"</x:f>
        <x:v>17997056898</x:v>
      </x:c>
      <x:c r="J3953" s="23" t="str">
        <x:v>RENTAL</x:v>
      </x:c>
      <x:c r="K3953" s="23" t="str">
        <x:v>rental_company</x:v>
      </x:c>
      <x:c r="L3953" s="24" t="b">
        <x:v>1</x:v>
      </x:c>
      <x:c r="M3953" s="23" t="n">
        <x:v>1</x:v>
      </x:c>
      <x:c r="N3953" s="28" t="n">
        <x:v>46203.92186462963</x:v>
      </x:c>
      <x:c r="O3953" s="28" t="n">
        <x:v>46219.812988715275</x:v>
      </x:c>
      <x:c r="P3953" s="23" t="str">
        <x:v>JALES</x:v>
      </x:c>
      <x:c r="Q3953" s="30" t="n">
        <x:v>38233</x:v>
      </x:c>
      <x:c r="R3953" s="22" t="str">
        <x:f>"62210766"</x:f>
        <x:v>62210766</x:v>
      </x:c>
      <x:c r="S3953" s="23" t="str">
        <x:v>feminino</x:v>
      </x:c>
      <x:c r="T3953" s="22" t="str"/>
      <x:c r="U3953" s="23" t="str">
        <x:v>YNGRID ALMEIDA NUNES</x:v>
      </x:c>
      <x:c r="V3953" s="22" t="str">
        <x:f>"485.760.548-17"</x:f>
        <x:v>485.760.548-17</x:v>
      </x:c>
      <x:c r="W3953" s="22" t="str">
        <x:f>"48576054817"</x:f>
        <x:v>48576054817</x:v>
      </x:c>
      <x:c r="X3953" s="23" t="str">
        <x:v>YNGRID.ALM.NUNES@GMAIL.COM</x:v>
      </x:c>
      <x:c r="Y3953" s="22" t="str">
        <x:f>"17997056898"</x:f>
        <x:v>17997056898</x:v>
      </x:c>
      <x:c r="Z3953" s="30" t="n">
        <x:v>46273</x:v>
      </x:c>
    </x:row>
    <x:row r="3954" ht="18" customHeight="1">
      <x:c r="A3954" s="22" t="str">
        <x:f>"d293d05b-3adb-41ca-9f5a-65e1b1553ea6"</x:f>
        <x:v>d293d05b-3adb-41ca-9f5a-65e1b1553ea6</x:v>
      </x:c>
      <x:c r="B3954" s="23" t="str">
        <x:v>YORRAN MATHEUS RAMOS MOTA</x:v>
      </x:c>
      <x:c r="C3954" s="23" t="str">
        <x:v>yorran matheus ramos mota</x:v>
      </x:c>
      <x:c r="D3954" s="22" t="str">
        <x:f>"51.347.834/0001-09"</x:f>
        <x:v>51.347.834/0001-09</x:v>
      </x:c>
      <x:c r="E3954" s="22" t="str">
        <x:f>"51347834000109"</x:f>
        <x:v>51347834000109</x:v>
      </x:c>
      <x:c r="F3954" s="22" t="str">
        <x:f>"117.708.936-01"</x:f>
        <x:v>117.708.936-01</x:v>
      </x:c>
      <x:c r="G3954" s="22" t="str">
        <x:f>"11770893601"</x:f>
        <x:v>11770893601</x:v>
      </x:c>
      <x:c r="H3954" s="23" t="str">
        <x:v>yorranlogisc@gmail.com</x:v>
      </x:c>
      <x:c r="I3954" s="22" t="str">
        <x:f>"(34) 99819-2883"</x:f>
        <x:v>(34) 99819-2883</x:v>
      </x:c>
      <x:c r="J3954" s="23" t="str">
        <x:v>RENTAL</x:v>
      </x:c>
      <x:c r="K3954" s="23" t="str">
        <x:v>rental_company</x:v>
      </x:c>
      <x:c r="L3954" s="24" t="b">
        <x:v>1</x:v>
      </x:c>
      <x:c r="M3954" s="23" t="n">
        <x:v>1</x:v>
      </x:c>
      <x:c r="N3954" s="28" t="n">
        <x:v>46219.79396105324</x:v>
      </x:c>
      <x:c r="O3954" s="28" t="n">
        <x:v>46219.812988715275</x:v>
      </x:c>
      <x:c r="P3954" s="23" t="str">
        <x:v>UBERABA</x:v>
      </x:c>
      <x:c r="Q3954" s="30" t="n">
        <x:v>36545</x:v>
      </x:c>
      <x:c r="R3954" s="22" t="str">
        <x:f>"21243283"</x:f>
        <x:v>21243283</x:v>
      </x:c>
      <x:c r="S3954" s="23" t="str">
        <x:v>masculino</x:v>
      </x:c>
      <x:c r="T3954" s="22" t="str"/>
      <x:c r="U3954" s="23" t="str">
        <x:v>YORRAN MATHEUS RAMOS MOTA</x:v>
      </x:c>
      <x:c r="V3954" s="22" t="str">
        <x:f>"117.708.936-01"</x:f>
        <x:v>117.708.936-01</x:v>
      </x:c>
      <x:c r="W3954" s="22" t="str">
        <x:f>"11770893601"</x:f>
        <x:v>11770893601</x:v>
      </x:c>
      <x:c r="X3954" s="23" t="str">
        <x:v>yorranlogisc@gmail.com</x:v>
      </x:c>
      <x:c r="Y3954" s="22" t="str">
        <x:f>"(34) 99819-2883"</x:f>
        <x:v>(34) 99819-2883</x:v>
      </x:c>
      <x:c r="Z3954" s="30" t="n">
        <x:v>46433</x:v>
      </x:c>
    </x:row>
    <x:row r="3955" ht="18" customHeight="1">
      <x:c r="A3955" s="22" t="str">
        <x:f>"d9692333-0312-4d59-98a7-fa1be6e42a94"</x:f>
        <x:v>d9692333-0312-4d59-98a7-fa1be6e42a94</x:v>
      </x:c>
      <x:c r="B3955" s="23" t="str">
        <x:v>YSACK ELIAS MARQUES DE MELO</x:v>
      </x:c>
      <x:c r="C3955" s="23" t="str">
        <x:v>ysack elias marques de melo</x:v>
      </x:c>
      <x:c r="D3955" s="22" t="str">
        <x:f>"63.447.856/0001-20"</x:f>
        <x:v>63.447.856/0001-20</x:v>
      </x:c>
      <x:c r="E3955" s="22" t="str">
        <x:f>"63447856000120"</x:f>
        <x:v>63447856000120</x:v>
      </x:c>
      <x:c r="F3955" s="22" t="str">
        <x:f>"707.202.041-19"</x:f>
        <x:v>707.202.041-19</x:v>
      </x:c>
      <x:c r="G3955" s="22" t="str">
        <x:f>"70720204119"</x:f>
        <x:v>70720204119</x:v>
      </x:c>
      <x:c r="H3955" s="23" t="str">
        <x:v>financeiro4662@gmail.com</x:v>
      </x:c>
      <x:c r="I3955" s="22" t="str">
        <x:f>"62 9 9264-9356"</x:f>
        <x:v>62 9 9264-9356</x:v>
      </x:c>
      <x:c r="J3955" s="23" t="str">
        <x:v>SPOT</x:v>
      </x:c>
      <x:c r="K3955" s="23" t="str">
        <x:v>favored_only</x:v>
      </x:c>
      <x:c r="L3955" s="24" t="b">
        <x:v>1</x:v>
      </x:c>
      <x:c r="M3955" s="23" t="n">
        <x:v>1</x:v>
      </x:c>
      <x:c r="N3955" s="28" t="n">
        <x:v>46205.605835925926</x:v>
      </x:c>
      <x:c r="O3955" s="28" t="n">
        <x:v>46219.812988715275</x:v>
      </x:c>
      <x:c r="P3955" s="23" t="str">
        <x:v>GOIANIA</x:v>
      </x:c>
      <x:c r="Q3955" s="30" t="n">
        <x:v>36862</x:v>
      </x:c>
      <x:c r="R3955" s="22" t="str">
        <x:f>"6756139"</x:f>
        <x:v>6756139</x:v>
      </x:c>
      <x:c r="S3955" s="23" t="str">
        <x:v>masculino</x:v>
      </x:c>
      <x:c r="T3955" s="22" t="str">
        <x:f>"PBU4F95"</x:f>
        <x:v>PBU4F95</x:v>
      </x:c>
      <x:c r="U3955" s="23" t="str">
        <x:v>YSACK ELIAS MARQUES DE MELO</x:v>
      </x:c>
      <x:c r="V3955" s="22" t="str">
        <x:f>"707.202.041-19"</x:f>
        <x:v>707.202.041-19</x:v>
      </x:c>
      <x:c r="W3955" s="22" t="str">
        <x:f>"70720204119"</x:f>
        <x:v>70720204119</x:v>
      </x:c>
      <x:c r="X3955" s="23" t="str">
        <x:v>financeiro4662@gmail.com</x:v>
      </x:c>
      <x:c r="Y3955" s="22" t="str">
        <x:f>"62 9 9264-9356"</x:f>
        <x:v>62 9 9264-9356</x:v>
      </x:c>
      <x:c r="Z3955" s="30" t="n">
        <x:v>46336</x:v>
      </x:c>
    </x:row>
    <x:row r="3956" ht="18" customHeight="1">
      <x:c r="A3956" s="22" t="str">
        <x:f>"6b28caa8-3f6c-4b9f-9d94-15f319d3080b"</x:f>
        <x:v>6b28caa8-3f6c-4b9f-9d94-15f319d3080b</x:v>
      </x:c>
      <x:c r="B3956" s="23" t="str">
        <x:v>YURI LUIZ BERNARDES SOUZA</x:v>
      </x:c>
      <x:c r="C3956" s="23" t="str">
        <x:v>yuri luiz bernardes souza</x:v>
      </x:c>
      <x:c r="D3956" s="22" t="str">
        <x:f>"64.827.448/0001-66"</x:f>
        <x:v>64.827.448/0001-66</x:v>
      </x:c>
      <x:c r="E3956" s="22" t="str">
        <x:f>"64827448000166"</x:f>
        <x:v>64827448000166</x:v>
      </x:c>
      <x:c r="F3956" s="22" t="str">
        <x:f>"118.816.036-28"</x:f>
        <x:v>118.816.036-28</x:v>
      </x:c>
      <x:c r="G3956" s="22" t="str">
        <x:f>"11881603628"</x:f>
        <x:v>11881603628</x:v>
      </x:c>
      <x:c r="H3956" s="23" t="str">
        <x:v>ybernades@yahoo.com</x:v>
      </x:c>
      <x:c r="I3956" s="22" t="str">
        <x:f>"35999450688"</x:f>
        <x:v>35999450688</x:v>
      </x:c>
      <x:c r="J3956" s="23" t="str">
        <x:v>RENTAL</x:v>
      </x:c>
      <x:c r="K3956" s="23" t="str">
        <x:v>rental_company</x:v>
      </x:c>
      <x:c r="L3956" s="24" t="b">
        <x:v>1</x:v>
      </x:c>
      <x:c r="M3956" s="23" t="n">
        <x:v>1</x:v>
      </x:c>
      <x:c r="N3956" s="28" t="n">
        <x:v>46219.812988715275</x:v>
      </x:c>
      <x:c r="O3956" s="28" t="n">
        <x:v>46219.812988715275</x:v>
      </x:c>
      <x:c r="P3956" s="23" t="str">
        <x:v>POUSO ALEGRE</x:v>
      </x:c>
      <x:c r="Q3956" s="30" t="n">
        <x:v>33968</x:v>
      </x:c>
      <x:c r="R3956" s="22" t="str">
        <x:f>"17681033"</x:f>
        <x:v>17681033</x:v>
      </x:c>
      <x:c r="S3956" s="23" t="str">
        <x:v>masculino</x:v>
      </x:c>
      <x:c r="T3956" s="22" t="str"/>
      <x:c r="U3956" s="23" t="str">
        <x:v>YURI LUIZ BERNARDES SOUZA</x:v>
      </x:c>
      <x:c r="V3956" s="22" t="str">
        <x:f>"118.816.036-28"</x:f>
        <x:v>118.816.036-28</x:v>
      </x:c>
      <x:c r="W3956" s="22" t="str">
        <x:f>"11881603628"</x:f>
        <x:v>11881603628</x:v>
      </x:c>
      <x:c r="X3956" s="23" t="str">
        <x:v>ybernades@yahoo.com</x:v>
      </x:c>
      <x:c r="Y3956" s="22" t="str">
        <x:f>"35999450688"</x:f>
        <x:v>35999450688</x:v>
      </x:c>
      <x:c r="Z3956" s="30" t="n">
        <x:v>46539</x:v>
      </x:c>
    </x:row>
    <x:row r="3957" ht="18" customHeight="1">
      <x:c r="A3957" s="22" t="str">
        <x:f>"87425af5-f874-406d-afb8-91db117a7bbb"</x:f>
        <x:v>87425af5-f874-406d-afb8-91db117a7bbb</x:v>
      </x:c>
      <x:c r="B3957" s="23" t="str">
        <x:v>YURI NICKSON LIMA DE MATTOS</x:v>
      </x:c>
      <x:c r="C3957" s="23" t="str">
        <x:v>yuri nickson lima de mattos</x:v>
      </x:c>
      <x:c r="D3957" s="22" t="str">
        <x:f>"56.306.704/0001-41"</x:f>
        <x:v>56.306.704/0001-41</x:v>
      </x:c>
      <x:c r="E3957" s="22" t="str">
        <x:f>"56306704000141"</x:f>
        <x:v>56306704000141</x:v>
      </x:c>
      <x:c r="F3957" s="22" t="str">
        <x:f>"161.444.797-75"</x:f>
        <x:v>161.444.797-75</x:v>
      </x:c>
      <x:c r="G3957" s="22" t="str">
        <x:f>"16144479775"</x:f>
        <x:v>16144479775</x:v>
      </x:c>
      <x:c r="H3957" s="23" t="str">
        <x:v>YURITHEEND@GMAIL.COM</x:v>
      </x:c>
      <x:c r="I3957" s="22" t="str">
        <x:f>"21 966243627"</x:f>
        <x:v>21 966243627</x:v>
      </x:c>
      <x:c r="J3957" s="23" t="str">
        <x:v>SPOT</x:v>
      </x:c>
      <x:c r="K3957" s="23" t="str">
        <x:v>favored_only</x:v>
      </x:c>
      <x:c r="L3957" s="24" t="b">
        <x:v>1</x:v>
      </x:c>
      <x:c r="M3957" s="23" t="n">
        <x:v>1</x:v>
      </x:c>
      <x:c r="N3957" s="28" t="n">
        <x:v>46219.812988715275</x:v>
      </x:c>
      <x:c r="O3957" s="28" t="n">
        <x:v>46219.812988715275</x:v>
      </x:c>
      <x:c r="P3957" s="23" t="str">
        <x:v>QUEIMADOS</x:v>
      </x:c>
      <x:c r="Q3957" s="30" t="n">
        <x:v>35499</x:v>
      </x:c>
      <x:c r="R3957" s="22" t="str">
        <x:f>"211204664"</x:f>
        <x:v>211204664</x:v>
      </x:c>
      <x:c r="S3957" s="23" t="str">
        <x:v>masculino</x:v>
      </x:c>
      <x:c r="T3957" s="22" t="str">
        <x:f>"PWW7232"</x:f>
        <x:v>PWW7232</x:v>
      </x:c>
      <x:c r="U3957" s="23" t="str">
        <x:v>YURI NICKSON LIMA DE MATTOS</x:v>
      </x:c>
      <x:c r="V3957" s="22" t="str">
        <x:f>"161.444.797-75"</x:f>
        <x:v>161.444.797-75</x:v>
      </x:c>
      <x:c r="W3957" s="22" t="str">
        <x:f>"16144479775"</x:f>
        <x:v>16144479775</x:v>
      </x:c>
      <x:c r="X3957" s="23" t="str">
        <x:v>YURITHEEND@GMAIL.COM</x:v>
      </x:c>
      <x:c r="Y3957" s="22" t="str">
        <x:f>"21 966243627"</x:f>
        <x:v>21 966243627</x:v>
      </x:c>
      <x:c r="Z3957" s="30" t="n">
        <x:v>46430</x:v>
      </x:c>
    </x:row>
    <x:row r="3958" ht="18" customHeight="1">
      <x:c r="A3958" s="22" t="str">
        <x:f>"601c5662-6f65-4b09-b1d1-abe5d2725e23"</x:f>
        <x:v>601c5662-6f65-4b09-b1d1-abe5d2725e23</x:v>
      </x:c>
      <x:c r="B3958" s="23" t="str">
        <x:v>YURI RIBEIRO DA SILVA</x:v>
      </x:c>
      <x:c r="C3958" s="23" t="str">
        <x:v>yuri ribeiro da silva</x:v>
      </x:c>
      <x:c r="D3958" s="22" t="str">
        <x:f>"28.945.662/0001-53"</x:f>
        <x:v>28.945.662/0001-53</x:v>
      </x:c>
      <x:c r="E3958" s="22" t="str">
        <x:f>"28945662000153"</x:f>
        <x:v>28945662000153</x:v>
      </x:c>
      <x:c r="F3958" s="22" t="str">
        <x:f>"149.874.877-56"</x:f>
        <x:v>149.874.877-56</x:v>
      </x:c>
      <x:c r="G3958" s="22" t="str">
        <x:f>"14987487756"</x:f>
        <x:v>14987487756</x:v>
      </x:c>
      <x:c r="H3958" s="23" t="str">
        <x:v>Yuribeiro.dev@gmail.com</x:v>
      </x:c>
      <x:c r="I3958" s="22" t="str">
        <x:f>"18997371102"</x:f>
        <x:v>18997371102</x:v>
      </x:c>
      <x:c r="J3958" s="23" t="str">
        <x:v>RENTAL</x:v>
      </x:c>
      <x:c r="K3958" s="23" t="str">
        <x:v>rental_company</x:v>
      </x:c>
      <x:c r="L3958" s="24" t="b">
        <x:v>1</x:v>
      </x:c>
      <x:c r="M3958" s="23" t="n">
        <x:v>1</x:v>
      </x:c>
      <x:c r="N3958" s="28" t="n">
        <x:v>46203.92186888889</x:v>
      </x:c>
      <x:c r="O3958" s="28" t="n">
        <x:v>46219.812988715275</x:v>
      </x:c>
      <x:c r="P3958" s="23" t="str">
        <x:v>PRESIDENTE PRUDENTE</x:v>
      </x:c>
      <x:c r="Q3958" s="30" t="n">
        <x:v>34011</x:v>
      </x:c>
      <x:c r="R3958" s="22" t="str">
        <x:f>"284786837"</x:f>
        <x:v>284786837</x:v>
      </x:c>
      <x:c r="S3958" s="23" t="str">
        <x:v>masculino</x:v>
      </x:c>
      <x:c r="T3958" s="22" t="str"/>
      <x:c r="U3958" s="23" t="str">
        <x:v>YURI RIBEIRO DA SILVA</x:v>
      </x:c>
      <x:c r="V3958" s="22" t="str">
        <x:f>"149.874.877-56"</x:f>
        <x:v>149.874.877-56</x:v>
      </x:c>
      <x:c r="W3958" s="22" t="str">
        <x:f>"14987487756"</x:f>
        <x:v>14987487756</x:v>
      </x:c>
      <x:c r="X3958" s="23" t="str">
        <x:v>Yuribeiro.dev@gmail.com</x:v>
      </x:c>
      <x:c r="Y3958" s="22" t="str">
        <x:f>"18997371102"</x:f>
        <x:v>18997371102</x:v>
      </x:c>
      <x:c r="Z3958" s="30" t="n">
        <x:v>46290</x:v>
      </x:c>
    </x:row>
    <x:row r="3959" ht="18" customHeight="1">
      <x:c r="A3959" s="22" t="str">
        <x:f>"b3e8ba9c-3a64-40e8-9699-9be7e5e8714d"</x:f>
        <x:v>b3e8ba9c-3a64-40e8-9699-9be7e5e8714d</x:v>
      </x:c>
      <x:c r="B3959" s="23" t="str">
        <x:v>YURI RODRIGUES CARVALHO</x:v>
      </x:c>
      <x:c r="C3959" s="23" t="str">
        <x:v>yuri rodrigues carvalho</x:v>
      </x:c>
      <x:c r="D3959" s="22" t="str">
        <x:f>"60.107.499/0001-62"</x:f>
        <x:v>60.107.499/0001-62</x:v>
      </x:c>
      <x:c r="E3959" s="22" t="str">
        <x:f>"60107499000162"</x:f>
        <x:v>60107499000162</x:v>
      </x:c>
      <x:c r="F3959" s="22" t="str">
        <x:f>"140.195.797-84"</x:f>
        <x:v>140.195.797-84</x:v>
      </x:c>
      <x:c r="G3959" s="22" t="str">
        <x:f>"14019579784"</x:f>
        <x:v>14019579784</x:v>
      </x:c>
      <x:c r="H3959" s="23" t="str">
        <x:v>yoristreet.yc@gmail.com</x:v>
      </x:c>
      <x:c r="I3959" s="22" t="str">
        <x:f>"22 999868069"</x:f>
        <x:v>22 999868069</x:v>
      </x:c>
      <x:c r="J3959" s="23" t="str">
        <x:v>SPOT</x:v>
      </x:c>
      <x:c r="K3959" s="23" t="str">
        <x:v>favored_only</x:v>
      </x:c>
      <x:c r="L3959" s="24" t="b">
        <x:v>1</x:v>
      </x:c>
      <x:c r="M3959" s="23" t="n">
        <x:v>1</x:v>
      </x:c>
      <x:c r="N3959" s="28" t="n">
        <x:v>46203.92188238426</x:v>
      </x:c>
      <x:c r="O3959" s="28" t="n">
        <x:v>46219.812988715275</x:v>
      </x:c>
      <x:c r="P3959" s="23" t="str">
        <x:v>CAMPOS DOS GOYTACAZES</x:v>
      </x:c>
      <x:c r="Q3959" s="30" t="n">
        <x:v>33266</x:v>
      </x:c>
      <x:c r="R3959" s="22" t="str">
        <x:f>"264896648"</x:f>
        <x:v>264896648</x:v>
      </x:c>
      <x:c r="S3959" s="23" t="str">
        <x:v>masculino</x:v>
      </x:c>
      <x:c r="T3959" s="22" t="str">
        <x:f>"FKW0G75"</x:f>
        <x:v>FKW0G75</x:v>
      </x:c>
      <x:c r="U3959" s="23" t="str">
        <x:v>YURI RODRIGUES CARVALHO</x:v>
      </x:c>
      <x:c r="V3959" s="22" t="str">
        <x:f>"140.195.797-84"</x:f>
        <x:v>140.195.797-84</x:v>
      </x:c>
      <x:c r="W3959" s="22" t="str">
        <x:f>"14019579784"</x:f>
        <x:v>14019579784</x:v>
      </x:c>
      <x:c r="X3959" s="23" t="str">
        <x:v>yoristreet.yc@gmail.com</x:v>
      </x:c>
      <x:c r="Y3959" s="22" t="str">
        <x:f>"22 999868069"</x:f>
        <x:v>22 999868069</x:v>
      </x:c>
      <x:c r="Z3959" s="30" t="n">
        <x:v>46322</x:v>
      </x:c>
    </x:row>
    <x:row r="3960" ht="18" customHeight="1">
      <x:c r="A3960" s="22" t="str">
        <x:f>"407371e6-0b2f-4e4a-a6a9-4946e2107c06"</x:f>
        <x:v>407371e6-0b2f-4e4a-a6a9-4946e2107c06</x:v>
      </x:c>
      <x:c r="B3960" s="23" t="str">
        <x:v>YURI SANTOS DOS ANJOS</x:v>
      </x:c>
      <x:c r="C3960" s="23" t="str">
        <x:v>yuri santos dos anjos</x:v>
      </x:c>
      <x:c r="D3960" s="22" t="str">
        <x:f>"60.878.359/0001-98"</x:f>
        <x:v>60.878.359/0001-98</x:v>
      </x:c>
      <x:c r="E3960" s="22" t="str">
        <x:f>"60878359000198"</x:f>
        <x:v>60878359000198</x:v>
      </x:c>
      <x:c r="F3960" s="22" t="str">
        <x:f>"503.520.638-66"</x:f>
        <x:v>503.520.638-66</x:v>
      </x:c>
      <x:c r="G3960" s="22" t="str">
        <x:f>"50352063866"</x:f>
        <x:v>50352063866</x:v>
      </x:c>
      <x:c r="H3960" s="23" t="str">
        <x:v>anjosy414@gmail.com</x:v>
      </x:c>
      <x:c r="I3960" s="22" t="str">
        <x:f>"11982611669"</x:f>
        <x:v>11982611669</x:v>
      </x:c>
      <x:c r="J3960" s="23" t="str">
        <x:v>RENTAL</x:v>
      </x:c>
      <x:c r="K3960" s="23" t="str">
        <x:v>rental_company</x:v>
      </x:c>
      <x:c r="L3960" s="24" t="b">
        <x:v>1</x:v>
      </x:c>
      <x:c r="M3960" s="23" t="n">
        <x:v>2</x:v>
      </x:c>
      <x:c r="N3960" s="28" t="n">
        <x:v>46219.812988715275</x:v>
      </x:c>
      <x:c r="O3960" s="28" t="n">
        <x:v>46219.812988715275</x:v>
      </x:c>
      <x:c r="P3960" s="23" t="str">
        <x:v>BARUERI</x:v>
      </x:c>
      <x:c r="Q3960" s="30" t="n">
        <x:v>36497</x:v>
      </x:c>
      <x:c r="R3960" s="22" t="str">
        <x:f>"575405636"</x:f>
        <x:v>575405636</x:v>
      </x:c>
      <x:c r="S3960" s="23" t="str">
        <x:v>masculino</x:v>
      </x:c>
      <x:c r="T3960" s="22" t="str"/>
      <x:c r="U3960" s="23" t="str">
        <x:v>YURI SANTOS DOS ANJOS</x:v>
      </x:c>
      <x:c r="V3960" s="22" t="str">
        <x:f>"503.520.638-66"</x:f>
        <x:v>503.520.638-66</x:v>
      </x:c>
      <x:c r="W3960" s="22" t="str">
        <x:f>"50352063866"</x:f>
        <x:v>50352063866</x:v>
      </x:c>
      <x:c r="X3960" s="23" t="str">
        <x:v>anjosy414@gmail.com</x:v>
      </x:c>
      <x:c r="Y3960" s="22" t="str">
        <x:f>"11982611669"</x:f>
        <x:v>11982611669</x:v>
      </x:c>
      <x:c r="Z3960" s="30" t="n">
        <x:v>46465</x:v>
      </x:c>
    </x:row>
    <x:row r="3961" ht="18" customHeight="1">
      <x:c r="A3961" s="22" t="str">
        <x:f>"70b7371d-8541-4b67-9546-6a95f3334257"</x:f>
        <x:v>70b7371d-8541-4b67-9546-6a95f3334257</x:v>
      </x:c>
      <x:c r="B3961" s="23" t="str">
        <x:v>YWDSON RIBEIRO CHAVES</x:v>
      </x:c>
      <x:c r="C3961" s="23" t="str">
        <x:v>ywdson ribeiro chaves</x:v>
      </x:c>
      <x:c r="D3961" s="22" t="str">
        <x:f>"62.501.430/0001-44"</x:f>
        <x:v>62.501.430/0001-44</x:v>
      </x:c>
      <x:c r="E3961" s="22" t="str">
        <x:f>"62501430000144"</x:f>
        <x:v>62501430000144</x:v>
      </x:c>
      <x:c r="F3961" s="22" t="str">
        <x:f>"132.078.546-80"</x:f>
        <x:v>132.078.546-80</x:v>
      </x:c>
      <x:c r="G3961" s="22" t="str">
        <x:f>"13207854680"</x:f>
        <x:v>13207854680</x:v>
      </x:c>
      <x:c r="H3961" s="23" t="str">
        <x:v>ywdson014c@gmail.com</x:v>
      </x:c>
      <x:c r="I3961" s="22" t="str">
        <x:f>"33 9154-2670"</x:f>
        <x:v>33 9154-2670</x:v>
      </x:c>
      <x:c r="J3961" s="23" t="str">
        <x:v>SPOT</x:v>
      </x:c>
      <x:c r="K3961" s="23" t="str">
        <x:v>favored_only</x:v>
      </x:c>
      <x:c r="L3961" s="24" t="b">
        <x:v>1</x:v>
      </x:c>
      <x:c r="M3961" s="23" t="n">
        <x:v>1</x:v>
      </x:c>
      <x:c r="N3961" s="28" t="n">
        <x:v>46219.812988715275</x:v>
      </x:c>
      <x:c r="O3961" s="28" t="n">
        <x:v>46219.812988715275</x:v>
      </x:c>
      <x:c r="P3961" s="23" t="str">
        <x:v>TEOFILO OTONI</x:v>
      </x:c>
      <x:c r="Q3961" s="30" t="n">
        <x:v>38213</x:v>
      </x:c>
      <x:c r="R3961" s="22" t="str">
        <x:f>"19398569"</x:f>
        <x:v>19398569</x:v>
      </x:c>
      <x:c r="S3961" s="23" t="str">
        <x:v>masculino</x:v>
      </x:c>
      <x:c r="T3961" s="22" t="str">
        <x:f>"PWP2E19"</x:f>
        <x:v>PWP2E19</x:v>
      </x:c>
      <x:c r="U3961" s="23" t="str">
        <x:v>YWDSON RIBEIRO CHAVES</x:v>
      </x:c>
      <x:c r="V3961" s="22" t="str">
        <x:f>"132.078.546-80"</x:f>
        <x:v>132.078.546-80</x:v>
      </x:c>
      <x:c r="W3961" s="22" t="str">
        <x:f>"13207854680"</x:f>
        <x:v>13207854680</x:v>
      </x:c>
      <x:c r="X3961" s="23" t="str">
        <x:v>ywdson014c@gmail.com</x:v>
      </x:c>
      <x:c r="Y3961" s="22" t="str">
        <x:f>"33 9154-2670"</x:f>
        <x:v>33 9154-2670</x:v>
      </x:c>
      <x:c r="Z3961" s="30" t="n">
        <x:v>46453</x:v>
      </x:c>
    </x:row>
    <x:row r="3962" ht="18" customHeight="1">
      <x:c r="A3962" s="22" t="str">
        <x:f>"da5e0072-0ae7-4d80-9ef3-e73689cd871e"</x:f>
        <x:v>da5e0072-0ae7-4d80-9ef3-e73689cd871e</x:v>
      </x:c>
      <x:c r="B3962" s="23" t="str">
        <x:v>ZENILDA NUNES DOS SANTOS</x:v>
      </x:c>
      <x:c r="C3962" s="23" t="str">
        <x:v>zenilda nunes dos santos</x:v>
      </x:c>
      <x:c r="D3962" s="22" t="str">
        <x:f>"25.245.350/0001-49"</x:f>
        <x:v>25.245.350/0001-49</x:v>
      </x:c>
      <x:c r="E3962" s="22" t="str">
        <x:f>"25245350000149"</x:f>
        <x:v>25245350000149</x:v>
      </x:c>
      <x:c r="F3962" s="22" t="str">
        <x:f>"49131974104"</x:f>
        <x:v>49131974104</x:v>
      </x:c>
      <x:c r="G3962" s="22" t="str">
        <x:f>"49131974104"</x:f>
        <x:v>49131974104</x:v>
      </x:c>
      <x:c r="H3962" s="23" t="str">
        <x:v>Zenildanunesdossantos@gmail.com</x:v>
      </x:c>
      <x:c r="I3962" s="22" t="str">
        <x:f>"6498156-8805"</x:f>
        <x:v>6498156-8805</x:v>
      </x:c>
      <x:c r="J3962" s="23" t="str">
        <x:v>SPOT</x:v>
      </x:c>
      <x:c r="K3962" s="23" t="str">
        <x:v>favored_only</x:v>
      </x:c>
      <x:c r="L3962" s="24" t="b">
        <x:v>1</x:v>
      </x:c>
      <x:c r="M3962" s="23" t="n">
        <x:v>1</x:v>
      </x:c>
      <x:c r="N3962" s="28" t="n">
        <x:v>46203.9218771875</x:v>
      </x:c>
      <x:c r="O3962" s="28" t="n">
        <x:v>46203.9218771875</x:v>
      </x:c>
      <x:c r="P3962" s="23" t="str"/>
      <x:c r="Q3962" s="30" t="str"/>
      <x:c r="R3962" s="22" t="str"/>
      <x:c r="S3962" s="23" t="str"/>
      <x:c r="T3962" s="22" t="str"/>
      <x:c r="U3962" s="23" t="str">
        <x:v>ZENILDA NUNES DOS SANTOS</x:v>
      </x:c>
      <x:c r="V3962" s="22" t="str">
        <x:f>"49131974104"</x:f>
        <x:v>49131974104</x:v>
      </x:c>
      <x:c r="W3962" s="22" t="str">
        <x:f>"49131974104"</x:f>
        <x:v>49131974104</x:v>
      </x:c>
      <x:c r="X3962" s="23" t="str">
        <x:v>Zenildanunesdossantos@gmail.com</x:v>
      </x:c>
      <x:c r="Y3962" s="22" t="str">
        <x:f>"6498156-8805"</x:f>
        <x:v>6498156-8805</x:v>
      </x:c>
      <x:c r="Z3962" s="30" t="str"/>
    </x:row>
    <x:row r="3963" ht="18" customHeight="1">
      <x:c r="A3963" s="25" t="str">
        <x:f>"c1df5255-cf16-4240-9ce3-a0245de0b378"</x:f>
        <x:v>c1df5255-cf16-4240-9ce3-a0245de0b378</x:v>
      </x:c>
      <x:c r="B3963" s="26" t="str">
        <x:v>ZENILDO RAMOS DA SILVA</x:v>
      </x:c>
      <x:c r="C3963" s="26" t="str">
        <x:v>zenildo ramos da silva</x:v>
      </x:c>
      <x:c r="D3963" s="25" t="str">
        <x:f>"55.783.923/0001-59"</x:f>
        <x:v>55.783.923/0001-59</x:v>
      </x:c>
      <x:c r="E3963" s="25" t="str">
        <x:f>"55783923000159"</x:f>
        <x:v>55783923000159</x:v>
      </x:c>
      <x:c r="F3963" s="25" t="str">
        <x:f>"029.713.551-10"</x:f>
        <x:v>029.713.551-10</x:v>
      </x:c>
      <x:c r="G3963" s="25" t="str">
        <x:f>"02971355110"</x:f>
        <x:v>02971355110</x:v>
      </x:c>
      <x:c r="H3963" s="26" t="str">
        <x:v>dj_chocolate_10@hotmail.com</x:v>
      </x:c>
      <x:c r="I3963" s="25" t="str">
        <x:f>"65981695365"</x:f>
        <x:v>65981695365</x:v>
      </x:c>
      <x:c r="J3963" s="26" t="str">
        <x:v>SPOT</x:v>
      </x:c>
      <x:c r="K3963" s="26" t="str">
        <x:v>favored_only</x:v>
      </x:c>
      <x:c r="L3963" s="27" t="b">
        <x:v>1</x:v>
      </x:c>
      <x:c r="M3963" s="26" t="n">
        <x:v>1</x:v>
      </x:c>
      <x:c r="N3963" s="29" t="n">
        <x:v>46205.604542175926</x:v>
      </x:c>
      <x:c r="O3963" s="29" t="n">
        <x:v>46219.812988715275</x:v>
      </x:c>
      <x:c r="P3963" s="26" t="str">
        <x:v>CÁCERES</x:v>
      </x:c>
      <x:c r="Q3963" s="31" t="n">
        <x:v>31413</x:v>
      </x:c>
      <x:c r="R3963" s="25" t="str">
        <x:f>"18639402"</x:f>
        <x:v>18639402</x:v>
      </x:c>
      <x:c r="S3963" s="26" t="str">
        <x:v>masculino</x:v>
      </x:c>
      <x:c r="T3963" s="25" t="str">
        <x:f>"OBH2B91"</x:f>
        <x:v>OBH2B91</x:v>
      </x:c>
      <x:c r="U3963" s="26" t="str">
        <x:v>CAIQUE HENRIQUE DA CRUZ</x:v>
      </x:c>
      <x:c r="V3963" s="25" t="str">
        <x:f>"058.062.901-58"</x:f>
        <x:v>058.062.901-58</x:v>
      </x:c>
      <x:c r="W3963" s="25" t="str">
        <x:f>"05806290158"</x:f>
        <x:v>05806290158</x:v>
      </x:c>
      <x:c r="X3963" s="26" t="str">
        <x:v>caiquehenrique112@gmail.com</x:v>
      </x:c>
      <x:c r="Y3963" s="25" t="str">
        <x:f>"65981695365"</x:f>
        <x:v>65981695365</x:v>
      </x:c>
      <x:c r="Z3963" s="31" t="n">
        <x:v>46282</x:v>
      </x:c>
    </x:row>
  </x:sheetData>
  <x:pageMargins left="0.7" right="0.7" top="0.75" bottom="0.75" header="0.3" footer="0.3"/>
  <x:tableParts count="1">
    <x:tablePart xmlns:r="http://schemas.openxmlformats.org/officeDocument/2006/relationships" r:id="R568f3f9c4bef4d7a"/>
  </x:tableParts>
</x:worksheet>
</file>